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45" yWindow="75" windowWidth="14430" windowHeight="12750" firstSheet="2" activeTab="2"/>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 name="Tax asset base adjustments" sheetId="7950" r:id="rId9"/>
  </sheets>
  <externalReferences>
    <externalReference r:id="rId10"/>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Input!$K$29</definedName>
    <definedName name="A22stdlife">Input!$L$29</definedName>
    <definedName name="A22taxremlife">Input!$T$29</definedName>
    <definedName name="A22taxstdlife">Input!$U$29</definedName>
    <definedName name="A22taxvalue">Input!$S$29</definedName>
    <definedName name="A22value">'Adjustment for previous period'!$H$355</definedName>
    <definedName name="A23remlife">Input!$K$30</definedName>
    <definedName name="A23stdlife">Input!$L$30</definedName>
    <definedName name="A23taxremlife">Input!$T$30</definedName>
    <definedName name="A23taxstdlife">Input!$U$30</definedName>
    <definedName name="A23taxvalue">Input!$S$30</definedName>
    <definedName name="A23value">'Adjustment for previous period'!$H$356</definedName>
    <definedName name="A24remlife">Input!$K$31</definedName>
    <definedName name="A24stdlife">Input!$L$31</definedName>
    <definedName name="A24taxremlife">Input!$T$31</definedName>
    <definedName name="A24taxstdlife">Input!$U$31</definedName>
    <definedName name="A24taxvalue">Input!$S$31</definedName>
    <definedName name="A24value">'Adjustment for previous period'!$H$357</definedName>
    <definedName name="A25remlife">Input!$K$32</definedName>
    <definedName name="A25stdlife">Input!$L$32</definedName>
    <definedName name="A25taxremlife">Input!$T$32</definedName>
    <definedName name="A25taxstdlife">Input!$U$32</definedName>
    <definedName name="A25taxvalue">Input!$S$32</definedName>
    <definedName name="A25value">'Adjustment for previous period'!$H$358</definedName>
    <definedName name="A26remlife">Input!$K$33</definedName>
    <definedName name="A26stdlife">Input!$L$33</definedName>
    <definedName name="A26taxremlife">Input!$T$33</definedName>
    <definedName name="A26taxstdlife">Input!$U$33</definedName>
    <definedName name="A26taxvalue">Input!$S$33</definedName>
    <definedName name="A26value">'Adjustment for previous period'!$H$359</definedName>
    <definedName name="A27remlife">Input!$K$34</definedName>
    <definedName name="A27stdlife">Input!$L$34</definedName>
    <definedName name="A27taxremlife">Input!$T$34</definedName>
    <definedName name="A27taxstdlife">Input!$U$34</definedName>
    <definedName name="A27taxvalue">Input!$S$34</definedName>
    <definedName name="A27value">'Adjustment for previous period'!$H$360</definedName>
    <definedName name="A28remlife">Input!$K$35</definedName>
    <definedName name="A28stdlife">Input!$L$35</definedName>
    <definedName name="A28taxremlife">Input!$T$35</definedName>
    <definedName name="A28taxstdlife">Input!$U$35</definedName>
    <definedName name="A28taxvalue">Input!$S$35</definedName>
    <definedName name="A28value">'Adjustment for previous period'!$H$361</definedName>
    <definedName name="A29remlife">Input!$K$36</definedName>
    <definedName name="A29stdlife">Input!$L$36</definedName>
    <definedName name="A29taxremlife">Input!$T$36</definedName>
    <definedName name="A29taxstdlife">Input!$U$36</definedName>
    <definedName name="A29taxvalue">Input!$S$36</definedName>
    <definedName name="A29taxxstdlife">Input!$U$36</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Input!$K$37</definedName>
    <definedName name="A30stdlife">Input!$L$37</definedName>
    <definedName name="A30taxremlife">Input!$T$37</definedName>
    <definedName name="A30taxstdlife">Input!$U$37</definedName>
    <definedName name="A30taxvalue">Input!$S$37</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Input!$G$29</definedName>
    <definedName name="Asset23">Input!$G$30</definedName>
    <definedName name="Asset24">Input!$G$31</definedName>
    <definedName name="Asset25">Input!$G$32</definedName>
    <definedName name="Asset26">Input!$G$33</definedName>
    <definedName name="Asset27">Input!$G$34</definedName>
    <definedName name="Asset28">Input!$G$35</definedName>
    <definedName name="Asset29">Input!$G$36</definedName>
    <definedName name="Asset3">Input!$G$9</definedName>
    <definedName name="Asset30">Input!$G$37</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Input!$G$185</definedName>
    <definedName name="RAB">Input!$J$38</definedName>
    <definedName name="vanilla1">Input!$H$185</definedName>
    <definedName name="vanilla10">Input!$Q$185</definedName>
    <definedName name="vanilla2">Input!$I$185</definedName>
    <definedName name="vanilla3">Input!$J$185</definedName>
    <definedName name="vanilla4">Input!$K$185</definedName>
    <definedName name="vanilla5">Input!$L$185</definedName>
    <definedName name="vanilla6">Input!$M$185</definedName>
    <definedName name="vanilla7">Input!$N$185</definedName>
    <definedName name="vanilla8">Input!$O$185</definedName>
    <definedName name="vanilla9">Input!$P$185</definedName>
    <definedName name="zzz">[1]Input!$T$7</definedName>
    <definedName name="zzz2">[1]Input!$U$7</definedName>
  </definedNames>
  <calcPr calcId="145621" iterate="1" iterateCount="200"/>
</workbook>
</file>

<file path=xl/calcChain.xml><?xml version="1.0" encoding="utf-8"?>
<calcChain xmlns="http://schemas.openxmlformats.org/spreadsheetml/2006/main">
  <c r="K525" i="7944" l="1"/>
  <c r="K527" i="7944"/>
  <c r="K528" i="7944"/>
  <c r="K529" i="7944"/>
  <c r="K530" i="7944"/>
  <c r="K531" i="7944"/>
  <c r="K532" i="7944"/>
  <c r="K533" i="7944"/>
  <c r="K534" i="7944"/>
  <c r="K535" i="7944"/>
  <c r="K536" i="7944"/>
  <c r="K537" i="7944"/>
  <c r="K538" i="7944"/>
  <c r="K539" i="7944"/>
  <c r="K540" i="7944"/>
  <c r="K541" i="7944"/>
  <c r="K542" i="7944"/>
  <c r="K543" i="7944"/>
  <c r="K544" i="7944"/>
  <c r="K545" i="7944"/>
  <c r="K546" i="7944"/>
  <c r="K526" i="7944"/>
  <c r="K500" i="7944"/>
  <c r="L475" i="7941"/>
  <c r="D482" i="7941"/>
  <c r="D481" i="7941"/>
  <c r="D480" i="7941"/>
  <c r="D479" i="7941"/>
  <c r="D478" i="7941"/>
  <c r="D477" i="7941"/>
  <c r="D476" i="7941"/>
  <c r="D475" i="7941"/>
  <c r="D474" i="7941"/>
  <c r="D473" i="7941"/>
  <c r="D472" i="7941"/>
  <c r="D471" i="7941"/>
  <c r="D470" i="7941"/>
  <c r="D469" i="7941"/>
  <c r="D468" i="7941"/>
  <c r="D467" i="7941"/>
  <c r="D466" i="7941"/>
  <c r="D465" i="7941"/>
  <c r="D464" i="7941"/>
  <c r="D463" i="7941"/>
  <c r="D462" i="7941"/>
  <c r="O220" i="18"/>
  <c r="P220" i="18"/>
  <c r="Q220" i="18"/>
  <c r="N220" i="18"/>
  <c r="M344" i="7944"/>
  <c r="L71" i="7944"/>
  <c r="E365" i="7947"/>
  <c r="H365" i="7947"/>
  <c r="E366" i="7947"/>
  <c r="H366" i="7947"/>
  <c r="E368" i="7947"/>
  <c r="H368" i="7947"/>
  <c r="E36" i="7950"/>
  <c r="E37" i="7950"/>
  <c r="E38" i="7950"/>
  <c r="E39" i="7950"/>
  <c r="E40" i="7950"/>
  <c r="E41" i="7950"/>
  <c r="E42" i="7950"/>
  <c r="E43" i="7950"/>
  <c r="E44" i="7950"/>
  <c r="E45" i="7950"/>
  <c r="E46" i="7950"/>
  <c r="E47" i="7950"/>
  <c r="E48" i="7950"/>
  <c r="E49" i="7950"/>
  <c r="E50" i="7950"/>
  <c r="E51" i="7950"/>
  <c r="E52" i="7950"/>
  <c r="E53" i="7950"/>
  <c r="E54" i="7950"/>
  <c r="E55" i="7950"/>
  <c r="E35" i="7950"/>
  <c r="F29" i="7950"/>
  <c r="L83" i="7950"/>
  <c r="M83" i="7950"/>
  <c r="N83" i="7950"/>
  <c r="O83" i="7950"/>
  <c r="K83" i="7950"/>
  <c r="S8" i="1"/>
  <c r="S9" i="1"/>
  <c r="S10" i="1"/>
  <c r="S11" i="1"/>
  <c r="S12" i="1"/>
  <c r="S13" i="1"/>
  <c r="S14" i="1"/>
  <c r="S15" i="1"/>
  <c r="S16" i="1"/>
  <c r="S17" i="1"/>
  <c r="S18" i="1"/>
  <c r="S19" i="1"/>
  <c r="S20" i="1"/>
  <c r="S21" i="1"/>
  <c r="S22" i="1"/>
  <c r="S23" i="1"/>
  <c r="S24" i="1"/>
  <c r="S25" i="1"/>
  <c r="S26" i="1"/>
  <c r="S27" i="1"/>
  <c r="S7" i="1"/>
  <c r="U52" i="7950"/>
  <c r="K293" i="7944"/>
  <c r="L27" i="7950"/>
  <c r="L26" i="7950"/>
  <c r="L25" i="7950"/>
  <c r="L24" i="7950"/>
  <c r="L23" i="7950"/>
  <c r="L22" i="7950"/>
  <c r="L21" i="7950"/>
  <c r="L20" i="7950"/>
  <c r="L19" i="7950"/>
  <c r="L18" i="7950"/>
  <c r="L17" i="7950"/>
  <c r="L16" i="7950"/>
  <c r="L15" i="7950"/>
  <c r="L14" i="7950"/>
  <c r="L13" i="7950"/>
  <c r="L12" i="7950"/>
  <c r="L11" i="7950"/>
  <c r="L10" i="7950"/>
  <c r="L9" i="7950"/>
  <c r="L8" i="7950"/>
  <c r="L7" i="7950"/>
  <c r="L28" i="7950"/>
  <c r="K56" i="7950"/>
  <c r="K84" i="7950"/>
  <c r="N56" i="7950"/>
  <c r="N84" i="7950"/>
  <c r="M56" i="7950"/>
  <c r="M84" i="7950"/>
  <c r="L56" i="7950"/>
  <c r="F41" i="7944"/>
  <c r="F42" i="7944"/>
  <c r="F40" i="7944"/>
  <c r="F43" i="7944"/>
  <c r="F44" i="7944"/>
  <c r="F45" i="7944"/>
  <c r="F46" i="7944"/>
  <c r="F47" i="7944"/>
  <c r="F48" i="7944"/>
  <c r="F49" i="7944"/>
  <c r="F50" i="7944"/>
  <c r="F51" i="7944"/>
  <c r="F52" i="7944"/>
  <c r="F53" i="7944"/>
  <c r="F54" i="7944"/>
  <c r="F55" i="7944"/>
  <c r="F56" i="7944"/>
  <c r="F57" i="7944"/>
  <c r="F58" i="7944"/>
  <c r="F59" i="7944"/>
  <c r="F60" i="7944"/>
  <c r="F39" i="7944"/>
  <c r="J14" i="7950"/>
  <c r="J17" i="7950"/>
  <c r="J18" i="7950"/>
  <c r="J22" i="7950"/>
  <c r="J23" i="7950"/>
  <c r="J26" i="7950"/>
  <c r="J12" i="7950"/>
  <c r="J8" i="7950"/>
  <c r="J7" i="7950"/>
  <c r="J24" i="7950"/>
  <c r="J20" i="7950"/>
  <c r="J10" i="7950"/>
  <c r="J27" i="7950"/>
  <c r="J25" i="7950"/>
  <c r="J21" i="7950"/>
  <c r="J19" i="7950"/>
  <c r="J15" i="7950"/>
  <c r="J11" i="7950"/>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J16" i="7950"/>
  <c r="J13" i="7950"/>
  <c r="H62" i="1"/>
  <c r="H3" i="7944"/>
  <c r="I3" i="7944"/>
  <c r="D718" i="18"/>
  <c r="D717" i="18"/>
  <c r="D716" i="18"/>
  <c r="D715" i="18"/>
  <c r="D714" i="18"/>
  <c r="D713" i="18"/>
  <c r="D712" i="18"/>
  <c r="D711" i="18"/>
  <c r="D710" i="18"/>
  <c r="D709" i="18"/>
  <c r="D708" i="18"/>
  <c r="D707" i="18"/>
  <c r="D706" i="18"/>
  <c r="D705" i="18"/>
  <c r="D704" i="18"/>
  <c r="D703" i="18"/>
  <c r="D702" i="18"/>
  <c r="D701" i="18"/>
  <c r="D700" i="18"/>
  <c r="D699" i="18"/>
  <c r="D698" i="18"/>
  <c r="G459" i="18"/>
  <c r="G515" i="7942"/>
  <c r="G619" i="18"/>
  <c r="G188" i="7941"/>
  <c r="G166" i="7941" s="1"/>
  <c r="G483" i="7942"/>
  <c r="G587" i="18"/>
  <c r="G451" i="7942"/>
  <c r="G555" i="18"/>
  <c r="G124" i="7941"/>
  <c r="G419" i="7942"/>
  <c r="G523" i="18"/>
  <c r="G355" i="7942"/>
  <c r="C355" i="7942"/>
  <c r="C483" i="7942"/>
  <c r="R8" i="1"/>
  <c r="G206" i="7942"/>
  <c r="G238" i="7942"/>
  <c r="H271" i="7942" s="1"/>
  <c r="R9" i="1"/>
  <c r="G207" i="7942"/>
  <c r="R10" i="1"/>
  <c r="G208" i="7942"/>
  <c r="R11" i="1"/>
  <c r="R12" i="1"/>
  <c r="G210" i="7942"/>
  <c r="R13" i="1"/>
  <c r="R14" i="1"/>
  <c r="G212" i="7942"/>
  <c r="R15" i="1"/>
  <c r="R16" i="1"/>
  <c r="G214" i="7942"/>
  <c r="G246" i="7942"/>
  <c r="H287" i="7942"/>
  <c r="R17" i="1"/>
  <c r="G215" i="7942"/>
  <c r="R18" i="1"/>
  <c r="G216" i="7942"/>
  <c r="G248" i="7942"/>
  <c r="R19" i="1"/>
  <c r="R20" i="1"/>
  <c r="G218" i="7942"/>
  <c r="G250" i="7942"/>
  <c r="R28" i="1"/>
  <c r="R21" i="1"/>
  <c r="G219" i="7942"/>
  <c r="R22" i="1"/>
  <c r="G220" i="7942"/>
  <c r="G252" i="7942"/>
  <c r="R23" i="1"/>
  <c r="G221" i="7942"/>
  <c r="G253" i="7942"/>
  <c r="R24" i="1"/>
  <c r="G222" i="7942"/>
  <c r="G254" i="7942"/>
  <c r="H303" i="7942"/>
  <c r="R25" i="1"/>
  <c r="G223" i="7942"/>
  <c r="R26" i="1"/>
  <c r="G224" i="7942"/>
  <c r="G256" i="7942"/>
  <c r="R27" i="1"/>
  <c r="G225" i="7942"/>
  <c r="G257" i="7942"/>
  <c r="R7" i="1"/>
  <c r="N38" i="1"/>
  <c r="L6" i="18"/>
  <c r="H179" i="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4" i="7941"/>
  <c r="D433" i="7941"/>
  <c r="D432" i="7941"/>
  <c r="D431" i="7941"/>
  <c r="D430" i="7941"/>
  <c r="D429" i="7941"/>
  <c r="D428" i="7941"/>
  <c r="D427" i="7941"/>
  <c r="D426" i="7941"/>
  <c r="D425" i="7941"/>
  <c r="D424" i="7941"/>
  <c r="D423" i="7941"/>
  <c r="D422" i="7941"/>
  <c r="D421" i="7941"/>
  <c r="D420" i="7941"/>
  <c r="D419" i="7941"/>
  <c r="D418" i="7941"/>
  <c r="D417" i="7941"/>
  <c r="D416" i="7941"/>
  <c r="D415" i="7941"/>
  <c r="D414"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G332" i="7944"/>
  <c r="G344"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C29" i="7944"/>
  <c r="C30" i="7944"/>
  <c r="C31" i="7944"/>
  <c r="C32" i="7944"/>
  <c r="C33" i="7944"/>
  <c r="C34" i="7944"/>
  <c r="C35" i="7944"/>
  <c r="C36" i="7944"/>
  <c r="C37" i="7944"/>
  <c r="C40" i="7944"/>
  <c r="L40" i="7944"/>
  <c r="M40" i="7944"/>
  <c r="N40" i="7944"/>
  <c r="N41" i="7944"/>
  <c r="N42" i="7944"/>
  <c r="N43" i="7944"/>
  <c r="N44" i="7944"/>
  <c r="N45" i="7944"/>
  <c r="N46" i="7944"/>
  <c r="N47" i="7944"/>
  <c r="N48" i="7944"/>
  <c r="N49" i="7944"/>
  <c r="N50" i="7944"/>
  <c r="N51" i="7944"/>
  <c r="N52" i="7944"/>
  <c r="N53" i="7944"/>
  <c r="N54" i="7944"/>
  <c r="N55" i="7944"/>
  <c r="N56" i="7944"/>
  <c r="N57" i="7944"/>
  <c r="N58" i="7944"/>
  <c r="N59" i="7944"/>
  <c r="N39" i="7944"/>
  <c r="O40" i="7944"/>
  <c r="P40" i="7944"/>
  <c r="C41" i="7944"/>
  <c r="L41" i="7944"/>
  <c r="L42" i="7944"/>
  <c r="L43" i="7944"/>
  <c r="L44" i="7944"/>
  <c r="L45" i="7944"/>
  <c r="L46" i="7944"/>
  <c r="L47" i="7944"/>
  <c r="L48" i="7944"/>
  <c r="L49" i="7944"/>
  <c r="L50" i="7944"/>
  <c r="L51" i="7944"/>
  <c r="L52" i="7944"/>
  <c r="L53" i="7944"/>
  <c r="L54" i="7944"/>
  <c r="L55" i="7944"/>
  <c r="L56" i="7944"/>
  <c r="L57" i="7944"/>
  <c r="L58" i="7944"/>
  <c r="L59" i="7944"/>
  <c r="L60" i="7944"/>
  <c r="L39" i="7944"/>
  <c r="M41" i="7944"/>
  <c r="M42" i="7944"/>
  <c r="M43" i="7944"/>
  <c r="M44" i="7944"/>
  <c r="M45" i="7944"/>
  <c r="M46" i="7944"/>
  <c r="M47" i="7944"/>
  <c r="M48" i="7944"/>
  <c r="M49" i="7944"/>
  <c r="M50" i="7944"/>
  <c r="M51" i="7944"/>
  <c r="M52" i="7944"/>
  <c r="M53" i="7944"/>
  <c r="M54" i="7944"/>
  <c r="M55" i="7944"/>
  <c r="M56" i="7944"/>
  <c r="M57" i="7944"/>
  <c r="M58" i="7944"/>
  <c r="M59" i="7944"/>
  <c r="M39" i="7944"/>
  <c r="O41" i="7944"/>
  <c r="P41" i="7944"/>
  <c r="P42" i="7944"/>
  <c r="P43" i="7944"/>
  <c r="P44" i="7944"/>
  <c r="P45" i="7944"/>
  <c r="P46" i="7944"/>
  <c r="P47" i="7944"/>
  <c r="P48" i="7944"/>
  <c r="P49" i="7944"/>
  <c r="P50" i="7944"/>
  <c r="P51" i="7944"/>
  <c r="P52" i="7944"/>
  <c r="P53" i="7944"/>
  <c r="P54" i="7944"/>
  <c r="P55" i="7944"/>
  <c r="P56" i="7944"/>
  <c r="P57" i="7944"/>
  <c r="P58" i="7944"/>
  <c r="P59" i="7944"/>
  <c r="P39" i="7944"/>
  <c r="C42" i="7944"/>
  <c r="O42" i="7944"/>
  <c r="C43" i="7944"/>
  <c r="O43" i="7944"/>
  <c r="C44" i="7944"/>
  <c r="O44" i="7944"/>
  <c r="C45" i="7944"/>
  <c r="O45" i="7944"/>
  <c r="C46" i="7944"/>
  <c r="O46" i="7944"/>
  <c r="C47" i="7944"/>
  <c r="O47" i="7944"/>
  <c r="C48" i="7944"/>
  <c r="O48" i="7944"/>
  <c r="C49" i="7944"/>
  <c r="O49" i="7944"/>
  <c r="C50" i="7944"/>
  <c r="O50" i="7944"/>
  <c r="C51" i="7944"/>
  <c r="O51" i="7944"/>
  <c r="C52" i="7944"/>
  <c r="O52" i="7944"/>
  <c r="C53" i="7944"/>
  <c r="O53" i="7944"/>
  <c r="C54" i="7944"/>
  <c r="O54" i="7944"/>
  <c r="C55" i="7944"/>
  <c r="O55" i="7944"/>
  <c r="C56" i="7944"/>
  <c r="O56" i="7944"/>
  <c r="C57" i="7944"/>
  <c r="O57" i="7944"/>
  <c r="C58" i="7944"/>
  <c r="O58" i="7944"/>
  <c r="C59" i="7944"/>
  <c r="O59" i="7944"/>
  <c r="C60" i="7944"/>
  <c r="M60" i="7944"/>
  <c r="N60" i="7944"/>
  <c r="O60" i="7944"/>
  <c r="P60" i="7944"/>
  <c r="C61" i="7944"/>
  <c r="G61" i="7944"/>
  <c r="H61" i="7944"/>
  <c r="I61" i="7944"/>
  <c r="J61" i="7944"/>
  <c r="K61" i="7944"/>
  <c r="L61" i="7944"/>
  <c r="M61" i="7944"/>
  <c r="N61" i="7944"/>
  <c r="O61" i="7944"/>
  <c r="P61" i="7944"/>
  <c r="C62" i="7944"/>
  <c r="G62" i="7944"/>
  <c r="H62" i="7944"/>
  <c r="I62" i="7944"/>
  <c r="J62" i="7944"/>
  <c r="K62" i="7944"/>
  <c r="L62" i="7944"/>
  <c r="M62" i="7944"/>
  <c r="N62" i="7944"/>
  <c r="O62" i="7944"/>
  <c r="P62" i="7944"/>
  <c r="C63" i="7944"/>
  <c r="G63" i="7944"/>
  <c r="H63" i="7944"/>
  <c r="I63" i="7944"/>
  <c r="J63" i="7944"/>
  <c r="K63" i="7944"/>
  <c r="L63" i="7944"/>
  <c r="M63" i="7944"/>
  <c r="N63" i="7944"/>
  <c r="O63" i="7944"/>
  <c r="P63" i="7944"/>
  <c r="C64" i="7944"/>
  <c r="G64" i="7944"/>
  <c r="H64" i="7944"/>
  <c r="I64" i="7944"/>
  <c r="J64" i="7944"/>
  <c r="K64" i="7944"/>
  <c r="L64" i="7944"/>
  <c r="M64" i="7944"/>
  <c r="N64" i="7944"/>
  <c r="O64" i="7944"/>
  <c r="P64" i="7944"/>
  <c r="C65" i="7944"/>
  <c r="G65" i="7944"/>
  <c r="H65" i="7944"/>
  <c r="I65" i="7944"/>
  <c r="J65" i="7944"/>
  <c r="K65" i="7944"/>
  <c r="L65" i="7944"/>
  <c r="M65" i="7944"/>
  <c r="N65" i="7944"/>
  <c r="O65" i="7944"/>
  <c r="P65" i="7944"/>
  <c r="C66" i="7944"/>
  <c r="G66" i="7944"/>
  <c r="H66" i="7944"/>
  <c r="I66" i="7944"/>
  <c r="J66" i="7944"/>
  <c r="K66" i="7944"/>
  <c r="L66" i="7944"/>
  <c r="M66" i="7944"/>
  <c r="N66" i="7944"/>
  <c r="O66" i="7944"/>
  <c r="P66" i="7944"/>
  <c r="C67" i="7944"/>
  <c r="G67" i="7944"/>
  <c r="H67" i="7944"/>
  <c r="I67" i="7944"/>
  <c r="J67" i="7944"/>
  <c r="K67" i="7944"/>
  <c r="L67" i="7944"/>
  <c r="M67" i="7944"/>
  <c r="N67" i="7944"/>
  <c r="O67" i="7944"/>
  <c r="P67" i="7944"/>
  <c r="C68" i="7944"/>
  <c r="G68" i="7944"/>
  <c r="H68" i="7944"/>
  <c r="I68" i="7944"/>
  <c r="J68" i="7944"/>
  <c r="K68" i="7944"/>
  <c r="L68" i="7944"/>
  <c r="M68" i="7944"/>
  <c r="N68" i="7944"/>
  <c r="O68" i="7944"/>
  <c r="P68" i="7944"/>
  <c r="C69" i="7944"/>
  <c r="G69" i="7944"/>
  <c r="H69" i="7944"/>
  <c r="I69" i="7944"/>
  <c r="J69" i="7944"/>
  <c r="K69" i="7944"/>
  <c r="L69" i="7944"/>
  <c r="M69" i="7944"/>
  <c r="N69" i="7944"/>
  <c r="O69" i="7944"/>
  <c r="P69" i="7944"/>
  <c r="B72" i="7944"/>
  <c r="C84" i="7944"/>
  <c r="B85" i="7944"/>
  <c r="C97" i="7944"/>
  <c r="B98" i="7944"/>
  <c r="C110" i="7944"/>
  <c r="B111" i="7944"/>
  <c r="C123" i="7944"/>
  <c r="B124" i="7944"/>
  <c r="C136" i="7944"/>
  <c r="B137" i="7944"/>
  <c r="C149" i="7944"/>
  <c r="B150" i="7944"/>
  <c r="C162" i="7944"/>
  <c r="B163" i="7944"/>
  <c r="C175" i="7944"/>
  <c r="B176" i="7944"/>
  <c r="C188" i="7944"/>
  <c r="B189" i="7944"/>
  <c r="C201" i="7944"/>
  <c r="B202" i="7944"/>
  <c r="C214" i="7944"/>
  <c r="B215" i="7944"/>
  <c r="C227" i="7944"/>
  <c r="B228" i="7944"/>
  <c r="H230" i="7944"/>
  <c r="I230" i="7944"/>
  <c r="J230" i="7944"/>
  <c r="K230" i="7944"/>
  <c r="M230" i="7944"/>
  <c r="N230" i="7944"/>
  <c r="O230" i="7944"/>
  <c r="P230" i="7944"/>
  <c r="I231" i="7944"/>
  <c r="J231" i="7944"/>
  <c r="K231" i="7944"/>
  <c r="M231" i="7944"/>
  <c r="N231" i="7944"/>
  <c r="O231" i="7944"/>
  <c r="P231" i="7944"/>
  <c r="J232" i="7944"/>
  <c r="K232" i="7944"/>
  <c r="M232" i="7944"/>
  <c r="N232" i="7944"/>
  <c r="O232" i="7944"/>
  <c r="P232" i="7944"/>
  <c r="K233" i="7944"/>
  <c r="M233" i="7944"/>
  <c r="N233" i="7944"/>
  <c r="O233" i="7944"/>
  <c r="P233" i="7944"/>
  <c r="M234" i="7944"/>
  <c r="N234" i="7944"/>
  <c r="O234" i="7944"/>
  <c r="P234" i="7944"/>
  <c r="M235" i="7944"/>
  <c r="N235" i="7944"/>
  <c r="O235" i="7944"/>
  <c r="P235" i="7944"/>
  <c r="N236" i="7944"/>
  <c r="O236" i="7944"/>
  <c r="P236" i="7944"/>
  <c r="O237" i="7944"/>
  <c r="P237" i="7944"/>
  <c r="P238" i="7944"/>
  <c r="C240" i="7944"/>
  <c r="B241" i="7944"/>
  <c r="H243" i="7944"/>
  <c r="I243" i="7944"/>
  <c r="J243" i="7944"/>
  <c r="K243" i="7944"/>
  <c r="M243" i="7944"/>
  <c r="N243" i="7944"/>
  <c r="O243" i="7944"/>
  <c r="P243" i="7944"/>
  <c r="I244" i="7944"/>
  <c r="J244" i="7944"/>
  <c r="K244" i="7944"/>
  <c r="M244" i="7944"/>
  <c r="N244" i="7944"/>
  <c r="O244" i="7944"/>
  <c r="P244" i="7944"/>
  <c r="J245" i="7944"/>
  <c r="K245" i="7944"/>
  <c r="M245" i="7944"/>
  <c r="N245" i="7944"/>
  <c r="O245" i="7944"/>
  <c r="P245" i="7944"/>
  <c r="K246" i="7944"/>
  <c r="M246" i="7944"/>
  <c r="N246" i="7944"/>
  <c r="O246" i="7944"/>
  <c r="P246" i="7944"/>
  <c r="M247" i="7944"/>
  <c r="N247" i="7944"/>
  <c r="O247" i="7944"/>
  <c r="P247" i="7944"/>
  <c r="M248" i="7944"/>
  <c r="N248" i="7944"/>
  <c r="O248" i="7944"/>
  <c r="P248" i="7944"/>
  <c r="N249" i="7944"/>
  <c r="O249" i="7944"/>
  <c r="P249" i="7944"/>
  <c r="O250" i="7944"/>
  <c r="P250" i="7944"/>
  <c r="P251" i="7944"/>
  <c r="C253" i="7944"/>
  <c r="B254" i="7944"/>
  <c r="C266" i="7944"/>
  <c r="B267" i="7944"/>
  <c r="H269" i="7944"/>
  <c r="I269" i="7944"/>
  <c r="J269" i="7944"/>
  <c r="K269" i="7944"/>
  <c r="M269" i="7944"/>
  <c r="N269" i="7944"/>
  <c r="O269" i="7944"/>
  <c r="P269" i="7944"/>
  <c r="I270" i="7944"/>
  <c r="J270" i="7944"/>
  <c r="K270" i="7944"/>
  <c r="M270" i="7944"/>
  <c r="N270" i="7944"/>
  <c r="O270" i="7944"/>
  <c r="P270" i="7944"/>
  <c r="J271" i="7944"/>
  <c r="K271" i="7944"/>
  <c r="M271" i="7944"/>
  <c r="N271" i="7944"/>
  <c r="O271" i="7944"/>
  <c r="P271" i="7944"/>
  <c r="K272" i="7944"/>
  <c r="M272" i="7944"/>
  <c r="N272" i="7944"/>
  <c r="O272" i="7944"/>
  <c r="P272" i="7944"/>
  <c r="M273" i="7944"/>
  <c r="N273" i="7944"/>
  <c r="O273" i="7944"/>
  <c r="P273" i="7944"/>
  <c r="M274" i="7944"/>
  <c r="N274" i="7944"/>
  <c r="O274" i="7944"/>
  <c r="P274" i="7944"/>
  <c r="N275" i="7944"/>
  <c r="O275" i="7944"/>
  <c r="P275" i="7944"/>
  <c r="O276" i="7944"/>
  <c r="P276" i="7944"/>
  <c r="P277" i="7944"/>
  <c r="C279" i="7944"/>
  <c r="B280" i="7944"/>
  <c r="C292" i="7944"/>
  <c r="B293" i="7944"/>
  <c r="C305" i="7944"/>
  <c r="B306" i="7944"/>
  <c r="C318" i="7944"/>
  <c r="B319" i="7944"/>
  <c r="C331" i="7944"/>
  <c r="B332" i="7944"/>
  <c r="C344" i="7944"/>
  <c r="F344" i="7944"/>
  <c r="G29" i="7944"/>
  <c r="H29" i="7944"/>
  <c r="I29" i="7944"/>
  <c r="J29" i="7944"/>
  <c r="K29" i="7944"/>
  <c r="L29" i="7944"/>
  <c r="G30" i="7944"/>
  <c r="H30" i="7944"/>
  <c r="G31" i="7944"/>
  <c r="H31" i="7944"/>
  <c r="I31" i="7944"/>
  <c r="G32" i="7944"/>
  <c r="G33" i="7944"/>
  <c r="H33" i="7944"/>
  <c r="I33" i="7944"/>
  <c r="J33" i="7944"/>
  <c r="K33" i="7944"/>
  <c r="L33" i="7944"/>
  <c r="G34" i="7944"/>
  <c r="H34" i="7944"/>
  <c r="G35" i="7944"/>
  <c r="H35" i="7944"/>
  <c r="I35" i="7944"/>
  <c r="G36" i="7944"/>
  <c r="G37" i="7944"/>
  <c r="H37" i="7944"/>
  <c r="I37" i="7944"/>
  <c r="J37" i="7944"/>
  <c r="K37" i="7944"/>
  <c r="L37" i="7944"/>
  <c r="B7" i="7947"/>
  <c r="C19" i="7947"/>
  <c r="G8" i="7947"/>
  <c r="B21" i="7947"/>
  <c r="C33" i="7947"/>
  <c r="G22" i="7947"/>
  <c r="B35" i="7947"/>
  <c r="C47" i="7947"/>
  <c r="G36" i="7947"/>
  <c r="B49" i="7947"/>
  <c r="C61" i="7947"/>
  <c r="G50" i="7947"/>
  <c r="B63" i="7947"/>
  <c r="C75" i="7947"/>
  <c r="G64" i="7947"/>
  <c r="B77" i="7947"/>
  <c r="C89" i="7947"/>
  <c r="G78" i="7947"/>
  <c r="B91" i="7947"/>
  <c r="C103" i="7947"/>
  <c r="G92" i="7947"/>
  <c r="B105" i="7947"/>
  <c r="C117" i="7947"/>
  <c r="G106" i="7947"/>
  <c r="B119" i="7947"/>
  <c r="C131" i="7947"/>
  <c r="G120" i="7947"/>
  <c r="B133" i="7947"/>
  <c r="C145" i="7947"/>
  <c r="G134" i="7947"/>
  <c r="B147" i="7947"/>
  <c r="C159" i="7947"/>
  <c r="G148" i="7947"/>
  <c r="B161" i="7947"/>
  <c r="C173" i="7947"/>
  <c r="G162" i="7947"/>
  <c r="B175" i="7947"/>
  <c r="G176" i="7947"/>
  <c r="G177" i="7947"/>
  <c r="G178" i="7947"/>
  <c r="G179" i="7947"/>
  <c r="G180" i="7947"/>
  <c r="G181" i="7947"/>
  <c r="G182" i="7947"/>
  <c r="G183" i="7947"/>
  <c r="G184" i="7947"/>
  <c r="G185" i="7947"/>
  <c r="G186" i="7947"/>
  <c r="C187" i="7947"/>
  <c r="B189" i="7947"/>
  <c r="G190" i="7947"/>
  <c r="G191" i="7947"/>
  <c r="G192" i="7947"/>
  <c r="G193" i="7947"/>
  <c r="G194" i="7947"/>
  <c r="G195" i="7947"/>
  <c r="G196" i="7947"/>
  <c r="G197" i="7947"/>
  <c r="G198" i="7947"/>
  <c r="G199" i="7947"/>
  <c r="G200" i="7947"/>
  <c r="C201" i="7947"/>
  <c r="B203" i="7947"/>
  <c r="C215" i="7947"/>
  <c r="G204" i="7947"/>
  <c r="B217" i="7947"/>
  <c r="G218" i="7947"/>
  <c r="G219" i="7947"/>
  <c r="G220" i="7947"/>
  <c r="G221" i="7947"/>
  <c r="G222" i="7947"/>
  <c r="G223" i="7947"/>
  <c r="G224" i="7947"/>
  <c r="G225" i="7947"/>
  <c r="G226" i="7947"/>
  <c r="G227" i="7947"/>
  <c r="G228" i="7947"/>
  <c r="C229" i="7947"/>
  <c r="B231" i="7947"/>
  <c r="C243" i="7947"/>
  <c r="G232" i="7947"/>
  <c r="B245" i="7947"/>
  <c r="C257" i="7947"/>
  <c r="G246" i="7947"/>
  <c r="B259" i="7947"/>
  <c r="C271" i="7947"/>
  <c r="G260" i="7947"/>
  <c r="B273" i="7947"/>
  <c r="C285" i="7947"/>
  <c r="G274" i="7947"/>
  <c r="B287" i="7947"/>
  <c r="C299" i="7947"/>
  <c r="G288" i="7947"/>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H187" i="18"/>
  <c r="H199" i="18" s="1"/>
  <c r="H643" i="18" s="1"/>
  <c r="D199" i="18"/>
  <c r="C200" i="18"/>
  <c r="I202" i="18"/>
  <c r="J202" i="18"/>
  <c r="K202" i="18"/>
  <c r="L202" i="18"/>
  <c r="M202" i="18"/>
  <c r="N202" i="18"/>
  <c r="O202" i="18"/>
  <c r="P202" i="18"/>
  <c r="Q202" i="18"/>
  <c r="J203" i="18"/>
  <c r="K203" i="18"/>
  <c r="L203" i="18"/>
  <c r="M203" i="18"/>
  <c r="N203" i="18"/>
  <c r="O203" i="18"/>
  <c r="P203" i="18"/>
  <c r="Q203" i="18"/>
  <c r="K204" i="18"/>
  <c r="L204" i="18"/>
  <c r="M204" i="18"/>
  <c r="N204" i="18"/>
  <c r="O204" i="18"/>
  <c r="P204" i="18"/>
  <c r="Q204" i="18"/>
  <c r="L205" i="18"/>
  <c r="F180" i="7947"/>
  <c r="M205" i="18"/>
  <c r="N205" i="18"/>
  <c r="O205" i="18"/>
  <c r="P205" i="18"/>
  <c r="Q205" i="18"/>
  <c r="M206" i="18"/>
  <c r="N206" i="18"/>
  <c r="O206" i="18"/>
  <c r="P206" i="18"/>
  <c r="Q206" i="18"/>
  <c r="N207" i="18"/>
  <c r="O207" i="18"/>
  <c r="P207" i="18"/>
  <c r="Q207" i="18"/>
  <c r="O208" i="18"/>
  <c r="P208" i="18"/>
  <c r="Q208" i="18"/>
  <c r="P209" i="18"/>
  <c r="Q209" i="18"/>
  <c r="Q210" i="18"/>
  <c r="D212" i="18"/>
  <c r="C213" i="18"/>
  <c r="I215" i="18"/>
  <c r="J215" i="18"/>
  <c r="K215" i="18"/>
  <c r="L215" i="18"/>
  <c r="M215" i="18"/>
  <c r="N215" i="18"/>
  <c r="O215" i="18"/>
  <c r="P215" i="18"/>
  <c r="Q215" i="18"/>
  <c r="J216" i="18"/>
  <c r="K216" i="18"/>
  <c r="L216" i="18"/>
  <c r="M216" i="18"/>
  <c r="N216" i="18"/>
  <c r="O216" i="18"/>
  <c r="P216" i="18"/>
  <c r="Q216" i="18"/>
  <c r="K217" i="18"/>
  <c r="L217" i="18"/>
  <c r="M217" i="18"/>
  <c r="N217" i="18"/>
  <c r="O217" i="18"/>
  <c r="P217" i="18"/>
  <c r="Q217" i="18"/>
  <c r="L218" i="18"/>
  <c r="M218" i="18"/>
  <c r="N218" i="18"/>
  <c r="O218" i="18"/>
  <c r="P218" i="18"/>
  <c r="Q218" i="18"/>
  <c r="M219" i="18"/>
  <c r="N219" i="18"/>
  <c r="O219" i="18"/>
  <c r="P219" i="18"/>
  <c r="Q219" i="18"/>
  <c r="O221" i="18"/>
  <c r="P221" i="18"/>
  <c r="Q221" i="18"/>
  <c r="P222" i="18"/>
  <c r="Q222" i="18"/>
  <c r="Q223" i="18"/>
  <c r="D225" i="18"/>
  <c r="C226" i="18"/>
  <c r="D238" i="18"/>
  <c r="C239" i="18"/>
  <c r="I241" i="18"/>
  <c r="J241" i="18"/>
  <c r="K241" i="18"/>
  <c r="L241" i="18"/>
  <c r="M241" i="18"/>
  <c r="N241" i="18"/>
  <c r="O241" i="18"/>
  <c r="P241" i="18"/>
  <c r="Q241" i="18"/>
  <c r="J242" i="18"/>
  <c r="K242" i="18"/>
  <c r="L242" i="18"/>
  <c r="M242" i="18"/>
  <c r="N242" i="18"/>
  <c r="O242" i="18"/>
  <c r="P242" i="18"/>
  <c r="Q242" i="18"/>
  <c r="K243" i="18"/>
  <c r="L243" i="18"/>
  <c r="M243" i="18"/>
  <c r="N243" i="18"/>
  <c r="O243" i="18"/>
  <c r="P243" i="18"/>
  <c r="Q243" i="18"/>
  <c r="L244" i="18"/>
  <c r="F222" i="7947" s="1"/>
  <c r="M244" i="18"/>
  <c r="N244" i="18"/>
  <c r="O244" i="18"/>
  <c r="P244" i="18"/>
  <c r="Q244" i="18"/>
  <c r="M245" i="18"/>
  <c r="N245" i="18"/>
  <c r="O245" i="18"/>
  <c r="P245" i="18"/>
  <c r="Q245" i="18"/>
  <c r="N246" i="18"/>
  <c r="O246" i="18"/>
  <c r="P246" i="18"/>
  <c r="Q246" i="18"/>
  <c r="O247" i="18"/>
  <c r="P247" i="18"/>
  <c r="Q247" i="18"/>
  <c r="P248" i="18"/>
  <c r="Q248" i="18"/>
  <c r="Q24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G458" i="18"/>
  <c r="G27" i="7941"/>
  <c r="D460" i="18"/>
  <c r="G460" i="18"/>
  <c r="D461" i="18"/>
  <c r="G461" i="18"/>
  <c r="D462" i="18"/>
  <c r="G462" i="18"/>
  <c r="D463" i="18"/>
  <c r="G463" i="18"/>
  <c r="G32" i="7941"/>
  <c r="D464" i="18"/>
  <c r="G464" i="18"/>
  <c r="D465" i="18"/>
  <c r="G465" i="18"/>
  <c r="D466" i="18"/>
  <c r="G466" i="18"/>
  <c r="D467" i="18"/>
  <c r="G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G255"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G237" i="7942"/>
  <c r="C206" i="7942"/>
  <c r="C207" i="7942"/>
  <c r="C208" i="7942"/>
  <c r="C209" i="7942"/>
  <c r="G209" i="7942"/>
  <c r="C210" i="7942"/>
  <c r="C211" i="7942"/>
  <c r="G211" i="7942"/>
  <c r="G243" i="7942"/>
  <c r="C212" i="7942"/>
  <c r="C213" i="7942"/>
  <c r="G213" i="7942"/>
  <c r="G245" i="7942"/>
  <c r="C214" i="7942"/>
  <c r="C215" i="7942"/>
  <c r="C216" i="7942"/>
  <c r="C217" i="7942"/>
  <c r="G217" i="7942"/>
  <c r="G249" i="7942"/>
  <c r="H293" i="7942"/>
  <c r="C218" i="7942"/>
  <c r="C219" i="7942"/>
  <c r="C220" i="7942"/>
  <c r="C221" i="7942"/>
  <c r="C222" i="7942"/>
  <c r="C223" i="7942"/>
  <c r="C224" i="7942"/>
  <c r="C225" i="7942"/>
  <c r="C226" i="7942"/>
  <c r="G226" i="7942"/>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G354" i="7942"/>
  <c r="C356" i="7942"/>
  <c r="G356" i="7942"/>
  <c r="C357" i="7942"/>
  <c r="G357" i="7942"/>
  <c r="C358" i="7942"/>
  <c r="G358" i="7942"/>
  <c r="C359" i="7942"/>
  <c r="G359" i="7942"/>
  <c r="C360" i="7942"/>
  <c r="G360" i="7942"/>
  <c r="C361" i="7942"/>
  <c r="G361" i="7942"/>
  <c r="C362" i="7942"/>
  <c r="G362" i="7942"/>
  <c r="C363" i="7942"/>
  <c r="G363" i="7942"/>
  <c r="C366" i="7942"/>
  <c r="G366" i="7942"/>
  <c r="G470" i="18"/>
  <c r="G39" i="7941" s="1"/>
  <c r="C367" i="7942"/>
  <c r="G367" i="7942"/>
  <c r="G471" i="18"/>
  <c r="C368" i="7942"/>
  <c r="G368" i="7942"/>
  <c r="G472" i="18"/>
  <c r="G41" i="7941" s="1"/>
  <c r="C369" i="7942"/>
  <c r="G369" i="7942"/>
  <c r="G473" i="18"/>
  <c r="C370" i="7942"/>
  <c r="G370" i="7942"/>
  <c r="G474" i="18"/>
  <c r="C371" i="7942"/>
  <c r="G371" i="7942"/>
  <c r="G475" i="18"/>
  <c r="G44" i="7941" s="1"/>
  <c r="C372" i="7942"/>
  <c r="G372" i="7942"/>
  <c r="G476" i="18"/>
  <c r="G45" i="7941"/>
  <c r="C373" i="7942"/>
  <c r="G373" i="7942"/>
  <c r="C374" i="7942"/>
  <c r="G374" i="7942"/>
  <c r="C375" i="7942"/>
  <c r="G375" i="7942"/>
  <c r="G479" i="18"/>
  <c r="G48" i="7941"/>
  <c r="C376" i="7942"/>
  <c r="G376" i="7942"/>
  <c r="G480" i="18"/>
  <c r="G49" i="7941"/>
  <c r="C377" i="7942"/>
  <c r="G377" i="7942"/>
  <c r="G481" i="18"/>
  <c r="C378" i="7942"/>
  <c r="G378" i="7942"/>
  <c r="G482" i="18"/>
  <c r="C379" i="7942"/>
  <c r="G379" i="7942"/>
  <c r="G483" i="18"/>
  <c r="G52" i="7941"/>
  <c r="C380" i="7942"/>
  <c r="G380" i="7942"/>
  <c r="G484" i="18"/>
  <c r="G53" i="7941"/>
  <c r="C381" i="7942"/>
  <c r="G381" i="7942"/>
  <c r="G485" i="18"/>
  <c r="G54" i="7941"/>
  <c r="C382" i="7942"/>
  <c r="G382" i="7942"/>
  <c r="G486" i="18"/>
  <c r="G55" i="7941"/>
  <c r="C383" i="7942"/>
  <c r="G383" i="7942"/>
  <c r="G487" i="18"/>
  <c r="G56" i="7941"/>
  <c r="C384" i="7942"/>
  <c r="G384" i="7942"/>
  <c r="G488" i="18"/>
  <c r="C385" i="7942"/>
  <c r="G385" i="7942"/>
  <c r="G489" i="18"/>
  <c r="C386" i="7942"/>
  <c r="G386" i="7942"/>
  <c r="G490" i="18"/>
  <c r="C387" i="7942"/>
  <c r="G387" i="7942"/>
  <c r="G491" i="18"/>
  <c r="G60" i="7941"/>
  <c r="C388" i="7942"/>
  <c r="G388" i="7942"/>
  <c r="G492" i="18"/>
  <c r="G61" i="7941"/>
  <c r="C389" i="7942"/>
  <c r="G389" i="7942"/>
  <c r="G493" i="18"/>
  <c r="G62" i="7941"/>
  <c r="C390" i="7942"/>
  <c r="G390" i="7942"/>
  <c r="G494" i="18"/>
  <c r="G63" i="7941"/>
  <c r="C391" i="7942"/>
  <c r="G391" i="7942"/>
  <c r="G495" i="18"/>
  <c r="C392" i="7942"/>
  <c r="G392" i="7942"/>
  <c r="G496" i="18"/>
  <c r="G65" i="7941" s="1"/>
  <c r="C393" i="7942"/>
  <c r="G393" i="7942"/>
  <c r="G497" i="18"/>
  <c r="C394" i="7942"/>
  <c r="G394" i="7942"/>
  <c r="G498" i="18"/>
  <c r="G67" i="7941"/>
  <c r="C395" i="7942"/>
  <c r="G395" i="7942"/>
  <c r="G499" i="18"/>
  <c r="C398" i="7942"/>
  <c r="G398" i="7942"/>
  <c r="H334" i="7942"/>
  <c r="C399" i="7942"/>
  <c r="G399" i="7942"/>
  <c r="G503" i="18"/>
  <c r="G72" i="7941"/>
  <c r="C400" i="7942"/>
  <c r="G400" i="7942"/>
  <c r="G504" i="18"/>
  <c r="G73" i="7941"/>
  <c r="C401" i="7942"/>
  <c r="G401" i="7942"/>
  <c r="G505" i="18"/>
  <c r="G74" i="7941"/>
  <c r="C402" i="7942"/>
  <c r="G402" i="7942"/>
  <c r="G506" i="18"/>
  <c r="G75" i="7941"/>
  <c r="C403" i="7942"/>
  <c r="G403" i="7942"/>
  <c r="G507" i="18"/>
  <c r="G76" i="7941"/>
  <c r="C404" i="7942"/>
  <c r="G404" i="7942"/>
  <c r="G508" i="18"/>
  <c r="G77" i="7941"/>
  <c r="C405" i="7942"/>
  <c r="G405" i="7942"/>
  <c r="G509" i="18"/>
  <c r="G78" i="7941"/>
  <c r="C406" i="7942"/>
  <c r="G406" i="7942"/>
  <c r="G510" i="18"/>
  <c r="G79" i="7941"/>
  <c r="C407" i="7942"/>
  <c r="G407" i="7942"/>
  <c r="G511" i="18"/>
  <c r="G80" i="7941"/>
  <c r="C408" i="7942"/>
  <c r="G408" i="7942"/>
  <c r="G512" i="18"/>
  <c r="G81" i="7941"/>
  <c r="C409" i="7942"/>
  <c r="G409" i="7942"/>
  <c r="G513" i="18"/>
  <c r="C410" i="7942"/>
  <c r="G410" i="7942"/>
  <c r="H346" i="7942"/>
  <c r="C411" i="7942"/>
  <c r="G411" i="7942"/>
  <c r="G515" i="18"/>
  <c r="G84" i="7941"/>
  <c r="C412" i="7942"/>
  <c r="G412" i="7942"/>
  <c r="G516" i="18"/>
  <c r="C413" i="7942"/>
  <c r="G413" i="7942"/>
  <c r="G517" i="18"/>
  <c r="C414" i="7942"/>
  <c r="G414" i="7942"/>
  <c r="H350" i="7942"/>
  <c r="C415" i="7942"/>
  <c r="G415" i="7942"/>
  <c r="G519" i="18"/>
  <c r="C416" i="7942"/>
  <c r="G416" i="7942"/>
  <c r="G520" i="18"/>
  <c r="C417" i="7942"/>
  <c r="G417" i="7942"/>
  <c r="G521" i="18"/>
  <c r="C418" i="7942"/>
  <c r="G418" i="7942"/>
  <c r="G522" i="18"/>
  <c r="G91" i="7941"/>
  <c r="C420" i="7942"/>
  <c r="G420" i="7942"/>
  <c r="G524" i="18"/>
  <c r="C421" i="7942"/>
  <c r="G421" i="7942"/>
  <c r="G525" i="18"/>
  <c r="C422" i="7942"/>
  <c r="G422" i="7942"/>
  <c r="G526" i="18"/>
  <c r="C423" i="7942"/>
  <c r="G423" i="7942"/>
  <c r="G527" i="18"/>
  <c r="G96" i="7941"/>
  <c r="C424" i="7942"/>
  <c r="G424" i="7942"/>
  <c r="G528" i="18"/>
  <c r="C425" i="7942"/>
  <c r="G425" i="7942"/>
  <c r="G529" i="18"/>
  <c r="G98" i="7941" s="1"/>
  <c r="C426" i="7942"/>
  <c r="G426" i="7942"/>
  <c r="G530" i="18"/>
  <c r="C427" i="7942"/>
  <c r="G427" i="7942"/>
  <c r="G531" i="18"/>
  <c r="G100" i="7941"/>
  <c r="C430" i="7942"/>
  <c r="G430" i="7942"/>
  <c r="G534" i="18"/>
  <c r="G103" i="7941"/>
  <c r="C431" i="7942"/>
  <c r="G431" i="7942"/>
  <c r="G535" i="18"/>
  <c r="C432" i="7942"/>
  <c r="G432" i="7942"/>
  <c r="G536" i="18"/>
  <c r="C433" i="7942"/>
  <c r="G433" i="7942"/>
  <c r="G537" i="18"/>
  <c r="G106" i="7941" s="1"/>
  <c r="C434" i="7942"/>
  <c r="G434" i="7942"/>
  <c r="G538" i="18"/>
  <c r="C435" i="7942"/>
  <c r="G435" i="7942"/>
  <c r="G539" i="18"/>
  <c r="G108" i="7941" s="1"/>
  <c r="C436" i="7942"/>
  <c r="G436" i="7942"/>
  <c r="G540" i="18"/>
  <c r="C437" i="7942"/>
  <c r="G437" i="7942"/>
  <c r="G541" i="18"/>
  <c r="G110" i="7941" s="1"/>
  <c r="C438" i="7942"/>
  <c r="G438" i="7942"/>
  <c r="G542" i="18"/>
  <c r="C439" i="7942"/>
  <c r="G439" i="7942"/>
  <c r="G543" i="18"/>
  <c r="G112" i="7941" s="1"/>
  <c r="C440" i="7942"/>
  <c r="G440" i="7942"/>
  <c r="G544" i="18"/>
  <c r="C441" i="7942"/>
  <c r="G441" i="7942"/>
  <c r="G545" i="18"/>
  <c r="G114" i="7941" s="1"/>
  <c r="C442" i="7942"/>
  <c r="G442" i="7942"/>
  <c r="G546" i="18"/>
  <c r="G115" i="7941" s="1"/>
  <c r="C443" i="7942"/>
  <c r="G443" i="7942"/>
  <c r="G547" i="18"/>
  <c r="G116" i="7941" s="1"/>
  <c r="C444" i="7942"/>
  <c r="G444" i="7942"/>
  <c r="G548" i="18"/>
  <c r="C445" i="7942"/>
  <c r="G445" i="7942"/>
  <c r="G549" i="18"/>
  <c r="G118" i="7941" s="1"/>
  <c r="C446" i="7942"/>
  <c r="G446" i="7942"/>
  <c r="G550" i="18"/>
  <c r="G119" i="7941" s="1"/>
  <c r="C447" i="7942"/>
  <c r="G447" i="7942"/>
  <c r="G551" i="18"/>
  <c r="G120" i="7941" s="1"/>
  <c r="C448" i="7942"/>
  <c r="G448" i="7942"/>
  <c r="G552" i="18"/>
  <c r="C449" i="7942"/>
  <c r="G449" i="7942"/>
  <c r="G553" i="18"/>
  <c r="G122" i="7941"/>
  <c r="C450" i="7942"/>
  <c r="G450" i="7942"/>
  <c r="G554" i="18"/>
  <c r="G123" i="7941"/>
  <c r="C452" i="7942"/>
  <c r="G452" i="7942"/>
  <c r="G556" i="18"/>
  <c r="G125" i="7941"/>
  <c r="C453" i="7942"/>
  <c r="G453" i="7942"/>
  <c r="G557" i="18"/>
  <c r="G126" i="7941"/>
  <c r="C454" i="7942"/>
  <c r="G454" i="7942"/>
  <c r="G558" i="18"/>
  <c r="G127" i="7941"/>
  <c r="C455" i="7942"/>
  <c r="G455" i="7942"/>
  <c r="G559" i="18"/>
  <c r="G128" i="7941"/>
  <c r="C456" i="7942"/>
  <c r="G456" i="7942"/>
  <c r="G560" i="18"/>
  <c r="G129" i="7941"/>
  <c r="C457" i="7942"/>
  <c r="G457" i="7942"/>
  <c r="G561" i="18"/>
  <c r="G130" i="7941"/>
  <c r="C458" i="7942"/>
  <c r="G458" i="7942"/>
  <c r="G562" i="18"/>
  <c r="G131" i="7941"/>
  <c r="C459" i="7942"/>
  <c r="G459" i="7942"/>
  <c r="G563" i="18"/>
  <c r="G132" i="7941"/>
  <c r="C462" i="7942"/>
  <c r="G462" i="7942"/>
  <c r="G566" i="18"/>
  <c r="G135" i="7941"/>
  <c r="C463" i="7942"/>
  <c r="G463" i="7942"/>
  <c r="G567" i="18"/>
  <c r="G136" i="7941"/>
  <c r="C464" i="7942"/>
  <c r="G464" i="7942"/>
  <c r="G568" i="18"/>
  <c r="G137" i="7941"/>
  <c r="C465" i="7942"/>
  <c r="G465" i="7942"/>
  <c r="G569" i="18"/>
  <c r="G138" i="7941"/>
  <c r="C466" i="7942"/>
  <c r="G466" i="7942"/>
  <c r="G570" i="18"/>
  <c r="C467" i="7942"/>
  <c r="G467" i="7942"/>
  <c r="G571" i="18"/>
  <c r="C468" i="7942"/>
  <c r="G468" i="7942"/>
  <c r="H340" i="7942"/>
  <c r="G572" i="18"/>
  <c r="G141" i="7941"/>
  <c r="C469" i="7942"/>
  <c r="G469" i="7942"/>
  <c r="G573" i="18"/>
  <c r="G142" i="7941"/>
  <c r="C470" i="7942"/>
  <c r="G470" i="7942"/>
  <c r="G574" i="18"/>
  <c r="G143" i="7941"/>
  <c r="C471" i="7942"/>
  <c r="G471" i="7942"/>
  <c r="G575" i="18"/>
  <c r="G144" i="7941"/>
  <c r="C472" i="7942"/>
  <c r="G472" i="7942"/>
  <c r="H344" i="7942"/>
  <c r="G576" i="18"/>
  <c r="G145" i="7941" s="1"/>
  <c r="C473" i="7942"/>
  <c r="G473" i="7942"/>
  <c r="G577" i="18"/>
  <c r="C474" i="7942"/>
  <c r="G474" i="7942"/>
  <c r="G578" i="18"/>
  <c r="C475" i="7942"/>
  <c r="G475" i="7942"/>
  <c r="G579" i="18"/>
  <c r="G148" i="7941"/>
  <c r="C476" i="7942"/>
  <c r="G476" i="7942"/>
  <c r="H348" i="7942"/>
  <c r="G580" i="18"/>
  <c r="G149" i="7941" s="1"/>
  <c r="C477" i="7942"/>
  <c r="G477" i="7942"/>
  <c r="G581" i="18"/>
  <c r="G150" i="7941" s="1"/>
  <c r="C478" i="7942"/>
  <c r="G478" i="7942"/>
  <c r="G582" i="18"/>
  <c r="G151" i="7941" s="1"/>
  <c r="C479" i="7942"/>
  <c r="G479" i="7942"/>
  <c r="G583" i="18"/>
  <c r="G152" i="7941" s="1"/>
  <c r="C480" i="7942"/>
  <c r="G480" i="7942"/>
  <c r="H352" i="7942"/>
  <c r="C481" i="7942"/>
  <c r="G481" i="7942"/>
  <c r="G585" i="18"/>
  <c r="G154" i="7941"/>
  <c r="C482" i="7942"/>
  <c r="G482" i="7942"/>
  <c r="G586" i="18"/>
  <c r="G155" i="7941"/>
  <c r="C484" i="7942"/>
  <c r="G484" i="7942"/>
  <c r="G588" i="18"/>
  <c r="G157" i="7941"/>
  <c r="C485" i="7942"/>
  <c r="G485" i="7942"/>
  <c r="G589" i="18"/>
  <c r="G158" i="7941"/>
  <c r="C486" i="7942"/>
  <c r="G486" i="7942"/>
  <c r="G590" i="18"/>
  <c r="G159" i="7941"/>
  <c r="C487" i="7942"/>
  <c r="G487" i="7942"/>
  <c r="G591" i="18"/>
  <c r="G160" i="7941"/>
  <c r="C488" i="7942"/>
  <c r="G488" i="7942"/>
  <c r="G592" i="18"/>
  <c r="G161" i="7941"/>
  <c r="C489" i="7942"/>
  <c r="G489" i="7942"/>
  <c r="C490" i="7942"/>
  <c r="G490" i="7942"/>
  <c r="G594" i="18"/>
  <c r="C491" i="7942"/>
  <c r="G491" i="7942"/>
  <c r="C494" i="7942"/>
  <c r="G494" i="7942"/>
  <c r="G493" i="7942"/>
  <c r="G598" i="18"/>
  <c r="G167" i="7941"/>
  <c r="C495" i="7942"/>
  <c r="G495" i="7942"/>
  <c r="G599" i="18"/>
  <c r="G168" i="7941"/>
  <c r="C496" i="7942"/>
  <c r="G496" i="7942"/>
  <c r="G600" i="18"/>
  <c r="G169" i="7941"/>
  <c r="C497" i="7942"/>
  <c r="G497" i="7942"/>
  <c r="G601" i="18"/>
  <c r="G170" i="7941"/>
  <c r="C498" i="7942"/>
  <c r="G498" i="7942"/>
  <c r="G602" i="18"/>
  <c r="G171" i="7941"/>
  <c r="C499" i="7942"/>
  <c r="G499" i="7942"/>
  <c r="G603" i="18"/>
  <c r="G172" i="7941"/>
  <c r="C500" i="7942"/>
  <c r="G500" i="7942"/>
  <c r="G604" i="18"/>
  <c r="G173" i="7941"/>
  <c r="C501" i="7942"/>
  <c r="G501" i="7942"/>
  <c r="G605" i="18"/>
  <c r="G174" i="7941"/>
  <c r="C502" i="7942"/>
  <c r="G502" i="7942"/>
  <c r="G606" i="18"/>
  <c r="G175" i="7941"/>
  <c r="C503" i="7942"/>
  <c r="G503" i="7942"/>
  <c r="G607" i="18"/>
  <c r="G176" i="7941"/>
  <c r="C504" i="7942"/>
  <c r="G504" i="7942"/>
  <c r="G608" i="18"/>
  <c r="G177" i="7941"/>
  <c r="C505" i="7942"/>
  <c r="G505" i="7942"/>
  <c r="G609" i="18"/>
  <c r="G178" i="7941"/>
  <c r="C506" i="7942"/>
  <c r="G506" i="7942"/>
  <c r="G610" i="18"/>
  <c r="G179" i="7941"/>
  <c r="C507" i="7942"/>
  <c r="G507" i="7942"/>
  <c r="G611" i="18"/>
  <c r="G180" i="7941"/>
  <c r="C508" i="7942"/>
  <c r="G508" i="7942"/>
  <c r="G612" i="18"/>
  <c r="G181" i="7941"/>
  <c r="C509" i="7942"/>
  <c r="G509" i="7942"/>
  <c r="G613" i="18"/>
  <c r="G182" i="7941"/>
  <c r="C510" i="7942"/>
  <c r="G510" i="7942"/>
  <c r="G614" i="18"/>
  <c r="G183" i="7941"/>
  <c r="C511" i="7942"/>
  <c r="G511" i="7942"/>
  <c r="G615" i="18"/>
  <c r="G184" i="7941"/>
  <c r="C512" i="7942"/>
  <c r="G512" i="7942"/>
  <c r="G616" i="18"/>
  <c r="G185" i="7941"/>
  <c r="C513" i="7942"/>
  <c r="G513" i="7942"/>
  <c r="G617" i="18"/>
  <c r="G186" i="7941"/>
  <c r="C514" i="7942"/>
  <c r="G514" i="7942"/>
  <c r="G618" i="18"/>
  <c r="G187" i="7941"/>
  <c r="C516" i="7942"/>
  <c r="G516" i="7942"/>
  <c r="G620" i="18"/>
  <c r="G189" i="7941"/>
  <c r="C517" i="7942"/>
  <c r="G517" i="7942"/>
  <c r="G621" i="18"/>
  <c r="G190" i="7941"/>
  <c r="C518" i="7942"/>
  <c r="G518" i="7942"/>
  <c r="G622" i="18"/>
  <c r="G191" i="7941"/>
  <c r="C519" i="7942"/>
  <c r="G519" i="7942"/>
  <c r="G623" i="18"/>
  <c r="G192" i="7941"/>
  <c r="C520" i="7942"/>
  <c r="G520" i="7942"/>
  <c r="G624" i="18"/>
  <c r="G193" i="7941"/>
  <c r="C521" i="7942"/>
  <c r="G521" i="7942"/>
  <c r="G625" i="18"/>
  <c r="G194" i="7941"/>
  <c r="C522" i="7942"/>
  <c r="G522" i="7942"/>
  <c r="G626" i="18"/>
  <c r="G195" i="7941"/>
  <c r="C523" i="7942"/>
  <c r="G523" i="7942"/>
  <c r="G627" i="18"/>
  <c r="G196" i="7941"/>
  <c r="F5" i="1"/>
  <c r="M38" i="1"/>
  <c r="O38" i="1"/>
  <c r="P38" i="1"/>
  <c r="Q38" i="1"/>
  <c r="H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M72" i="1"/>
  <c r="N72" i="1"/>
  <c r="O72" i="1"/>
  <c r="P72" i="1"/>
  <c r="Q72" i="1"/>
  <c r="H75" i="1"/>
  <c r="H109"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M106" i="1"/>
  <c r="N106" i="1"/>
  <c r="O106" i="1"/>
  <c r="P106" i="1"/>
  <c r="Q106"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M140" i="1"/>
  <c r="N140" i="1"/>
  <c r="O140" i="1"/>
  <c r="P140" i="1"/>
  <c r="Q140" i="1"/>
  <c r="F142" i="1"/>
  <c r="F144" i="1"/>
  <c r="F145" i="1"/>
  <c r="F146" i="1"/>
  <c r="F147" i="1"/>
  <c r="F148" i="1"/>
  <c r="F149" i="1"/>
  <c r="F150" i="1"/>
  <c r="F151" i="1"/>
  <c r="F152" i="1"/>
  <c r="F153" i="1"/>
  <c r="F154" i="1"/>
  <c r="F155" i="1"/>
  <c r="F156" i="1"/>
  <c r="F157" i="1"/>
  <c r="F158" i="1"/>
  <c r="F159" i="1"/>
  <c r="F160" i="1"/>
  <c r="F161" i="1"/>
  <c r="F162" i="1"/>
  <c r="F163" i="1"/>
  <c r="F164" i="1"/>
  <c r="F165" i="1"/>
  <c r="G165" i="1"/>
  <c r="F166" i="1"/>
  <c r="G166" i="1"/>
  <c r="F167" i="1"/>
  <c r="G167" i="1"/>
  <c r="F168" i="1"/>
  <c r="G168" i="1"/>
  <c r="F169" i="1"/>
  <c r="G169" i="1"/>
  <c r="F170" i="1"/>
  <c r="G170" i="1"/>
  <c r="F171" i="1"/>
  <c r="G171" i="1"/>
  <c r="F172" i="1"/>
  <c r="G172" i="1"/>
  <c r="F173" i="1"/>
  <c r="G173" i="1"/>
  <c r="H6" i="18"/>
  <c r="I6" i="18"/>
  <c r="J6" i="18"/>
  <c r="H181" i="1"/>
  <c r="G184" i="1"/>
  <c r="G185" i="1"/>
  <c r="I183" i="1"/>
  <c r="J183" i="1"/>
  <c r="K183" i="1"/>
  <c r="L183" i="1"/>
  <c r="M183" i="1"/>
  <c r="N183" i="1"/>
  <c r="O183" i="1"/>
  <c r="P183" i="1"/>
  <c r="Q183" i="1"/>
  <c r="M185" i="1"/>
  <c r="M7" i="7942"/>
  <c r="N185" i="1"/>
  <c r="N7" i="7942"/>
  <c r="O185" i="1"/>
  <c r="O7" i="7942"/>
  <c r="P185" i="1"/>
  <c r="P7" i="7942"/>
  <c r="Q185" i="1"/>
  <c r="Q7" i="7942"/>
  <c r="S38" i="1"/>
  <c r="G347" i="7942"/>
  <c r="G451" i="18"/>
  <c r="G20" i="7941"/>
  <c r="G335" i="7942"/>
  <c r="G333" i="7942"/>
  <c r="G439" i="18"/>
  <c r="G8" i="7941"/>
  <c r="G450" i="18"/>
  <c r="G678" i="18"/>
  <c r="G346" i="7942"/>
  <c r="G339" i="7942"/>
  <c r="H339" i="7942"/>
  <c r="G443" i="18"/>
  <c r="G12" i="7941"/>
  <c r="G353" i="7942"/>
  <c r="H353" i="7942"/>
  <c r="G457" i="18"/>
  <c r="G446" i="18"/>
  <c r="G342" i="7942"/>
  <c r="H342" i="7942"/>
  <c r="G442" i="18"/>
  <c r="G11" i="7941"/>
  <c r="G338" i="7942"/>
  <c r="H338" i="7942"/>
  <c r="G337" i="7942"/>
  <c r="G441" i="18"/>
  <c r="G669" i="18"/>
  <c r="G448" i="18"/>
  <c r="G676" i="18"/>
  <c r="G642" i="18" s="1"/>
  <c r="G344" i="7942"/>
  <c r="G454" i="18"/>
  <c r="G23" i="7941"/>
  <c r="G350" i="7942"/>
  <c r="G345" i="7942"/>
  <c r="H345" i="7942"/>
  <c r="G449" i="18"/>
  <c r="G18" i="7941"/>
  <c r="G452" i="18"/>
  <c r="G680" i="18"/>
  <c r="G646" i="18"/>
  <c r="G21" i="7941"/>
  <c r="G348" i="7942"/>
  <c r="G351" i="7942"/>
  <c r="H351" i="7942"/>
  <c r="G455" i="18"/>
  <c r="G24" i="7941"/>
  <c r="G456" i="18"/>
  <c r="G25" i="7941"/>
  <c r="G352" i="7942"/>
  <c r="G343" i="7942"/>
  <c r="H343" i="7942"/>
  <c r="G447" i="18"/>
  <c r="G16" i="7941"/>
  <c r="G440" i="18"/>
  <c r="G9" i="7941"/>
  <c r="G336" i="7942"/>
  <c r="H336" i="7942"/>
  <c r="J38" i="1"/>
  <c r="G438" i="18"/>
  <c r="G666" i="18"/>
  <c r="G334" i="7942"/>
  <c r="G444" i="18"/>
  <c r="G672" i="18"/>
  <c r="G638" i="18"/>
  <c r="G13" i="7941"/>
  <c r="G340" i="7942"/>
  <c r="G341" i="7942"/>
  <c r="H341" i="7942"/>
  <c r="G445" i="18"/>
  <c r="G349" i="7942"/>
  <c r="H349" i="7942"/>
  <c r="G453" i="18"/>
  <c r="G681" i="18"/>
  <c r="K6" i="18"/>
  <c r="G478" i="18"/>
  <c r="G47" i="7941" s="1"/>
  <c r="G477" i="18"/>
  <c r="G46" i="7941" s="1"/>
  <c r="H184" i="1"/>
  <c r="I180" i="1"/>
  <c r="J180" i="1"/>
  <c r="K180" i="1"/>
  <c r="L180" i="1"/>
  <c r="M180" i="1"/>
  <c r="N180" i="1"/>
  <c r="O180" i="1"/>
  <c r="P180" i="1"/>
  <c r="Q180" i="1"/>
  <c r="E149" i="7947"/>
  <c r="E159" i="7947"/>
  <c r="E136" i="7947"/>
  <c r="E122" i="7947"/>
  <c r="E93" i="7947"/>
  <c r="E66" i="7947"/>
  <c r="E75" i="7947"/>
  <c r="E206" i="7947"/>
  <c r="E163" i="7947"/>
  <c r="E65" i="7947"/>
  <c r="E94" i="7947"/>
  <c r="E9" i="7947"/>
  <c r="E121" i="7947"/>
  <c r="E289" i="7947"/>
  <c r="E10" i="7947"/>
  <c r="E276" i="7947"/>
  <c r="E261" i="7947"/>
  <c r="E178" i="7947"/>
  <c r="E291" i="7947"/>
  <c r="E299" i="7947"/>
  <c r="E233" i="7947"/>
  <c r="E275" i="7947"/>
  <c r="E37" i="7947"/>
  <c r="E247" i="7947"/>
  <c r="E257" i="7947"/>
  <c r="E23" i="7947"/>
  <c r="E135" i="7947"/>
  <c r="E220" i="7947"/>
  <c r="E191" i="7947"/>
  <c r="E179" i="7947"/>
  <c r="E79" i="7947"/>
  <c r="E205" i="7947"/>
  <c r="E219" i="7947"/>
  <c r="E177" i="7947"/>
  <c r="E51" i="7947"/>
  <c r="E192" i="7947"/>
  <c r="E108" i="7947"/>
  <c r="E80" i="7947"/>
  <c r="E234" i="7947"/>
  <c r="E24" i="7947"/>
  <c r="E150" i="7947"/>
  <c r="E262" i="7947"/>
  <c r="E107" i="7947"/>
  <c r="E248" i="7947"/>
  <c r="E52" i="7947"/>
  <c r="E277" i="7947"/>
  <c r="E38" i="7947"/>
  <c r="E180" i="7947"/>
  <c r="E106" i="7947"/>
  <c r="E117" i="7947"/>
  <c r="E92" i="7947"/>
  <c r="E162" i="7947"/>
  <c r="E204" i="7947"/>
  <c r="E53" i="7947"/>
  <c r="E235" i="7947"/>
  <c r="E176" i="7947"/>
  <c r="E260" i="7947"/>
  <c r="E120" i="7947"/>
  <c r="E131" i="7947"/>
  <c r="E151" i="7947"/>
  <c r="E290" i="7947"/>
  <c r="E109" i="7947"/>
  <c r="E274" i="7947"/>
  <c r="E285" i="7947"/>
  <c r="E50" i="7947"/>
  <c r="E288" i="7947"/>
  <c r="E8" i="7947"/>
  <c r="E22" i="7947"/>
  <c r="E64" i="7947"/>
  <c r="E36" i="7947"/>
  <c r="E134" i="7947"/>
  <c r="E190" i="7947"/>
  <c r="E201" i="7947"/>
  <c r="E95" i="7947"/>
  <c r="E67" i="7947"/>
  <c r="E246" i="7947"/>
  <c r="E218" i="7947"/>
  <c r="E78" i="7947"/>
  <c r="E232" i="7947"/>
  <c r="E148" i="7947"/>
  <c r="E81" i="7947"/>
  <c r="E164" i="7947"/>
  <c r="E207" i="7947"/>
  <c r="E193" i="7947"/>
  <c r="E137" i="7947"/>
  <c r="E278" i="7947"/>
  <c r="E292" i="7947"/>
  <c r="E293" i="7947"/>
  <c r="E165" i="7947"/>
  <c r="E138" i="7947"/>
  <c r="E110" i="7947"/>
  <c r="E82" i="7947"/>
  <c r="E221" i="7947"/>
  <c r="E123" i="7947"/>
  <c r="E237" i="7947"/>
  <c r="E11" i="7947"/>
  <c r="E166" i="7947"/>
  <c r="E250" i="7947"/>
  <c r="E263" i="7947"/>
  <c r="E222" i="7947"/>
  <c r="E39" i="7947"/>
  <c r="E236" i="7947"/>
  <c r="E249" i="7947"/>
  <c r="E208" i="7947"/>
  <c r="E55" i="7947"/>
  <c r="E181" i="7947"/>
  <c r="E152" i="7947"/>
  <c r="E194" i="7947"/>
  <c r="E68" i="7947"/>
  <c r="E96" i="7947"/>
  <c r="E279" i="7947"/>
  <c r="E54" i="7947"/>
  <c r="E69" i="7947"/>
  <c r="E25" i="7947"/>
  <c r="E195" i="7947"/>
  <c r="E111" i="7947"/>
  <c r="E125" i="7947"/>
  <c r="E40" i="7947"/>
  <c r="E83" i="7947"/>
  <c r="E124" i="7947"/>
  <c r="E41" i="7947"/>
  <c r="E264" i="7947"/>
  <c r="E139" i="7947"/>
  <c r="E251" i="7947"/>
  <c r="E97" i="7947"/>
  <c r="E26" i="7947"/>
  <c r="E167" i="7947"/>
  <c r="E153" i="7947"/>
  <c r="E209" i="7947"/>
  <c r="E223" i="7947"/>
  <c r="E12" i="7947"/>
  <c r="E265" i="7947"/>
  <c r="E27" i="7947"/>
  <c r="E13" i="7947"/>
  <c r="G6" i="18"/>
  <c r="G682" i="18"/>
  <c r="G6" i="7942"/>
  <c r="G162" i="1"/>
  <c r="G158" i="1"/>
  <c r="G163" i="1"/>
  <c r="G159" i="1"/>
  <c r="G156" i="1"/>
  <c r="G56" i="7942"/>
  <c r="G88" i="7942"/>
  <c r="H132" i="7942"/>
  <c r="G152" i="1"/>
  <c r="G148" i="1"/>
  <c r="J72" i="1"/>
  <c r="K48" i="7944"/>
  <c r="H48" i="7944"/>
  <c r="J52" i="7944"/>
  <c r="H55" i="7944"/>
  <c r="J55" i="7944"/>
  <c r="K59" i="7944"/>
  <c r="K43" i="7944"/>
  <c r="H47" i="7944"/>
  <c r="J47" i="7944"/>
  <c r="J40" i="7944"/>
  <c r="J41" i="7944"/>
  <c r="J42" i="7944"/>
  <c r="J43" i="7944"/>
  <c r="J44" i="7944"/>
  <c r="J45" i="7944"/>
  <c r="J46" i="7944"/>
  <c r="J48" i="7944"/>
  <c r="J49" i="7944"/>
  <c r="J50" i="7944"/>
  <c r="J51" i="7944"/>
  <c r="J53" i="7944"/>
  <c r="J54" i="7944"/>
  <c r="J56" i="7944"/>
  <c r="J57" i="7944"/>
  <c r="J58" i="7944"/>
  <c r="J59" i="7944"/>
  <c r="J60" i="7944"/>
  <c r="J39" i="7944"/>
  <c r="K51" i="7944"/>
  <c r="K54" i="7944"/>
  <c r="H54" i="7944"/>
  <c r="G42" i="7944"/>
  <c r="I42" i="7944"/>
  <c r="G50" i="7944"/>
  <c r="I50" i="7944"/>
  <c r="G53" i="7944"/>
  <c r="I57" i="7944"/>
  <c r="K41" i="7944"/>
  <c r="H45" i="7944"/>
  <c r="K49" i="7944"/>
  <c r="K56" i="7944"/>
  <c r="H56" i="7944"/>
  <c r="I106" i="1"/>
  <c r="K106" i="1"/>
  <c r="G150" i="1"/>
  <c r="G161" i="1"/>
  <c r="K140" i="1"/>
  <c r="G40" i="7944"/>
  <c r="G48" i="7944"/>
  <c r="I48" i="7944"/>
  <c r="I55" i="7944"/>
  <c r="G59" i="7944"/>
  <c r="G43" i="7944"/>
  <c r="I47" i="7944"/>
  <c r="G51" i="7944"/>
  <c r="G54" i="7944"/>
  <c r="I54" i="7944"/>
  <c r="K46" i="7944"/>
  <c r="H46" i="7944"/>
  <c r="H53" i="7944"/>
  <c r="K57" i="7944"/>
  <c r="G41" i="7944"/>
  <c r="I45" i="7944"/>
  <c r="G49" i="7944"/>
  <c r="G56" i="7944"/>
  <c r="I56" i="7944"/>
  <c r="G151" i="1"/>
  <c r="J106" i="1"/>
  <c r="G106" i="1"/>
  <c r="G149" i="1"/>
  <c r="G164" i="1"/>
  <c r="G140" i="1"/>
  <c r="K72" i="1"/>
  <c r="K44" i="7944"/>
  <c r="H44" i="7944"/>
  <c r="K52" i="7944"/>
  <c r="H52" i="7944"/>
  <c r="K55" i="7944"/>
  <c r="H59" i="7944"/>
  <c r="H43" i="7944"/>
  <c r="K47" i="7944"/>
  <c r="H51" i="7944"/>
  <c r="K58" i="7944"/>
  <c r="H58" i="7944"/>
  <c r="G46" i="7944"/>
  <c r="I46" i="7944"/>
  <c r="I53" i="7944"/>
  <c r="G57" i="7944"/>
  <c r="H41" i="7944"/>
  <c r="K45" i="7944"/>
  <c r="H49" i="7944"/>
  <c r="K60" i="7944"/>
  <c r="H60" i="7944"/>
  <c r="L106" i="1"/>
  <c r="G146" i="1"/>
  <c r="G46" i="7942"/>
  <c r="G78" i="7942"/>
  <c r="G154" i="1"/>
  <c r="G157" i="1"/>
  <c r="L140" i="1"/>
  <c r="I140" i="1"/>
  <c r="R141" i="1"/>
  <c r="G144" i="1"/>
  <c r="G44" i="7944"/>
  <c r="I44" i="7944"/>
  <c r="G52" i="7944"/>
  <c r="I52" i="7944"/>
  <c r="G55" i="7944"/>
  <c r="I59" i="7944"/>
  <c r="I43" i="7944"/>
  <c r="G47" i="7944"/>
  <c r="I51" i="7944"/>
  <c r="G58" i="7944"/>
  <c r="I58" i="7944"/>
  <c r="K42" i="7944"/>
  <c r="H42" i="7944"/>
  <c r="K50" i="7944"/>
  <c r="H50" i="7944"/>
  <c r="K53" i="7944"/>
  <c r="H57" i="7944"/>
  <c r="I41" i="7944"/>
  <c r="G45" i="7944"/>
  <c r="I49" i="7944"/>
  <c r="I60" i="7944"/>
  <c r="G147" i="1"/>
  <c r="G155" i="1"/>
  <c r="H106" i="1"/>
  <c r="G145" i="1"/>
  <c r="G45" i="7942"/>
  <c r="G77" i="7942"/>
  <c r="G160" i="1"/>
  <c r="G60" i="7942"/>
  <c r="G92" i="7942"/>
  <c r="H140" i="1"/>
  <c r="J140" i="1"/>
  <c r="I40" i="7944"/>
  <c r="I39" i="7944"/>
  <c r="L72" i="1"/>
  <c r="K40" i="7944"/>
  <c r="I72" i="1"/>
  <c r="H40" i="7944"/>
  <c r="H39" i="7944"/>
  <c r="H72" i="1"/>
  <c r="G60" i="7944"/>
  <c r="L390" i="7941"/>
  <c r="L413" i="7941"/>
  <c r="H148" i="1"/>
  <c r="H168" i="1"/>
  <c r="H147" i="1"/>
  <c r="H162" i="1"/>
  <c r="H165" i="1"/>
  <c r="H33" i="18"/>
  <c r="H491" i="18"/>
  <c r="H60" i="7941" s="1"/>
  <c r="H170" i="1"/>
  <c r="H149" i="1"/>
  <c r="H157" i="1"/>
  <c r="H25" i="18"/>
  <c r="H154" i="1"/>
  <c r="H22" i="18"/>
  <c r="H480" i="18"/>
  <c r="H49" i="7941" s="1"/>
  <c r="H152" i="1"/>
  <c r="I179" i="1"/>
  <c r="I162" i="1"/>
  <c r="H159" i="1"/>
  <c r="H27" i="18"/>
  <c r="H485" i="18"/>
  <c r="H54" i="7941"/>
  <c r="H145" i="1"/>
  <c r="H7" i="18"/>
  <c r="H144" i="1"/>
  <c r="H174" i="1"/>
  <c r="H175" i="1"/>
  <c r="H150" i="1"/>
  <c r="H18" i="18"/>
  <c r="H476" i="18"/>
  <c r="H45" i="7941" s="1"/>
  <c r="H166" i="1"/>
  <c r="H156" i="1"/>
  <c r="H163" i="1"/>
  <c r="H31" i="18"/>
  <c r="H489" i="18"/>
  <c r="H58" i="7941" s="1"/>
  <c r="H172" i="1"/>
  <c r="H146" i="1"/>
  <c r="H158" i="1"/>
  <c r="H151" i="1"/>
  <c r="H155" i="1"/>
  <c r="H167" i="1"/>
  <c r="H173" i="1"/>
  <c r="H171" i="1"/>
  <c r="H160" i="1"/>
  <c r="H28" i="18"/>
  <c r="H486" i="18"/>
  <c r="H55" i="7941" s="1"/>
  <c r="H153" i="1"/>
  <c r="H161" i="1"/>
  <c r="H169" i="1"/>
  <c r="H164" i="1"/>
  <c r="H32" i="18"/>
  <c r="H490" i="18"/>
  <c r="H59" i="7941"/>
  <c r="G69" i="7942"/>
  <c r="G101" i="7942"/>
  <c r="I163" i="1"/>
  <c r="E103" i="7947"/>
  <c r="C419" i="7942"/>
  <c r="C451" i="7942"/>
  <c r="G525" i="7942"/>
  <c r="I167" i="1"/>
  <c r="G70" i="7942"/>
  <c r="G68" i="7942"/>
  <c r="G66" i="7942"/>
  <c r="G11" i="7942"/>
  <c r="G52" i="7942"/>
  <c r="G84" i="7942"/>
  <c r="I146" i="1"/>
  <c r="G671" i="18"/>
  <c r="G637" i="18"/>
  <c r="G683" i="18"/>
  <c r="G365" i="7942"/>
  <c r="G670" i="18"/>
  <c r="G44" i="7942"/>
  <c r="G76" i="7942"/>
  <c r="H108" i="7942"/>
  <c r="G50" i="7942"/>
  <c r="G82" i="7942"/>
  <c r="G677" i="18"/>
  <c r="G667" i="18"/>
  <c r="G266" i="7942"/>
  <c r="G265" i="7942"/>
  <c r="G264" i="7942"/>
  <c r="G263" i="7942"/>
  <c r="H321" i="7942" s="1"/>
  <c r="G262" i="7942"/>
  <c r="H319" i="7942"/>
  <c r="I319" i="7942" s="1"/>
  <c r="G261" i="7942"/>
  <c r="G260" i="7942"/>
  <c r="G259" i="7942"/>
  <c r="G258" i="7942"/>
  <c r="G239" i="7942"/>
  <c r="G172" i="7942"/>
  <c r="R38" i="1"/>
  <c r="G251" i="7942"/>
  <c r="H297" i="7942"/>
  <c r="G241" i="7942"/>
  <c r="G668" i="18"/>
  <c r="I156" i="1"/>
  <c r="I184" i="1"/>
  <c r="H185" i="1"/>
  <c r="G14" i="7941"/>
  <c r="G673" i="18"/>
  <c r="G595" i="18"/>
  <c r="G164" i="7941" s="1"/>
  <c r="H363" i="7942"/>
  <c r="G593" i="18"/>
  <c r="G162" i="7941"/>
  <c r="H361" i="7942"/>
  <c r="G34" i="7941"/>
  <c r="G693" i="18"/>
  <c r="G437" i="18"/>
  <c r="G26" i="7941"/>
  <c r="G685" i="18"/>
  <c r="G41" i="1"/>
  <c r="I41" i="1"/>
  <c r="G679" i="18"/>
  <c r="G247" i="7942"/>
  <c r="H289" i="7942" s="1"/>
  <c r="G242" i="7942"/>
  <c r="G240" i="7942"/>
  <c r="H35" i="18"/>
  <c r="H34" i="18"/>
  <c r="I152" i="1"/>
  <c r="I20" i="18"/>
  <c r="I478" i="18"/>
  <c r="I47" i="7941" s="1"/>
  <c r="I154" i="1"/>
  <c r="I161" i="1"/>
  <c r="I173" i="1"/>
  <c r="I171" i="1"/>
  <c r="I149" i="1"/>
  <c r="I165" i="1"/>
  <c r="I144" i="1"/>
  <c r="I170" i="1"/>
  <c r="J179" i="1"/>
  <c r="I147" i="1"/>
  <c r="I169" i="1"/>
  <c r="G102" i="7942"/>
  <c r="H160" i="7942" s="1"/>
  <c r="G100" i="7942"/>
  <c r="G98" i="7942"/>
  <c r="G22" i="7941"/>
  <c r="G36" i="7941"/>
  <c r="G695" i="18"/>
  <c r="G661" i="18" s="1"/>
  <c r="G35" i="7941"/>
  <c r="G694" i="18"/>
  <c r="G33" i="7941"/>
  <c r="G692" i="18"/>
  <c r="G658" i="18" s="1"/>
  <c r="G31" i="7941"/>
  <c r="G690" i="18"/>
  <c r="G30" i="7941"/>
  <c r="G689" i="18"/>
  <c r="G29" i="7941"/>
  <c r="G688" i="18"/>
  <c r="G654" i="18"/>
  <c r="G28" i="7941"/>
  <c r="G687" i="18"/>
  <c r="G65" i="7942"/>
  <c r="G97" i="7942"/>
  <c r="G73" i="7942"/>
  <c r="G105" i="7942"/>
  <c r="H166" i="7942"/>
  <c r="G72" i="7942"/>
  <c r="G104" i="7942"/>
  <c r="H164" i="7942"/>
  <c r="G71" i="7942"/>
  <c r="G103" i="7942"/>
  <c r="G67" i="7942"/>
  <c r="G99" i="7942"/>
  <c r="H154" i="7942"/>
  <c r="I154" i="7942" s="1"/>
  <c r="G47" i="7942"/>
  <c r="G79" i="7942"/>
  <c r="G57" i="7942"/>
  <c r="G89" i="7942"/>
  <c r="G64" i="7942"/>
  <c r="G96" i="7942"/>
  <c r="H148" i="7942"/>
  <c r="G51" i="7942"/>
  <c r="G83" i="7942"/>
  <c r="G48" i="7942"/>
  <c r="G80" i="7942"/>
  <c r="G59" i="7942"/>
  <c r="G91" i="7942"/>
  <c r="H138" i="7942"/>
  <c r="G58" i="7942"/>
  <c r="G90" i="7942"/>
  <c r="H136" i="7942" s="1"/>
  <c r="I136" i="7942"/>
  <c r="H7" i="7942"/>
  <c r="H323" i="7942"/>
  <c r="H40" i="18"/>
  <c r="H498" i="18"/>
  <c r="H67" i="7941" s="1"/>
  <c r="E33" i="7947"/>
  <c r="G7" i="7941"/>
  <c r="G15" i="7941"/>
  <c r="G674" i="18"/>
  <c r="G19" i="7941"/>
  <c r="H4" i="7944"/>
  <c r="I4" i="7942"/>
  <c r="J41" i="1"/>
  <c r="I177" i="1"/>
  <c r="F4" i="7944"/>
  <c r="G4" i="7942"/>
  <c r="F4" i="7942"/>
  <c r="F4" i="18" s="1"/>
  <c r="G143" i="1"/>
  <c r="G429" i="7942"/>
  <c r="G502" i="18"/>
  <c r="H360" i="7942"/>
  <c r="H359" i="7942"/>
  <c r="H358" i="7942"/>
  <c r="H357" i="7942"/>
  <c r="H24" i="18"/>
  <c r="H482" i="18"/>
  <c r="H51" i="7941" s="1"/>
  <c r="G55" i="7942"/>
  <c r="G87" i="7942"/>
  <c r="G54" i="7942"/>
  <c r="G86" i="7942"/>
  <c r="G49" i="7942"/>
  <c r="G81" i="7942"/>
  <c r="G61" i="7942"/>
  <c r="G93" i="7942"/>
  <c r="G63" i="7942"/>
  <c r="G95" i="7942"/>
  <c r="H146" i="7942"/>
  <c r="G62" i="7942"/>
  <c r="G94" i="7942"/>
  <c r="E271" i="7947"/>
  <c r="I181" i="1"/>
  <c r="J181" i="1"/>
  <c r="K181" i="1"/>
  <c r="L181" i="1"/>
  <c r="M181" i="1"/>
  <c r="N181" i="1"/>
  <c r="O181" i="1"/>
  <c r="P181" i="1"/>
  <c r="Q181" i="1"/>
  <c r="G4" i="7944"/>
  <c r="H4" i="7941"/>
  <c r="H4" i="18"/>
  <c r="H4" i="7942"/>
  <c r="O39" i="7944"/>
  <c r="G691" i="18"/>
  <c r="G657" i="18" s="1"/>
  <c r="G684" i="18"/>
  <c r="H362" i="7942"/>
  <c r="G244" i="7942"/>
  <c r="G675" i="18"/>
  <c r="H356" i="7942"/>
  <c r="G163" i="7941"/>
  <c r="G59" i="7941"/>
  <c r="G93" i="7941"/>
  <c r="H460" i="18"/>
  <c r="H688" i="18" s="1"/>
  <c r="G50" i="7941"/>
  <c r="G104" i="7941"/>
  <c r="H463" i="18"/>
  <c r="H691" i="18" s="1"/>
  <c r="G64" i="7941"/>
  <c r="G659" i="18"/>
  <c r="J184" i="1"/>
  <c r="I185" i="1"/>
  <c r="H156" i="7942"/>
  <c r="H17" i="18"/>
  <c r="H15" i="18"/>
  <c r="H473" i="18"/>
  <c r="H42" i="7941" s="1"/>
  <c r="H13" i="18"/>
  <c r="H20" i="18"/>
  <c r="H478" i="18"/>
  <c r="H47" i="7941" s="1"/>
  <c r="G89" i="7941"/>
  <c r="G85" i="7941"/>
  <c r="G43" i="7941"/>
  <c r="G57" i="7941"/>
  <c r="H14" i="18"/>
  <c r="H472" i="18"/>
  <c r="H41" i="7941" s="1"/>
  <c r="G75" i="1"/>
  <c r="G109" i="1"/>
  <c r="G4" i="18"/>
  <c r="H36" i="18"/>
  <c r="H494" i="18"/>
  <c r="H63" i="7941" s="1"/>
  <c r="H38" i="18"/>
  <c r="H496" i="18"/>
  <c r="H65" i="7941"/>
  <c r="H41" i="18"/>
  <c r="H499" i="18"/>
  <c r="H68" i="7941" s="1"/>
  <c r="H21" i="18"/>
  <c r="H479" i="18"/>
  <c r="H48" i="7941"/>
  <c r="H19" i="18"/>
  <c r="H477" i="18"/>
  <c r="H46" i="7941" s="1"/>
  <c r="I4" i="7944"/>
  <c r="J4" i="7941"/>
  <c r="J4" i="18"/>
  <c r="J4" i="7942"/>
  <c r="J75" i="1"/>
  <c r="J109" i="1"/>
  <c r="K41" i="1"/>
  <c r="J143" i="1"/>
  <c r="J177" i="1"/>
  <c r="I321" i="7942"/>
  <c r="J156" i="1"/>
  <c r="J24" i="18"/>
  <c r="J482" i="18"/>
  <c r="J51" i="7941" s="1"/>
  <c r="J152" i="1"/>
  <c r="J146" i="1"/>
  <c r="J172" i="1"/>
  <c r="J154" i="1"/>
  <c r="J170" i="1"/>
  <c r="J171" i="1"/>
  <c r="J159" i="1"/>
  <c r="J167" i="1"/>
  <c r="K179" i="1"/>
  <c r="J7" i="18"/>
  <c r="J165" i="1"/>
  <c r="J169" i="1"/>
  <c r="J153" i="1"/>
  <c r="J168" i="1"/>
  <c r="J151" i="1"/>
  <c r="J19" i="18"/>
  <c r="J477" i="18"/>
  <c r="J46" i="7941" s="1"/>
  <c r="J150" i="1"/>
  <c r="J148" i="1"/>
  <c r="J162" i="1"/>
  <c r="J30" i="18"/>
  <c r="J488" i="18"/>
  <c r="J57" i="7941" s="1"/>
  <c r="J147" i="1"/>
  <c r="J15" i="18"/>
  <c r="J473" i="18"/>
  <c r="J42" i="7941" s="1"/>
  <c r="J166" i="1"/>
  <c r="J161" i="1"/>
  <c r="J158" i="1"/>
  <c r="J26" i="18"/>
  <c r="J484" i="18"/>
  <c r="J53" i="7941" s="1"/>
  <c r="J164" i="1"/>
  <c r="J32" i="18"/>
  <c r="J490" i="18"/>
  <c r="J59" i="7941" s="1"/>
  <c r="J157" i="1"/>
  <c r="J163" i="1"/>
  <c r="J144" i="1"/>
  <c r="J12" i="18"/>
  <c r="J173" i="1"/>
  <c r="J145" i="1"/>
  <c r="J149" i="1"/>
  <c r="J160" i="1"/>
  <c r="J155" i="1"/>
  <c r="J23" i="18"/>
  <c r="J481" i="18"/>
  <c r="J50" i="7941" s="1"/>
  <c r="J185" i="1"/>
  <c r="K184" i="1"/>
  <c r="I7" i="7942"/>
  <c r="I35" i="18"/>
  <c r="I33" i="18"/>
  <c r="I30" i="18"/>
  <c r="I488" i="18"/>
  <c r="I57" i="7941"/>
  <c r="I17" i="18"/>
  <c r="I475" i="18"/>
  <c r="I44" i="7941" s="1"/>
  <c r="I15" i="18"/>
  <c r="I38" i="18"/>
  <c r="I41" i="18"/>
  <c r="I14" i="18"/>
  <c r="I37" i="18"/>
  <c r="I12" i="18"/>
  <c r="I39" i="18"/>
  <c r="I22" i="18"/>
  <c r="H475" i="18"/>
  <c r="H44" i="7941" s="1"/>
  <c r="H471" i="18"/>
  <c r="H40" i="7941" s="1"/>
  <c r="K147" i="1"/>
  <c r="K162" i="1"/>
  <c r="K30" i="18"/>
  <c r="K172" i="1"/>
  <c r="K159" i="1"/>
  <c r="K160" i="1"/>
  <c r="K168" i="1"/>
  <c r="K173" i="1"/>
  <c r="K7" i="18"/>
  <c r="K150" i="1"/>
  <c r="K18" i="18"/>
  <c r="K476" i="18"/>
  <c r="K45" i="7941"/>
  <c r="K169" i="1"/>
  <c r="K164" i="1"/>
  <c r="K163" i="1"/>
  <c r="K154" i="1"/>
  <c r="K152" i="1"/>
  <c r="K20" i="18"/>
  <c r="K478" i="18"/>
  <c r="K47" i="7941"/>
  <c r="K156" i="1"/>
  <c r="K151" i="1"/>
  <c r="K171" i="1"/>
  <c r="K158" i="1"/>
  <c r="K26" i="18"/>
  <c r="K484" i="18"/>
  <c r="K53" i="7941" s="1"/>
  <c r="K146" i="1"/>
  <c r="K155" i="1"/>
  <c r="K148" i="1"/>
  <c r="K161" i="1"/>
  <c r="K165" i="1"/>
  <c r="K145" i="1"/>
  <c r="K13" i="18"/>
  <c r="L179" i="1"/>
  <c r="K157" i="1"/>
  <c r="K25" i="18"/>
  <c r="K483" i="18"/>
  <c r="K52" i="7941" s="1"/>
  <c r="K149" i="1"/>
  <c r="K17" i="18"/>
  <c r="K475" i="18"/>
  <c r="K44" i="7941" s="1"/>
  <c r="K144" i="1"/>
  <c r="K12" i="18"/>
  <c r="K167" i="1"/>
  <c r="K166" i="1"/>
  <c r="K153" i="1"/>
  <c r="K21" i="18"/>
  <c r="K479" i="18"/>
  <c r="K48" i="7941" s="1"/>
  <c r="K170" i="1"/>
  <c r="J4" i="7944"/>
  <c r="K4" i="7941"/>
  <c r="K4" i="7942"/>
  <c r="L41" i="1"/>
  <c r="K75" i="1"/>
  <c r="K109" i="1"/>
  <c r="K143" i="1"/>
  <c r="K177" i="1"/>
  <c r="K4" i="18"/>
  <c r="I160" i="7942"/>
  <c r="J7" i="7942"/>
  <c r="J21" i="18"/>
  <c r="J33" i="18"/>
  <c r="J491" i="18"/>
  <c r="J60" i="7941"/>
  <c r="J38" i="18"/>
  <c r="J496" i="18"/>
  <c r="J65" i="7941" s="1"/>
  <c r="J40" i="18"/>
  <c r="J498" i="18"/>
  <c r="J67" i="7941"/>
  <c r="J28" i="18"/>
  <c r="J486" i="18"/>
  <c r="J55" i="7941" s="1"/>
  <c r="J20" i="18"/>
  <c r="J35" i="18"/>
  <c r="J493" i="18"/>
  <c r="J62" i="7941" s="1"/>
  <c r="J39" i="18"/>
  <c r="J497" i="18"/>
  <c r="J66" i="7941"/>
  <c r="J41" i="18"/>
  <c r="J499" i="18"/>
  <c r="J68" i="7941" s="1"/>
  <c r="J31" i="18"/>
  <c r="J489" i="18"/>
  <c r="J58" i="7941"/>
  <c r="J34" i="18"/>
  <c r="J492" i="18"/>
  <c r="J61" i="7941" s="1"/>
  <c r="J16" i="18"/>
  <c r="J474" i="18"/>
  <c r="J43" i="7941"/>
  <c r="J18" i="18"/>
  <c r="J476" i="18"/>
  <c r="J45" i="7941" s="1"/>
  <c r="J36" i="18"/>
  <c r="J494" i="18"/>
  <c r="J63" i="7941"/>
  <c r="J37" i="18"/>
  <c r="J495" i="18"/>
  <c r="J64" i="7941" s="1"/>
  <c r="J17" i="18"/>
  <c r="J475" i="18"/>
  <c r="J44" i="7941"/>
  <c r="J27" i="18"/>
  <c r="J25" i="18"/>
  <c r="J29" i="18"/>
  <c r="J487" i="18"/>
  <c r="J56" i="7941" s="1"/>
  <c r="J13" i="18"/>
  <c r="J471" i="18"/>
  <c r="J40" i="7941"/>
  <c r="L184" i="1"/>
  <c r="K185" i="1"/>
  <c r="K4" i="7944"/>
  <c r="L4" i="7941"/>
  <c r="L4" i="18"/>
  <c r="L4" i="7942"/>
  <c r="M41" i="1"/>
  <c r="L143" i="1"/>
  <c r="L177" i="1"/>
  <c r="L75" i="1"/>
  <c r="L109" i="1"/>
  <c r="L173" i="1"/>
  <c r="L167" i="1"/>
  <c r="L159" i="1"/>
  <c r="L27" i="18"/>
  <c r="F223" i="7947"/>
  <c r="L145" i="1"/>
  <c r="L13" i="18"/>
  <c r="L146" i="1"/>
  <c r="L153" i="1"/>
  <c r="L162" i="1"/>
  <c r="L30" i="18"/>
  <c r="L156" i="1"/>
  <c r="L24" i="18"/>
  <c r="L160" i="1"/>
  <c r="L28" i="18"/>
  <c r="L164" i="1"/>
  <c r="L32" i="18"/>
  <c r="L170" i="1"/>
  <c r="L147" i="1"/>
  <c r="L168" i="1"/>
  <c r="L163" i="1"/>
  <c r="L7" i="18"/>
  <c r="L149" i="1"/>
  <c r="L172" i="1"/>
  <c r="L154" i="1"/>
  <c r="L22" i="18"/>
  <c r="L161" i="1"/>
  <c r="L29" i="18"/>
  <c r="L152" i="1"/>
  <c r="L171" i="1"/>
  <c r="L169" i="1"/>
  <c r="L158" i="1"/>
  <c r="L157" i="1"/>
  <c r="L165" i="1"/>
  <c r="L144" i="1"/>
  <c r="L12" i="18"/>
  <c r="L166" i="1"/>
  <c r="M179" i="1"/>
  <c r="L151" i="1"/>
  <c r="L19" i="18"/>
  <c r="F111" i="7947"/>
  <c r="G111" i="7947" s="1"/>
  <c r="L150" i="1"/>
  <c r="L155" i="1"/>
  <c r="L23" i="18"/>
  <c r="L481" i="18"/>
  <c r="L50" i="7941" s="1"/>
  <c r="L148" i="1"/>
  <c r="K7" i="7942"/>
  <c r="K38" i="18"/>
  <c r="K496" i="18"/>
  <c r="K65" i="7941"/>
  <c r="K35" i="18"/>
  <c r="K493" i="18"/>
  <c r="K62" i="7941" s="1"/>
  <c r="K22" i="18"/>
  <c r="K32" i="18"/>
  <c r="K490" i="18"/>
  <c r="K59" i="7941" s="1"/>
  <c r="K40" i="18"/>
  <c r="K498" i="18"/>
  <c r="K67" i="7941"/>
  <c r="K15" i="18"/>
  <c r="K473" i="18"/>
  <c r="K42" i="7941" s="1"/>
  <c r="K34" i="18"/>
  <c r="K492" i="18"/>
  <c r="K61" i="7941"/>
  <c r="K39" i="18"/>
  <c r="K497" i="18"/>
  <c r="K66" i="7941" s="1"/>
  <c r="K37" i="18"/>
  <c r="K495" i="18"/>
  <c r="K64" i="7941"/>
  <c r="K36" i="18"/>
  <c r="K494" i="18"/>
  <c r="K63" i="7941" s="1"/>
  <c r="K24" i="18"/>
  <c r="K41" i="18"/>
  <c r="K499" i="18"/>
  <c r="K68" i="7941" s="1"/>
  <c r="K28" i="18"/>
  <c r="K33" i="18"/>
  <c r="K491" i="18"/>
  <c r="K60" i="7941" s="1"/>
  <c r="K14" i="18"/>
  <c r="K16" i="18"/>
  <c r="K474" i="18"/>
  <c r="K43" i="7941" s="1"/>
  <c r="K29" i="18"/>
  <c r="K487" i="18"/>
  <c r="K56" i="7941"/>
  <c r="K27" i="18"/>
  <c r="J483" i="18"/>
  <c r="J52" i="7941" s="1"/>
  <c r="J485" i="18"/>
  <c r="J54" i="7941" s="1"/>
  <c r="J478" i="18"/>
  <c r="J47" i="7941" s="1"/>
  <c r="J479" i="18"/>
  <c r="J48" i="7941" s="1"/>
  <c r="L185" i="1"/>
  <c r="M184" i="1"/>
  <c r="N184" i="1"/>
  <c r="O184" i="1"/>
  <c r="P184" i="1"/>
  <c r="Q184" i="1"/>
  <c r="M7" i="18"/>
  <c r="M164" i="1"/>
  <c r="M32" i="18"/>
  <c r="M173" i="1"/>
  <c r="M41" i="18"/>
  <c r="M499" i="18"/>
  <c r="M68" i="7941"/>
  <c r="M148" i="1"/>
  <c r="M16" i="18"/>
  <c r="M166" i="1"/>
  <c r="M34" i="18"/>
  <c r="M492" i="18"/>
  <c r="M61" i="7941"/>
  <c r="M170" i="1"/>
  <c r="M38" i="18"/>
  <c r="M144" i="1"/>
  <c r="M152" i="1"/>
  <c r="M20" i="18"/>
  <c r="M165" i="1"/>
  <c r="M33" i="18"/>
  <c r="M491" i="18"/>
  <c r="M60" i="7941" s="1"/>
  <c r="M153" i="1"/>
  <c r="M21" i="18"/>
  <c r="M167" i="1"/>
  <c r="M35" i="18"/>
  <c r="M493" i="18"/>
  <c r="M62" i="7941" s="1"/>
  <c r="M161" i="1"/>
  <c r="M29" i="18"/>
  <c r="M163" i="1"/>
  <c r="M31" i="18"/>
  <c r="M158" i="1"/>
  <c r="M26" i="18"/>
  <c r="N179" i="1"/>
  <c r="M149" i="1"/>
  <c r="M17" i="18"/>
  <c r="M159" i="1"/>
  <c r="M27" i="18"/>
  <c r="M169" i="1"/>
  <c r="M37" i="18"/>
  <c r="M157" i="1"/>
  <c r="M25" i="18"/>
  <c r="M172" i="1"/>
  <c r="M40" i="18"/>
  <c r="M160" i="1"/>
  <c r="M28" i="18"/>
  <c r="M145" i="1"/>
  <c r="M13" i="18"/>
  <c r="M151" i="1"/>
  <c r="M19" i="18"/>
  <c r="M155" i="1"/>
  <c r="M23" i="18"/>
  <c r="M168" i="1"/>
  <c r="M36" i="18"/>
  <c r="M494" i="18"/>
  <c r="M63" i="7941"/>
  <c r="M162" i="1"/>
  <c r="M30" i="18"/>
  <c r="M156" i="1"/>
  <c r="M24" i="18"/>
  <c r="M171" i="1"/>
  <c r="M39" i="18"/>
  <c r="M497" i="18"/>
  <c r="M66" i="7941"/>
  <c r="M150" i="1"/>
  <c r="M18" i="18"/>
  <c r="M146" i="1"/>
  <c r="M14" i="18"/>
  <c r="M147" i="1"/>
  <c r="M15" i="18"/>
  <c r="M154" i="1"/>
  <c r="M22" i="18"/>
  <c r="L4" i="7944"/>
  <c r="M4" i="7941"/>
  <c r="M4" i="7942"/>
  <c r="M4" i="18"/>
  <c r="N41" i="1"/>
  <c r="N4" i="7941"/>
  <c r="M75" i="1"/>
  <c r="M109" i="1"/>
  <c r="M143" i="1"/>
  <c r="M177" i="1"/>
  <c r="K472" i="18"/>
  <c r="K41" i="7941"/>
  <c r="K482" i="18"/>
  <c r="K51" i="7941"/>
  <c r="K480" i="18"/>
  <c r="K49" i="7941"/>
  <c r="L7" i="7942"/>
  <c r="L18" i="18"/>
  <c r="L476" i="18"/>
  <c r="L45" i="7941"/>
  <c r="L37" i="18"/>
  <c r="L495" i="18"/>
  <c r="L64" i="7941" s="1"/>
  <c r="L36" i="18"/>
  <c r="L494" i="18"/>
  <c r="L63" i="7941"/>
  <c r="L16" i="18"/>
  <c r="L474" i="18"/>
  <c r="L43" i="7941" s="1"/>
  <c r="L34" i="18"/>
  <c r="L492" i="18"/>
  <c r="L61" i="7941"/>
  <c r="L33" i="18"/>
  <c r="L491" i="18"/>
  <c r="L60" i="7941" s="1"/>
  <c r="L39" i="18"/>
  <c r="L497" i="18"/>
  <c r="L66" i="7941"/>
  <c r="L20" i="18"/>
  <c r="F125" i="7947"/>
  <c r="G125" i="7947" s="1"/>
  <c r="L478" i="18"/>
  <c r="L47" i="7941"/>
  <c r="L40" i="18"/>
  <c r="L498" i="18"/>
  <c r="L67" i="7941" s="1"/>
  <c r="L31" i="18"/>
  <c r="L15" i="18"/>
  <c r="F55" i="7947"/>
  <c r="G55" i="7947" s="1"/>
  <c r="L21" i="18"/>
  <c r="L35" i="18"/>
  <c r="L493" i="18"/>
  <c r="L62" i="7941"/>
  <c r="L38" i="18"/>
  <c r="L496" i="18"/>
  <c r="L65" i="7941" s="1"/>
  <c r="L41" i="18"/>
  <c r="L499" i="18"/>
  <c r="L68" i="7941"/>
  <c r="L25" i="18"/>
  <c r="L483" i="18"/>
  <c r="L52" i="7941" s="1"/>
  <c r="L17" i="18"/>
  <c r="L475" i="18"/>
  <c r="L44" i="7941"/>
  <c r="K485" i="18"/>
  <c r="K54" i="7941"/>
  <c r="K486" i="18"/>
  <c r="K55" i="7941"/>
  <c r="K471" i="18"/>
  <c r="K40" i="7941"/>
  <c r="M498" i="18"/>
  <c r="M67" i="7941"/>
  <c r="M4" i="7944"/>
  <c r="N4" i="18"/>
  <c r="N4" i="7942"/>
  <c r="N143" i="1"/>
  <c r="F154" i="7947"/>
  <c r="G154" i="7947" s="1"/>
  <c r="M480" i="18"/>
  <c r="M49" i="7941" s="1"/>
  <c r="F42" i="7947"/>
  <c r="G42" i="7947" s="1"/>
  <c r="M472" i="18"/>
  <c r="M41" i="7941"/>
  <c r="F266" i="7947"/>
  <c r="G266" i="7947" s="1"/>
  <c r="M488" i="18"/>
  <c r="M57" i="7941" s="1"/>
  <c r="M481" i="18"/>
  <c r="M50" i="7941" s="1"/>
  <c r="F168" i="7947"/>
  <c r="G168" i="7947" s="1"/>
  <c r="F28" i="7947"/>
  <c r="G28" i="7947" s="1"/>
  <c r="M471" i="18"/>
  <c r="M40" i="7941" s="1"/>
  <c r="M495" i="18"/>
  <c r="M64" i="7941" s="1"/>
  <c r="F84" i="7947"/>
  <c r="G84" i="7947" s="1"/>
  <c r="M475" i="18"/>
  <c r="M44" i="7941"/>
  <c r="M496" i="18"/>
  <c r="M65" i="7941"/>
  <c r="F70" i="7947"/>
  <c r="G70" i="7947" s="1"/>
  <c r="M474" i="18"/>
  <c r="M43" i="7941" s="1"/>
  <c r="F294" i="7947"/>
  <c r="G294" i="7947" s="1"/>
  <c r="M490" i="18"/>
  <c r="M59" i="7941"/>
  <c r="F56" i="7947"/>
  <c r="G56" i="7947" s="1"/>
  <c r="M473" i="18"/>
  <c r="M42" i="7941" s="1"/>
  <c r="F98" i="7947"/>
  <c r="G98" i="7947" s="1"/>
  <c r="M476" i="18"/>
  <c r="M45" i="7941"/>
  <c r="F182" i="7947"/>
  <c r="M482" i="18"/>
  <c r="M51" i="7941" s="1"/>
  <c r="F112" i="7947"/>
  <c r="G112" i="7947" s="1"/>
  <c r="M477" i="18"/>
  <c r="M46" i="7941"/>
  <c r="M486" i="18"/>
  <c r="F238" i="7947"/>
  <c r="G238" i="7947" s="1"/>
  <c r="F196" i="7947"/>
  <c r="M483" i="18"/>
  <c r="M52" i="7941" s="1"/>
  <c r="F224" i="7947"/>
  <c r="M485" i="18"/>
  <c r="M54" i="7941"/>
  <c r="N148" i="1"/>
  <c r="N16" i="18"/>
  <c r="F71" i="7947"/>
  <c r="G71" i="7947" s="1"/>
  <c r="N7" i="18"/>
  <c r="N170" i="1"/>
  <c r="N38" i="18"/>
  <c r="N496" i="18"/>
  <c r="N65" i="7941"/>
  <c r="N152" i="1"/>
  <c r="N20" i="18"/>
  <c r="N173" i="1"/>
  <c r="N41" i="18"/>
  <c r="N499" i="18"/>
  <c r="N68" i="7941"/>
  <c r="N167" i="1"/>
  <c r="N35" i="18"/>
  <c r="N493" i="18"/>
  <c r="N62" i="7941"/>
  <c r="N161" i="1"/>
  <c r="N29" i="18"/>
  <c r="N158" i="1"/>
  <c r="N26" i="18"/>
  <c r="N171" i="1"/>
  <c r="N39" i="18"/>
  <c r="N497" i="18"/>
  <c r="N66" i="7941"/>
  <c r="N172" i="1"/>
  <c r="N40" i="18"/>
  <c r="N498" i="18"/>
  <c r="N67" i="7941"/>
  <c r="N160" i="1"/>
  <c r="N28" i="18"/>
  <c r="N164" i="1"/>
  <c r="N32" i="18"/>
  <c r="N146" i="1"/>
  <c r="N14" i="18"/>
  <c r="N149" i="1"/>
  <c r="N17" i="18"/>
  <c r="O179" i="1"/>
  <c r="O150" i="1"/>
  <c r="N151" i="1"/>
  <c r="N19" i="18"/>
  <c r="N477" i="18"/>
  <c r="N46" i="7941"/>
  <c r="N163" i="1"/>
  <c r="N31" i="18"/>
  <c r="F281" i="7947"/>
  <c r="G281" i="7947" s="1"/>
  <c r="N147" i="1"/>
  <c r="N15" i="18"/>
  <c r="N473" i="18"/>
  <c r="N42" i="7941" s="1"/>
  <c r="N153" i="1"/>
  <c r="N21" i="18"/>
  <c r="N479" i="18"/>
  <c r="N48" i="7941" s="1"/>
  <c r="N155" i="1"/>
  <c r="N23" i="18"/>
  <c r="N481" i="18"/>
  <c r="N50" i="7941" s="1"/>
  <c r="N159" i="1"/>
  <c r="N27" i="18"/>
  <c r="N144" i="1"/>
  <c r="N168" i="1"/>
  <c r="N36" i="18"/>
  <c r="N494" i="18"/>
  <c r="N63" i="7941"/>
  <c r="N154" i="1"/>
  <c r="N22" i="18"/>
  <c r="N169" i="1"/>
  <c r="N37" i="18"/>
  <c r="N495" i="18"/>
  <c r="N64" i="7941"/>
  <c r="N157" i="1"/>
  <c r="N25" i="18"/>
  <c r="N145" i="1"/>
  <c r="N13" i="18"/>
  <c r="N166" i="1"/>
  <c r="N34" i="18"/>
  <c r="N492" i="18"/>
  <c r="N61" i="7941"/>
  <c r="N156" i="1"/>
  <c r="N24" i="18"/>
  <c r="N165" i="1"/>
  <c r="N33" i="18"/>
  <c r="N491" i="18"/>
  <c r="N60" i="7941"/>
  <c r="N162" i="1"/>
  <c r="N30" i="18"/>
  <c r="N150" i="1"/>
  <c r="N18" i="18"/>
  <c r="M174" i="1"/>
  <c r="M12" i="18"/>
  <c r="F14" i="7947"/>
  <c r="G14" i="7947" s="1"/>
  <c r="F69" i="7947"/>
  <c r="G69" i="7947" s="1"/>
  <c r="F97" i="7947"/>
  <c r="G97" i="7947" s="1"/>
  <c r="F139" i="7947"/>
  <c r="G139" i="7947" s="1"/>
  <c r="L479" i="18"/>
  <c r="L48" i="7941"/>
  <c r="F279" i="7947"/>
  <c r="G279" i="7947" s="1"/>
  <c r="L489" i="18"/>
  <c r="L58" i="7941" s="1"/>
  <c r="M470" i="18"/>
  <c r="N174" i="1"/>
  <c r="N12" i="18"/>
  <c r="F169" i="7947"/>
  <c r="G169" i="7947" s="1"/>
  <c r="F113" i="7947"/>
  <c r="G113" i="7947" s="1"/>
  <c r="M329" i="18"/>
  <c r="M653" i="18" s="1"/>
  <c r="N466" i="18"/>
  <c r="N694" i="18" s="1"/>
  <c r="N467" i="18"/>
  <c r="N695" i="18" s="1"/>
  <c r="M21" i="7941"/>
  <c r="M24" i="7941"/>
  <c r="M36" i="7941"/>
  <c r="N441" i="18"/>
  <c r="N669" i="18" s="1"/>
  <c r="M238" i="18"/>
  <c r="M646" i="18" s="1"/>
  <c r="M35" i="7944"/>
  <c r="M420" i="18"/>
  <c r="M660" i="18" s="1"/>
  <c r="M8" i="7941"/>
  <c r="N449" i="18"/>
  <c r="N677" i="18" s="1"/>
  <c r="M27" i="7941"/>
  <c r="M203" i="7941"/>
  <c r="N444" i="18"/>
  <c r="N672" i="18" s="1"/>
  <c r="M11" i="7944"/>
  <c r="M204" i="7941"/>
  <c r="N450" i="18"/>
  <c r="N678" i="18" s="1"/>
  <c r="N445" i="18"/>
  <c r="N673" i="18" s="1"/>
  <c r="M36" i="7944"/>
  <c r="N459" i="18"/>
  <c r="N687" i="18" s="1"/>
  <c r="M32" i="7941"/>
  <c r="M8" i="7944"/>
  <c r="N438" i="18"/>
  <c r="N666" i="18" s="1"/>
  <c r="M14" i="7941"/>
  <c r="M31" i="7944"/>
  <c r="M355" i="18"/>
  <c r="M655" i="18" s="1"/>
  <c r="M217" i="7941"/>
  <c r="N455" i="18"/>
  <c r="N683" i="18" s="1"/>
  <c r="M37" i="7944"/>
  <c r="M23" i="7941"/>
  <c r="N440" i="18"/>
  <c r="N668" i="18" s="1"/>
  <c r="N464" i="18"/>
  <c r="N692" i="18" s="1"/>
  <c r="M219" i="7941"/>
  <c r="M215" i="7941"/>
  <c r="M20" i="7941"/>
  <c r="N462" i="18"/>
  <c r="N690" i="18"/>
  <c r="M199" i="18"/>
  <c r="M643" i="18"/>
  <c r="N443" i="18"/>
  <c r="N671" i="18"/>
  <c r="M13" i="7944"/>
  <c r="M221" i="7941"/>
  <c r="M210" i="7941"/>
  <c r="M25" i="7941"/>
  <c r="M228" i="7941"/>
  <c r="M69" i="18"/>
  <c r="M633" i="18" s="1"/>
  <c r="M30" i="7944"/>
  <c r="N439" i="18"/>
  <c r="N667" i="18" s="1"/>
  <c r="M218" i="7941"/>
  <c r="N446" i="18"/>
  <c r="N674" i="18" s="1"/>
  <c r="M23" i="7944"/>
  <c r="M201" i="7941"/>
  <c r="M147" i="18"/>
  <c r="M639" i="18" s="1"/>
  <c r="M224" i="7941"/>
  <c r="M9" i="7941"/>
  <c r="M211" i="7941"/>
  <c r="M35" i="7941"/>
  <c r="M213" i="7941"/>
  <c r="M33" i="7944"/>
  <c r="M160" i="18"/>
  <c r="M640" i="18" s="1"/>
  <c r="M290" i="18"/>
  <c r="M650" i="18" s="1"/>
  <c r="N456" i="18"/>
  <c r="N684" i="18" s="1"/>
  <c r="M10" i="7944"/>
  <c r="M227" i="7941"/>
  <c r="N457" i="18"/>
  <c r="N685" i="18" s="1"/>
  <c r="N463" i="18"/>
  <c r="N691" i="18" s="1"/>
  <c r="M216" i="7941"/>
  <c r="M29" i="7944"/>
  <c r="N451" i="18"/>
  <c r="N679" i="18" s="1"/>
  <c r="M19" i="7944"/>
  <c r="M26" i="7941"/>
  <c r="M32" i="7944"/>
  <c r="M206" i="7941"/>
  <c r="M199" i="7941"/>
  <c r="N453" i="18"/>
  <c r="N681" i="18" s="1"/>
  <c r="M121" i="18"/>
  <c r="M637" i="18" s="1"/>
  <c r="M28" i="7944"/>
  <c r="M226" i="7941"/>
  <c r="M9" i="7944"/>
  <c r="M207" i="7941"/>
  <c r="N452" i="18"/>
  <c r="N680" i="18" s="1"/>
  <c r="N454" i="18"/>
  <c r="N682" i="18" s="1"/>
  <c r="M22" i="7944"/>
  <c r="M368" i="18"/>
  <c r="M656" i="18" s="1"/>
  <c r="M342" i="18"/>
  <c r="M654" i="18" s="1"/>
  <c r="M205" i="7941"/>
  <c r="M202" i="7941"/>
  <c r="M27" i="7944"/>
  <c r="N460" i="18"/>
  <c r="N688" i="18" s="1"/>
  <c r="M28" i="7941"/>
  <c r="M134" i="18"/>
  <c r="M638" i="18" s="1"/>
  <c r="M212" i="18"/>
  <c r="M644" i="18" s="1"/>
  <c r="M17" i="7944"/>
  <c r="M18" i="7941"/>
  <c r="M15" i="7944"/>
  <c r="M277" i="18"/>
  <c r="M649" i="18" s="1"/>
  <c r="M433" i="18"/>
  <c r="M661" i="18" s="1"/>
  <c r="M10" i="7941"/>
  <c r="M12" i="7941"/>
  <c r="N461" i="18"/>
  <c r="N689" i="18" s="1"/>
  <c r="M31" i="7941"/>
  <c r="M6" i="7941" s="1"/>
  <c r="M29" i="7941"/>
  <c r="M56" i="18"/>
  <c r="N465" i="18"/>
  <c r="N693" i="18" s="1"/>
  <c r="M220" i="7941"/>
  <c r="M198" i="7941" s="1"/>
  <c r="M13" i="7941"/>
  <c r="M82" i="18"/>
  <c r="M634" i="18" s="1"/>
  <c r="M212" i="7941"/>
  <c r="M34" i="7944"/>
  <c r="M16" i="7941"/>
  <c r="M316" i="18"/>
  <c r="M652" i="18" s="1"/>
  <c r="N448" i="18"/>
  <c r="N676" i="18" s="1"/>
  <c r="N512" i="18" s="1"/>
  <c r="N81" i="7941" s="1"/>
  <c r="M12" i="7944"/>
  <c r="M22" i="7941"/>
  <c r="M20" i="7944"/>
  <c r="M14" i="7944"/>
  <c r="M208" i="7941"/>
  <c r="M222" i="7941"/>
  <c r="M11" i="7941"/>
  <c r="M303" i="18"/>
  <c r="M651" i="18" s="1"/>
  <c r="M108" i="18"/>
  <c r="M636" i="18" s="1"/>
  <c r="M34" i="7941"/>
  <c r="M16" i="7944"/>
  <c r="M225" i="7941"/>
  <c r="M381" i="18"/>
  <c r="M657" i="18" s="1"/>
  <c r="M26" i="7944"/>
  <c r="M24" i="7944"/>
  <c r="M200" i="7941"/>
  <c r="M251" i="18"/>
  <c r="M647" i="18"/>
  <c r="M21" i="7944"/>
  <c r="N447" i="18"/>
  <c r="N675" i="18" s="1"/>
  <c r="N458" i="18"/>
  <c r="N686" i="18" s="1"/>
  <c r="M15" i="7941"/>
  <c r="M30" i="7941"/>
  <c r="M33" i="7941"/>
  <c r="M223" i="7941"/>
  <c r="M7" i="7941"/>
  <c r="M25" i="7944"/>
  <c r="M394" i="18"/>
  <c r="M658" i="18" s="1"/>
  <c r="M264" i="18"/>
  <c r="M648" i="18" s="1"/>
  <c r="M18" i="7944"/>
  <c r="N442" i="18"/>
  <c r="N670" i="18"/>
  <c r="M209" i="7941"/>
  <c r="M95" i="18"/>
  <c r="M635" i="18" s="1"/>
  <c r="M407" i="18"/>
  <c r="M659" i="18" s="1"/>
  <c r="M17" i="7941"/>
  <c r="M225" i="18"/>
  <c r="M645" i="18"/>
  <c r="M173" i="18"/>
  <c r="M641" i="18"/>
  <c r="M19" i="7941"/>
  <c r="M186" i="18"/>
  <c r="M642" i="18" s="1"/>
  <c r="M214" i="7941"/>
  <c r="N485" i="18"/>
  <c r="N54" i="7941"/>
  <c r="F225" i="7947"/>
  <c r="F141" i="7947"/>
  <c r="G141" i="7947" s="1"/>
  <c r="N489" i="18"/>
  <c r="N58" i="7941"/>
  <c r="O147" i="1"/>
  <c r="O15" i="18"/>
  <c r="O156" i="1"/>
  <c r="O24" i="18"/>
  <c r="O144" i="1"/>
  <c r="O145" i="1"/>
  <c r="O13" i="18"/>
  <c r="O154" i="1"/>
  <c r="O22" i="18"/>
  <c r="O164" i="1"/>
  <c r="O32" i="18"/>
  <c r="O163" i="1"/>
  <c r="O31" i="18"/>
  <c r="O162" i="1"/>
  <c r="O30" i="18"/>
  <c r="O173" i="1"/>
  <c r="O41" i="18"/>
  <c r="O153" i="1"/>
  <c r="O21" i="18"/>
  <c r="F142" i="7947"/>
  <c r="G142" i="7947" s="1"/>
  <c r="O146" i="1"/>
  <c r="O14" i="18"/>
  <c r="F44" i="7947"/>
  <c r="G44" i="7947" s="1"/>
  <c r="O166" i="1"/>
  <c r="O34" i="18"/>
  <c r="N474" i="18"/>
  <c r="N43" i="7941" s="1"/>
  <c r="F282" i="7947"/>
  <c r="G282" i="7947" s="1"/>
  <c r="N27" i="7941"/>
  <c r="N121" i="18"/>
  <c r="N637" i="18" s="1"/>
  <c r="N173" i="18"/>
  <c r="N641" i="18" s="1"/>
  <c r="N28" i="7944"/>
  <c r="M240" i="7944"/>
  <c r="N15" i="7941"/>
  <c r="N7" i="7941"/>
  <c r="O461" i="18"/>
  <c r="O689" i="18" s="1"/>
  <c r="O451" i="18"/>
  <c r="O679" i="18" s="1"/>
  <c r="M279" i="7944"/>
  <c r="O439" i="18"/>
  <c r="O667" i="18"/>
  <c r="M97" i="7944"/>
  <c r="N19" i="7944"/>
  <c r="N200" i="7941"/>
  <c r="N26" i="7941"/>
  <c r="N24" i="7944"/>
  <c r="N381" i="18"/>
  <c r="N657" i="18" s="1"/>
  <c r="N199" i="7941"/>
  <c r="N8" i="7944"/>
  <c r="O444" i="18"/>
  <c r="O672" i="18" s="1"/>
  <c r="N10" i="7944"/>
  <c r="N210" i="7941"/>
  <c r="M136" i="7944"/>
  <c r="N36" i="7944"/>
  <c r="O453" i="18"/>
  <c r="O681" i="18" s="1"/>
  <c r="N29" i="7944"/>
  <c r="N22" i="7941"/>
  <c r="O463" i="18"/>
  <c r="O691" i="18" s="1"/>
  <c r="M84" i="7944"/>
  <c r="N202" i="7941"/>
  <c r="N204" i="7941"/>
  <c r="N160" i="18"/>
  <c r="N640" i="18"/>
  <c r="M227" i="7944"/>
  <c r="N147" i="18"/>
  <c r="N639" i="18" s="1"/>
  <c r="O441" i="18"/>
  <c r="O669" i="18" s="1"/>
  <c r="N35" i="7941"/>
  <c r="N35" i="7944"/>
  <c r="N22" i="7944"/>
  <c r="O460" i="18"/>
  <c r="O688" i="18"/>
  <c r="N329" i="18"/>
  <c r="N653" i="18"/>
  <c r="N264" i="18"/>
  <c r="N648" i="18"/>
  <c r="N316" i="18"/>
  <c r="N652" i="18"/>
  <c r="N206" i="7941"/>
  <c r="N30" i="7944"/>
  <c r="M162" i="7944"/>
  <c r="N31" i="7944"/>
  <c r="N13" i="7944"/>
  <c r="O442" i="18"/>
  <c r="O670" i="18" s="1"/>
  <c r="N201" i="7941"/>
  <c r="N18" i="7941"/>
  <c r="N95" i="18"/>
  <c r="N635" i="18" s="1"/>
  <c r="N433" i="18"/>
  <c r="N661" i="18" s="1"/>
  <c r="N25" i="7941"/>
  <c r="N56" i="18"/>
  <c r="N632" i="18" s="1"/>
  <c r="N218" i="7941"/>
  <c r="N205" i="7941"/>
  <c r="N11" i="7941"/>
  <c r="O467" i="18"/>
  <c r="O695" i="18" s="1"/>
  <c r="N82" i="18"/>
  <c r="N634" i="18" s="1"/>
  <c r="N504" i="18" s="1"/>
  <c r="N73" i="7941" s="1"/>
  <c r="M214" i="7944"/>
  <c r="N21" i="7941"/>
  <c r="N238" i="18"/>
  <c r="N646" i="18" s="1"/>
  <c r="N212" i="7941"/>
  <c r="N17" i="7941"/>
  <c r="N36" i="7941"/>
  <c r="N208" i="7941"/>
  <c r="N225" i="7941"/>
  <c r="M123" i="7944"/>
  <c r="M331" i="7944"/>
  <c r="N277" i="18"/>
  <c r="N649" i="18"/>
  <c r="O459" i="18"/>
  <c r="O687" i="18"/>
  <c r="N12" i="7944"/>
  <c r="N12" i="7941"/>
  <c r="N32" i="7941"/>
  <c r="N228" i="7941"/>
  <c r="N16" i="7944"/>
  <c r="N16" i="7941"/>
  <c r="N14" i="7941"/>
  <c r="N368" i="18"/>
  <c r="N656" i="18" s="1"/>
  <c r="N526" i="18" s="1"/>
  <c r="N95" i="7941" s="1"/>
  <c r="N20" i="7944"/>
  <c r="N355" i="18"/>
  <c r="N655" i="18" s="1"/>
  <c r="N525" i="18" s="1"/>
  <c r="N94" i="7941" s="1"/>
  <c r="O456" i="18"/>
  <c r="O684" i="18" s="1"/>
  <c r="O458" i="18"/>
  <c r="O686" i="18" s="1"/>
  <c r="O522" i="18" s="1"/>
  <c r="O91" i="7941" s="1"/>
  <c r="N69" i="18"/>
  <c r="N633" i="18" s="1"/>
  <c r="O464" i="18"/>
  <c r="O692" i="18" s="1"/>
  <c r="O528" i="18" s="1"/>
  <c r="O97" i="7941" s="1"/>
  <c r="N27" i="7944"/>
  <c r="O466" i="18"/>
  <c r="O694" i="18" s="1"/>
  <c r="M201" i="7944"/>
  <c r="N14" i="7944"/>
  <c r="N19" i="7941"/>
  <c r="N21" i="7944"/>
  <c r="N407" i="18"/>
  <c r="N659" i="18" s="1"/>
  <c r="M318" i="7944"/>
  <c r="N225" i="18"/>
  <c r="N645" i="18" s="1"/>
  <c r="N32" i="7944"/>
  <c r="O446" i="18"/>
  <c r="O674" i="18" s="1"/>
  <c r="N8" i="7941"/>
  <c r="N203" i="7941"/>
  <c r="M266" i="7944"/>
  <c r="N227" i="7941"/>
  <c r="N214" i="7941"/>
  <c r="O452" i="18"/>
  <c r="O680" i="18"/>
  <c r="O516" i="18" s="1"/>
  <c r="O85" i="7941" s="1"/>
  <c r="O455" i="18"/>
  <c r="O683" i="18"/>
  <c r="O519" i="18" s="1"/>
  <c r="O88" i="7941" s="1"/>
  <c r="M292" i="7944"/>
  <c r="M305" i="7944"/>
  <c r="O465" i="18"/>
  <c r="O693" i="18"/>
  <c r="O529" i="18" s="1"/>
  <c r="O98" i="7941" s="1"/>
  <c r="N18" i="7944"/>
  <c r="N108" i="18"/>
  <c r="N636" i="18" s="1"/>
  <c r="N251" i="18"/>
  <c r="N647" i="18" s="1"/>
  <c r="N290" i="18"/>
  <c r="N650" i="18" s="1"/>
  <c r="N520" i="18" s="1"/>
  <c r="N89" i="7941" s="1"/>
  <c r="N213" i="7941"/>
  <c r="O443" i="18"/>
  <c r="O671" i="18" s="1"/>
  <c r="O507" i="18" s="1"/>
  <c r="N33" i="7944"/>
  <c r="O454" i="18"/>
  <c r="O682" i="18" s="1"/>
  <c r="O440" i="18"/>
  <c r="O668" i="18" s="1"/>
  <c r="N10" i="7941"/>
  <c r="N26" i="7944"/>
  <c r="N15" i="7944"/>
  <c r="N186" i="18"/>
  <c r="N642" i="18" s="1"/>
  <c r="O448" i="18"/>
  <c r="O676" i="18" s="1"/>
  <c r="O512" i="18" s="1"/>
  <c r="O81" i="7941" s="1"/>
  <c r="N212" i="18"/>
  <c r="N644" i="18" s="1"/>
  <c r="N34" i="7941"/>
  <c r="N11" i="7944"/>
  <c r="N226" i="7941"/>
  <c r="N17" i="7944"/>
  <c r="N28" i="7941"/>
  <c r="O450" i="18"/>
  <c r="O678" i="18"/>
  <c r="O514" i="18" s="1"/>
  <c r="O83" i="7941" s="1"/>
  <c r="N30" i="7941"/>
  <c r="N221" i="7941"/>
  <c r="N25" i="7944"/>
  <c r="N211" i="7941"/>
  <c r="O449" i="18"/>
  <c r="O677" i="18"/>
  <c r="N219" i="7941"/>
  <c r="N9" i="7941"/>
  <c r="M149" i="7944"/>
  <c r="N215" i="7941"/>
  <c r="N33" i="7941"/>
  <c r="M110" i="7944"/>
  <c r="N24" i="7941"/>
  <c r="M175" i="7944"/>
  <c r="N37" i="7944"/>
  <c r="N224" i="7941"/>
  <c r="N209" i="7941"/>
  <c r="N29" i="7941"/>
  <c r="N342" i="18"/>
  <c r="N654" i="18"/>
  <c r="N524" i="18" s="1"/>
  <c r="N93" i="7941" s="1"/>
  <c r="O445" i="18"/>
  <c r="O673" i="18"/>
  <c r="O509" i="18" s="1"/>
  <c r="O78" i="7941" s="1"/>
  <c r="N134" i="18"/>
  <c r="N638" i="18"/>
  <c r="N508" i="18" s="1"/>
  <c r="N77" i="7941" s="1"/>
  <c r="O462" i="18"/>
  <c r="O690" i="18"/>
  <c r="N303" i="18"/>
  <c r="N651" i="18"/>
  <c r="N521" i="18" s="1"/>
  <c r="N90" i="7941" s="1"/>
  <c r="M253" i="7944"/>
  <c r="O438" i="18"/>
  <c r="N23" i="7944"/>
  <c r="N31" i="7941"/>
  <c r="N34" i="7944"/>
  <c r="N23" i="7941"/>
  <c r="O447" i="18"/>
  <c r="O675" i="18" s="1"/>
  <c r="N394" i="18"/>
  <c r="N658" i="18" s="1"/>
  <c r="N528" i="18" s="1"/>
  <c r="N97" i="7941" s="1"/>
  <c r="O457" i="18"/>
  <c r="O685" i="18" s="1"/>
  <c r="N207" i="7941"/>
  <c r="N217" i="7941"/>
  <c r="N13" i="7941"/>
  <c r="N420" i="18"/>
  <c r="N660" i="18"/>
  <c r="N530" i="18" s="1"/>
  <c r="N99" i="7941" s="1"/>
  <c r="M188" i="7944"/>
  <c r="N9" i="7944"/>
  <c r="N216" i="7941"/>
  <c r="N223" i="7941"/>
  <c r="N220" i="7941"/>
  <c r="N20" i="7941"/>
  <c r="N222" i="7941"/>
  <c r="N199" i="18"/>
  <c r="N643" i="18" s="1"/>
  <c r="F268" i="7947"/>
  <c r="G268" i="7947" s="1"/>
  <c r="O12" i="18"/>
  <c r="F58" i="7947"/>
  <c r="G58" i="7947" s="1"/>
  <c r="F15" i="7947"/>
  <c r="G15" i="7947" s="1"/>
  <c r="N470" i="18"/>
  <c r="N39" i="7941" s="1"/>
  <c r="M39" i="7941"/>
  <c r="F16" i="7947"/>
  <c r="G16" i="7947" s="1"/>
  <c r="H697" i="18"/>
  <c r="I701" i="18" s="1"/>
  <c r="I703" i="18"/>
  <c r="G72" i="1"/>
  <c r="G153" i="1"/>
  <c r="G53" i="7942"/>
  <c r="G85" i="7942"/>
  <c r="H112" i="7942"/>
  <c r="I716" i="18"/>
  <c r="J154" i="7942"/>
  <c r="K154" i="7942"/>
  <c r="L174" i="1"/>
  <c r="L175" i="1"/>
  <c r="L477" i="18"/>
  <c r="L46" i="7941" s="1"/>
  <c r="L485" i="18"/>
  <c r="L54" i="7941" s="1"/>
  <c r="K488" i="18"/>
  <c r="K57" i="7941" s="1"/>
  <c r="L26" i="18"/>
  <c r="L14" i="18"/>
  <c r="K174" i="1"/>
  <c r="K175" i="1"/>
  <c r="J22" i="18"/>
  <c r="J480" i="18"/>
  <c r="J49" i="7941"/>
  <c r="J14" i="18"/>
  <c r="I24" i="18"/>
  <c r="I482" i="18"/>
  <c r="I51" i="7941"/>
  <c r="K23" i="18"/>
  <c r="K19" i="18"/>
  <c r="K31" i="18"/>
  <c r="I29" i="18"/>
  <c r="I31" i="18"/>
  <c r="I489" i="18"/>
  <c r="I58" i="7941" s="1"/>
  <c r="H29" i="18"/>
  <c r="H487" i="18"/>
  <c r="H56" i="7941"/>
  <c r="H26" i="18"/>
  <c r="H484" i="18"/>
  <c r="H53" i="7941" s="1"/>
  <c r="H483" i="18"/>
  <c r="H52" i="7941" s="1"/>
  <c r="H30" i="18"/>
  <c r="H488" i="18"/>
  <c r="R73" i="1"/>
  <c r="F280" i="7947"/>
  <c r="G280" i="7947" s="1"/>
  <c r="M489" i="18"/>
  <c r="M58" i="7941" s="1"/>
  <c r="O18" i="18"/>
  <c r="M484" i="18"/>
  <c r="M53" i="7941"/>
  <c r="F210" i="7947"/>
  <c r="G210" i="7947" s="1"/>
  <c r="F252" i="7947"/>
  <c r="G252" i="7947" s="1"/>
  <c r="M487" i="18"/>
  <c r="M56" i="7941"/>
  <c r="M479" i="18"/>
  <c r="M48" i="7941"/>
  <c r="F140" i="7947"/>
  <c r="G140" i="7947" s="1"/>
  <c r="F126" i="7947"/>
  <c r="G126" i="7947" s="1"/>
  <c r="M478" i="18"/>
  <c r="M47" i="7941"/>
  <c r="P179" i="1"/>
  <c r="O167" i="1"/>
  <c r="O151" i="1"/>
  <c r="O7" i="18"/>
  <c r="O488" i="18"/>
  <c r="O57" i="7941"/>
  <c r="O159" i="1"/>
  <c r="O27" i="18"/>
  <c r="O171" i="1"/>
  <c r="O170" i="1"/>
  <c r="O172" i="1"/>
  <c r="O165" i="1"/>
  <c r="O169" i="1"/>
  <c r="O149" i="1"/>
  <c r="O168" i="1"/>
  <c r="O161" i="1"/>
  <c r="O160" i="1"/>
  <c r="O158" i="1"/>
  <c r="O148" i="1"/>
  <c r="O157" i="1"/>
  <c r="O25" i="18"/>
  <c r="O152" i="1"/>
  <c r="O155" i="1"/>
  <c r="F57" i="7947"/>
  <c r="G57" i="7947" s="1"/>
  <c r="M11" i="18"/>
  <c r="N177" i="1"/>
  <c r="O41" i="1"/>
  <c r="N75" i="1"/>
  <c r="N109" i="1"/>
  <c r="I156" i="7942"/>
  <c r="G177" i="1"/>
  <c r="G4" i="7941"/>
  <c r="I150" i="1"/>
  <c r="I18" i="18"/>
  <c r="I158" i="1"/>
  <c r="I166" i="1"/>
  <c r="I145" i="1"/>
  <c r="I159" i="1"/>
  <c r="I27" i="18"/>
  <c r="I485" i="18"/>
  <c r="I54" i="7941"/>
  <c r="I7" i="18"/>
  <c r="I172" i="1"/>
  <c r="I168" i="1"/>
  <c r="I153" i="1"/>
  <c r="I21" i="18"/>
  <c r="I479" i="18"/>
  <c r="I48" i="7941" s="1"/>
  <c r="I148" i="1"/>
  <c r="I151" i="1"/>
  <c r="I164" i="1"/>
  <c r="H492" i="18"/>
  <c r="H61" i="7941"/>
  <c r="H493" i="18"/>
  <c r="I4" i="7941"/>
  <c r="I157" i="1"/>
  <c r="I25" i="18"/>
  <c r="I160" i="1"/>
  <c r="I155" i="1"/>
  <c r="H158" i="7942"/>
  <c r="H37" i="18"/>
  <c r="H495" i="18"/>
  <c r="H64" i="7941" s="1"/>
  <c r="H39" i="18"/>
  <c r="H497" i="18"/>
  <c r="H66" i="7941"/>
  <c r="H12" i="18"/>
  <c r="H470" i="18"/>
  <c r="H39" i="7941" s="1"/>
  <c r="R107" i="1"/>
  <c r="H325" i="7942"/>
  <c r="H143" i="1"/>
  <c r="H177" i="1"/>
  <c r="H355" i="7942"/>
  <c r="K39" i="7944"/>
  <c r="O490" i="18"/>
  <c r="O59" i="7941"/>
  <c r="F296" i="7947"/>
  <c r="G296" i="7947" s="1"/>
  <c r="F156" i="7947"/>
  <c r="G156" i="7947" s="1"/>
  <c r="O480" i="18"/>
  <c r="O49" i="7941"/>
  <c r="O471" i="18"/>
  <c r="O40" i="7941"/>
  <c r="F30" i="7947"/>
  <c r="G30" i="7947" s="1"/>
  <c r="O482" i="18"/>
  <c r="O51" i="7941" s="1"/>
  <c r="F184" i="7947"/>
  <c r="F99" i="7947"/>
  <c r="G99" i="7947" s="1"/>
  <c r="N476" i="18"/>
  <c r="N45" i="7941" s="1"/>
  <c r="N483" i="18"/>
  <c r="N52" i="7941" s="1"/>
  <c r="F197" i="7947"/>
  <c r="N480" i="18"/>
  <c r="N49" i="7941"/>
  <c r="F155" i="7947"/>
  <c r="G155" i="7947" s="1"/>
  <c r="N475" i="18"/>
  <c r="N44" i="7941" s="1"/>
  <c r="F85" i="7947"/>
  <c r="G85" i="7947" s="1"/>
  <c r="N490" i="18"/>
  <c r="N59" i="7941"/>
  <c r="F295" i="7947"/>
  <c r="G295" i="7947" s="1"/>
  <c r="N484" i="18"/>
  <c r="N53" i="7941" s="1"/>
  <c r="F211" i="7947"/>
  <c r="G211" i="7947" s="1"/>
  <c r="N478" i="18"/>
  <c r="N47" i="7941"/>
  <c r="F127" i="7947"/>
  <c r="G127" i="7947" s="1"/>
  <c r="O476" i="18"/>
  <c r="O45" i="7941" s="1"/>
  <c r="F100" i="7947"/>
  <c r="G100" i="7947" s="1"/>
  <c r="N488" i="18"/>
  <c r="N57" i="7941"/>
  <c r="F267" i="7947"/>
  <c r="G267" i="7947" s="1"/>
  <c r="N482" i="18"/>
  <c r="N51" i="7941" s="1"/>
  <c r="F183" i="7947"/>
  <c r="N11" i="18"/>
  <c r="N471" i="18"/>
  <c r="F29" i="7947"/>
  <c r="G29" i="7947" s="1"/>
  <c r="N472" i="18"/>
  <c r="N41" i="7941" s="1"/>
  <c r="F43" i="7947"/>
  <c r="G43" i="7947" s="1"/>
  <c r="N486" i="18"/>
  <c r="N55" i="7941"/>
  <c r="F239" i="7947"/>
  <c r="G239" i="7947" s="1"/>
  <c r="N487" i="18"/>
  <c r="N56" i="7941" s="1"/>
  <c r="F253" i="7947"/>
  <c r="G253" i="7947" s="1"/>
  <c r="H315" i="7942"/>
  <c r="H23" i="18"/>
  <c r="H481" i="18"/>
  <c r="H50" i="7941"/>
  <c r="I143" i="1"/>
  <c r="I75" i="1"/>
  <c r="I109" i="1"/>
  <c r="I4" i="18"/>
  <c r="H16" i="18"/>
  <c r="C515" i="7942"/>
  <c r="G686" i="18"/>
  <c r="G39" i="7944"/>
  <c r="H9" i="7950"/>
  <c r="H11" i="7950"/>
  <c r="H13" i="7950"/>
  <c r="F481" i="7944"/>
  <c r="H15" i="7950"/>
  <c r="H17" i="7950"/>
  <c r="H19" i="7950"/>
  <c r="H21" i="7950"/>
  <c r="H23" i="7950"/>
  <c r="H25" i="7950"/>
  <c r="H27" i="7950"/>
  <c r="H8" i="7950"/>
  <c r="H12" i="7950"/>
  <c r="H16" i="7950"/>
  <c r="F484" i="7944"/>
  <c r="H20" i="7950"/>
  <c r="H24" i="7950"/>
  <c r="H7" i="7950"/>
  <c r="H10" i="7950"/>
  <c r="H14" i="7950"/>
  <c r="H18" i="7950"/>
  <c r="H22" i="7950"/>
  <c r="H26" i="7950"/>
  <c r="L154" i="7942"/>
  <c r="J472" i="18"/>
  <c r="J41" i="7941"/>
  <c r="L484" i="18"/>
  <c r="L53" i="7941"/>
  <c r="F209" i="7947"/>
  <c r="G209" i="7947" s="1"/>
  <c r="K489" i="18"/>
  <c r="K58" i="7941" s="1"/>
  <c r="K477" i="18"/>
  <c r="K46" i="7941" s="1"/>
  <c r="K481" i="18"/>
  <c r="K50" i="7941" s="1"/>
  <c r="L472" i="18"/>
  <c r="L41" i="7941" s="1"/>
  <c r="F41" i="7947"/>
  <c r="G41" i="7947" s="1"/>
  <c r="I325" i="7942"/>
  <c r="J325" i="7942"/>
  <c r="I23" i="18"/>
  <c r="I481" i="18"/>
  <c r="I50" i="7941"/>
  <c r="I32" i="18"/>
  <c r="I490" i="18"/>
  <c r="I59" i="7941" s="1"/>
  <c r="I16" i="18"/>
  <c r="I36" i="18"/>
  <c r="I494" i="18"/>
  <c r="I63" i="7941" s="1"/>
  <c r="I491" i="18"/>
  <c r="I60" i="7941" s="1"/>
  <c r="I473" i="18"/>
  <c r="I42" i="7941" s="1"/>
  <c r="I487" i="18"/>
  <c r="I56" i="7941" s="1"/>
  <c r="I472" i="18"/>
  <c r="I41" i="7941" s="1"/>
  <c r="I13" i="18"/>
  <c r="I471" i="18"/>
  <c r="I40" i="7941"/>
  <c r="I26" i="18"/>
  <c r="I484" i="18"/>
  <c r="I53" i="7941" s="1"/>
  <c r="I496" i="18"/>
  <c r="I65" i="7941" s="1"/>
  <c r="I493" i="18"/>
  <c r="I62" i="7941" s="1"/>
  <c r="I495" i="18"/>
  <c r="I64" i="7941" s="1"/>
  <c r="O4" i="7941"/>
  <c r="P41" i="1"/>
  <c r="O177" i="1"/>
  <c r="N4" i="7944"/>
  <c r="O4" i="7942"/>
  <c r="O75" i="1"/>
  <c r="O109" i="1"/>
  <c r="O143" i="1"/>
  <c r="O4" i="18"/>
  <c r="O23" i="18"/>
  <c r="F198" i="7947"/>
  <c r="O483" i="18"/>
  <c r="O52" i="7941"/>
  <c r="O26" i="18"/>
  <c r="O29" i="18"/>
  <c r="O17" i="18"/>
  <c r="O33" i="18"/>
  <c r="O491" i="18"/>
  <c r="O60" i="7941"/>
  <c r="O38" i="18"/>
  <c r="O496" i="18"/>
  <c r="O65" i="7941" s="1"/>
  <c r="F226" i="7947"/>
  <c r="O485" i="18"/>
  <c r="O54" i="7941"/>
  <c r="O19" i="18"/>
  <c r="P168" i="1"/>
  <c r="P146" i="1"/>
  <c r="P159" i="1"/>
  <c r="P27" i="18"/>
  <c r="P148" i="1"/>
  <c r="P162" i="1"/>
  <c r="P157" i="1"/>
  <c r="P25" i="18"/>
  <c r="P173" i="1"/>
  <c r="P171" i="1"/>
  <c r="P144" i="1"/>
  <c r="Q179" i="1"/>
  <c r="P158" i="1"/>
  <c r="P153" i="1"/>
  <c r="P151" i="1"/>
  <c r="P169" i="1"/>
  <c r="P145" i="1"/>
  <c r="P166" i="1"/>
  <c r="P170" i="1"/>
  <c r="P167" i="1"/>
  <c r="P147" i="1"/>
  <c r="P152" i="1"/>
  <c r="P164" i="1"/>
  <c r="P7" i="18"/>
  <c r="P154" i="1"/>
  <c r="P155" i="1"/>
  <c r="P149" i="1"/>
  <c r="P160" i="1"/>
  <c r="P156" i="1"/>
  <c r="P24" i="18"/>
  <c r="P172" i="1"/>
  <c r="P150" i="1"/>
  <c r="P165" i="1"/>
  <c r="P161" i="1"/>
  <c r="P163" i="1"/>
  <c r="O499" i="18"/>
  <c r="O68" i="7941"/>
  <c r="I28" i="18"/>
  <c r="I486" i="18"/>
  <c r="I55" i="7941"/>
  <c r="I483" i="18"/>
  <c r="I52" i="7941"/>
  <c r="I19" i="18"/>
  <c r="I477" i="18"/>
  <c r="I46" i="7941" s="1"/>
  <c r="I40" i="18"/>
  <c r="I498" i="18"/>
  <c r="I67" i="7941"/>
  <c r="I34" i="18"/>
  <c r="I492" i="18"/>
  <c r="I61" i="7941" s="1"/>
  <c r="I470" i="18"/>
  <c r="I39" i="7941" s="1"/>
  <c r="I499" i="18"/>
  <c r="I68" i="7941" s="1"/>
  <c r="I480" i="18"/>
  <c r="I49" i="7941" s="1"/>
  <c r="I497" i="18"/>
  <c r="I66" i="7941" s="1"/>
  <c r="O20" i="18"/>
  <c r="O16" i="18"/>
  <c r="O174" i="1"/>
  <c r="O28" i="18"/>
  <c r="O36" i="18"/>
  <c r="O494" i="18"/>
  <c r="O63" i="7941"/>
  <c r="O37" i="18"/>
  <c r="O495" i="18"/>
  <c r="O64" i="7941" s="1"/>
  <c r="O40" i="18"/>
  <c r="O498" i="18"/>
  <c r="O67" i="7941"/>
  <c r="O39" i="18"/>
  <c r="O497" i="18"/>
  <c r="O66" i="7941" s="1"/>
  <c r="O473" i="18"/>
  <c r="O42" i="7941" s="1"/>
  <c r="O479" i="18"/>
  <c r="O48" i="7941" s="1"/>
  <c r="O472" i="18"/>
  <c r="O41" i="7941" s="1"/>
  <c r="O470" i="18"/>
  <c r="O39" i="7941" s="1"/>
  <c r="O35" i="18"/>
  <c r="O493" i="18"/>
  <c r="O62" i="7941"/>
  <c r="O489" i="18"/>
  <c r="O58" i="7941"/>
  <c r="O492" i="18"/>
  <c r="O61" i="7941"/>
  <c r="F490" i="7944"/>
  <c r="G23" i="7944"/>
  <c r="F482" i="7944"/>
  <c r="F475" i="7944"/>
  <c r="G8" i="7944"/>
  <c r="H28" i="7950"/>
  <c r="F488" i="7944"/>
  <c r="G21" i="7944"/>
  <c r="F480" i="7944"/>
  <c r="G13" i="7944"/>
  <c r="F495" i="7944"/>
  <c r="F491" i="7944"/>
  <c r="F487" i="7944"/>
  <c r="F483" i="7944"/>
  <c r="G16" i="7944"/>
  <c r="F479" i="7944"/>
  <c r="G12" i="7944"/>
  <c r="F494" i="7944"/>
  <c r="G27" i="7944"/>
  <c r="F486" i="7944"/>
  <c r="G19" i="7944"/>
  <c r="F478" i="7944"/>
  <c r="G11" i="7944"/>
  <c r="F492" i="7944"/>
  <c r="G25" i="7944"/>
  <c r="F476" i="7944"/>
  <c r="G9" i="7944"/>
  <c r="F493" i="7944"/>
  <c r="G26" i="7944"/>
  <c r="F489" i="7944"/>
  <c r="G22" i="7944"/>
  <c r="F485" i="7944"/>
  <c r="G18" i="7944"/>
  <c r="F477" i="7944"/>
  <c r="H474" i="18"/>
  <c r="I315" i="7942"/>
  <c r="P457" i="18"/>
  <c r="P685" i="18" s="1"/>
  <c r="O212" i="18"/>
  <c r="O644" i="18" s="1"/>
  <c r="N162" i="7944"/>
  <c r="O10" i="7941"/>
  <c r="O34" i="7941"/>
  <c r="O28" i="7944"/>
  <c r="O226" i="7941"/>
  <c r="P465" i="18"/>
  <c r="P693" i="18" s="1"/>
  <c r="O394" i="18"/>
  <c r="O658" i="18" s="1"/>
  <c r="O221" i="7941"/>
  <c r="O32" i="7944"/>
  <c r="O342" i="18"/>
  <c r="O654" i="18" s="1"/>
  <c r="N253" i="7944"/>
  <c r="O238" i="18"/>
  <c r="O646" i="18" s="1"/>
  <c r="O33" i="7944"/>
  <c r="O210" i="7941"/>
  <c r="P446" i="18"/>
  <c r="P674" i="18" s="1"/>
  <c r="O277" i="18"/>
  <c r="O649" i="18" s="1"/>
  <c r="O30" i="7944"/>
  <c r="N266" i="7944"/>
  <c r="O34" i="7944"/>
  <c r="O12" i="7941"/>
  <c r="O219" i="7941"/>
  <c r="O12" i="7944"/>
  <c r="O208" i="7941"/>
  <c r="P443" i="18"/>
  <c r="P671" i="18"/>
  <c r="O200" i="7941"/>
  <c r="N227" i="7944"/>
  <c r="O204" i="7941"/>
  <c r="N240" i="7944"/>
  <c r="O223" i="7941"/>
  <c r="O134" i="18"/>
  <c r="O638" i="18" s="1"/>
  <c r="O27" i="7941"/>
  <c r="O36" i="7941"/>
  <c r="O95" i="18"/>
  <c r="O635" i="18" s="1"/>
  <c r="N292" i="7944"/>
  <c r="O368" i="18"/>
  <c r="O656" i="18"/>
  <c r="O22" i="7941"/>
  <c r="N318" i="7944"/>
  <c r="O16" i="7941"/>
  <c r="O16" i="7944"/>
  <c r="O224" i="7941"/>
  <c r="N214" i="7944"/>
  <c r="P455" i="18"/>
  <c r="P683" i="18"/>
  <c r="P439" i="18"/>
  <c r="P667" i="18"/>
  <c r="P463" i="18"/>
  <c r="P691" i="18"/>
  <c r="O26" i="7944"/>
  <c r="O381" i="18"/>
  <c r="O657" i="18" s="1"/>
  <c r="O31" i="7941"/>
  <c r="O222" i="7941"/>
  <c r="O31" i="7944"/>
  <c r="O35" i="7941"/>
  <c r="O27" i="7944"/>
  <c r="P467" i="18"/>
  <c r="P695" i="18" s="1"/>
  <c r="N175" i="7944"/>
  <c r="O215" i="7941"/>
  <c r="O225" i="18"/>
  <c r="O645" i="18" s="1"/>
  <c r="O29" i="7941"/>
  <c r="N123" i="7944"/>
  <c r="P453" i="18"/>
  <c r="P681" i="18" s="1"/>
  <c r="O173" i="18"/>
  <c r="O641" i="18" s="1"/>
  <c r="O511" i="18" s="1"/>
  <c r="O80" i="7941" s="1"/>
  <c r="O22" i="7944"/>
  <c r="O407" i="18"/>
  <c r="O659" i="18" s="1"/>
  <c r="P466" i="18"/>
  <c r="P694" i="18" s="1"/>
  <c r="O227" i="7941"/>
  <c r="P450" i="18"/>
  <c r="P678" i="18" s="1"/>
  <c r="N344" i="7944"/>
  <c r="P452" i="18"/>
  <c r="P680" i="18" s="1"/>
  <c r="O21" i="7944"/>
  <c r="O35" i="7944"/>
  <c r="N201" i="7944"/>
  <c r="O290" i="18"/>
  <c r="O650" i="18"/>
  <c r="P438" i="18"/>
  <c r="P666" i="18"/>
  <c r="O23" i="7941"/>
  <c r="O14" i="7941"/>
  <c r="N84" i="7944"/>
  <c r="O23" i="7944"/>
  <c r="O329" i="18"/>
  <c r="O653" i="18"/>
  <c r="O214" i="7941"/>
  <c r="P454" i="18"/>
  <c r="P682" i="18" s="1"/>
  <c r="O420" i="18"/>
  <c r="O660" i="18" s="1"/>
  <c r="N110" i="7944"/>
  <c r="P458" i="18"/>
  <c r="P686" i="18"/>
  <c r="O303" i="18"/>
  <c r="O651" i="18"/>
  <c r="O7" i="7941"/>
  <c r="O19" i="7944"/>
  <c r="O206" i="7941"/>
  <c r="O8" i="7944"/>
  <c r="O20" i="7944"/>
  <c r="O82" i="18"/>
  <c r="O634" i="18" s="1"/>
  <c r="O433" i="18"/>
  <c r="O661" i="18" s="1"/>
  <c r="P447" i="18"/>
  <c r="P675" i="18" s="1"/>
  <c r="O21" i="7941"/>
  <c r="O355" i="18"/>
  <c r="O655" i="18" s="1"/>
  <c r="O13" i="7941"/>
  <c r="O225" i="7941"/>
  <c r="O30" i="7941"/>
  <c r="O186" i="18"/>
  <c r="O642" i="18" s="1"/>
  <c r="O18" i="7944"/>
  <c r="O201" i="7941"/>
  <c r="P464" i="18"/>
  <c r="P692" i="18" s="1"/>
  <c r="O203" i="7941"/>
  <c r="O228" i="7941"/>
  <c r="N97" i="7944"/>
  <c r="O9" i="7941"/>
  <c r="P445" i="18"/>
  <c r="P673" i="18" s="1"/>
  <c r="O15" i="7944"/>
  <c r="O20" i="7941"/>
  <c r="N188" i="7944"/>
  <c r="O199" i="18"/>
  <c r="O643" i="18"/>
  <c r="O199" i="7941"/>
  <c r="O28" i="7941"/>
  <c r="P459" i="18"/>
  <c r="P687" i="18"/>
  <c r="O218" i="7941"/>
  <c r="O211" i="7941"/>
  <c r="O37" i="7944"/>
  <c r="N305" i="7944"/>
  <c r="O11" i="7944"/>
  <c r="O160" i="18"/>
  <c r="O640" i="18" s="1"/>
  <c r="O510" i="18" s="1"/>
  <c r="O79" i="7941" s="1"/>
  <c r="O9" i="7944"/>
  <c r="O14" i="7944"/>
  <c r="O33" i="7941"/>
  <c r="O209" i="7941"/>
  <c r="P448" i="18"/>
  <c r="P676" i="18" s="1"/>
  <c r="O264" i="18"/>
  <c r="O648" i="18" s="1"/>
  <c r="O220" i="7941"/>
  <c r="P442" i="18"/>
  <c r="P670" i="18" s="1"/>
  <c r="P506" i="18" s="1"/>
  <c r="P444" i="18"/>
  <c r="P672" i="18" s="1"/>
  <c r="N279" i="7944"/>
  <c r="O213" i="7941"/>
  <c r="O69" i="18"/>
  <c r="O633" i="18" s="1"/>
  <c r="P460" i="18"/>
  <c r="P688" i="18" s="1"/>
  <c r="O26" i="7941"/>
  <c r="O121" i="18"/>
  <c r="O637" i="18" s="1"/>
  <c r="O216" i="7941"/>
  <c r="O24" i="7944"/>
  <c r="O217" i="7941"/>
  <c r="O11" i="7941"/>
  <c r="N149" i="7944"/>
  <c r="O25" i="7944"/>
  <c r="P441" i="18"/>
  <c r="P669" i="18" s="1"/>
  <c r="P505" i="18" s="1"/>
  <c r="P74" i="7941" s="1"/>
  <c r="N331" i="7944"/>
  <c r="P440" i="18"/>
  <c r="P668" i="18" s="1"/>
  <c r="O18" i="7941"/>
  <c r="O15" i="7941"/>
  <c r="P462" i="18"/>
  <c r="P690" i="18" s="1"/>
  <c r="O205" i="7941"/>
  <c r="O17" i="7944"/>
  <c r="O212" i="7941"/>
  <c r="P449" i="18"/>
  <c r="P677" i="18" s="1"/>
  <c r="O17" i="7941"/>
  <c r="O8" i="7941"/>
  <c r="O13" i="7944"/>
  <c r="O19" i="7941"/>
  <c r="P451" i="18"/>
  <c r="P679" i="18" s="1"/>
  <c r="O25" i="7941"/>
  <c r="O207" i="7941"/>
  <c r="O36" i="7944"/>
  <c r="O29" i="7944"/>
  <c r="O10" i="7944"/>
  <c r="O56" i="18"/>
  <c r="O316" i="18"/>
  <c r="O652" i="18" s="1"/>
  <c r="O202" i="7941"/>
  <c r="O198" i="7941" s="1"/>
  <c r="O24" i="7941"/>
  <c r="O251" i="18"/>
  <c r="O647" i="18" s="1"/>
  <c r="O517" i="18" s="1"/>
  <c r="O86" i="7941" s="1"/>
  <c r="O147" i="18"/>
  <c r="O639" i="18" s="1"/>
  <c r="P461" i="18"/>
  <c r="P689" i="18" s="1"/>
  <c r="P456" i="18"/>
  <c r="P684" i="18" s="1"/>
  <c r="O32" i="7941"/>
  <c r="O108" i="18"/>
  <c r="O636" i="18" s="1"/>
  <c r="N136" i="7944"/>
  <c r="F128" i="7947"/>
  <c r="G128" i="7947" s="1"/>
  <c r="O478" i="18"/>
  <c r="O47" i="7941" s="1"/>
  <c r="P31" i="18"/>
  <c r="P33" i="18"/>
  <c r="P491" i="18"/>
  <c r="P60" i="7941" s="1"/>
  <c r="P40" i="18"/>
  <c r="P498" i="18"/>
  <c r="P67" i="7941"/>
  <c r="P28" i="18"/>
  <c r="P23" i="18"/>
  <c r="P20" i="18"/>
  <c r="P35" i="18"/>
  <c r="P493" i="18"/>
  <c r="P62" i="7941"/>
  <c r="P34" i="18"/>
  <c r="P492" i="18"/>
  <c r="P61" i="7941" s="1"/>
  <c r="P37" i="18"/>
  <c r="P495" i="18"/>
  <c r="P64" i="7941"/>
  <c r="P21" i="18"/>
  <c r="Q148" i="1"/>
  <c r="Q16" i="18"/>
  <c r="F74" i="7947"/>
  <c r="G74" i="7947" s="1"/>
  <c r="Q144" i="1"/>
  <c r="Q162" i="1"/>
  <c r="Q30" i="18"/>
  <c r="Q167" i="1"/>
  <c r="Q35" i="18"/>
  <c r="Q150" i="1"/>
  <c r="Q18" i="18"/>
  <c r="Q166" i="1"/>
  <c r="Q34" i="18"/>
  <c r="Q154" i="1"/>
  <c r="Q22" i="18"/>
  <c r="Q151" i="1"/>
  <c r="Q19" i="18"/>
  <c r="Q155" i="1"/>
  <c r="Q23" i="18"/>
  <c r="Q159" i="1"/>
  <c r="Q27" i="18"/>
  <c r="Q161" i="1"/>
  <c r="Q29" i="18"/>
  <c r="Q156" i="1"/>
  <c r="Q24" i="18"/>
  <c r="Q165" i="1"/>
  <c r="Q33" i="18"/>
  <c r="Q491" i="18"/>
  <c r="Q60" i="7941" s="1"/>
  <c r="Q7" i="18"/>
  <c r="Q152" i="1"/>
  <c r="Q20" i="18"/>
  <c r="Q160" i="1"/>
  <c r="Q28" i="18"/>
  <c r="Q173" i="1"/>
  <c r="Q41" i="18"/>
  <c r="Q499" i="18"/>
  <c r="Q68" i="7941"/>
  <c r="Q147" i="1"/>
  <c r="Q15" i="18"/>
  <c r="Q146" i="1"/>
  <c r="Q14" i="18"/>
  <c r="Q157" i="1"/>
  <c r="Q25" i="18"/>
  <c r="Q170" i="1"/>
  <c r="Q38" i="18"/>
  <c r="Q496" i="18"/>
  <c r="Q65" i="7941"/>
  <c r="Q163" i="1"/>
  <c r="Q31" i="18"/>
  <c r="Q149" i="1"/>
  <c r="Q17" i="18"/>
  <c r="Q171" i="1"/>
  <c r="Q39" i="18"/>
  <c r="Q497" i="18"/>
  <c r="Q66" i="7941"/>
  <c r="Q164" i="1"/>
  <c r="Q32" i="18"/>
  <c r="Q153" i="1"/>
  <c r="Q21" i="18"/>
  <c r="Q145" i="1"/>
  <c r="Q13" i="18"/>
  <c r="Q169" i="1"/>
  <c r="Q37" i="18"/>
  <c r="Q495" i="18"/>
  <c r="Q64" i="7941"/>
  <c r="Q172" i="1"/>
  <c r="Q40" i="18"/>
  <c r="Q498" i="18"/>
  <c r="Q67" i="7941"/>
  <c r="Q168" i="1"/>
  <c r="Q36" i="18"/>
  <c r="Q494" i="18"/>
  <c r="Q63" i="7941"/>
  <c r="Q158" i="1"/>
  <c r="Q26" i="18"/>
  <c r="P39" i="18"/>
  <c r="P497" i="18"/>
  <c r="P66" i="7941" s="1"/>
  <c r="P483" i="18"/>
  <c r="P52" i="7941" s="1"/>
  <c r="F199" i="7947"/>
  <c r="P16" i="18"/>
  <c r="P14" i="18"/>
  <c r="O477" i="18"/>
  <c r="O46" i="7941"/>
  <c r="F114" i="7947"/>
  <c r="G114" i="7947" s="1"/>
  <c r="F86" i="7947"/>
  <c r="G86" i="7947" s="1"/>
  <c r="O475" i="18"/>
  <c r="O44" i="7941"/>
  <c r="O484" i="18"/>
  <c r="O53" i="7941"/>
  <c r="F212" i="7947"/>
  <c r="G212" i="7947" s="1"/>
  <c r="P4" i="7941"/>
  <c r="P4" i="7942"/>
  <c r="P143" i="1"/>
  <c r="P75" i="1"/>
  <c r="P109" i="1"/>
  <c r="P4" i="18"/>
  <c r="P177" i="1"/>
  <c r="O4" i="7944"/>
  <c r="Q41" i="1"/>
  <c r="O486" i="18"/>
  <c r="O55" i="7941"/>
  <c r="F240" i="7947"/>
  <c r="G240" i="7947" s="1"/>
  <c r="O474" i="18"/>
  <c r="O43" i="7941" s="1"/>
  <c r="O11" i="18"/>
  <c r="F72" i="7947"/>
  <c r="G72" i="7947" s="1"/>
  <c r="P29" i="18"/>
  <c r="P18" i="18"/>
  <c r="P482" i="18"/>
  <c r="P51" i="7941" s="1"/>
  <c r="F185" i="7947"/>
  <c r="P17" i="18"/>
  <c r="P22" i="18"/>
  <c r="P32" i="18"/>
  <c r="P15" i="18"/>
  <c r="P38" i="18"/>
  <c r="P496" i="18"/>
  <c r="P65" i="7941" s="1"/>
  <c r="P13" i="18"/>
  <c r="P19" i="18"/>
  <c r="P26" i="18"/>
  <c r="P12" i="18"/>
  <c r="P174" i="1"/>
  <c r="P41" i="18"/>
  <c r="P499" i="18"/>
  <c r="P68" i="7941" s="1"/>
  <c r="P30" i="18"/>
  <c r="P485" i="18"/>
  <c r="P54" i="7941"/>
  <c r="F227" i="7947"/>
  <c r="P36" i="18"/>
  <c r="P494" i="18"/>
  <c r="P63" i="7941"/>
  <c r="O487" i="18"/>
  <c r="O56" i="7941"/>
  <c r="F254" i="7947"/>
  <c r="G254" i="7947" s="1"/>
  <c r="O481" i="18"/>
  <c r="O50" i="7941" s="1"/>
  <c r="F170" i="7947"/>
  <c r="G170" i="7947" s="1"/>
  <c r="I474" i="18"/>
  <c r="I43" i="7941"/>
  <c r="H43" i="7941"/>
  <c r="P488" i="18"/>
  <c r="P57" i="7941" s="1"/>
  <c r="F269" i="7947"/>
  <c r="G269" i="7947" s="1"/>
  <c r="P31" i="7941"/>
  <c r="P14" i="7944"/>
  <c r="O175" i="7944"/>
  <c r="P28" i="7941"/>
  <c r="P56" i="18"/>
  <c r="P632" i="18"/>
  <c r="P216" i="7941"/>
  <c r="Q451" i="18"/>
  <c r="Q679" i="18" s="1"/>
  <c r="P36" i="7944"/>
  <c r="Q453" i="18"/>
  <c r="Q681" i="18" s="1"/>
  <c r="Q517" i="18" s="1"/>
  <c r="Q86" i="7941" s="1"/>
  <c r="P35" i="7944"/>
  <c r="P22" i="7941"/>
  <c r="P209" i="7941"/>
  <c r="Q449" i="18"/>
  <c r="Q677" i="18" s="1"/>
  <c r="P14" i="7941"/>
  <c r="P212" i="7941"/>
  <c r="P18" i="7941"/>
  <c r="P25" i="7944"/>
  <c r="O331" i="7944"/>
  <c r="P30" i="7944"/>
  <c r="P16" i="7944"/>
  <c r="P13" i="7944"/>
  <c r="P220" i="7941"/>
  <c r="P225" i="7941"/>
  <c r="P108" i="18"/>
  <c r="P636" i="18" s="1"/>
  <c r="P29" i="7944"/>
  <c r="O227" i="7944"/>
  <c r="P10" i="7941"/>
  <c r="O344" i="7944"/>
  <c r="Q438" i="18"/>
  <c r="O279" i="7944"/>
  <c r="P329" i="18"/>
  <c r="P653" i="18" s="1"/>
  <c r="Q461" i="18"/>
  <c r="Q689" i="18" s="1"/>
  <c r="P11" i="7944"/>
  <c r="P210" i="7941"/>
  <c r="P9" i="7941"/>
  <c r="P13" i="7941"/>
  <c r="P10" i="7944"/>
  <c r="P31" i="7944"/>
  <c r="O110" i="7944"/>
  <c r="P355" i="18"/>
  <c r="P655" i="18" s="1"/>
  <c r="O149" i="7944"/>
  <c r="P223" i="7941"/>
  <c r="P251" i="18"/>
  <c r="P647" i="18"/>
  <c r="P517" i="18" s="1"/>
  <c r="P86" i="7941" s="1"/>
  <c r="P23" i="7941"/>
  <c r="P35" i="7941"/>
  <c r="P160" i="18"/>
  <c r="P640" i="18"/>
  <c r="P510" i="18" s="1"/>
  <c r="P79" i="7941" s="1"/>
  <c r="P32" i="7941"/>
  <c r="Q441" i="18"/>
  <c r="Q669" i="18" s="1"/>
  <c r="Q505" i="18" s="1"/>
  <c r="Q74" i="7941" s="1"/>
  <c r="P208" i="7941"/>
  <c r="P219" i="7941"/>
  <c r="P238" i="18"/>
  <c r="P646" i="18" s="1"/>
  <c r="P16" i="7941"/>
  <c r="P19" i="7941"/>
  <c r="P34" i="7944"/>
  <c r="P303" i="18"/>
  <c r="P651" i="18"/>
  <c r="P15" i="7944"/>
  <c r="P20" i="7941"/>
  <c r="P34" i="7941"/>
  <c r="P36" i="7941"/>
  <c r="P226" i="7941"/>
  <c r="P213" i="7941"/>
  <c r="Q442" i="18"/>
  <c r="Q670" i="18"/>
  <c r="Q506" i="18" s="1"/>
  <c r="Q75" i="7941" s="1"/>
  <c r="P203" i="7941"/>
  <c r="P26" i="7944"/>
  <c r="P9" i="7944"/>
  <c r="P21" i="7944"/>
  <c r="P228" i="7941"/>
  <c r="P8" i="7941"/>
  <c r="P204" i="7941"/>
  <c r="P27" i="7944"/>
  <c r="Q457" i="18"/>
  <c r="Q685" i="18"/>
  <c r="P25" i="7941"/>
  <c r="P212" i="18"/>
  <c r="P644" i="18" s="1"/>
  <c r="P217" i="7941"/>
  <c r="P199" i="7941"/>
  <c r="P224" i="7941"/>
  <c r="O201" i="7944"/>
  <c r="P26" i="7941"/>
  <c r="P15" i="7941"/>
  <c r="P342" i="18"/>
  <c r="P654" i="18" s="1"/>
  <c r="P206" i="7941"/>
  <c r="Q458" i="18"/>
  <c r="Q686" i="18"/>
  <c r="P134" i="18"/>
  <c r="P638" i="18"/>
  <c r="P508" i="18" s="1"/>
  <c r="P77" i="7941" s="1"/>
  <c r="Q455" i="18"/>
  <c r="Q683" i="18"/>
  <c r="Q459" i="18"/>
  <c r="Q687" i="18"/>
  <c r="P82" i="18"/>
  <c r="P634" i="18"/>
  <c r="P504" i="18" s="1"/>
  <c r="P73" i="7941" s="1"/>
  <c r="P20" i="7944"/>
  <c r="O266" i="7944"/>
  <c r="P8" i="7944"/>
  <c r="P420" i="18"/>
  <c r="P660" i="18" s="1"/>
  <c r="P12" i="7944"/>
  <c r="P121" i="18"/>
  <c r="P202" i="7941"/>
  <c r="Q466" i="18"/>
  <c r="Q694" i="18" s="1"/>
  <c r="P218" i="7941"/>
  <c r="P17" i="7941"/>
  <c r="O136" i="7944"/>
  <c r="Q444" i="18"/>
  <c r="Q672" i="18"/>
  <c r="P33" i="7941"/>
  <c r="P227" i="7941"/>
  <c r="P27" i="7941"/>
  <c r="P69" i="18"/>
  <c r="P633" i="18" s="1"/>
  <c r="Q463" i="18"/>
  <c r="Q691" i="18" s="1"/>
  <c r="O240" i="7944"/>
  <c r="P24" i="7941"/>
  <c r="O305" i="7944"/>
  <c r="Q447" i="18"/>
  <c r="Q675" i="18"/>
  <c r="P28" i="7944"/>
  <c r="P215" i="7941"/>
  <c r="P394" i="18"/>
  <c r="P658" i="18"/>
  <c r="P7" i="7941"/>
  <c r="Q440" i="18"/>
  <c r="Q668" i="18" s="1"/>
  <c r="P12" i="7941"/>
  <c r="P19" i="7944"/>
  <c r="P95" i="18"/>
  <c r="P635" i="18" s="1"/>
  <c r="P22" i="7944"/>
  <c r="Q464" i="18"/>
  <c r="Q692" i="18"/>
  <c r="P23" i="7944"/>
  <c r="Q446" i="18"/>
  <c r="Q674" i="18" s="1"/>
  <c r="P29" i="7941"/>
  <c r="P211" i="7941"/>
  <c r="P214" i="7941"/>
  <c r="P201" i="7941"/>
  <c r="O214" i="7944"/>
  <c r="Q460" i="18"/>
  <c r="Q688" i="18" s="1"/>
  <c r="O123" i="7944"/>
  <c r="O188" i="7944"/>
  <c r="Q443" i="18"/>
  <c r="Q671" i="18" s="1"/>
  <c r="P33" i="7944"/>
  <c r="P200" i="7941"/>
  <c r="Q445" i="18"/>
  <c r="Q673" i="18" s="1"/>
  <c r="O162" i="7944"/>
  <c r="P11" i="7941"/>
  <c r="Q467" i="18"/>
  <c r="Q695" i="18" s="1"/>
  <c r="P316" i="18"/>
  <c r="P652" i="18" s="1"/>
  <c r="Q456" i="18"/>
  <c r="Q684" i="18" s="1"/>
  <c r="P222" i="7941"/>
  <c r="P225" i="18"/>
  <c r="P645" i="18" s="1"/>
  <c r="P407" i="18"/>
  <c r="P659" i="18" s="1"/>
  <c r="P433" i="18"/>
  <c r="P661" i="18" s="1"/>
  <c r="P32" i="7944"/>
  <c r="P207" i="7941"/>
  <c r="P173" i="18"/>
  <c r="P641" i="18" s="1"/>
  <c r="Q439" i="18"/>
  <c r="P199" i="18"/>
  <c r="P643" i="18" s="1"/>
  <c r="P30" i="7941"/>
  <c r="O253" i="7944"/>
  <c r="Q450" i="18"/>
  <c r="Q678" i="18" s="1"/>
  <c r="Q514" i="18" s="1"/>
  <c r="Q83" i="7941" s="1"/>
  <c r="P147" i="18"/>
  <c r="P639" i="18" s="1"/>
  <c r="P290" i="18"/>
  <c r="P650" i="18" s="1"/>
  <c r="P520" i="18" s="1"/>
  <c r="P89" i="7941" s="1"/>
  <c r="P24" i="7944"/>
  <c r="P381" i="18"/>
  <c r="P657" i="18" s="1"/>
  <c r="Q448" i="18"/>
  <c r="Q676" i="18" s="1"/>
  <c r="P21" i="7941"/>
  <c r="O97" i="7944"/>
  <c r="P277" i="18"/>
  <c r="P649" i="18" s="1"/>
  <c r="P17" i="7944"/>
  <c r="Q462" i="18"/>
  <c r="Q690" i="18"/>
  <c r="P205" i="7941"/>
  <c r="O292" i="7944"/>
  <c r="P264" i="18"/>
  <c r="P648" i="18"/>
  <c r="O318" i="7944"/>
  <c r="P18" i="7944"/>
  <c r="P368" i="18"/>
  <c r="P656" i="18"/>
  <c r="Q454" i="18"/>
  <c r="Q682" i="18"/>
  <c r="P37" i="7944"/>
  <c r="O84" i="7944"/>
  <c r="Q452" i="18"/>
  <c r="Q680" i="18"/>
  <c r="P221" i="7941"/>
  <c r="Q465" i="18"/>
  <c r="Q693" i="18" s="1"/>
  <c r="Q529" i="18" s="1"/>
  <c r="Q98" i="7941" s="1"/>
  <c r="P186" i="18"/>
  <c r="P642" i="18" s="1"/>
  <c r="P474" i="18"/>
  <c r="P43" i="7941" s="1"/>
  <c r="F73" i="7947"/>
  <c r="G73" i="7947" s="1"/>
  <c r="Q479" i="18"/>
  <c r="Q48" i="7941"/>
  <c r="F144" i="7947"/>
  <c r="G144" i="7947" s="1"/>
  <c r="Q489" i="18"/>
  <c r="Q58" i="7941" s="1"/>
  <c r="F284" i="7947"/>
  <c r="G284" i="7947" s="1"/>
  <c r="F200" i="7947"/>
  <c r="Q483" i="18"/>
  <c r="Q52" i="7941" s="1"/>
  <c r="Q473" i="18"/>
  <c r="Q42" i="7941" s="1"/>
  <c r="F60" i="7947"/>
  <c r="G60" i="7947" s="1"/>
  <c r="Q486" i="18"/>
  <c r="Q55" i="7941"/>
  <c r="F242" i="7947"/>
  <c r="G242" i="7947" s="1"/>
  <c r="Q474" i="18"/>
  <c r="Q43" i="7941" s="1"/>
  <c r="Q482" i="18"/>
  <c r="Q51" i="7941" s="1"/>
  <c r="F186" i="7947"/>
  <c r="Q485" i="18"/>
  <c r="Q54" i="7941"/>
  <c r="F228" i="7947"/>
  <c r="Q477" i="18"/>
  <c r="Q46" i="7941" s="1"/>
  <c r="F116" i="7947"/>
  <c r="G116" i="7947" s="1"/>
  <c r="Q492" i="18"/>
  <c r="Q61" i="7941"/>
  <c r="Q493" i="18"/>
  <c r="Q62" i="7941"/>
  <c r="Q12" i="18"/>
  <c r="Q174" i="1"/>
  <c r="P470" i="18"/>
  <c r="P39" i="7941"/>
  <c r="F17" i="7947"/>
  <c r="G17" i="7947" s="1"/>
  <c r="P11" i="18"/>
  <c r="P484" i="18"/>
  <c r="P53" i="7941"/>
  <c r="F213" i="7947"/>
  <c r="G213" i="7947" s="1"/>
  <c r="F115" i="7947"/>
  <c r="G115" i="7947" s="1"/>
  <c r="P477" i="18"/>
  <c r="P46" i="7941"/>
  <c r="F31" i="7947"/>
  <c r="G31" i="7947" s="1"/>
  <c r="P471" i="18"/>
  <c r="P40" i="7941" s="1"/>
  <c r="F59" i="7947"/>
  <c r="G59" i="7947" s="1"/>
  <c r="P473" i="18"/>
  <c r="P42" i="7941"/>
  <c r="F297" i="7947"/>
  <c r="G297" i="7947" s="1"/>
  <c r="P490" i="18"/>
  <c r="P59" i="7941" s="1"/>
  <c r="F157" i="7947"/>
  <c r="G157" i="7947" s="1"/>
  <c r="P480" i="18"/>
  <c r="P49" i="7941"/>
  <c r="P475" i="18"/>
  <c r="P44" i="7941"/>
  <c r="F87" i="7947"/>
  <c r="G87" i="7947" s="1"/>
  <c r="F101" i="7947"/>
  <c r="G101" i="7947" s="1"/>
  <c r="P476" i="18"/>
  <c r="P45" i="7941"/>
  <c r="P487" i="18"/>
  <c r="P56" i="7941"/>
  <c r="F255" i="7947"/>
  <c r="G255" i="7947" s="1"/>
  <c r="P4" i="7944"/>
  <c r="Q4" i="7944"/>
  <c r="Q4" i="7942"/>
  <c r="Q177" i="1"/>
  <c r="Q4" i="7941"/>
  <c r="Q4" i="18"/>
  <c r="R4" i="18"/>
  <c r="Q75" i="1"/>
  <c r="Q109" i="1"/>
  <c r="Q143" i="1"/>
  <c r="F45" i="7947"/>
  <c r="G45" i="7947" s="1"/>
  <c r="P472" i="18"/>
  <c r="P41" i="7941"/>
  <c r="F214" i="7947"/>
  <c r="G214" i="7947" s="1"/>
  <c r="Q484" i="18"/>
  <c r="Q53" i="7941" s="1"/>
  <c r="Q471" i="18"/>
  <c r="F32" i="7947"/>
  <c r="G32" i="7947" s="1"/>
  <c r="F298" i="7947"/>
  <c r="G298" i="7947" s="1"/>
  <c r="Q490" i="18"/>
  <c r="Q59" i="7941"/>
  <c r="F88" i="7947"/>
  <c r="G88" i="7947" s="1"/>
  <c r="Q475" i="18"/>
  <c r="Q44" i="7941" s="1"/>
  <c r="Q472" i="18"/>
  <c r="Q41" i="7941" s="1"/>
  <c r="F46" i="7947"/>
  <c r="G46" i="7947" s="1"/>
  <c r="Q478" i="18"/>
  <c r="Q47" i="7941"/>
  <c r="F130" i="7947"/>
  <c r="G130" i="7947" s="1"/>
  <c r="F256" i="7947"/>
  <c r="G256" i="7947" s="1"/>
  <c r="Q487" i="18"/>
  <c r="Q56" i="7941"/>
  <c r="Q481" i="18"/>
  <c r="Q50" i="7941"/>
  <c r="F172" i="7947"/>
  <c r="G172" i="7947" s="1"/>
  <c r="F158" i="7947"/>
  <c r="G158" i="7947" s="1"/>
  <c r="Q480" i="18"/>
  <c r="Q49" i="7941"/>
  <c r="F102" i="7947"/>
  <c r="G102" i="7947" s="1"/>
  <c r="Q476" i="18"/>
  <c r="Q45" i="7941" s="1"/>
  <c r="F270" i="7947"/>
  <c r="G270" i="7947" s="1"/>
  <c r="Q488" i="18"/>
  <c r="Q57" i="7941"/>
  <c r="F143" i="7947"/>
  <c r="G143" i="7947" s="1"/>
  <c r="P479" i="18"/>
  <c r="P48" i="7941" s="1"/>
  <c r="P478" i="18"/>
  <c r="P47" i="7941" s="1"/>
  <c r="F129" i="7947"/>
  <c r="G129" i="7947" s="1"/>
  <c r="F171" i="7947"/>
  <c r="G171" i="7947" s="1"/>
  <c r="P481" i="18"/>
  <c r="P50" i="7941" s="1"/>
  <c r="P486" i="18"/>
  <c r="P55" i="7941" s="1"/>
  <c r="F241" i="7947"/>
  <c r="G241" i="7947" s="1"/>
  <c r="P489" i="18"/>
  <c r="P58" i="7941"/>
  <c r="F283" i="7947"/>
  <c r="G283" i="7947" s="1"/>
  <c r="F18" i="7947"/>
  <c r="G18" i="7947" s="1"/>
  <c r="Q11" i="18"/>
  <c r="Q470" i="18"/>
  <c r="Q39" i="7941" s="1"/>
  <c r="Q215" i="7941"/>
  <c r="Q24" i="7941"/>
  <c r="P214" i="7944"/>
  <c r="P84" i="7944"/>
  <c r="R444" i="18"/>
  <c r="Q303" i="18"/>
  <c r="Q651" i="18"/>
  <c r="Q213" i="7941"/>
  <c r="Q19" i="7941"/>
  <c r="Q28" i="7944"/>
  <c r="Q225" i="7941"/>
  <c r="Q35" i="7944"/>
  <c r="Q25" i="7944"/>
  <c r="Q29" i="7944"/>
  <c r="Q204" i="7941"/>
  <c r="R445" i="18"/>
  <c r="Q18" i="7941"/>
  <c r="Q32" i="7944"/>
  <c r="Q433" i="18"/>
  <c r="Q661" i="18" s="1"/>
  <c r="Q220" i="7941"/>
  <c r="R439" i="18"/>
  <c r="Q216" i="7941"/>
  <c r="Q25" i="7941"/>
  <c r="Q15" i="7941"/>
  <c r="Q342" i="18"/>
  <c r="Q654" i="18" s="1"/>
  <c r="P344" i="7944"/>
  <c r="Q173" i="18"/>
  <c r="Q641" i="18" s="1"/>
  <c r="Q238" i="18"/>
  <c r="Q646" i="18" s="1"/>
  <c r="Q147" i="18"/>
  <c r="Q639" i="18" s="1"/>
  <c r="R455" i="18"/>
  <c r="Q24" i="7944"/>
  <c r="Q28" i="7941"/>
  <c r="Q9" i="7941"/>
  <c r="Q355" i="18"/>
  <c r="Q655" i="18" s="1"/>
  <c r="Q525" i="18" s="1"/>
  <c r="Q94" i="7941" s="1"/>
  <c r="R456" i="18"/>
  <c r="Q199" i="18"/>
  <c r="Q643" i="18" s="1"/>
  <c r="R467" i="18"/>
  <c r="Q218" i="7941"/>
  <c r="Q290" i="18"/>
  <c r="Q650" i="18" s="1"/>
  <c r="Q224" i="7941"/>
  <c r="Q214" i="7941"/>
  <c r="Q23" i="7944"/>
  <c r="R465" i="18"/>
  <c r="Q12" i="7944"/>
  <c r="Q20" i="7941"/>
  <c r="Q217" i="7941"/>
  <c r="Q198" i="7941" s="1"/>
  <c r="R462" i="18"/>
  <c r="Q15" i="7944"/>
  <c r="Q16" i="7944"/>
  <c r="Q13" i="7944"/>
  <c r="Q30" i="7941"/>
  <c r="Q316" i="18"/>
  <c r="Q652" i="18" s="1"/>
  <c r="Q522" i="18" s="1"/>
  <c r="Q91" i="7941" s="1"/>
  <c r="Q202" i="7941"/>
  <c r="Q17" i="7944"/>
  <c r="Q21" i="7941"/>
  <c r="P136" i="7944"/>
  <c r="Q8" i="7944"/>
  <c r="P266" i="7944"/>
  <c r="P279" i="7944"/>
  <c r="Q26" i="7944"/>
  <c r="P318" i="7944"/>
  <c r="Q82" i="18"/>
  <c r="Q634" i="18" s="1"/>
  <c r="R464" i="18"/>
  <c r="Q13" i="7941"/>
  <c r="R446" i="18"/>
  <c r="Q394" i="18"/>
  <c r="Q658" i="18"/>
  <c r="Q528" i="18" s="1"/>
  <c r="R459" i="18"/>
  <c r="P305" i="7944"/>
  <c r="P162" i="7944"/>
  <c r="Q23" i="7941"/>
  <c r="Q12" i="7941"/>
  <c r="Q199" i="7941"/>
  <c r="Q251" i="18"/>
  <c r="Q647" i="18"/>
  <c r="R442" i="18"/>
  <c r="R449" i="18"/>
  <c r="Q219" i="7941"/>
  <c r="R466" i="18"/>
  <c r="Q31" i="7941"/>
  <c r="Q203" i="7941"/>
  <c r="Q186" i="18"/>
  <c r="Q642" i="18"/>
  <c r="Q95" i="18"/>
  <c r="Q635" i="18"/>
  <c r="Q368" i="18"/>
  <c r="Q656" i="18"/>
  <c r="Q16" i="7941"/>
  <c r="Q14" i="7941"/>
  <c r="P97" i="7944"/>
  <c r="Q209" i="7941"/>
  <c r="Q36" i="7944"/>
  <c r="Q420" i="18"/>
  <c r="Q660" i="18" s="1"/>
  <c r="Q530" i="18" s="1"/>
  <c r="Q99" i="7941" s="1"/>
  <c r="Q407" i="18"/>
  <c r="Q659" i="18" s="1"/>
  <c r="R440" i="18"/>
  <c r="Q19" i="7944"/>
  <c r="Q29" i="7941"/>
  <c r="Q381" i="18"/>
  <c r="Q657" i="18"/>
  <c r="R450" i="18"/>
  <c r="Q7" i="7941"/>
  <c r="Q228" i="7941"/>
  <c r="Q22" i="7941"/>
  <c r="Q21" i="7944"/>
  <c r="R463" i="18"/>
  <c r="Q108" i="18"/>
  <c r="Q636" i="18"/>
  <c r="Q69" i="18"/>
  <c r="Q633" i="18"/>
  <c r="R453" i="18"/>
  <c r="Q221" i="7941"/>
  <c r="Q27" i="7941"/>
  <c r="P175" i="7944"/>
  <c r="Q9" i="7944"/>
  <c r="Q206" i="7941"/>
  <c r="P123" i="7944"/>
  <c r="Q225" i="18"/>
  <c r="Q645" i="18" s="1"/>
  <c r="Q222" i="7941"/>
  <c r="Q10" i="7941"/>
  <c r="Q134" i="18"/>
  <c r="Q638" i="18" s="1"/>
  <c r="Q10" i="7944"/>
  <c r="Q35" i="7941"/>
  <c r="R452" i="18"/>
  <c r="Q201" i="7941"/>
  <c r="Q56" i="18"/>
  <c r="Q632" i="18" s="1"/>
  <c r="P188" i="7944"/>
  <c r="Q11" i="7941"/>
  <c r="Q212" i="7941"/>
  <c r="Q11" i="7944"/>
  <c r="Q33" i="7944"/>
  <c r="P149" i="7944"/>
  <c r="R454" i="18"/>
  <c r="R458" i="18"/>
  <c r="R438" i="18"/>
  <c r="Q208" i="7941"/>
  <c r="Q22" i="7944"/>
  <c r="Q20" i="7944"/>
  <c r="Q14" i="7944"/>
  <c r="Q210" i="7941"/>
  <c r="Q277" i="18"/>
  <c r="Q649" i="18" s="1"/>
  <c r="Q200" i="7941"/>
  <c r="Q211" i="7941"/>
  <c r="Q37" i="7944"/>
  <c r="R441" i="18"/>
  <c r="Q33" i="7941"/>
  <c r="R460" i="18"/>
  <c r="Q36" i="7941"/>
  <c r="Q160" i="18"/>
  <c r="Q640" i="18"/>
  <c r="Q510" i="18" s="1"/>
  <c r="Q79" i="7941" s="1"/>
  <c r="Q226" i="7941"/>
  <c r="Q26" i="7941"/>
  <c r="Q30" i="7944"/>
  <c r="Q264" i="18"/>
  <c r="Q648" i="18" s="1"/>
  <c r="Q27" i="7944"/>
  <c r="Q121" i="18"/>
  <c r="Q637" i="18" s="1"/>
  <c r="Q32" i="7941"/>
  <c r="R448" i="18"/>
  <c r="Q18" i="7944"/>
  <c r="P227" i="7944"/>
  <c r="P292" i="7944"/>
  <c r="R461" i="18"/>
  <c r="R451" i="18"/>
  <c r="R447" i="18"/>
  <c r="R443" i="18"/>
  <c r="P110" i="7944"/>
  <c r="P240" i="7944"/>
  <c r="P201" i="7944"/>
  <c r="Q329" i="18"/>
  <c r="Q653" i="18" s="1"/>
  <c r="Q34" i="7941"/>
  <c r="R457" i="18"/>
  <c r="Q31" i="7944"/>
  <c r="P253" i="7944"/>
  <c r="P331" i="7944"/>
  <c r="Q207" i="7941"/>
  <c r="Q17" i="7941"/>
  <c r="Q34" i="7944"/>
  <c r="Q8" i="7941"/>
  <c r="Q212" i="18"/>
  <c r="Q644" i="18" s="1"/>
  <c r="Q223" i="7941"/>
  <c r="Q227" i="7941"/>
  <c r="Q205" i="7941"/>
  <c r="L486" i="7941"/>
  <c r="O71" i="7944"/>
  <c r="P71" i="7944"/>
  <c r="G20" i="7944"/>
  <c r="H36" i="7944"/>
  <c r="I36" i="7944"/>
  <c r="J36" i="7944"/>
  <c r="K36" i="7944"/>
  <c r="L36" i="7944"/>
  <c r="J9" i="7950"/>
  <c r="N71" i="7944"/>
  <c r="G24" i="7944"/>
  <c r="J35" i="7944"/>
  <c r="K35" i="7944"/>
  <c r="L35" i="7944"/>
  <c r="J31" i="7944"/>
  <c r="K31" i="7944"/>
  <c r="L31" i="7944"/>
  <c r="G15" i="7944"/>
  <c r="M71" i="7944"/>
  <c r="H32" i="7944"/>
  <c r="I32" i="7944"/>
  <c r="J32" i="7944"/>
  <c r="K32" i="7944"/>
  <c r="L32" i="7944"/>
  <c r="G10" i="7944"/>
  <c r="G28" i="7944"/>
  <c r="G17" i="7944"/>
  <c r="I34" i="7944"/>
  <c r="J34" i="7944"/>
  <c r="K34" i="7944"/>
  <c r="L34" i="7944"/>
  <c r="I30" i="7944"/>
  <c r="J30" i="7944"/>
  <c r="K30" i="7944"/>
  <c r="L30" i="7944"/>
  <c r="I476" i="18"/>
  <c r="I45" i="7941"/>
  <c r="I11" i="18"/>
  <c r="H134" i="7942"/>
  <c r="I134" i="7942" s="1"/>
  <c r="I108" i="7942"/>
  <c r="H110" i="7942"/>
  <c r="I110" i="7942" s="1"/>
  <c r="F27" i="7947"/>
  <c r="G27" i="7947" s="1"/>
  <c r="L471" i="18"/>
  <c r="L40" i="7941"/>
  <c r="F251" i="7947"/>
  <c r="G251" i="7947" s="1"/>
  <c r="L487" i="18"/>
  <c r="L56" i="7941" s="1"/>
  <c r="L488" i="18"/>
  <c r="L57" i="7941" s="1"/>
  <c r="F265" i="7947"/>
  <c r="G265" i="7947" s="1"/>
  <c r="J11" i="18"/>
  <c r="J470" i="18"/>
  <c r="J469" i="18" s="1"/>
  <c r="F237" i="7947"/>
  <c r="G237" i="7947" s="1"/>
  <c r="L486" i="18"/>
  <c r="L55" i="7941"/>
  <c r="H118" i="7942"/>
  <c r="I132" i="7942"/>
  <c r="L482" i="18"/>
  <c r="L51" i="7941" s="1"/>
  <c r="F181" i="7947"/>
  <c r="K11" i="18"/>
  <c r="K470" i="18"/>
  <c r="K39" i="7941" s="1"/>
  <c r="K38" i="7941" s="1"/>
  <c r="L470" i="18"/>
  <c r="L39" i="7941"/>
  <c r="L11" i="18"/>
  <c r="F13" i="7947"/>
  <c r="G13" i="7947" s="1"/>
  <c r="L480" i="18"/>
  <c r="L49" i="7941"/>
  <c r="F153" i="7947"/>
  <c r="G153" i="7947" s="1"/>
  <c r="L490" i="18"/>
  <c r="L59" i="7941" s="1"/>
  <c r="F293" i="7947"/>
  <c r="G293" i="7947" s="1"/>
  <c r="G174" i="1"/>
  <c r="G175" i="1"/>
  <c r="F219" i="7947"/>
  <c r="J174" i="1"/>
  <c r="J175" i="1"/>
  <c r="F167" i="7947"/>
  <c r="G167" i="7947" s="1"/>
  <c r="F83" i="7947"/>
  <c r="G83" i="7947" s="1"/>
  <c r="F195" i="7947"/>
  <c r="L473" i="18"/>
  <c r="L42" i="7941"/>
  <c r="F221" i="7947"/>
  <c r="F192" i="7947"/>
  <c r="I174" i="1"/>
  <c r="I175" i="1"/>
  <c r="F194" i="7947"/>
  <c r="F191" i="7947"/>
  <c r="H11" i="18"/>
  <c r="O531" i="18"/>
  <c r="O100" i="7941" s="1"/>
  <c r="F220" i="7947"/>
  <c r="Q97" i="7941"/>
  <c r="F193" i="7947"/>
  <c r="H332" i="7944"/>
  <c r="H120" i="7942"/>
  <c r="I120" i="7942"/>
  <c r="J120" i="7942" s="1"/>
  <c r="G43" i="7942"/>
  <c r="R175" i="1"/>
  <c r="H307" i="7942"/>
  <c r="I307" i="7942"/>
  <c r="J307" i="7942"/>
  <c r="H285" i="7942"/>
  <c r="H305" i="7942"/>
  <c r="I305" i="7942"/>
  <c r="J305" i="7942" s="1"/>
  <c r="H291" i="7942"/>
  <c r="I291" i="7942"/>
  <c r="J291" i="7942" s="1"/>
  <c r="H281" i="7942"/>
  <c r="I277" i="7942"/>
  <c r="G82" i="7941"/>
  <c r="H299" i="7942"/>
  <c r="H295" i="7942"/>
  <c r="I295" i="7942"/>
  <c r="J295" i="7942" s="1"/>
  <c r="G640" i="18"/>
  <c r="G597" i="18"/>
  <c r="G636" i="18"/>
  <c r="H354" i="7942"/>
  <c r="G645" i="18"/>
  <c r="G653" i="18"/>
  <c r="G461" i="7942"/>
  <c r="G584" i="18"/>
  <c r="G153" i="7941" s="1"/>
  <c r="G518" i="18"/>
  <c r="G514" i="18"/>
  <c r="G83" i="7941"/>
  <c r="H458" i="18"/>
  <c r="H686" i="18" s="1"/>
  <c r="H277" i="7942"/>
  <c r="J277" i="7942"/>
  <c r="G641" i="18"/>
  <c r="G204" i="7942"/>
  <c r="G650" i="18"/>
  <c r="G397" i="7942"/>
  <c r="G634" i="18"/>
  <c r="H337" i="7942"/>
  <c r="H347" i="7942"/>
  <c r="O520" i="18"/>
  <c r="O89" i="7941" s="1"/>
  <c r="O505" i="18"/>
  <c r="O74" i="7941" s="1"/>
  <c r="N511" i="18"/>
  <c r="N80" i="7941" s="1"/>
  <c r="G10" i="7941"/>
  <c r="G17" i="7941"/>
  <c r="H335" i="7942"/>
  <c r="H57" i="18" s="1"/>
  <c r="H69" i="18" s="1"/>
  <c r="H633" i="18"/>
  <c r="H438" i="18"/>
  <c r="I271" i="7942"/>
  <c r="K321" i="7942"/>
  <c r="J321" i="7942"/>
  <c r="J134" i="7942"/>
  <c r="K134" i="7942" s="1"/>
  <c r="H152" i="7942"/>
  <c r="G147" i="7941"/>
  <c r="G139" i="7941"/>
  <c r="G92" i="7941"/>
  <c r="H445" i="18"/>
  <c r="H673" i="18"/>
  <c r="G639" i="18"/>
  <c r="H126" i="7942"/>
  <c r="H142" i="7942"/>
  <c r="I138" i="7942"/>
  <c r="G236" i="7942"/>
  <c r="I146" i="7942"/>
  <c r="J146" i="7942" s="1"/>
  <c r="H464" i="18"/>
  <c r="H692" i="18"/>
  <c r="G97" i="7941"/>
  <c r="H128" i="7942"/>
  <c r="I128" i="7942"/>
  <c r="H279" i="7942"/>
  <c r="H311" i="7942"/>
  <c r="H327" i="7942"/>
  <c r="I289" i="7942"/>
  <c r="H114" i="7942"/>
  <c r="I114" i="7942"/>
  <c r="H451" i="18"/>
  <c r="H679" i="18"/>
  <c r="G633" i="18"/>
  <c r="H467" i="18"/>
  <c r="H695" i="18" s="1"/>
  <c r="G635" i="18"/>
  <c r="G643" i="18"/>
  <c r="G632" i="18"/>
  <c r="O503" i="18"/>
  <c r="O72" i="7941" s="1"/>
  <c r="I717" i="18"/>
  <c r="I698" i="18"/>
  <c r="F179" i="7947"/>
  <c r="F178" i="7947"/>
  <c r="F177" i="7947"/>
  <c r="I714" i="18"/>
  <c r="O530" i="18"/>
  <c r="O99" i="7941" s="1"/>
  <c r="I712" i="18"/>
  <c r="I707" i="18"/>
  <c r="K9" i="7950"/>
  <c r="H37" i="7950"/>
  <c r="R37" i="7950"/>
  <c r="H98" i="7944"/>
  <c r="E229" i="7947"/>
  <c r="E47" i="7947"/>
  <c r="E173" i="7947"/>
  <c r="E89" i="7947"/>
  <c r="E61" i="7947"/>
  <c r="E187" i="7947"/>
  <c r="E243" i="7947"/>
  <c r="E19" i="7947"/>
  <c r="E215" i="7947"/>
  <c r="E145" i="7947"/>
  <c r="K20" i="7950"/>
  <c r="H48" i="7950"/>
  <c r="T48" i="7950"/>
  <c r="J241" i="7944"/>
  <c r="J253" i="7944"/>
  <c r="K8" i="7950"/>
  <c r="M8" i="7950"/>
  <c r="K19" i="7950"/>
  <c r="H47" i="7950"/>
  <c r="T47" i="7950"/>
  <c r="J228" i="7944"/>
  <c r="J240" i="7944"/>
  <c r="K27" i="7950"/>
  <c r="H55" i="7950"/>
  <c r="U55" i="7950"/>
  <c r="H217" i="7944"/>
  <c r="H113" i="7944"/>
  <c r="H308" i="7944"/>
  <c r="H282" i="7944"/>
  <c r="H334" i="7944"/>
  <c r="H139" i="7944"/>
  <c r="H74" i="7944"/>
  <c r="H100" i="7944"/>
  <c r="M20" i="7950"/>
  <c r="K18" i="7950"/>
  <c r="H28" i="7944"/>
  <c r="H295" i="7944"/>
  <c r="H204" i="7944"/>
  <c r="M9" i="7950"/>
  <c r="K17" i="7950"/>
  <c r="K25" i="7950"/>
  <c r="M25" i="7950"/>
  <c r="K7" i="7950"/>
  <c r="K22" i="7950"/>
  <c r="M22" i="7950"/>
  <c r="H165" i="7944"/>
  <c r="H126" i="7944"/>
  <c r="H152" i="7944"/>
  <c r="H191" i="7944"/>
  <c r="H256" i="7944"/>
  <c r="H321" i="7944"/>
  <c r="H178" i="7944"/>
  <c r="H87" i="7944"/>
  <c r="P522" i="18"/>
  <c r="P91" i="7941" s="1"/>
  <c r="Q527" i="18"/>
  <c r="Q96" i="7941" s="1"/>
  <c r="P511" i="18"/>
  <c r="P80" i="7941" s="1"/>
  <c r="G68" i="7941"/>
  <c r="H462" i="18"/>
  <c r="H690" i="18" s="1"/>
  <c r="H447" i="18"/>
  <c r="H675" i="18" s="1"/>
  <c r="P437" i="18"/>
  <c r="Q513" i="18"/>
  <c r="Q82" i="7941" s="1"/>
  <c r="P519" i="18"/>
  <c r="P88" i="7941" s="1"/>
  <c r="P514" i="18"/>
  <c r="P83" i="7941" s="1"/>
  <c r="O521" i="18"/>
  <c r="O90" i="7941" s="1"/>
  <c r="Q507" i="18"/>
  <c r="Q76" i="7941" s="1"/>
  <c r="Q520" i="18"/>
  <c r="Q89" i="7941" s="1"/>
  <c r="Q524" i="18"/>
  <c r="Q93" i="7941" s="1"/>
  <c r="G665" i="18"/>
  <c r="G652" i="18"/>
  <c r="H62" i="7941"/>
  <c r="H469" i="18"/>
  <c r="H356" i="18"/>
  <c r="H368" i="18" s="1"/>
  <c r="H656" i="18" s="1"/>
  <c r="H526" i="18" s="1"/>
  <c r="H44" i="18"/>
  <c r="H265" i="18"/>
  <c r="H70" i="18"/>
  <c r="H82" i="18" s="1"/>
  <c r="H634" i="18" s="1"/>
  <c r="H200" i="18"/>
  <c r="H213" i="18"/>
  <c r="F190" i="7947" s="1"/>
  <c r="F201" i="7947" s="1"/>
  <c r="G201" i="7947" s="1"/>
  <c r="H83" i="18"/>
  <c r="H161" i="18"/>
  <c r="H173" i="18" s="1"/>
  <c r="H641" i="18" s="1"/>
  <c r="H511" i="18" s="1"/>
  <c r="H278" i="18"/>
  <c r="H109" i="18"/>
  <c r="H291" i="18"/>
  <c r="H239" i="18"/>
  <c r="F218" i="7947" s="1"/>
  <c r="F229" i="7947" s="1"/>
  <c r="G229" i="7947" s="1"/>
  <c r="H304" i="18"/>
  <c r="H343" i="18"/>
  <c r="H226" i="18"/>
  <c r="H238" i="18" s="1"/>
  <c r="H646" i="18" s="1"/>
  <c r="I3" i="18"/>
  <c r="H135" i="18"/>
  <c r="H174" i="18"/>
  <c r="H252" i="18"/>
  <c r="H122" i="18"/>
  <c r="H148" i="18"/>
  <c r="H317" i="18"/>
  <c r="H329" i="18"/>
  <c r="H653" i="18" s="1"/>
  <c r="H96" i="18"/>
  <c r="H108" i="18" s="1"/>
  <c r="Q40" i="7941"/>
  <c r="Q38" i="7941"/>
  <c r="Q469" i="18"/>
  <c r="O469" i="18"/>
  <c r="P38" i="7941"/>
  <c r="P469" i="18"/>
  <c r="Q666" i="18"/>
  <c r="Q502" i="18"/>
  <c r="O6" i="7941"/>
  <c r="Q43" i="18"/>
  <c r="Q516" i="18"/>
  <c r="Q85" i="7941" s="1"/>
  <c r="I469" i="18"/>
  <c r="Q504" i="18"/>
  <c r="Q73" i="7941" s="1"/>
  <c r="P524" i="18"/>
  <c r="P93" i="7941" s="1"/>
  <c r="I38" i="7941"/>
  <c r="N469" i="18"/>
  <c r="N40" i="7941"/>
  <c r="N38" i="7941"/>
  <c r="H57" i="7941"/>
  <c r="O38" i="7941"/>
  <c r="P512" i="18"/>
  <c r="P81" i="7941" s="1"/>
  <c r="P503" i="18"/>
  <c r="P72" i="7941" s="1"/>
  <c r="P530" i="18"/>
  <c r="P99" i="7941" s="1"/>
  <c r="M55" i="7941"/>
  <c r="M38" i="7941"/>
  <c r="M469" i="18"/>
  <c r="H408" i="18"/>
  <c r="H420" i="18" s="1"/>
  <c r="H660" i="18" s="1"/>
  <c r="O527" i="18"/>
  <c r="O96" i="7941" s="1"/>
  <c r="L38" i="7941"/>
  <c r="I700" i="18"/>
  <c r="I702" i="18"/>
  <c r="H421" i="18"/>
  <c r="H433" i="18" s="1"/>
  <c r="H661" i="18" s="1"/>
  <c r="H531" i="18" s="1"/>
  <c r="I711" i="18"/>
  <c r="I706" i="18"/>
  <c r="I708" i="18"/>
  <c r="I713" i="18"/>
  <c r="I699" i="18"/>
  <c r="I715" i="18"/>
  <c r="I710" i="18"/>
  <c r="I704" i="18"/>
  <c r="I709" i="18"/>
  <c r="H369" i="18"/>
  <c r="H381" i="18" s="1"/>
  <c r="H657" i="18" s="1"/>
  <c r="H527" i="18" s="1"/>
  <c r="H382" i="18"/>
  <c r="H395" i="18"/>
  <c r="H407" i="18" s="1"/>
  <c r="H659" i="18" s="1"/>
  <c r="H330" i="18"/>
  <c r="H342" i="18" s="1"/>
  <c r="H654" i="18" s="1"/>
  <c r="H524" i="18" s="1"/>
  <c r="K13" i="7950"/>
  <c r="H41" i="7950"/>
  <c r="T41" i="7950"/>
  <c r="J150" i="7944"/>
  <c r="K10" i="7950"/>
  <c r="K11" i="7950"/>
  <c r="K24" i="7950"/>
  <c r="K12" i="7950"/>
  <c r="K21" i="7950"/>
  <c r="K16" i="7950"/>
  <c r="H44" i="7950"/>
  <c r="Q44" i="7950"/>
  <c r="G189" i="7944"/>
  <c r="G201" i="7944"/>
  <c r="H17" i="7944"/>
  <c r="K26" i="7950"/>
  <c r="K15" i="7950"/>
  <c r="K23" i="7950"/>
  <c r="K14" i="7950"/>
  <c r="N502" i="18"/>
  <c r="N71" i="7941" s="1"/>
  <c r="Q523" i="18"/>
  <c r="Q92" i="7941" s="1"/>
  <c r="Q512" i="18"/>
  <c r="Q81" i="7941" s="1"/>
  <c r="Q509" i="18"/>
  <c r="Q78" i="7941" s="1"/>
  <c r="N437" i="18"/>
  <c r="J315" i="7942"/>
  <c r="J319" i="7942"/>
  <c r="N631" i="18"/>
  <c r="L321" i="7942"/>
  <c r="N522" i="18"/>
  <c r="N91" i="7941"/>
  <c r="J160" i="7942"/>
  <c r="G71" i="7941"/>
  <c r="O7" i="7944"/>
  <c r="N7" i="7944"/>
  <c r="M7" i="7944"/>
  <c r="P75" i="7941"/>
  <c r="Q631" i="18"/>
  <c r="Q518" i="18"/>
  <c r="Q87" i="7941"/>
  <c r="Q526" i="18"/>
  <c r="Q95" i="7941"/>
  <c r="O504" i="18"/>
  <c r="O73" i="7941"/>
  <c r="Q521" i="18"/>
  <c r="Q90" i="7941" s="1"/>
  <c r="P515" i="18"/>
  <c r="P84" i="7941" s="1"/>
  <c r="P528" i="18"/>
  <c r="P97" i="7941" s="1"/>
  <c r="P518" i="18"/>
  <c r="P87" i="7941" s="1"/>
  <c r="Q515" i="18"/>
  <c r="Q84" i="7941" s="1"/>
  <c r="P513" i="18"/>
  <c r="P82" i="7941" s="1"/>
  <c r="P526" i="18"/>
  <c r="P95" i="7941" s="1"/>
  <c r="P523" i="18"/>
  <c r="P92" i="7941" s="1"/>
  <c r="P509" i="18"/>
  <c r="P78" i="7941" s="1"/>
  <c r="P516" i="18"/>
  <c r="P85" i="7941" s="1"/>
  <c r="P531" i="18"/>
  <c r="P100" i="7941" s="1"/>
  <c r="P529" i="18"/>
  <c r="P98" i="7941" s="1"/>
  <c r="P521" i="18"/>
  <c r="P90" i="7941" s="1"/>
  <c r="O523" i="18"/>
  <c r="O92" i="7941" s="1"/>
  <c r="O525" i="18"/>
  <c r="O94" i="7941" s="1"/>
  <c r="N506" i="18"/>
  <c r="N75" i="7941" s="1"/>
  <c r="N527" i="18"/>
  <c r="N96" i="7941" s="1"/>
  <c r="N507" i="18"/>
  <c r="N76" i="7941" s="1"/>
  <c r="N523" i="18"/>
  <c r="N92" i="7941" s="1"/>
  <c r="N509" i="18"/>
  <c r="N78" i="7941" s="1"/>
  <c r="N505" i="18"/>
  <c r="N74" i="7941" s="1"/>
  <c r="N531" i="18"/>
  <c r="N100" i="7941" s="1"/>
  <c r="O524" i="18"/>
  <c r="O93" i="7941" s="1"/>
  <c r="O508" i="18"/>
  <c r="O77" i="7941" s="1"/>
  <c r="O515" i="18"/>
  <c r="O84" i="7941" s="1"/>
  <c r="N529" i="18"/>
  <c r="N98" i="7941" s="1"/>
  <c r="N518" i="18"/>
  <c r="N87" i="7941" s="1"/>
  <c r="N517" i="18"/>
  <c r="N86" i="7941" s="1"/>
  <c r="N515" i="18"/>
  <c r="N84" i="7941" s="1"/>
  <c r="N510" i="18"/>
  <c r="N79" i="7941" s="1"/>
  <c r="N503" i="18"/>
  <c r="N72" i="7941" s="1"/>
  <c r="N519" i="18"/>
  <c r="N88" i="7941" s="1"/>
  <c r="N514" i="18"/>
  <c r="N83" i="7941" s="1"/>
  <c r="N513" i="18"/>
  <c r="N82" i="7941" s="1"/>
  <c r="R437" i="18"/>
  <c r="N516" i="18"/>
  <c r="N665" i="18"/>
  <c r="I332" i="7944"/>
  <c r="I257" i="7944"/>
  <c r="I321" i="7944"/>
  <c r="I256" i="7944"/>
  <c r="I282" i="7944"/>
  <c r="I114" i="7944"/>
  <c r="I152" i="7944"/>
  <c r="I335" i="7944"/>
  <c r="I308" i="7944"/>
  <c r="I87" i="7944"/>
  <c r="I100" i="7944"/>
  <c r="I140" i="7944"/>
  <c r="I74" i="7944"/>
  <c r="I191" i="7944"/>
  <c r="I218" i="7944"/>
  <c r="I88" i="7944"/>
  <c r="I205" i="7944"/>
  <c r="I139" i="7944"/>
  <c r="I334" i="7944"/>
  <c r="J3" i="7944"/>
  <c r="I179" i="7944"/>
  <c r="I178" i="7944"/>
  <c r="I217" i="7944"/>
  <c r="I153" i="7944"/>
  <c r="I322" i="7944"/>
  <c r="I309" i="7944"/>
  <c r="I192" i="7944"/>
  <c r="I165" i="7944"/>
  <c r="I101" i="7944"/>
  <c r="I166" i="7944"/>
  <c r="I204" i="7944"/>
  <c r="I283" i="7944"/>
  <c r="I113" i="7944"/>
  <c r="I127" i="7944"/>
  <c r="I295" i="7944"/>
  <c r="I126" i="7944"/>
  <c r="I296" i="7944"/>
  <c r="I75" i="7944"/>
  <c r="O56" i="7950"/>
  <c r="O84" i="7950"/>
  <c r="P7" i="7944"/>
  <c r="L84" i="7950"/>
  <c r="Q7" i="7944"/>
  <c r="F474" i="7944"/>
  <c r="G14" i="7944"/>
  <c r="O57" i="7950"/>
  <c r="O85" i="7950"/>
  <c r="I37" i="7950"/>
  <c r="J28" i="7950"/>
  <c r="T37" i="7950"/>
  <c r="J98" i="7944"/>
  <c r="J39" i="7941"/>
  <c r="J38" i="7941"/>
  <c r="L469" i="18"/>
  <c r="J110" i="7942"/>
  <c r="K110" i="7942"/>
  <c r="L110" i="7942" s="1"/>
  <c r="K469" i="18"/>
  <c r="G6" i="7941"/>
  <c r="R48" i="7950"/>
  <c r="H241" i="7944"/>
  <c r="H253" i="7944"/>
  <c r="S37" i="7950"/>
  <c r="I98" i="7944"/>
  <c r="Q37" i="7950"/>
  <c r="G98" i="7944"/>
  <c r="G110" i="7944"/>
  <c r="H10" i="7944"/>
  <c r="H344" i="7944"/>
  <c r="I28" i="7944"/>
  <c r="U37" i="7950"/>
  <c r="K98" i="7944"/>
  <c r="S48" i="7950"/>
  <c r="I241" i="7944"/>
  <c r="I253" i="7944"/>
  <c r="Q259" i="7941"/>
  <c r="K120" i="7942"/>
  <c r="L120" i="7942" s="1"/>
  <c r="K291" i="7942"/>
  <c r="K295" i="7942"/>
  <c r="G644" i="18"/>
  <c r="K305" i="7942"/>
  <c r="J128" i="7942"/>
  <c r="Q303" i="7941"/>
  <c r="J138" i="7942"/>
  <c r="Q248" i="7941"/>
  <c r="J114" i="7942"/>
  <c r="I327" i="7942"/>
  <c r="K146" i="7942"/>
  <c r="I152" i="7942"/>
  <c r="J152" i="7942" s="1"/>
  <c r="J271" i="7942"/>
  <c r="K271" i="7942" s="1"/>
  <c r="Q322" i="7941"/>
  <c r="Q320" i="7941"/>
  <c r="Q242" i="7941"/>
  <c r="I279" i="7942"/>
  <c r="I126" i="7942"/>
  <c r="J279" i="7942"/>
  <c r="L134" i="7942"/>
  <c r="H50" i="7950"/>
  <c r="R50" i="7950"/>
  <c r="H267" i="7944"/>
  <c r="H279" i="7944"/>
  <c r="M322" i="7941"/>
  <c r="M312" i="7941"/>
  <c r="I48" i="7950"/>
  <c r="U48" i="7950"/>
  <c r="K241" i="7944"/>
  <c r="K253" i="7944"/>
  <c r="I47" i="7950"/>
  <c r="Q47" i="7950"/>
  <c r="G228" i="7944"/>
  <c r="G240" i="7944"/>
  <c r="H20" i="7944"/>
  <c r="H36" i="7950"/>
  <c r="T36" i="7950"/>
  <c r="J85" i="7944"/>
  <c r="S44" i="7950"/>
  <c r="I189" i="7944"/>
  <c r="I201" i="7944"/>
  <c r="U47" i="7950"/>
  <c r="K228" i="7944"/>
  <c r="S228" i="7944"/>
  <c r="Q48" i="7950"/>
  <c r="G241" i="7944"/>
  <c r="G253" i="7944"/>
  <c r="H21" i="7944"/>
  <c r="I21" i="7944"/>
  <c r="J21" i="7944"/>
  <c r="K21" i="7944"/>
  <c r="R55" i="7950"/>
  <c r="S47" i="7950"/>
  <c r="I228" i="7944"/>
  <c r="I240" i="7944"/>
  <c r="T44" i="7950"/>
  <c r="J189" i="7944"/>
  <c r="Q55" i="7950"/>
  <c r="M27" i="7950"/>
  <c r="S55" i="7950"/>
  <c r="I55" i="7950"/>
  <c r="R47" i="7950"/>
  <c r="H228" i="7944"/>
  <c r="H240" i="7944"/>
  <c r="M19" i="7950"/>
  <c r="T55" i="7950"/>
  <c r="S41" i="7950"/>
  <c r="I150" i="7944"/>
  <c r="I162" i="7944"/>
  <c r="H110" i="7944"/>
  <c r="H53" i="7950"/>
  <c r="I53" i="7950"/>
  <c r="H45" i="7950"/>
  <c r="M17" i="7950"/>
  <c r="U44" i="7950"/>
  <c r="K189" i="7944"/>
  <c r="R44" i="7950"/>
  <c r="H189" i="7944"/>
  <c r="H201" i="7944"/>
  <c r="I17" i="7944"/>
  <c r="H46" i="7950"/>
  <c r="M18" i="7950"/>
  <c r="I44" i="7950"/>
  <c r="H35" i="7950"/>
  <c r="M7" i="7950"/>
  <c r="Q239" i="7941"/>
  <c r="Q307" i="7941"/>
  <c r="Q304" i="7941"/>
  <c r="Q243" i="7941"/>
  <c r="Q233" i="7941"/>
  <c r="Q311" i="7941"/>
  <c r="Q235" i="7941"/>
  <c r="Q251" i="7941"/>
  <c r="Q317" i="7941"/>
  <c r="Q318" i="7941"/>
  <c r="Q232" i="7941"/>
  <c r="Q308" i="7941"/>
  <c r="Q253" i="7941"/>
  <c r="Q246" i="7941"/>
  <c r="M321" i="7941"/>
  <c r="Q254" i="7941"/>
  <c r="Q247" i="7941"/>
  <c r="Q295" i="7941"/>
  <c r="Q240" i="7941"/>
  <c r="Q305" i="7941"/>
  <c r="Q256" i="7941"/>
  <c r="Q299" i="7941"/>
  <c r="M253" i="7941"/>
  <c r="M308" i="7941"/>
  <c r="Q234" i="7941"/>
  <c r="Q321" i="7941"/>
  <c r="O242" i="7941"/>
  <c r="O312" i="7941"/>
  <c r="O310" i="7941"/>
  <c r="O302" i="7941"/>
  <c r="O244" i="7941"/>
  <c r="O240" i="7941"/>
  <c r="O309" i="7941"/>
  <c r="O252" i="7941"/>
  <c r="O249" i="7941"/>
  <c r="O258" i="7941"/>
  <c r="O307" i="7941"/>
  <c r="O233" i="7941"/>
  <c r="O304" i="7941"/>
  <c r="O297" i="7941"/>
  <c r="O239" i="7941"/>
  <c r="O298" i="7941"/>
  <c r="O251" i="7941"/>
  <c r="O238" i="7941"/>
  <c r="O318" i="7941"/>
  <c r="O243" i="7941"/>
  <c r="O259" i="7941"/>
  <c r="O314" i="7941"/>
  <c r="O256" i="7941"/>
  <c r="O301" i="7941"/>
  <c r="O237" i="7941"/>
  <c r="O315" i="7941"/>
  <c r="O236" i="7941"/>
  <c r="O321" i="7941"/>
  <c r="O313" i="7941"/>
  <c r="O322" i="7941"/>
  <c r="O311" i="7941"/>
  <c r="O295" i="7941"/>
  <c r="O232" i="7941"/>
  <c r="O260" i="7941"/>
  <c r="O308" i="7941"/>
  <c r="O303" i="7941"/>
  <c r="O306" i="7941"/>
  <c r="O235" i="7941"/>
  <c r="O296" i="7941"/>
  <c r="O253" i="7941"/>
  <c r="H186" i="18"/>
  <c r="H642" i="18"/>
  <c r="H95" i="18"/>
  <c r="H635" i="18" s="1"/>
  <c r="H277" i="18"/>
  <c r="H649" i="18" s="1"/>
  <c r="H38" i="7941"/>
  <c r="M237" i="7941"/>
  <c r="M251" i="7941"/>
  <c r="M231" i="7941"/>
  <c r="M314" i="7941"/>
  <c r="M238" i="7941"/>
  <c r="M297" i="7941"/>
  <c r="M252" i="7941"/>
  <c r="H160" i="18"/>
  <c r="H640" i="18"/>
  <c r="H147" i="18"/>
  <c r="H639" i="18" s="1"/>
  <c r="H509" i="18" s="1"/>
  <c r="H316" i="18"/>
  <c r="H652" i="18" s="1"/>
  <c r="H522" i="18" s="1"/>
  <c r="H290" i="18"/>
  <c r="H650" i="18" s="1"/>
  <c r="H56" i="18"/>
  <c r="H632" i="18" s="1"/>
  <c r="H264" i="18"/>
  <c r="H648" i="18" s="1"/>
  <c r="H303" i="18"/>
  <c r="H651" i="18" s="1"/>
  <c r="Q313" i="7941"/>
  <c r="Q324" i="7941"/>
  <c r="Q302" i="7941"/>
  <c r="Q260" i="7941"/>
  <c r="H134" i="18"/>
  <c r="H638" i="18" s="1"/>
  <c r="I135" i="18"/>
  <c r="I59" i="18"/>
  <c r="I384" i="18"/>
  <c r="I293" i="18"/>
  <c r="I304" i="18"/>
  <c r="I252" i="18"/>
  <c r="I187" i="18"/>
  <c r="I111" i="18"/>
  <c r="I410" i="18"/>
  <c r="I408" i="18"/>
  <c r="I280" i="18"/>
  <c r="I421" i="18"/>
  <c r="J421" i="18" s="1"/>
  <c r="J433" i="18" s="1"/>
  <c r="J661" i="18" s="1"/>
  <c r="I330" i="18"/>
  <c r="I174" i="18"/>
  <c r="I186" i="18" s="1"/>
  <c r="I642" i="18" s="1"/>
  <c r="I306" i="18"/>
  <c r="I397" i="18"/>
  <c r="I228" i="18"/>
  <c r="I57" i="18"/>
  <c r="I69" i="18" s="1"/>
  <c r="I96" i="18"/>
  <c r="I108" i="18"/>
  <c r="I636" i="18" s="1"/>
  <c r="I213" i="18"/>
  <c r="I225" i="18" s="1"/>
  <c r="I645" i="18" s="1"/>
  <c r="I254" i="18"/>
  <c r="I358" i="18"/>
  <c r="I369" i="18"/>
  <c r="I189" i="18"/>
  <c r="I124" i="18"/>
  <c r="I70" i="18"/>
  <c r="I82" i="18" s="1"/>
  <c r="I226" i="18"/>
  <c r="I238" i="18"/>
  <c r="I646" i="18" s="1"/>
  <c r="I291" i="18"/>
  <c r="I137" i="18"/>
  <c r="I163" i="18"/>
  <c r="I148" i="18"/>
  <c r="I423" i="18"/>
  <c r="I98" i="18"/>
  <c r="I200" i="18"/>
  <c r="I212" i="18" s="1"/>
  <c r="I644" i="18" s="1"/>
  <c r="I176" i="18"/>
  <c r="I345" i="18"/>
  <c r="I83" i="18"/>
  <c r="I122" i="18"/>
  <c r="I134" i="18" s="1"/>
  <c r="I638" i="18" s="1"/>
  <c r="I395" i="18"/>
  <c r="I407" i="18" s="1"/>
  <c r="I659" i="18" s="1"/>
  <c r="I371" i="18"/>
  <c r="I150" i="18"/>
  <c r="I160" i="18" s="1"/>
  <c r="I640" i="18" s="1"/>
  <c r="I85" i="18"/>
  <c r="I317" i="18"/>
  <c r="I356" i="18"/>
  <c r="J3" i="18"/>
  <c r="I265" i="18"/>
  <c r="I332" i="18"/>
  <c r="I72" i="18"/>
  <c r="I46" i="18"/>
  <c r="I267" i="18"/>
  <c r="I278" i="18"/>
  <c r="I161" i="18"/>
  <c r="I173" i="18" s="1"/>
  <c r="I641" i="18" s="1"/>
  <c r="I239" i="18"/>
  <c r="I251" i="18"/>
  <c r="I647" i="18" s="1"/>
  <c r="I319" i="18"/>
  <c r="I109" i="18"/>
  <c r="I121" i="18" s="1"/>
  <c r="H251" i="18"/>
  <c r="H647" i="18" s="1"/>
  <c r="H212" i="18"/>
  <c r="H644" i="18"/>
  <c r="R41" i="7950"/>
  <c r="H150" i="7944"/>
  <c r="H162" i="7944"/>
  <c r="I41" i="7950"/>
  <c r="Q41" i="7950"/>
  <c r="G150" i="7944"/>
  <c r="G162" i="7944"/>
  <c r="H14" i="7944"/>
  <c r="U41" i="7950"/>
  <c r="K150" i="7944"/>
  <c r="M13" i="7950"/>
  <c r="M16" i="7950"/>
  <c r="H52" i="7950"/>
  <c r="M24" i="7950"/>
  <c r="M11" i="7950"/>
  <c r="H39" i="7950"/>
  <c r="H38" i="7950"/>
  <c r="M10" i="7950"/>
  <c r="Q36" i="7950"/>
  <c r="G85" i="7944"/>
  <c r="G97" i="7944"/>
  <c r="H9" i="7944"/>
  <c r="H49" i="7950"/>
  <c r="M21" i="7950"/>
  <c r="H40" i="7950"/>
  <c r="M12" i="7950"/>
  <c r="H51" i="7950"/>
  <c r="M23" i="7950"/>
  <c r="H43" i="7950"/>
  <c r="M15" i="7950"/>
  <c r="M26" i="7950"/>
  <c r="H54" i="7950"/>
  <c r="H42" i="7950"/>
  <c r="K28" i="7950"/>
  <c r="L29" i="7950"/>
  <c r="M14" i="7950"/>
  <c r="K160" i="7942"/>
  <c r="L160" i="7942"/>
  <c r="K315" i="7942"/>
  <c r="I110" i="7944"/>
  <c r="N85" i="7941"/>
  <c r="J166" i="7944"/>
  <c r="J206" i="7944"/>
  <c r="J283" i="7944"/>
  <c r="J321" i="7944"/>
  <c r="J75" i="7944"/>
  <c r="J257" i="7944"/>
  <c r="J204" i="7944"/>
  <c r="J74" i="7944"/>
  <c r="J180" i="7944"/>
  <c r="J256" i="7944"/>
  <c r="J191" i="7944"/>
  <c r="J127" i="7944"/>
  <c r="J154" i="7944"/>
  <c r="J323" i="7944"/>
  <c r="J219" i="7944"/>
  <c r="J217" i="7944"/>
  <c r="J282" i="7944"/>
  <c r="J88" i="7944"/>
  <c r="J101" i="7944"/>
  <c r="J296" i="7944"/>
  <c r="J139" i="7944"/>
  <c r="J336" i="7944"/>
  <c r="J113" i="7944"/>
  <c r="J114" i="7944"/>
  <c r="J152" i="7944"/>
  <c r="J335" i="7944"/>
  <c r="J310" i="7944"/>
  <c r="J334" i="7944"/>
  <c r="K3" i="7944"/>
  <c r="J102" i="7944"/>
  <c r="J297" i="7944"/>
  <c r="J76" i="7944"/>
  <c r="J332" i="7944"/>
  <c r="J179" i="7944"/>
  <c r="J100" i="7944"/>
  <c r="J140" i="7944"/>
  <c r="J178" i="7944"/>
  <c r="J167" i="7944"/>
  <c r="J153" i="7944"/>
  <c r="J284" i="7944"/>
  <c r="J309" i="7944"/>
  <c r="J126" i="7944"/>
  <c r="J115" i="7944"/>
  <c r="J308" i="7944"/>
  <c r="J258" i="7944"/>
  <c r="J322" i="7944"/>
  <c r="J128" i="7944"/>
  <c r="J205" i="7944"/>
  <c r="J89" i="7944"/>
  <c r="J193" i="7944"/>
  <c r="J295" i="7944"/>
  <c r="J141" i="7944"/>
  <c r="J218" i="7944"/>
  <c r="J192" i="7944"/>
  <c r="J165" i="7944"/>
  <c r="J87" i="7944"/>
  <c r="I344" i="7944"/>
  <c r="G7" i="7944"/>
  <c r="K240" i="7944"/>
  <c r="M110" i="7942"/>
  <c r="K114" i="7942"/>
  <c r="L114" i="7942"/>
  <c r="M134" i="7942"/>
  <c r="S241" i="7944"/>
  <c r="I10" i="7944"/>
  <c r="L21" i="7944"/>
  <c r="S50" i="7950"/>
  <c r="I267" i="7944"/>
  <c r="I279" i="7944"/>
  <c r="I50" i="7950"/>
  <c r="I36" i="7950"/>
  <c r="U50" i="7950"/>
  <c r="K267" i="7944"/>
  <c r="S267" i="7944"/>
  <c r="T50" i="7950"/>
  <c r="J267" i="7944"/>
  <c r="J279" i="7944"/>
  <c r="U36" i="7950"/>
  <c r="K85" i="7944"/>
  <c r="Q50" i="7950"/>
  <c r="G267" i="7944"/>
  <c r="G279" i="7944"/>
  <c r="H23" i="7944"/>
  <c r="I23" i="7944"/>
  <c r="K128" i="7942"/>
  <c r="L128" i="7942"/>
  <c r="M120" i="7942"/>
  <c r="L305" i="7942"/>
  <c r="L291" i="7942"/>
  <c r="M291" i="7942"/>
  <c r="L295" i="7942"/>
  <c r="M160" i="7942"/>
  <c r="L161" i="7942" s="1"/>
  <c r="L289" i="7941"/>
  <c r="L146" i="7942"/>
  <c r="M146" i="7942"/>
  <c r="J126" i="7942"/>
  <c r="K138" i="7942"/>
  <c r="I637" i="18"/>
  <c r="I20" i="7944"/>
  <c r="J20" i="7944"/>
  <c r="K20" i="7944"/>
  <c r="L20" i="7944"/>
  <c r="S36" i="7950"/>
  <c r="I85" i="7944"/>
  <c r="I97" i="7944"/>
  <c r="R36" i="7950"/>
  <c r="H85" i="7944"/>
  <c r="H97" i="7944"/>
  <c r="I9" i="7944"/>
  <c r="J28" i="7944"/>
  <c r="I14" i="7944"/>
  <c r="J14" i="7944"/>
  <c r="S53" i="7950"/>
  <c r="I306" i="7944"/>
  <c r="I318" i="7944"/>
  <c r="U53" i="7950"/>
  <c r="K306" i="7944"/>
  <c r="T53" i="7950"/>
  <c r="J306" i="7944"/>
  <c r="J318" i="7944"/>
  <c r="Q53" i="7950"/>
  <c r="G306" i="7944"/>
  <c r="G318" i="7944"/>
  <c r="H26" i="7944"/>
  <c r="R53" i="7950"/>
  <c r="H306" i="7944"/>
  <c r="H318" i="7944"/>
  <c r="T35" i="7950"/>
  <c r="J72" i="7944"/>
  <c r="J84" i="7944"/>
  <c r="I35" i="7950"/>
  <c r="R35" i="7950"/>
  <c r="H72" i="7944"/>
  <c r="H84" i="7944"/>
  <c r="U35" i="7950"/>
  <c r="K72" i="7944"/>
  <c r="Q35" i="7950"/>
  <c r="G72" i="7944"/>
  <c r="G84" i="7944"/>
  <c r="H8" i="7944"/>
  <c r="S35" i="7950"/>
  <c r="I72" i="7944"/>
  <c r="I84" i="7944"/>
  <c r="R45" i="7950"/>
  <c r="H202" i="7944"/>
  <c r="H214" i="7944"/>
  <c r="T45" i="7950"/>
  <c r="J202" i="7944"/>
  <c r="J214" i="7944"/>
  <c r="I45" i="7950"/>
  <c r="Q45" i="7950"/>
  <c r="G202" i="7944"/>
  <c r="G214" i="7944"/>
  <c r="H18" i="7944"/>
  <c r="U45" i="7950"/>
  <c r="K202" i="7944"/>
  <c r="S45" i="7950"/>
  <c r="I202" i="7944"/>
  <c r="I214" i="7944"/>
  <c r="U46" i="7950"/>
  <c r="K215" i="7944"/>
  <c r="T46" i="7950"/>
  <c r="J215" i="7944"/>
  <c r="J227" i="7944"/>
  <c r="R46" i="7950"/>
  <c r="H215" i="7944"/>
  <c r="H227" i="7944"/>
  <c r="Q46" i="7950"/>
  <c r="G215" i="7944"/>
  <c r="G227" i="7944"/>
  <c r="H19" i="7944"/>
  <c r="S46" i="7950"/>
  <c r="I215" i="7944"/>
  <c r="I227" i="7944"/>
  <c r="I46" i="7950"/>
  <c r="J17" i="7944"/>
  <c r="I277" i="18"/>
  <c r="I649" i="18" s="1"/>
  <c r="J73" i="18"/>
  <c r="J189" i="18"/>
  <c r="J280" i="18"/>
  <c r="J278" i="18"/>
  <c r="J151" i="18"/>
  <c r="J254" i="18"/>
  <c r="J86" i="18"/>
  <c r="J150" i="18"/>
  <c r="J122" i="18"/>
  <c r="J44" i="18"/>
  <c r="J56" i="18" s="1"/>
  <c r="J265" i="18"/>
  <c r="J124" i="18"/>
  <c r="J161" i="18"/>
  <c r="J226" i="18"/>
  <c r="J85" i="18"/>
  <c r="J410" i="18"/>
  <c r="J397" i="18"/>
  <c r="J293" i="18"/>
  <c r="J252" i="18"/>
  <c r="J264" i="18" s="1"/>
  <c r="J96" i="18"/>
  <c r="J200" i="18"/>
  <c r="J423" i="18"/>
  <c r="J385" i="18"/>
  <c r="J384" i="18"/>
  <c r="J319" i="18"/>
  <c r="J99" i="18"/>
  <c r="J304" i="18"/>
  <c r="J137" i="18"/>
  <c r="J112" i="18"/>
  <c r="J306" i="18"/>
  <c r="J148" i="18"/>
  <c r="J98" i="18"/>
  <c r="J372" i="18"/>
  <c r="J369" i="18"/>
  <c r="J307" i="18"/>
  <c r="J255" i="18"/>
  <c r="J281" i="18"/>
  <c r="J358" i="18"/>
  <c r="J57" i="18"/>
  <c r="K3" i="18"/>
  <c r="J59" i="18"/>
  <c r="J109" i="18"/>
  <c r="J135" i="18"/>
  <c r="J163" i="18"/>
  <c r="J346" i="18"/>
  <c r="J60" i="18"/>
  <c r="J164" i="18"/>
  <c r="J333" i="18"/>
  <c r="J125" i="18"/>
  <c r="J395" i="18"/>
  <c r="J407" i="18" s="1"/>
  <c r="J659" i="18" s="1"/>
  <c r="J70" i="18"/>
  <c r="J187" i="18"/>
  <c r="J424" i="18"/>
  <c r="J213" i="18"/>
  <c r="J225" i="18" s="1"/>
  <c r="J645" i="18" s="1"/>
  <c r="J239" i="18"/>
  <c r="J332" i="18"/>
  <c r="J330" i="18"/>
  <c r="J294" i="18"/>
  <c r="J174" i="18"/>
  <c r="J47" i="18"/>
  <c r="J291" i="18"/>
  <c r="J398" i="18"/>
  <c r="J345" i="18"/>
  <c r="J371" i="18"/>
  <c r="J267" i="18"/>
  <c r="J83" i="18"/>
  <c r="J177" i="18"/>
  <c r="J72" i="18"/>
  <c r="J176" i="18"/>
  <c r="J190" i="18"/>
  <c r="J199" i="18" s="1"/>
  <c r="J643" i="18" s="1"/>
  <c r="J229" i="18"/>
  <c r="J138" i="18"/>
  <c r="J411" i="18"/>
  <c r="J228" i="18"/>
  <c r="J268" i="18"/>
  <c r="J111" i="18"/>
  <c r="J320" i="18"/>
  <c r="J46" i="18"/>
  <c r="J359" i="18"/>
  <c r="J317" i="18"/>
  <c r="I199" i="18"/>
  <c r="I643" i="18"/>
  <c r="I634" i="18"/>
  <c r="I290" i="18"/>
  <c r="I650" i="18" s="1"/>
  <c r="I329" i="18"/>
  <c r="I653" i="18" s="1"/>
  <c r="I95" i="18"/>
  <c r="I635" i="18" s="1"/>
  <c r="I342" i="18"/>
  <c r="I654" i="18" s="1"/>
  <c r="I316" i="18"/>
  <c r="I652" i="18" s="1"/>
  <c r="I147" i="18"/>
  <c r="I639" i="18" s="1"/>
  <c r="I303" i="18"/>
  <c r="I651" i="18"/>
  <c r="J10" i="7944"/>
  <c r="R38" i="7950"/>
  <c r="H111" i="7944"/>
  <c r="H123" i="7944"/>
  <c r="S38" i="7950"/>
  <c r="I111" i="7944"/>
  <c r="I123" i="7944"/>
  <c r="T38" i="7950"/>
  <c r="J111" i="7944"/>
  <c r="J123" i="7944"/>
  <c r="Q38" i="7950"/>
  <c r="G111" i="7944"/>
  <c r="G123" i="7944"/>
  <c r="H11" i="7944"/>
  <c r="U38" i="7950"/>
  <c r="K111" i="7944"/>
  <c r="I38" i="7950"/>
  <c r="T40" i="7950"/>
  <c r="J137" i="7944"/>
  <c r="J149" i="7944"/>
  <c r="Q40" i="7950"/>
  <c r="G137" i="7944"/>
  <c r="G149" i="7944"/>
  <c r="H13" i="7944"/>
  <c r="I40" i="7950"/>
  <c r="U40" i="7950"/>
  <c r="K137" i="7944"/>
  <c r="S40" i="7950"/>
  <c r="I137" i="7944"/>
  <c r="I149" i="7944"/>
  <c r="R40" i="7950"/>
  <c r="H137" i="7944"/>
  <c r="H149" i="7944"/>
  <c r="T52" i="7950"/>
  <c r="J293" i="7944"/>
  <c r="J305" i="7944"/>
  <c r="I52" i="7950"/>
  <c r="Q52" i="7950"/>
  <c r="G293" i="7944"/>
  <c r="G305" i="7944"/>
  <c r="H25" i="7944"/>
  <c r="R52" i="7950"/>
  <c r="H293" i="7944"/>
  <c r="H305" i="7944"/>
  <c r="S52" i="7950"/>
  <c r="I293" i="7944"/>
  <c r="I305" i="7944"/>
  <c r="U49" i="7950"/>
  <c r="K254" i="7944"/>
  <c r="I49" i="7950"/>
  <c r="Q49" i="7950"/>
  <c r="G254" i="7944"/>
  <c r="G266" i="7944"/>
  <c r="H22" i="7944"/>
  <c r="S49" i="7950"/>
  <c r="I254" i="7944"/>
  <c r="I266" i="7944"/>
  <c r="T49" i="7950"/>
  <c r="J254" i="7944"/>
  <c r="J266" i="7944"/>
  <c r="R49" i="7950"/>
  <c r="H254" i="7944"/>
  <c r="H266" i="7944"/>
  <c r="Q39" i="7950"/>
  <c r="G124" i="7944"/>
  <c r="G136" i="7944"/>
  <c r="H12" i="7944"/>
  <c r="T39" i="7950"/>
  <c r="J124" i="7944"/>
  <c r="J136" i="7944"/>
  <c r="U39" i="7950"/>
  <c r="K124" i="7944"/>
  <c r="R39" i="7950"/>
  <c r="H124" i="7944"/>
  <c r="H136" i="7944"/>
  <c r="I39" i="7950"/>
  <c r="S39" i="7950"/>
  <c r="I124" i="7944"/>
  <c r="I136" i="7944"/>
  <c r="M28" i="7950"/>
  <c r="S54" i="7950"/>
  <c r="I319" i="7944"/>
  <c r="I54" i="7950"/>
  <c r="U54" i="7950"/>
  <c r="K319" i="7944"/>
  <c r="R54" i="7950"/>
  <c r="H319" i="7944"/>
  <c r="Q54" i="7950"/>
  <c r="G319" i="7944"/>
  <c r="T54" i="7950"/>
  <c r="J319" i="7944"/>
  <c r="I43" i="7950"/>
  <c r="S43" i="7950"/>
  <c r="I176" i="7944"/>
  <c r="I188" i="7944"/>
  <c r="T43" i="7950"/>
  <c r="J176" i="7944"/>
  <c r="J188" i="7944"/>
  <c r="U43" i="7950"/>
  <c r="K176" i="7944"/>
  <c r="R43" i="7950"/>
  <c r="H176" i="7944"/>
  <c r="H188" i="7944"/>
  <c r="Q43" i="7950"/>
  <c r="G176" i="7944"/>
  <c r="G188" i="7944"/>
  <c r="H16" i="7944"/>
  <c r="R51" i="7950"/>
  <c r="H280" i="7944"/>
  <c r="H292" i="7944"/>
  <c r="T51" i="7950"/>
  <c r="J280" i="7944"/>
  <c r="J292" i="7944"/>
  <c r="U51" i="7950"/>
  <c r="K280" i="7944"/>
  <c r="Q51" i="7950"/>
  <c r="G280" i="7944"/>
  <c r="G292" i="7944"/>
  <c r="H24" i="7944"/>
  <c r="I51" i="7950"/>
  <c r="S51" i="7950"/>
  <c r="I280" i="7944"/>
  <c r="I292" i="7944"/>
  <c r="Q42" i="7950"/>
  <c r="S42" i="7950"/>
  <c r="U42" i="7950"/>
  <c r="I42" i="7950"/>
  <c r="H56" i="7950"/>
  <c r="R42" i="7950"/>
  <c r="T42" i="7950"/>
  <c r="J110" i="7944"/>
  <c r="J344" i="7944"/>
  <c r="J201" i="7944"/>
  <c r="K332" i="7944"/>
  <c r="K257" i="7944"/>
  <c r="K337" i="7944"/>
  <c r="K180" i="7944"/>
  <c r="K168" i="7944"/>
  <c r="K100" i="7944"/>
  <c r="K179" i="7944"/>
  <c r="K204" i="7944"/>
  <c r="K178" i="7944"/>
  <c r="L3" i="7944"/>
  <c r="M3" i="7944"/>
  <c r="K166" i="7944"/>
  <c r="K311" i="7944"/>
  <c r="K102" i="7944"/>
  <c r="K297" i="7944"/>
  <c r="K142" i="7944"/>
  <c r="K76" i="7944"/>
  <c r="K217" i="7944"/>
  <c r="K258" i="7944"/>
  <c r="K153" i="7944"/>
  <c r="K191" i="7944"/>
  <c r="K322" i="7944"/>
  <c r="K116" i="7944"/>
  <c r="K152" i="7944"/>
  <c r="K90" i="7944"/>
  <c r="K194" i="7944"/>
  <c r="K335" i="7944"/>
  <c r="K165" i="7944"/>
  <c r="K167" i="7944"/>
  <c r="K77" i="7944"/>
  <c r="K309" i="7944"/>
  <c r="K126" i="7944"/>
  <c r="K310" i="7944"/>
  <c r="K155" i="7944"/>
  <c r="K75" i="7944"/>
  <c r="K284" i="7944"/>
  <c r="K324" i="7944"/>
  <c r="K220" i="7944"/>
  <c r="K115" i="7944"/>
  <c r="K205" i="7944"/>
  <c r="K139" i="7944"/>
  <c r="K336" i="7944"/>
  <c r="K140" i="7944"/>
  <c r="K321" i="7944"/>
  <c r="K103" i="7944"/>
  <c r="K282" i="7944"/>
  <c r="K259" i="7944"/>
  <c r="K192" i="7944"/>
  <c r="K128" i="7944"/>
  <c r="K141" i="7944"/>
  <c r="K154" i="7944"/>
  <c r="K101" i="7944"/>
  <c r="K334" i="7944"/>
  <c r="K218" i="7944"/>
  <c r="K219" i="7944"/>
  <c r="K193" i="7944"/>
  <c r="K87" i="7944"/>
  <c r="K296" i="7944"/>
  <c r="K206" i="7944"/>
  <c r="K283" i="7944"/>
  <c r="K256" i="7944"/>
  <c r="K207" i="7944"/>
  <c r="K114" i="7944"/>
  <c r="K88" i="7944"/>
  <c r="K285" i="7944"/>
  <c r="K113" i="7944"/>
  <c r="K127" i="7944"/>
  <c r="K308" i="7944"/>
  <c r="K298" i="7944"/>
  <c r="K181" i="7944"/>
  <c r="K323" i="7944"/>
  <c r="K89" i="7944"/>
  <c r="K129" i="7944"/>
  <c r="K74" i="7944"/>
  <c r="K295" i="7944"/>
  <c r="J162" i="7944"/>
  <c r="J97" i="7944"/>
  <c r="M114" i="7942"/>
  <c r="L115" i="7942" s="1"/>
  <c r="J23" i="7944"/>
  <c r="K23" i="7944"/>
  <c r="J648" i="18"/>
  <c r="K279" i="7944"/>
  <c r="J9" i="7944"/>
  <c r="K9" i="7944"/>
  <c r="N120" i="7942"/>
  <c r="M121" i="7942"/>
  <c r="L121" i="7942"/>
  <c r="O120" i="7942"/>
  <c r="N121" i="7942"/>
  <c r="N269" i="7941" s="1"/>
  <c r="L292" i="7942"/>
  <c r="N291" i="7942"/>
  <c r="M292" i="7942" s="1"/>
  <c r="M295" i="7942"/>
  <c r="J381" i="18"/>
  <c r="J657" i="18" s="1"/>
  <c r="J82" i="18"/>
  <c r="J634" i="18" s="1"/>
  <c r="K17" i="7944"/>
  <c r="K28" i="7944"/>
  <c r="J331" i="7944"/>
  <c r="G331" i="7944"/>
  <c r="H27" i="7944"/>
  <c r="I331" i="7944"/>
  <c r="K14" i="7944"/>
  <c r="I16" i="7944"/>
  <c r="J16" i="7944"/>
  <c r="K16" i="7944"/>
  <c r="H331" i="7944"/>
  <c r="I12" i="7944"/>
  <c r="J12" i="7944"/>
  <c r="K12" i="7944"/>
  <c r="I13" i="7944"/>
  <c r="J13" i="7944"/>
  <c r="K13" i="7944"/>
  <c r="I26" i="7944"/>
  <c r="J26" i="7944"/>
  <c r="K26" i="7944"/>
  <c r="K10" i="7944"/>
  <c r="I18" i="7944"/>
  <c r="J18" i="7944"/>
  <c r="K18" i="7944"/>
  <c r="I19" i="7944"/>
  <c r="J19" i="7944"/>
  <c r="K19" i="7944"/>
  <c r="I8" i="7944"/>
  <c r="J8" i="7944"/>
  <c r="K8" i="7944"/>
  <c r="K332" i="18"/>
  <c r="J147" i="18"/>
  <c r="J639" i="18" s="1"/>
  <c r="J69" i="18"/>
  <c r="J633" i="18" s="1"/>
  <c r="J160" i="18"/>
  <c r="J640" i="18" s="1"/>
  <c r="J316" i="18"/>
  <c r="J652" i="18" s="1"/>
  <c r="J108" i="18"/>
  <c r="J636" i="18" s="1"/>
  <c r="J173" i="18"/>
  <c r="J641" i="18" s="1"/>
  <c r="J134" i="18"/>
  <c r="J638" i="18" s="1"/>
  <c r="J186" i="18"/>
  <c r="J642" i="18"/>
  <c r="J95" i="18"/>
  <c r="J635" i="18" s="1"/>
  <c r="J251" i="18"/>
  <c r="J647" i="18" s="1"/>
  <c r="J277" i="18"/>
  <c r="J649" i="18" s="1"/>
  <c r="J121" i="18"/>
  <c r="J637" i="18" s="1"/>
  <c r="J303" i="18"/>
  <c r="J651" i="18" s="1"/>
  <c r="J342" i="18"/>
  <c r="J654" i="18" s="1"/>
  <c r="K60" i="18"/>
  <c r="K229" i="18"/>
  <c r="K307" i="18"/>
  <c r="K164" i="18"/>
  <c r="K177" i="18"/>
  <c r="K148" i="18"/>
  <c r="K252" i="18"/>
  <c r="K264" i="18" s="1"/>
  <c r="K46" i="18"/>
  <c r="K200" i="18"/>
  <c r="K212" i="18" s="1"/>
  <c r="K644" i="18" s="1"/>
  <c r="K137" i="18"/>
  <c r="K161" i="18"/>
  <c r="K373" i="18"/>
  <c r="K152" i="18"/>
  <c r="K334" i="18"/>
  <c r="L3" i="18"/>
  <c r="K98" i="18"/>
  <c r="K226" i="18"/>
  <c r="K238" i="18" s="1"/>
  <c r="K646" i="18" s="1"/>
  <c r="K85" i="18"/>
  <c r="K320" i="18"/>
  <c r="K412" i="18"/>
  <c r="K126" i="18"/>
  <c r="K230" i="18"/>
  <c r="K61" i="18"/>
  <c r="K86" i="18"/>
  <c r="K151" i="18"/>
  <c r="K359" i="18"/>
  <c r="K319" i="18"/>
  <c r="K255" i="18"/>
  <c r="K421" i="18"/>
  <c r="K433" i="18" s="1"/>
  <c r="K661" i="18" s="1"/>
  <c r="K424" i="18"/>
  <c r="K345" i="18"/>
  <c r="K304" i="18"/>
  <c r="K267" i="18"/>
  <c r="K135" i="18"/>
  <c r="K293" i="18"/>
  <c r="K265" i="18"/>
  <c r="K111" i="18"/>
  <c r="K269" i="18"/>
  <c r="K295" i="18"/>
  <c r="K386" i="18"/>
  <c r="K139" i="18"/>
  <c r="K346" i="18"/>
  <c r="K291" i="18"/>
  <c r="K303" i="18" s="1"/>
  <c r="K651" i="18" s="1"/>
  <c r="K99" i="18"/>
  <c r="K125" i="18"/>
  <c r="K47" i="18"/>
  <c r="K187" i="18"/>
  <c r="K199" i="18" s="1"/>
  <c r="K643" i="18" s="1"/>
  <c r="K423" i="18"/>
  <c r="K59" i="18"/>
  <c r="K109" i="18"/>
  <c r="K100" i="18"/>
  <c r="K410" i="18"/>
  <c r="K122" i="18"/>
  <c r="K397" i="18"/>
  <c r="K347" i="18"/>
  <c r="K74" i="18"/>
  <c r="K268" i="18"/>
  <c r="K189" i="18"/>
  <c r="K124" i="18"/>
  <c r="K395" i="18"/>
  <c r="K407" i="18" s="1"/>
  <c r="K371" i="18"/>
  <c r="K112" i="18"/>
  <c r="K213" i="18"/>
  <c r="K254" i="18"/>
  <c r="K385" i="18"/>
  <c r="K113" i="18"/>
  <c r="K294" i="18"/>
  <c r="K72" i="18"/>
  <c r="K358" i="18"/>
  <c r="K308" i="18"/>
  <c r="K191" i="18"/>
  <c r="K48" i="18"/>
  <c r="K228" i="18"/>
  <c r="K150" i="18"/>
  <c r="K330" i="18"/>
  <c r="K281" i="18"/>
  <c r="K57" i="18"/>
  <c r="K174" i="18"/>
  <c r="K70" i="18"/>
  <c r="K321" i="18"/>
  <c r="K282" i="18"/>
  <c r="K190" i="18"/>
  <c r="K398" i="18"/>
  <c r="K163" i="18"/>
  <c r="K425" i="18"/>
  <c r="K239" i="18"/>
  <c r="K251" i="18" s="1"/>
  <c r="K96" i="18"/>
  <c r="K165" i="18"/>
  <c r="K178" i="18"/>
  <c r="K411" i="18"/>
  <c r="K333" i="18"/>
  <c r="K384" i="18"/>
  <c r="K83" i="18"/>
  <c r="K95" i="18" s="1"/>
  <c r="K635" i="18" s="1"/>
  <c r="K176" i="18"/>
  <c r="K399" i="18"/>
  <c r="K138" i="18"/>
  <c r="K306" i="18"/>
  <c r="K360" i="18"/>
  <c r="K87" i="18"/>
  <c r="K280" i="18"/>
  <c r="K256" i="18"/>
  <c r="K73" i="18"/>
  <c r="K372" i="18"/>
  <c r="K278" i="18"/>
  <c r="J212" i="18"/>
  <c r="J644" i="18" s="1"/>
  <c r="I25" i="7944"/>
  <c r="J25" i="7944"/>
  <c r="K25" i="7944"/>
  <c r="I22" i="7944"/>
  <c r="J22" i="7944"/>
  <c r="K22" i="7944"/>
  <c r="I56" i="7950"/>
  <c r="I11" i="7944"/>
  <c r="J11" i="7944"/>
  <c r="K11" i="7944"/>
  <c r="I24" i="7944"/>
  <c r="J24" i="7944"/>
  <c r="K24" i="7944"/>
  <c r="G163" i="7944"/>
  <c r="G175" i="7944"/>
  <c r="Q56" i="7950"/>
  <c r="J163" i="7944"/>
  <c r="J175" i="7944"/>
  <c r="T56" i="7950"/>
  <c r="N86" i="7950"/>
  <c r="K163" i="7944"/>
  <c r="K175" i="7944"/>
  <c r="U56" i="7950"/>
  <c r="O86" i="7950"/>
  <c r="H163" i="7944"/>
  <c r="H175" i="7944"/>
  <c r="R56" i="7950"/>
  <c r="L86" i="7950"/>
  <c r="I163" i="7944"/>
  <c r="I175" i="7944"/>
  <c r="S56" i="7950"/>
  <c r="M86" i="7950"/>
  <c r="S72" i="7944"/>
  <c r="K84" i="7944"/>
  <c r="S306" i="7944"/>
  <c r="K318" i="7944"/>
  <c r="S293" i="7944"/>
  <c r="K305" i="7944"/>
  <c r="K266" i="7944"/>
  <c r="S254" i="7944"/>
  <c r="S85" i="7944"/>
  <c r="K97" i="7944"/>
  <c r="S137" i="7944"/>
  <c r="K149" i="7944"/>
  <c r="S189" i="7944"/>
  <c r="K201" i="7944"/>
  <c r="M258" i="7944"/>
  <c r="M299" i="7944"/>
  <c r="M141" i="7944"/>
  <c r="M127" i="7944"/>
  <c r="M116" i="7944"/>
  <c r="M154" i="7944"/>
  <c r="M194" i="7944"/>
  <c r="M128" i="7944"/>
  <c r="M312" i="7944"/>
  <c r="M126" i="7944"/>
  <c r="M219" i="7944"/>
  <c r="M193" i="7944"/>
  <c r="M222" i="7944"/>
  <c r="M280" i="7944"/>
  <c r="M339" i="7944"/>
  <c r="M129" i="7944"/>
  <c r="M104" i="7944"/>
  <c r="M285" i="7944"/>
  <c r="M220" i="7944"/>
  <c r="M77" i="7944"/>
  <c r="M217" i="7944"/>
  <c r="M257" i="7944"/>
  <c r="M72" i="7944"/>
  <c r="M254" i="7944"/>
  <c r="M178" i="7944"/>
  <c r="M153" i="7944"/>
  <c r="M309" i="7944"/>
  <c r="M310" i="7944"/>
  <c r="M89" i="7944"/>
  <c r="M78" i="7944"/>
  <c r="M261" i="7944"/>
  <c r="M92" i="7944"/>
  <c r="M131" i="7944"/>
  <c r="M326" i="7944"/>
  <c r="M306" i="7944"/>
  <c r="M75" i="7944"/>
  <c r="M155" i="7944"/>
  <c r="M338" i="7944"/>
  <c r="M259" i="7944"/>
  <c r="M322" i="7944"/>
  <c r="M156" i="7944"/>
  <c r="M180" i="7944"/>
  <c r="M179" i="7944"/>
  <c r="M85" i="7944"/>
  <c r="M337" i="7944"/>
  <c r="M142" i="7944"/>
  <c r="M206" i="7944"/>
  <c r="M260" i="7944"/>
  <c r="M191" i="7944"/>
  <c r="M102" i="7944"/>
  <c r="M124" i="7944"/>
  <c r="M300" i="7944"/>
  <c r="M319" i="7944"/>
  <c r="M287" i="7944"/>
  <c r="M228" i="7944"/>
  <c r="M74" i="7944"/>
  <c r="M103" i="7944"/>
  <c r="M87" i="7944"/>
  <c r="M130" i="7944"/>
  <c r="M181" i="7944"/>
  <c r="M169" i="7944"/>
  <c r="M143" i="7944"/>
  <c r="M335" i="7944"/>
  <c r="M284" i="7944"/>
  <c r="M88" i="7944"/>
  <c r="M115" i="7944"/>
  <c r="M101" i="7944"/>
  <c r="N3" i="7944"/>
  <c r="M157" i="7944"/>
  <c r="M202" i="7944"/>
  <c r="M241" i="7944"/>
  <c r="M183" i="7944"/>
  <c r="M144" i="7944"/>
  <c r="M209" i="7944"/>
  <c r="M332" i="7944"/>
  <c r="M76" i="7944"/>
  <c r="M298" i="7944"/>
  <c r="M323" i="7944"/>
  <c r="M152" i="7944"/>
  <c r="M114" i="7944"/>
  <c r="M207" i="7944"/>
  <c r="M113" i="7944"/>
  <c r="M325" i="7944"/>
  <c r="M168" i="7944"/>
  <c r="M256" i="7944"/>
  <c r="M283" i="7944"/>
  <c r="M324" i="7944"/>
  <c r="M308" i="7944"/>
  <c r="M208" i="7944"/>
  <c r="M139" i="7944"/>
  <c r="M334" i="7944"/>
  <c r="M118" i="7944"/>
  <c r="M105" i="7944"/>
  <c r="M170" i="7944"/>
  <c r="M293" i="7944"/>
  <c r="M336" i="7944"/>
  <c r="M165" i="7944"/>
  <c r="M90" i="7944"/>
  <c r="M218" i="7944"/>
  <c r="M282" i="7944"/>
  <c r="M167" i="7944"/>
  <c r="M117" i="7944"/>
  <c r="M221" i="7944"/>
  <c r="M321" i="7944"/>
  <c r="M286" i="7944"/>
  <c r="M91" i="7944"/>
  <c r="M100" i="7944"/>
  <c r="M182" i="7944"/>
  <c r="M192" i="7944"/>
  <c r="M140" i="7944"/>
  <c r="M166" i="7944"/>
  <c r="M111" i="7944"/>
  <c r="M176" i="7944"/>
  <c r="M137" i="7944"/>
  <c r="M196" i="7944"/>
  <c r="M297" i="7944"/>
  <c r="M215" i="7944"/>
  <c r="M79" i="7944"/>
  <c r="M189" i="7944"/>
  <c r="M267" i="7944"/>
  <c r="M204" i="7944"/>
  <c r="M295" i="7944"/>
  <c r="M195" i="7944"/>
  <c r="M150" i="7944"/>
  <c r="M98" i="7944"/>
  <c r="M296" i="7944"/>
  <c r="M311" i="7944"/>
  <c r="M313" i="7944"/>
  <c r="M163" i="7944"/>
  <c r="M205" i="7944"/>
  <c r="S202" i="7944"/>
  <c r="K214" i="7944"/>
  <c r="K110" i="7944"/>
  <c r="S98" i="7944"/>
  <c r="S111" i="7944"/>
  <c r="K123" i="7944"/>
  <c r="K292" i="7944"/>
  <c r="S280" i="7944"/>
  <c r="K331" i="7944"/>
  <c r="S319" i="7944"/>
  <c r="S124" i="7944"/>
  <c r="K136" i="7944"/>
  <c r="S150" i="7944"/>
  <c r="K162" i="7944"/>
  <c r="K227" i="7944"/>
  <c r="S215" i="7944"/>
  <c r="K188" i="7944"/>
  <c r="S176" i="7944"/>
  <c r="S332" i="7944"/>
  <c r="K344" i="7944"/>
  <c r="L28" i="7944"/>
  <c r="L17" i="7944"/>
  <c r="L23" i="7944"/>
  <c r="P120" i="7942"/>
  <c r="O121" i="7942"/>
  <c r="N295" i="7942"/>
  <c r="L296" i="7942"/>
  <c r="J71" i="7944"/>
  <c r="L10" i="7944"/>
  <c r="I27" i="7944"/>
  <c r="J27" i="7944"/>
  <c r="K27" i="7944"/>
  <c r="L27" i="7944"/>
  <c r="H71" i="7944"/>
  <c r="I71" i="7944"/>
  <c r="L14" i="7944"/>
  <c r="L16" i="7944"/>
  <c r="S163" i="7944"/>
  <c r="L26" i="7944"/>
  <c r="L22" i="7944"/>
  <c r="L13" i="7944"/>
  <c r="L18" i="7944"/>
  <c r="L8" i="7944"/>
  <c r="L19" i="7944"/>
  <c r="L87" i="18"/>
  <c r="F53" i="7947" s="1"/>
  <c r="G53" i="7947" s="1"/>
  <c r="L165" i="18"/>
  <c r="L135" i="18"/>
  <c r="F106" i="7947"/>
  <c r="L57" i="18"/>
  <c r="L46" i="18"/>
  <c r="F9" i="7947" s="1"/>
  <c r="G9" i="7947" s="1"/>
  <c r="L397" i="18"/>
  <c r="L109" i="18"/>
  <c r="L121" i="18" s="1"/>
  <c r="L345" i="18"/>
  <c r="L166" i="18"/>
  <c r="F138" i="7947" s="1"/>
  <c r="G138" i="7947" s="1"/>
  <c r="L400" i="18"/>
  <c r="L257" i="18"/>
  <c r="F236" i="7947"/>
  <c r="G236" i="7947" s="1"/>
  <c r="L139" i="18"/>
  <c r="F109" i="7947"/>
  <c r="G109" i="7947" s="1"/>
  <c r="L295" i="18"/>
  <c r="F277" i="7947"/>
  <c r="G277" i="7947" s="1"/>
  <c r="L320" i="18"/>
  <c r="L398" i="18"/>
  <c r="L291" i="18"/>
  <c r="F274" i="7947"/>
  <c r="L85" i="18"/>
  <c r="F51" i="7947"/>
  <c r="G51" i="7947" s="1"/>
  <c r="L70" i="18"/>
  <c r="F36" i="7947"/>
  <c r="L150" i="18"/>
  <c r="F121" i="7947"/>
  <c r="G121" i="7947" s="1"/>
  <c r="L270" i="18"/>
  <c r="F250" i="7947"/>
  <c r="G250" i="7947" s="1"/>
  <c r="L334" i="18"/>
  <c r="L114" i="18"/>
  <c r="F82" i="7947" s="1"/>
  <c r="G82" i="7947" s="1"/>
  <c r="L254" i="18"/>
  <c r="L189" i="18"/>
  <c r="F163" i="7947"/>
  <c r="G163" i="7947" s="1"/>
  <c r="L294" i="18"/>
  <c r="F276" i="7947"/>
  <c r="G276" i="7947" s="1"/>
  <c r="L256" i="18"/>
  <c r="L304" i="18"/>
  <c r="F288" i="7947" s="1"/>
  <c r="L176" i="18"/>
  <c r="F149" i="7947" s="1"/>
  <c r="G149" i="7947" s="1"/>
  <c r="L213" i="18"/>
  <c r="L225" i="18" s="1"/>
  <c r="L44" i="18"/>
  <c r="L83" i="18"/>
  <c r="L322" i="18"/>
  <c r="L361" i="18"/>
  <c r="L179" i="18"/>
  <c r="F152" i="7947" s="1"/>
  <c r="G152" i="7947" s="1"/>
  <c r="L385" i="18"/>
  <c r="L100" i="18"/>
  <c r="F67" i="7947"/>
  <c r="G67" i="7947" s="1"/>
  <c r="L282" i="18"/>
  <c r="F263" i="7947"/>
  <c r="G263" i="7947" s="1"/>
  <c r="L239" i="18"/>
  <c r="L251" i="18" s="1"/>
  <c r="L647" i="18" s="1"/>
  <c r="L423" i="18"/>
  <c r="L151" i="18"/>
  <c r="F122" i="7947"/>
  <c r="G122" i="7947" s="1"/>
  <c r="L424" i="18"/>
  <c r="L335" i="18"/>
  <c r="L412" i="18"/>
  <c r="L296" i="18"/>
  <c r="F278" i="7947" s="1"/>
  <c r="G278" i="7947" s="1"/>
  <c r="L101" i="18"/>
  <c r="F68" i="7947" s="1"/>
  <c r="G68" i="7947" s="1"/>
  <c r="L231" i="18"/>
  <c r="F208" i="7947" s="1"/>
  <c r="G208" i="7947" s="1"/>
  <c r="L48" i="18"/>
  <c r="F11" i="7947"/>
  <c r="G11" i="7947" s="1"/>
  <c r="L283" i="18"/>
  <c r="F264" i="7947"/>
  <c r="G264" i="7947" s="1"/>
  <c r="L307" i="18"/>
  <c r="F290" i="7947"/>
  <c r="G290" i="7947" s="1"/>
  <c r="L333" i="18"/>
  <c r="L138" i="18"/>
  <c r="F108" i="7947" s="1"/>
  <c r="L347" i="18"/>
  <c r="L399" i="18"/>
  <c r="L174" i="18"/>
  <c r="L410" i="18"/>
  <c r="L59" i="18"/>
  <c r="F23" i="7947"/>
  <c r="G23" i="7947" s="1"/>
  <c r="L306" i="18"/>
  <c r="F289" i="7947"/>
  <c r="G289" i="7947" s="1"/>
  <c r="L177" i="18"/>
  <c r="F150" i="7947"/>
  <c r="G150" i="7947" s="1"/>
  <c r="L426" i="18"/>
  <c r="L152" i="18"/>
  <c r="F123" i="7947" s="1"/>
  <c r="G123" i="7947" s="1"/>
  <c r="L230" i="18"/>
  <c r="L163" i="18"/>
  <c r="F135" i="7947"/>
  <c r="G135" i="7947" s="1"/>
  <c r="L187" i="18"/>
  <c r="F162" i="7947"/>
  <c r="L72" i="18"/>
  <c r="F37" i="7947"/>
  <c r="G37" i="7947" s="1"/>
  <c r="L96" i="18"/>
  <c r="L127" i="18"/>
  <c r="F96" i="7947" s="1"/>
  <c r="G96" i="7947" s="1"/>
  <c r="L153" i="18"/>
  <c r="F124" i="7947"/>
  <c r="G124" i="7947" s="1"/>
  <c r="L321" i="18"/>
  <c r="L140" i="18"/>
  <c r="F110" i="7947" s="1"/>
  <c r="G110" i="7947" s="1"/>
  <c r="L124" i="18"/>
  <c r="F93" i="7947" s="1"/>
  <c r="G93" i="7947" s="1"/>
  <c r="L99" i="18"/>
  <c r="F66" i="7947" s="1"/>
  <c r="G66" i="7947" s="1"/>
  <c r="L229" i="18"/>
  <c r="F206" i="7947" s="1"/>
  <c r="G206" i="7947" s="1"/>
  <c r="L359" i="18"/>
  <c r="L395" i="18"/>
  <c r="L407" i="18" s="1"/>
  <c r="L659" i="18" s="1"/>
  <c r="L373" i="18"/>
  <c r="L319" i="18"/>
  <c r="L346" i="18"/>
  <c r="L200" i="18"/>
  <c r="L212" i="18" s="1"/>
  <c r="L644" i="18" s="1"/>
  <c r="L98" i="18"/>
  <c r="L161" i="18"/>
  <c r="L309" i="18"/>
  <c r="F292" i="7947" s="1"/>
  <c r="G292" i="7947" s="1"/>
  <c r="L308" i="18"/>
  <c r="F291" i="7947" s="1"/>
  <c r="G291" i="7947" s="1"/>
  <c r="L278" i="18"/>
  <c r="L281" i="18"/>
  <c r="F262" i="7947"/>
  <c r="G262" i="7947" s="1"/>
  <c r="L192" i="18"/>
  <c r="F166" i="7947"/>
  <c r="G166" i="7947" s="1"/>
  <c r="L75" i="18"/>
  <c r="F40" i="7947"/>
  <c r="G40" i="7947" s="1"/>
  <c r="L268" i="18"/>
  <c r="F248" i="7947"/>
  <c r="G248" i="7947" s="1"/>
  <c r="L280" i="18"/>
  <c r="F261" i="7947"/>
  <c r="G261" i="7947" s="1"/>
  <c r="L125" i="18"/>
  <c r="F94" i="7947"/>
  <c r="G94" i="7947" s="1"/>
  <c r="L421" i="18"/>
  <c r="L433" i="18" s="1"/>
  <c r="L661" i="18" s="1"/>
  <c r="L330" i="18"/>
  <c r="L371" i="18"/>
  <c r="L269" i="18"/>
  <c r="F249" i="7947"/>
  <c r="G249" i="7947" s="1"/>
  <c r="L252" i="18"/>
  <c r="L112" i="18"/>
  <c r="F80" i="7947" s="1"/>
  <c r="G80" i="7947" s="1"/>
  <c r="L374" i="18"/>
  <c r="L113" i="18"/>
  <c r="F81" i="7947"/>
  <c r="G81" i="7947" s="1"/>
  <c r="L267" i="18"/>
  <c r="F247" i="7947"/>
  <c r="G247" i="7947" s="1"/>
  <c r="L122" i="18"/>
  <c r="L47" i="18"/>
  <c r="F10" i="7947"/>
  <c r="G10" i="7947" s="1"/>
  <c r="L73" i="18"/>
  <c r="F38" i="7947"/>
  <c r="G38" i="7947" s="1"/>
  <c r="L61" i="18"/>
  <c r="L190" i="18"/>
  <c r="F164" i="7947" s="1"/>
  <c r="G164" i="7947" s="1"/>
  <c r="L372" i="18"/>
  <c r="L293" i="18"/>
  <c r="F275" i="7947"/>
  <c r="G275" i="7947" s="1"/>
  <c r="L348" i="18"/>
  <c r="L191" i="18"/>
  <c r="L137" i="18"/>
  <c r="F107" i="7947"/>
  <c r="G107" i="7947" s="1"/>
  <c r="L62" i="18"/>
  <c r="F26" i="7947"/>
  <c r="G26" i="7947" s="1"/>
  <c r="L386" i="18"/>
  <c r="L178" i="18"/>
  <c r="F151" i="7947" s="1"/>
  <c r="G151" i="7947" s="1"/>
  <c r="L255" i="18"/>
  <c r="F234" i="7947"/>
  <c r="G234" i="7947" s="1"/>
  <c r="M3" i="18"/>
  <c r="L111" i="18"/>
  <c r="F79" i="7947" s="1"/>
  <c r="G79" i="7947" s="1"/>
  <c r="L60" i="18"/>
  <c r="F24" i="7947"/>
  <c r="G24" i="7947" s="1"/>
  <c r="L148" i="18"/>
  <c r="L413" i="18"/>
  <c r="L228" i="18"/>
  <c r="L49" i="18"/>
  <c r="F12" i="7947"/>
  <c r="G12" i="7947" s="1"/>
  <c r="L74" i="18"/>
  <c r="F39" i="7947"/>
  <c r="G39" i="7947" s="1"/>
  <c r="L88" i="18"/>
  <c r="F54" i="7947"/>
  <c r="G54" i="7947" s="1"/>
  <c r="L126" i="18"/>
  <c r="L411" i="18"/>
  <c r="L425" i="18"/>
  <c r="L164" i="18"/>
  <c r="F136" i="7947" s="1"/>
  <c r="G136" i="7947" s="1"/>
  <c r="L226" i="18"/>
  <c r="L387" i="18"/>
  <c r="L86" i="18"/>
  <c r="F52" i="7947" s="1"/>
  <c r="G52" i="7947" s="1"/>
  <c r="L332" i="18"/>
  <c r="L384" i="18"/>
  <c r="K69" i="18"/>
  <c r="K633" i="18" s="1"/>
  <c r="F205" i="7947"/>
  <c r="G205" i="7947" s="1"/>
  <c r="L358" i="18"/>
  <c r="K134" i="18"/>
  <c r="K638" i="18" s="1"/>
  <c r="K121" i="18"/>
  <c r="K637" i="18" s="1"/>
  <c r="K147" i="18"/>
  <c r="K639" i="18" s="1"/>
  <c r="F207" i="7947"/>
  <c r="G207" i="7947" s="1"/>
  <c r="K173" i="18"/>
  <c r="K641" i="18" s="1"/>
  <c r="L360" i="18"/>
  <c r="F137" i="7947"/>
  <c r="G137" i="7947" s="1"/>
  <c r="F233" i="7947"/>
  <c r="G233" i="7947" s="1"/>
  <c r="K659" i="18"/>
  <c r="F95" i="7947"/>
  <c r="G95" i="7947" s="1"/>
  <c r="K648" i="18"/>
  <c r="K186" i="18"/>
  <c r="K642" i="18" s="1"/>
  <c r="F25" i="7947"/>
  <c r="G25" i="7947" s="1"/>
  <c r="K290" i="18"/>
  <c r="K650" i="18"/>
  <c r="F235" i="7947"/>
  <c r="G235" i="7947" s="1"/>
  <c r="K108" i="18"/>
  <c r="K636" i="18" s="1"/>
  <c r="K82" i="18"/>
  <c r="K634" i="18" s="1"/>
  <c r="K342" i="18"/>
  <c r="K654" i="18" s="1"/>
  <c r="F165" i="7947"/>
  <c r="G165" i="7947" s="1"/>
  <c r="K225" i="18"/>
  <c r="K645" i="18" s="1"/>
  <c r="K277" i="18"/>
  <c r="K649" i="18" s="1"/>
  <c r="K316" i="18"/>
  <c r="K652" i="18" s="1"/>
  <c r="F65" i="7947"/>
  <c r="G65" i="7947" s="1"/>
  <c r="K160" i="18"/>
  <c r="K640" i="18" s="1"/>
  <c r="L12" i="7944"/>
  <c r="L24" i="7944"/>
  <c r="K86" i="7950"/>
  <c r="O87" i="7950"/>
  <c r="U57" i="7950"/>
  <c r="U58" i="7950"/>
  <c r="H15" i="7944"/>
  <c r="G71" i="7944"/>
  <c r="K71" i="7944"/>
  <c r="L25" i="7944"/>
  <c r="L9" i="7944"/>
  <c r="N103" i="7944"/>
  <c r="N282" i="7944"/>
  <c r="N314" i="7944"/>
  <c r="N130" i="7944"/>
  <c r="N197" i="7944"/>
  <c r="N105" i="7944"/>
  <c r="N74" i="7944"/>
  <c r="N178" i="7944"/>
  <c r="N309" i="7944"/>
  <c r="N288" i="7944"/>
  <c r="N308" i="7944"/>
  <c r="N241" i="7944"/>
  <c r="N257" i="7944"/>
  <c r="N258" i="7944"/>
  <c r="N76" i="7944"/>
  <c r="N181" i="7944"/>
  <c r="N143" i="7944"/>
  <c r="N132" i="7944"/>
  <c r="N254" i="7944"/>
  <c r="N102" i="7944"/>
  <c r="N104" i="7944"/>
  <c r="N80" i="7944"/>
  <c r="N221" i="7944"/>
  <c r="N256" i="7944"/>
  <c r="N106" i="7944"/>
  <c r="N313" i="7944"/>
  <c r="N176" i="7944"/>
  <c r="N337" i="7944"/>
  <c r="N127" i="7944"/>
  <c r="N285" i="7944"/>
  <c r="N184" i="7944"/>
  <c r="N195" i="7944"/>
  <c r="N194" i="7944"/>
  <c r="N158" i="7944"/>
  <c r="N196" i="7944"/>
  <c r="N126" i="7944"/>
  <c r="N85" i="7944"/>
  <c r="N286" i="7944"/>
  <c r="N179" i="7944"/>
  <c r="N218" i="7944"/>
  <c r="N163" i="7944"/>
  <c r="N167" i="7944"/>
  <c r="N297" i="7944"/>
  <c r="N93" i="7944"/>
  <c r="N207" i="7944"/>
  <c r="N182" i="7944"/>
  <c r="N155" i="7944"/>
  <c r="N284" i="7944"/>
  <c r="N336" i="7944"/>
  <c r="N129" i="7944"/>
  <c r="N141" i="7944"/>
  <c r="N117" i="7944"/>
  <c r="N124" i="7944"/>
  <c r="N79" i="7944"/>
  <c r="N75" i="7944"/>
  <c r="N204" i="7944"/>
  <c r="N191" i="7944"/>
  <c r="N202" i="7944"/>
  <c r="N260" i="7944"/>
  <c r="N89" i="7944"/>
  <c r="N183" i="7944"/>
  <c r="N116" i="7944"/>
  <c r="N156" i="7944"/>
  <c r="N128" i="7944"/>
  <c r="N157" i="7944"/>
  <c r="N115" i="7944"/>
  <c r="N131" i="7944"/>
  <c r="N222" i="7944"/>
  <c r="N154" i="7944"/>
  <c r="N152" i="7944"/>
  <c r="N300" i="7944"/>
  <c r="N205" i="7944"/>
  <c r="N295" i="7944"/>
  <c r="N332" i="7944"/>
  <c r="N87" i="7944"/>
  <c r="N326" i="7944"/>
  <c r="N259" i="7944"/>
  <c r="N267" i="7944"/>
  <c r="N338" i="7944"/>
  <c r="N335" i="7944"/>
  <c r="N118" i="7944"/>
  <c r="N340" i="7944"/>
  <c r="N98" i="7944"/>
  <c r="N101" i="7944"/>
  <c r="N306" i="7944"/>
  <c r="N100" i="7944"/>
  <c r="N334" i="7944"/>
  <c r="N280" i="7944"/>
  <c r="N228" i="7944"/>
  <c r="N78" i="7944"/>
  <c r="N168" i="7944"/>
  <c r="N92" i="7944"/>
  <c r="N88" i="7944"/>
  <c r="N210" i="7944"/>
  <c r="N339" i="7944"/>
  <c r="N319" i="7944"/>
  <c r="N283" i="7944"/>
  <c r="N90" i="7944"/>
  <c r="N72" i="7944"/>
  <c r="N145" i="7944"/>
  <c r="N166" i="7944"/>
  <c r="N299" i="7944"/>
  <c r="N220" i="7944"/>
  <c r="N219" i="7944"/>
  <c r="N215" i="7944"/>
  <c r="N261" i="7944"/>
  <c r="N217" i="7944"/>
  <c r="N206" i="7944"/>
  <c r="N311" i="7944"/>
  <c r="N327" i="7944"/>
  <c r="N169" i="7944"/>
  <c r="N153" i="7944"/>
  <c r="N165" i="7944"/>
  <c r="N209" i="7944"/>
  <c r="N310" i="7944"/>
  <c r="N262" i="7944"/>
  <c r="N323" i="7944"/>
  <c r="N171" i="7944"/>
  <c r="N321" i="7944"/>
  <c r="N170" i="7944"/>
  <c r="N91" i="7944"/>
  <c r="N312" i="7944"/>
  <c r="N119" i="7944"/>
  <c r="N324" i="7944"/>
  <c r="N223" i="7944"/>
  <c r="N137" i="7944"/>
  <c r="N139" i="7944"/>
  <c r="N77" i="7944"/>
  <c r="N325" i="7944"/>
  <c r="N193" i="7944"/>
  <c r="N192" i="7944"/>
  <c r="O3" i="7944"/>
  <c r="N150" i="7944"/>
  <c r="N114" i="7944"/>
  <c r="N189" i="7944"/>
  <c r="N140" i="7944"/>
  <c r="N287" i="7944"/>
  <c r="N301" i="7944"/>
  <c r="N322" i="7944"/>
  <c r="N111" i="7944"/>
  <c r="N180" i="7944"/>
  <c r="N144" i="7944"/>
  <c r="N208" i="7944"/>
  <c r="N113" i="7944"/>
  <c r="N142" i="7944"/>
  <c r="N293" i="7944"/>
  <c r="N298" i="7944"/>
  <c r="N296" i="7944"/>
  <c r="L11" i="7944"/>
  <c r="Q120" i="7942"/>
  <c r="F176" i="7947"/>
  <c r="F187" i="7947" s="1"/>
  <c r="G187" i="7947" s="1"/>
  <c r="L238" i="18"/>
  <c r="L646" i="18" s="1"/>
  <c r="L160" i="18"/>
  <c r="L640" i="18" s="1"/>
  <c r="L199" i="18"/>
  <c r="L643" i="18" s="1"/>
  <c r="L303" i="18"/>
  <c r="L651" i="18" s="1"/>
  <c r="F22" i="7947"/>
  <c r="L69" i="18"/>
  <c r="L633" i="18" s="1"/>
  <c r="L134" i="18"/>
  <c r="L638" i="18"/>
  <c r="L95" i="18"/>
  <c r="L635" i="18"/>
  <c r="L316" i="18"/>
  <c r="L652" i="18"/>
  <c r="L637" i="18"/>
  <c r="L147" i="18"/>
  <c r="L639" i="18"/>
  <c r="M333" i="18"/>
  <c r="M319" i="18"/>
  <c r="M347" i="18"/>
  <c r="M348" i="18"/>
  <c r="M75" i="18"/>
  <c r="M322" i="18"/>
  <c r="M385" i="18"/>
  <c r="M135" i="18"/>
  <c r="M306" i="18"/>
  <c r="M137" i="18"/>
  <c r="M293" i="18"/>
  <c r="M278" i="18"/>
  <c r="M47" i="18"/>
  <c r="M268" i="18"/>
  <c r="M74" i="18"/>
  <c r="M152" i="18"/>
  <c r="M399" i="18"/>
  <c r="M336" i="18"/>
  <c r="M154" i="18"/>
  <c r="M63" i="18"/>
  <c r="M232" i="18"/>
  <c r="M88" i="18"/>
  <c r="N3" i="18"/>
  <c r="M252" i="18"/>
  <c r="M228" i="18"/>
  <c r="M98" i="18"/>
  <c r="M254" i="18"/>
  <c r="M86" i="18"/>
  <c r="M423" i="18"/>
  <c r="M256" i="18"/>
  <c r="M178" i="18"/>
  <c r="M386" i="18"/>
  <c r="M361" i="18"/>
  <c r="M362" i="18"/>
  <c r="M167" i="18"/>
  <c r="M284" i="18"/>
  <c r="M192" i="18"/>
  <c r="M270" i="18"/>
  <c r="M60" i="18"/>
  <c r="M229" i="18"/>
  <c r="M413" i="18"/>
  <c r="M411" i="18"/>
  <c r="M166" i="18"/>
  <c r="M114" i="18"/>
  <c r="M174" i="18"/>
  <c r="M72" i="18"/>
  <c r="M176" i="18"/>
  <c r="M189" i="18"/>
  <c r="M73" i="18"/>
  <c r="M126" i="18"/>
  <c r="M282" i="18"/>
  <c r="M334" i="18"/>
  <c r="M349" i="18"/>
  <c r="M271" i="18"/>
  <c r="M115" i="18"/>
  <c r="M425" i="18"/>
  <c r="M304" i="18"/>
  <c r="M46" i="18"/>
  <c r="M150" i="18"/>
  <c r="M151" i="18"/>
  <c r="M113" i="18"/>
  <c r="M269" i="18"/>
  <c r="M50" i="18"/>
  <c r="M128" i="18"/>
  <c r="M231" i="18"/>
  <c r="M296" i="18"/>
  <c r="M307" i="18"/>
  <c r="M164" i="18"/>
  <c r="M359" i="18"/>
  <c r="M371" i="18"/>
  <c r="M373" i="18"/>
  <c r="M309" i="18"/>
  <c r="M320" i="18"/>
  <c r="M200" i="18"/>
  <c r="M267" i="18"/>
  <c r="M85" i="18"/>
  <c r="M226" i="18"/>
  <c r="M281" i="18"/>
  <c r="M87" i="18"/>
  <c r="M191" i="18"/>
  <c r="M321" i="18"/>
  <c r="M388" i="18"/>
  <c r="M258" i="18"/>
  <c r="M148" i="18"/>
  <c r="M124" i="18"/>
  <c r="M280" i="18"/>
  <c r="M177" i="18"/>
  <c r="M48" i="18"/>
  <c r="M165" i="18"/>
  <c r="M374" i="18"/>
  <c r="M89" i="18"/>
  <c r="M375" i="18"/>
  <c r="M153" i="18"/>
  <c r="M283" i="18"/>
  <c r="M255" i="18"/>
  <c r="M125" i="18"/>
  <c r="M400" i="18"/>
  <c r="M330" i="18"/>
  <c r="M127" i="18"/>
  <c r="M291" i="18"/>
  <c r="M161" i="18"/>
  <c r="M139" i="18"/>
  <c r="M412" i="18"/>
  <c r="M297" i="18"/>
  <c r="M101" i="18"/>
  <c r="M57" i="18"/>
  <c r="M96" i="18"/>
  <c r="M308" i="18"/>
  <c r="M193" i="18"/>
  <c r="M414" i="18"/>
  <c r="N414" i="18"/>
  <c r="M190" i="18"/>
  <c r="M426" i="18"/>
  <c r="M395" i="18"/>
  <c r="M111" i="18"/>
  <c r="M310" i="18"/>
  <c r="M213" i="18"/>
  <c r="M83" i="18"/>
  <c r="M100" i="18"/>
  <c r="M102" i="18"/>
  <c r="M99" i="18"/>
  <c r="M179" i="18"/>
  <c r="M398" i="18"/>
  <c r="M163" i="18"/>
  <c r="M109" i="18"/>
  <c r="M295" i="18"/>
  <c r="M323" i="18"/>
  <c r="M180" i="18"/>
  <c r="M187" i="18"/>
  <c r="M410" i="18"/>
  <c r="M294" i="18"/>
  <c r="M424" i="18"/>
  <c r="M141" i="18"/>
  <c r="M138" i="18"/>
  <c r="M345" i="18"/>
  <c r="M62" i="18"/>
  <c r="M397" i="18"/>
  <c r="M230" i="18"/>
  <c r="M76" i="18"/>
  <c r="M140" i="18"/>
  <c r="M122" i="18"/>
  <c r="M257" i="18"/>
  <c r="M387" i="18"/>
  <c r="M239" i="18"/>
  <c r="M427" i="18"/>
  <c r="M112" i="18"/>
  <c r="M59" i="18"/>
  <c r="M401" i="18"/>
  <c r="M49" i="18"/>
  <c r="M346" i="18"/>
  <c r="M70" i="18"/>
  <c r="M372" i="18"/>
  <c r="M335" i="18"/>
  <c r="M61" i="18"/>
  <c r="M384" i="18"/>
  <c r="M360" i="18"/>
  <c r="M358" i="18"/>
  <c r="M332" i="18"/>
  <c r="L264" i="18"/>
  <c r="L648" i="18" s="1"/>
  <c r="L342" i="18"/>
  <c r="L654" i="18" s="1"/>
  <c r="L290" i="18"/>
  <c r="L650" i="18" s="1"/>
  <c r="F64" i="7947"/>
  <c r="L108" i="18"/>
  <c r="L636" i="18" s="1"/>
  <c r="L56" i="18"/>
  <c r="L82" i="18"/>
  <c r="L634" i="18"/>
  <c r="I15" i="7944"/>
  <c r="H7" i="7944"/>
  <c r="O297" i="7944"/>
  <c r="O282" i="7944"/>
  <c r="O204" i="7944"/>
  <c r="O302" i="7944"/>
  <c r="O193" i="7944"/>
  <c r="O178" i="7944"/>
  <c r="O196" i="7944"/>
  <c r="O172" i="7944"/>
  <c r="O91" i="7944"/>
  <c r="O152" i="7944"/>
  <c r="O144" i="7944"/>
  <c r="O211" i="7944"/>
  <c r="O179" i="7944"/>
  <c r="O156" i="7944"/>
  <c r="O90" i="7944"/>
  <c r="O336" i="7944"/>
  <c r="O145" i="7944"/>
  <c r="O289" i="7944"/>
  <c r="O141" i="7944"/>
  <c r="O171" i="7944"/>
  <c r="O165" i="7944"/>
  <c r="O131" i="7944"/>
  <c r="O103" i="7944"/>
  <c r="O89" i="7944"/>
  <c r="O228" i="7944"/>
  <c r="O321" i="7944"/>
  <c r="O72" i="7944"/>
  <c r="O85" i="7944"/>
  <c r="O209" i="7944"/>
  <c r="O327" i="7944"/>
  <c r="O113" i="7944"/>
  <c r="O194" i="7944"/>
  <c r="O299" i="7944"/>
  <c r="O215" i="7944"/>
  <c r="O76" i="7944"/>
  <c r="O341" i="7944"/>
  <c r="O313" i="7944"/>
  <c r="O312" i="7944"/>
  <c r="O263" i="7944"/>
  <c r="O78" i="7944"/>
  <c r="O224" i="7944"/>
  <c r="O314" i="7944"/>
  <c r="O338" i="7944"/>
  <c r="O261" i="7944"/>
  <c r="O217" i="7944"/>
  <c r="O334" i="7944"/>
  <c r="O223" i="7944"/>
  <c r="O315" i="7944"/>
  <c r="O323" i="7944"/>
  <c r="O81" i="7944"/>
  <c r="O257" i="7944"/>
  <c r="O335" i="7944"/>
  <c r="O293" i="7944"/>
  <c r="O325" i="7944"/>
  <c r="O92" i="7944"/>
  <c r="O140" i="7944"/>
  <c r="O101" i="7944"/>
  <c r="O105" i="7944"/>
  <c r="O102" i="7944"/>
  <c r="O75" i="7944"/>
  <c r="O241" i="7944"/>
  <c r="O100" i="7944"/>
  <c r="O262" i="7944"/>
  <c r="O150" i="7944"/>
  <c r="O153" i="7944"/>
  <c r="O118" i="7944"/>
  <c r="O87" i="7944"/>
  <c r="O295" i="7944"/>
  <c r="O117" i="7944"/>
  <c r="O139" i="7944"/>
  <c r="O301" i="7944"/>
  <c r="O258" i="7944"/>
  <c r="O208" i="7944"/>
  <c r="O176" i="7944"/>
  <c r="O180" i="7944"/>
  <c r="O120" i="7944"/>
  <c r="O159" i="7944"/>
  <c r="O127" i="7944"/>
  <c r="O94" i="7944"/>
  <c r="O170" i="7944"/>
  <c r="O326" i="7944"/>
  <c r="O324" i="7944"/>
  <c r="O310" i="7944"/>
  <c r="O124" i="7944"/>
  <c r="O157" i="7944"/>
  <c r="O182" i="7944"/>
  <c r="O106" i="7944"/>
  <c r="O130" i="7944"/>
  <c r="O132" i="7944"/>
  <c r="O207" i="7944"/>
  <c r="O119" i="7944"/>
  <c r="P3" i="7944"/>
  <c r="O74" i="7944"/>
  <c r="O308" i="7944"/>
  <c r="O183" i="7944"/>
  <c r="O287" i="7944"/>
  <c r="O142" i="7944"/>
  <c r="O322" i="7944"/>
  <c r="O115" i="7944"/>
  <c r="O267" i="7944"/>
  <c r="O146" i="7944"/>
  <c r="O221" i="7944"/>
  <c r="O111" i="7944"/>
  <c r="O254" i="7944"/>
  <c r="O337" i="7944"/>
  <c r="O339" i="7944"/>
  <c r="O309" i="7944"/>
  <c r="O93" i="7944"/>
  <c r="O332" i="7944"/>
  <c r="O154" i="7944"/>
  <c r="O306" i="7944"/>
  <c r="O340" i="7944"/>
  <c r="O79" i="7944"/>
  <c r="O129" i="7944"/>
  <c r="O259" i="7944"/>
  <c r="O256" i="7944"/>
  <c r="O191" i="7944"/>
  <c r="O218" i="7944"/>
  <c r="O197" i="7944"/>
  <c r="O222" i="7944"/>
  <c r="O114" i="7944"/>
  <c r="O143" i="7944"/>
  <c r="O260" i="7944"/>
  <c r="O198" i="7944"/>
  <c r="O126" i="7944"/>
  <c r="O206" i="7944"/>
  <c r="O163" i="7944"/>
  <c r="O319" i="7944"/>
  <c r="O283" i="7944"/>
  <c r="O288" i="7944"/>
  <c r="O158" i="7944"/>
  <c r="O284" i="7944"/>
  <c r="O137" i="7944"/>
  <c r="O181" i="7944"/>
  <c r="O166" i="7944"/>
  <c r="O128" i="7944"/>
  <c r="O168" i="7944"/>
  <c r="O184" i="7944"/>
  <c r="O285" i="7944"/>
  <c r="O104" i="7944"/>
  <c r="O219" i="7944"/>
  <c r="O202" i="7944"/>
  <c r="O311" i="7944"/>
  <c r="O296" i="7944"/>
  <c r="O192" i="7944"/>
  <c r="O98" i="7944"/>
  <c r="O77" i="7944"/>
  <c r="O107" i="7944"/>
  <c r="O220" i="7944"/>
  <c r="O280" i="7944"/>
  <c r="O169" i="7944"/>
  <c r="O210" i="7944"/>
  <c r="O189" i="7944"/>
  <c r="O116" i="7944"/>
  <c r="O185" i="7944"/>
  <c r="O328" i="7944"/>
  <c r="O167" i="7944"/>
  <c r="O155" i="7944"/>
  <c r="O286" i="7944"/>
  <c r="O195" i="7944"/>
  <c r="O80" i="7944"/>
  <c r="O133" i="7944"/>
  <c r="O88" i="7944"/>
  <c r="O205" i="7944"/>
  <c r="O300" i="7944"/>
  <c r="O298" i="7944"/>
  <c r="P121" i="7942"/>
  <c r="P269" i="7941" s="1"/>
  <c r="Q121" i="7942"/>
  <c r="Q269" i="7941" s="1"/>
  <c r="N330" i="18"/>
  <c r="O330" i="18" s="1"/>
  <c r="P330" i="18" s="1"/>
  <c r="P298" i="7944"/>
  <c r="L632" i="18"/>
  <c r="N386" i="18"/>
  <c r="N426" i="18"/>
  <c r="N76" i="18"/>
  <c r="N193" i="18"/>
  <c r="N304" i="18"/>
  <c r="N239" i="18"/>
  <c r="N254" i="18"/>
  <c r="N90" i="18"/>
  <c r="N337" i="18"/>
  <c r="N181" i="18"/>
  <c r="N103" i="18"/>
  <c r="N96" i="18"/>
  <c r="N226" i="18"/>
  <c r="N294" i="18"/>
  <c r="N230" i="18"/>
  <c r="N87" i="18"/>
  <c r="N166" i="18"/>
  <c r="N373" i="18"/>
  <c r="N309" i="18"/>
  <c r="N347" i="18"/>
  <c r="N425" i="18"/>
  <c r="N271" i="18"/>
  <c r="N141" i="18"/>
  <c r="N57" i="18"/>
  <c r="N135" i="18"/>
  <c r="N46" i="18"/>
  <c r="N233" i="18"/>
  <c r="N111" i="18"/>
  <c r="N129" i="18"/>
  <c r="N272" i="18"/>
  <c r="N122" i="18"/>
  <c r="N73" i="18"/>
  <c r="N126" i="18"/>
  <c r="N139" i="18"/>
  <c r="N61" i="18"/>
  <c r="N400" i="18"/>
  <c r="N49" i="18"/>
  <c r="N270" i="18"/>
  <c r="N398" i="18"/>
  <c r="N401" i="18"/>
  <c r="N361" i="18"/>
  <c r="N284" i="18"/>
  <c r="N99" i="18"/>
  <c r="N190" i="18"/>
  <c r="N138" i="18"/>
  <c r="N334" i="18"/>
  <c r="N412" i="18"/>
  <c r="N371" i="18"/>
  <c r="N395" i="18"/>
  <c r="N50" i="18"/>
  <c r="N167" i="18"/>
  <c r="N187" i="18"/>
  <c r="N59" i="18"/>
  <c r="N176" i="18"/>
  <c r="N311" i="18"/>
  <c r="N163" i="18"/>
  <c r="N155" i="18"/>
  <c r="N116" i="18"/>
  <c r="N83" i="18"/>
  <c r="N112" i="18"/>
  <c r="N151" i="18"/>
  <c r="N282" i="18"/>
  <c r="N256" i="18"/>
  <c r="N257" i="18"/>
  <c r="N296" i="18"/>
  <c r="N322" i="18"/>
  <c r="N320" i="18"/>
  <c r="N89" i="18"/>
  <c r="N388" i="18"/>
  <c r="N321" i="18"/>
  <c r="O3" i="18"/>
  <c r="N200" i="18"/>
  <c r="N324" i="18"/>
  <c r="N363" i="18"/>
  <c r="N85" i="18"/>
  <c r="N259" i="18"/>
  <c r="N278" i="18"/>
  <c r="N306" i="18"/>
  <c r="N177" i="18"/>
  <c r="N48" i="18"/>
  <c r="N113" i="18"/>
  <c r="N231" i="18"/>
  <c r="N192" i="18"/>
  <c r="N283" i="18"/>
  <c r="N348" i="18"/>
  <c r="N385" i="18"/>
  <c r="N258" i="18"/>
  <c r="N229" i="18"/>
  <c r="N307" i="18"/>
  <c r="N427" i="18"/>
  <c r="O427" i="18"/>
  <c r="N333" i="18"/>
  <c r="N310" i="18"/>
  <c r="N291" i="18"/>
  <c r="N137" i="18"/>
  <c r="N252" i="18"/>
  <c r="N389" i="18"/>
  <c r="N47" i="18"/>
  <c r="N165" i="18"/>
  <c r="N140" i="18"/>
  <c r="N346" i="18"/>
  <c r="N63" i="18"/>
  <c r="N148" i="18"/>
  <c r="N280" i="18"/>
  <c r="N142" i="18"/>
  <c r="N402" i="18"/>
  <c r="N161" i="18"/>
  <c r="N269" i="18"/>
  <c r="N179" i="18"/>
  <c r="N153" i="18"/>
  <c r="N387" i="18"/>
  <c r="N164" i="18"/>
  <c r="N319" i="18"/>
  <c r="N410" i="18"/>
  <c r="N128" i="18"/>
  <c r="N168" i="18"/>
  <c r="N150" i="18"/>
  <c r="N308" i="18"/>
  <c r="N413" i="18"/>
  <c r="N72" i="18"/>
  <c r="N51" i="18"/>
  <c r="N86" i="18"/>
  <c r="N374" i="18"/>
  <c r="N60" i="18"/>
  <c r="N362" i="18"/>
  <c r="N375" i="18"/>
  <c r="N124" i="18"/>
  <c r="N298" i="18"/>
  <c r="N350" i="18"/>
  <c r="N44" i="18"/>
  <c r="N268" i="18"/>
  <c r="N152" i="18"/>
  <c r="N75" i="18"/>
  <c r="N345" i="18"/>
  <c r="N349" i="18"/>
  <c r="N213" i="18"/>
  <c r="N98" i="18"/>
  <c r="N428" i="18"/>
  <c r="N415" i="18"/>
  <c r="N281" i="18"/>
  <c r="N100" i="18"/>
  <c r="N127" i="18"/>
  <c r="N114" i="18"/>
  <c r="N232" i="18"/>
  <c r="N125" i="18"/>
  <c r="N411" i="18"/>
  <c r="N323" i="18"/>
  <c r="N359" i="18"/>
  <c r="N424" i="18"/>
  <c r="N154" i="18"/>
  <c r="N293" i="18"/>
  <c r="N64" i="18"/>
  <c r="N295" i="18"/>
  <c r="N101" i="18"/>
  <c r="N297" i="18"/>
  <c r="N70" i="18"/>
  <c r="N74" i="18"/>
  <c r="N372" i="18"/>
  <c r="N267" i="18"/>
  <c r="N336" i="18"/>
  <c r="N174" i="18"/>
  <c r="N191" i="18"/>
  <c r="N102" i="18"/>
  <c r="N109" i="18"/>
  <c r="N335" i="18"/>
  <c r="N77" i="18"/>
  <c r="N115" i="18"/>
  <c r="N397" i="18"/>
  <c r="N399" i="18"/>
  <c r="N194" i="18"/>
  <c r="N62" i="18"/>
  <c r="N228" i="18"/>
  <c r="N180" i="18"/>
  <c r="N376" i="18"/>
  <c r="O376" i="18" s="1"/>
  <c r="N88" i="18"/>
  <c r="N178" i="18"/>
  <c r="N189" i="18"/>
  <c r="N285" i="18"/>
  <c r="N255" i="18"/>
  <c r="N384" i="18"/>
  <c r="N360" i="18"/>
  <c r="N332" i="18"/>
  <c r="O332" i="18" s="1"/>
  <c r="N358" i="18"/>
  <c r="N423" i="18"/>
  <c r="J15" i="7944"/>
  <c r="I7" i="7944"/>
  <c r="P211" i="7944"/>
  <c r="P301" i="7944"/>
  <c r="P332" i="7944"/>
  <c r="P212" i="7944"/>
  <c r="P100" i="7944"/>
  <c r="P324" i="7944"/>
  <c r="P290" i="7944"/>
  <c r="P228" i="7944"/>
  <c r="P197" i="7944"/>
  <c r="P202" i="7944"/>
  <c r="P142" i="7944"/>
  <c r="P193" i="7944"/>
  <c r="P256" i="7944"/>
  <c r="P205" i="7944"/>
  <c r="P106" i="7944"/>
  <c r="P89" i="7944"/>
  <c r="P88" i="7944"/>
  <c r="P133" i="7944"/>
  <c r="P176" i="7944"/>
  <c r="P262" i="7944"/>
  <c r="P222" i="7944"/>
  <c r="P102" i="7944"/>
  <c r="P309" i="7944"/>
  <c r="P171" i="7944"/>
  <c r="P254" i="7944"/>
  <c r="P303" i="7944"/>
  <c r="P189" i="7944"/>
  <c r="P75" i="7944"/>
  <c r="P181" i="7944"/>
  <c r="P139" i="7944"/>
  <c r="P87" i="7944"/>
  <c r="P342" i="7944"/>
  <c r="P267" i="7944"/>
  <c r="P159" i="7944"/>
  <c r="P287" i="7944"/>
  <c r="P117" i="7944"/>
  <c r="P198" i="7944"/>
  <c r="P146" i="7944"/>
  <c r="P221" i="7944"/>
  <c r="P85" i="7944"/>
  <c r="P184" i="7944"/>
  <c r="P311" i="7944"/>
  <c r="P119" i="7944"/>
  <c r="P224" i="7944"/>
  <c r="P104" i="7944"/>
  <c r="P340" i="7944"/>
  <c r="P74" i="7944"/>
  <c r="P315" i="7944"/>
  <c r="P223" i="7944"/>
  <c r="P168" i="7944"/>
  <c r="P93" i="7944"/>
  <c r="P325" i="7944"/>
  <c r="P79" i="7944"/>
  <c r="P155" i="7944"/>
  <c r="P195" i="7944"/>
  <c r="P207" i="7944"/>
  <c r="P300" i="7944"/>
  <c r="P204" i="7944"/>
  <c r="P299" i="7944"/>
  <c r="P297" i="7944"/>
  <c r="P313" i="7944"/>
  <c r="P286" i="7944"/>
  <c r="P338" i="7944"/>
  <c r="P326" i="7944"/>
  <c r="P327" i="7944"/>
  <c r="P306" i="7944"/>
  <c r="P76" i="7944"/>
  <c r="P165" i="7944"/>
  <c r="P263" i="7944"/>
  <c r="P261" i="7944"/>
  <c r="P339" i="7944"/>
  <c r="P113" i="7944"/>
  <c r="P285" i="7944"/>
  <c r="P314" i="7944"/>
  <c r="P288" i="7944"/>
  <c r="P260" i="7944"/>
  <c r="P220" i="7944"/>
  <c r="P208" i="7944"/>
  <c r="P334" i="7944"/>
  <c r="P158" i="7944"/>
  <c r="P95" i="7944"/>
  <c r="P321" i="7944"/>
  <c r="P258" i="7944"/>
  <c r="P328" i="7944"/>
  <c r="P284" i="7944"/>
  <c r="P91" i="7944"/>
  <c r="P257" i="7944"/>
  <c r="P289" i="7944"/>
  <c r="P302" i="7944"/>
  <c r="P316" i="7944"/>
  <c r="P322" i="7944"/>
  <c r="P121" i="7944"/>
  <c r="P114" i="7944"/>
  <c r="P134" i="7944"/>
  <c r="P131" i="7944"/>
  <c r="P167" i="7944"/>
  <c r="P192" i="7944"/>
  <c r="P296" i="7944"/>
  <c r="P124" i="7944"/>
  <c r="P72" i="7944"/>
  <c r="P217" i="7944"/>
  <c r="P81" i="7944"/>
  <c r="P141" i="7944"/>
  <c r="P310" i="7944"/>
  <c r="P92" i="7944"/>
  <c r="P127" i="7944"/>
  <c r="P115" i="7944"/>
  <c r="P98" i="7944"/>
  <c r="Q3" i="7944"/>
  <c r="P337" i="7944"/>
  <c r="P143" i="7944"/>
  <c r="P191" i="7944"/>
  <c r="P293" i="7944"/>
  <c r="P140" i="7944"/>
  <c r="P241" i="7944"/>
  <c r="P186" i="7944"/>
  <c r="P130" i="7944"/>
  <c r="P183" i="7944"/>
  <c r="P170" i="7944"/>
  <c r="P312" i="7944"/>
  <c r="P147" i="7944"/>
  <c r="P199" i="7944"/>
  <c r="P218" i="7944"/>
  <c r="P209" i="7944"/>
  <c r="P160" i="7944"/>
  <c r="P77" i="7944"/>
  <c r="P283" i="7944"/>
  <c r="P280" i="7944"/>
  <c r="P185" i="7944"/>
  <c r="P180" i="7944"/>
  <c r="P341" i="7944"/>
  <c r="P129" i="7944"/>
  <c r="P101" i="7944"/>
  <c r="P120" i="7944"/>
  <c r="P335" i="7944"/>
  <c r="P178" i="7944"/>
  <c r="P194" i="7944"/>
  <c r="P107" i="7944"/>
  <c r="P196" i="7944"/>
  <c r="P210" i="7944"/>
  <c r="P144" i="7944"/>
  <c r="P182" i="7944"/>
  <c r="P153" i="7944"/>
  <c r="P145" i="7944"/>
  <c r="P150" i="7944"/>
  <c r="P94" i="7944"/>
  <c r="P137" i="7944"/>
  <c r="P166" i="7944"/>
  <c r="P259" i="7944"/>
  <c r="P336" i="7944"/>
  <c r="P105" i="7944"/>
  <c r="P132" i="7944"/>
  <c r="P163" i="7944"/>
  <c r="P169" i="7944"/>
  <c r="P82" i="7944"/>
  <c r="P173" i="7944"/>
  <c r="P172" i="7944"/>
  <c r="P118" i="7944"/>
  <c r="P156" i="7944"/>
  <c r="P128" i="7944"/>
  <c r="P78" i="7944"/>
  <c r="P157" i="7944"/>
  <c r="P111" i="7944"/>
  <c r="P103" i="7944"/>
  <c r="P219" i="7944"/>
  <c r="P308" i="7944"/>
  <c r="P319" i="7944"/>
  <c r="P323" i="7944"/>
  <c r="P329" i="7944"/>
  <c r="P90" i="7944"/>
  <c r="P154" i="7944"/>
  <c r="P264" i="7944"/>
  <c r="P225" i="7944"/>
  <c r="P152" i="7944"/>
  <c r="P215" i="7944"/>
  <c r="P206" i="7944"/>
  <c r="P108" i="7944"/>
  <c r="P116" i="7944"/>
  <c r="P80" i="7944"/>
  <c r="P179" i="7944"/>
  <c r="P282" i="7944"/>
  <c r="P295" i="7944"/>
  <c r="P126" i="7944"/>
  <c r="O423" i="18"/>
  <c r="O402" i="18"/>
  <c r="O371" i="18"/>
  <c r="O359" i="18"/>
  <c r="O428" i="18"/>
  <c r="O321" i="18"/>
  <c r="O346" i="18"/>
  <c r="O401" i="18"/>
  <c r="O361" i="18"/>
  <c r="O334" i="18"/>
  <c r="O375" i="18"/>
  <c r="O426" i="18"/>
  <c r="O425" i="18"/>
  <c r="O174" i="18"/>
  <c r="O280" i="18"/>
  <c r="O124" i="18"/>
  <c r="O194" i="18"/>
  <c r="O377" i="18"/>
  <c r="O299" i="18"/>
  <c r="O286" i="18"/>
  <c r="O298" i="18"/>
  <c r="O70" i="18"/>
  <c r="O254" i="18"/>
  <c r="O73" i="18"/>
  <c r="O139" i="18"/>
  <c r="O126" i="18"/>
  <c r="O179" i="18"/>
  <c r="O75" i="18"/>
  <c r="O88" i="18"/>
  <c r="O232" i="18"/>
  <c r="O141" i="18"/>
  <c r="O154" i="18"/>
  <c r="O148" i="18"/>
  <c r="O189" i="18"/>
  <c r="O46" i="18"/>
  <c r="O155" i="18"/>
  <c r="O325" i="18"/>
  <c r="O91" i="18"/>
  <c r="O64" i="18"/>
  <c r="O103" i="18"/>
  <c r="O111" i="18"/>
  <c r="O122" i="18"/>
  <c r="O151" i="18"/>
  <c r="O295" i="18"/>
  <c r="O61" i="18"/>
  <c r="O345" i="18"/>
  <c r="O101" i="18"/>
  <c r="O192" i="18"/>
  <c r="O180" i="18"/>
  <c r="O414" i="18"/>
  <c r="O128" i="18"/>
  <c r="O412" i="18"/>
  <c r="O307" i="18"/>
  <c r="O138" i="18"/>
  <c r="O164" i="18"/>
  <c r="O319" i="18"/>
  <c r="O389" i="18"/>
  <c r="O385" i="18"/>
  <c r="O135" i="18"/>
  <c r="O72" i="18"/>
  <c r="O285" i="18"/>
  <c r="O416" i="18"/>
  <c r="O228" i="18"/>
  <c r="O234" i="18"/>
  <c r="O363" i="18"/>
  <c r="O85" i="18"/>
  <c r="O397" i="18"/>
  <c r="O308" i="18"/>
  <c r="O231" i="18"/>
  <c r="O153" i="18"/>
  <c r="O89" i="18"/>
  <c r="O347" i="18"/>
  <c r="O388" i="18"/>
  <c r="O304" i="18"/>
  <c r="O51" i="18"/>
  <c r="O260" i="18"/>
  <c r="O182" i="18"/>
  <c r="O143" i="18"/>
  <c r="O130" i="18"/>
  <c r="O278" i="18"/>
  <c r="O86" i="18"/>
  <c r="O113" i="18"/>
  <c r="O178" i="18"/>
  <c r="O166" i="18"/>
  <c r="O49" i="18"/>
  <c r="O167" i="18"/>
  <c r="O335" i="18"/>
  <c r="O410" i="18"/>
  <c r="O390" i="18"/>
  <c r="O99" i="18"/>
  <c r="O229" i="18"/>
  <c r="O411" i="18"/>
  <c r="O362" i="18"/>
  <c r="O259" i="18"/>
  <c r="O168" i="18"/>
  <c r="O291" i="18"/>
  <c r="O230" i="18"/>
  <c r="O309" i="18"/>
  <c r="O115" i="18"/>
  <c r="O102" i="18"/>
  <c r="O311" i="18"/>
  <c r="O90" i="18"/>
  <c r="O226" i="18"/>
  <c r="O150" i="18"/>
  <c r="O256" i="18"/>
  <c r="O399" i="18"/>
  <c r="O310" i="18"/>
  <c r="O429" i="18"/>
  <c r="O125" i="18"/>
  <c r="O387" i="18"/>
  <c r="O322" i="18"/>
  <c r="O200" i="18"/>
  <c r="O98" i="18"/>
  <c r="O233" i="18"/>
  <c r="O117" i="18"/>
  <c r="O116" i="18"/>
  <c r="O338" i="18"/>
  <c r="O96" i="18"/>
  <c r="O177" i="18"/>
  <c r="O191" i="18"/>
  <c r="O87" i="18"/>
  <c r="O140" i="18"/>
  <c r="O283" i="18"/>
  <c r="O63" i="18"/>
  <c r="O50" i="18"/>
  <c r="P3" i="18"/>
  <c r="P427" i="18" s="1"/>
  <c r="Q427" i="18" s="1"/>
  <c r="O163" i="18"/>
  <c r="O77" i="18"/>
  <c r="O415" i="18"/>
  <c r="O59" i="18"/>
  <c r="O129" i="18"/>
  <c r="O83" i="18"/>
  <c r="O306" i="18"/>
  <c r="O112" i="18"/>
  <c r="O48" i="18"/>
  <c r="O424" i="18"/>
  <c r="O296" i="18"/>
  <c r="O114" i="18"/>
  <c r="O271" i="18"/>
  <c r="O386" i="18"/>
  <c r="O65" i="18"/>
  <c r="O60" i="18"/>
  <c r="O161" i="18"/>
  <c r="O337" i="18"/>
  <c r="O324" i="18"/>
  <c r="O372" i="18"/>
  <c r="O239" i="18"/>
  <c r="O293" i="18"/>
  <c r="O195" i="18"/>
  <c r="O78" i="18"/>
  <c r="O281" i="18"/>
  <c r="O282" i="18"/>
  <c r="O413" i="18"/>
  <c r="O187" i="18"/>
  <c r="O176" i="18"/>
  <c r="O104" i="18"/>
  <c r="O52" i="18"/>
  <c r="O74" i="18"/>
  <c r="O270" i="18"/>
  <c r="O193" i="18"/>
  <c r="O273" i="18"/>
  <c r="O255" i="18"/>
  <c r="O336" i="18"/>
  <c r="O181" i="18"/>
  <c r="O252" i="18"/>
  <c r="O269" i="18"/>
  <c r="O284" i="18"/>
  <c r="O312" i="18"/>
  <c r="O294" i="18"/>
  <c r="O62" i="18"/>
  <c r="O403" i="18"/>
  <c r="O373" i="18"/>
  <c r="O57" i="18"/>
  <c r="O364" i="18"/>
  <c r="O258" i="18"/>
  <c r="O109" i="18"/>
  <c r="O76" i="18"/>
  <c r="O374" i="18"/>
  <c r="O348" i="18"/>
  <c r="O156" i="18"/>
  <c r="O44" i="18"/>
  <c r="O127" i="18"/>
  <c r="O213" i="18"/>
  <c r="O272" i="18"/>
  <c r="O165" i="18"/>
  <c r="O297" i="18"/>
  <c r="O268" i="18"/>
  <c r="O267" i="18"/>
  <c r="O349" i="18"/>
  <c r="O169" i="18"/>
  <c r="O47" i="18"/>
  <c r="O320" i="18"/>
  <c r="O137" i="18"/>
  <c r="O351" i="18"/>
  <c r="O100" i="18"/>
  <c r="O323" i="18"/>
  <c r="O190" i="18"/>
  <c r="O152" i="18"/>
  <c r="O142" i="18"/>
  <c r="O257" i="18"/>
  <c r="O333" i="18"/>
  <c r="P333" i="18" s="1"/>
  <c r="Q333" i="18" s="1"/>
  <c r="O384" i="18"/>
  <c r="O358" i="18"/>
  <c r="P358" i="18" s="1"/>
  <c r="Q358" i="18" s="1"/>
  <c r="O360" i="18"/>
  <c r="O400" i="18"/>
  <c r="O398" i="18"/>
  <c r="K15" i="7944"/>
  <c r="J7" i="7944"/>
  <c r="P415" i="18"/>
  <c r="P376" i="18"/>
  <c r="P402" i="18"/>
  <c r="P410" i="18"/>
  <c r="P319" i="18"/>
  <c r="P399" i="18"/>
  <c r="P386" i="18"/>
  <c r="P371" i="18"/>
  <c r="P364" i="18"/>
  <c r="P351" i="18"/>
  <c r="P239" i="18"/>
  <c r="P98" i="18"/>
  <c r="P181" i="18"/>
  <c r="P78" i="18"/>
  <c r="P389" i="18"/>
  <c r="P176" i="18"/>
  <c r="P401" i="18"/>
  <c r="P174" i="18"/>
  <c r="P137" i="18"/>
  <c r="P272" i="18"/>
  <c r="P312" i="18"/>
  <c r="P51" i="18"/>
  <c r="P65" i="18"/>
  <c r="P90" i="18"/>
  <c r="P189" i="18"/>
  <c r="P96" i="18"/>
  <c r="P73" i="18"/>
  <c r="P87" i="18"/>
  <c r="P48" i="18"/>
  <c r="P338" i="18"/>
  <c r="P148" i="18"/>
  <c r="P150" i="18"/>
  <c r="P285" i="18"/>
  <c r="P260" i="18"/>
  <c r="P169" i="18"/>
  <c r="P194" i="18"/>
  <c r="P233" i="18"/>
  <c r="P306" i="18"/>
  <c r="P109" i="18"/>
  <c r="P281" i="18"/>
  <c r="P139" i="18"/>
  <c r="P126" i="18"/>
  <c r="P230" i="18"/>
  <c r="P88" i="18"/>
  <c r="P179" i="18"/>
  <c r="P154" i="18"/>
  <c r="P141" i="18"/>
  <c r="P310" i="18"/>
  <c r="P63" i="18"/>
  <c r="P362" i="18"/>
  <c r="P346" i="18"/>
  <c r="P257" i="18"/>
  <c r="P50" i="18"/>
  <c r="P271" i="18"/>
  <c r="P349" i="18"/>
  <c r="P79" i="18"/>
  <c r="P170" i="18"/>
  <c r="P125" i="18"/>
  <c r="P307" i="18"/>
  <c r="P274" i="18"/>
  <c r="P429" i="18"/>
  <c r="P417" i="18"/>
  <c r="P352" i="18"/>
  <c r="P336" i="18"/>
  <c r="P269" i="18"/>
  <c r="P293" i="18"/>
  <c r="P91" i="18"/>
  <c r="P64" i="18"/>
  <c r="P252" i="18"/>
  <c r="P191" i="18"/>
  <c r="P135" i="18"/>
  <c r="P280" i="18"/>
  <c r="P168" i="18"/>
  <c r="P46" i="18"/>
  <c r="P92" i="18"/>
  <c r="P70" i="18"/>
  <c r="P100" i="18"/>
  <c r="P231" i="18"/>
  <c r="P397" i="18"/>
  <c r="P101" i="18"/>
  <c r="P334" i="18"/>
  <c r="P320" i="18"/>
  <c r="P131" i="18"/>
  <c r="P118" i="18"/>
  <c r="P60" i="18"/>
  <c r="P138" i="18"/>
  <c r="P404" i="18"/>
  <c r="P347" i="18"/>
  <c r="P377" i="18"/>
  <c r="P335" i="18"/>
  <c r="P388" i="18"/>
  <c r="P398" i="18"/>
  <c r="P187" i="18"/>
  <c r="P57" i="18"/>
  <c r="P129" i="18"/>
  <c r="P130" i="18"/>
  <c r="P155" i="18"/>
  <c r="P311" i="18"/>
  <c r="P299" i="18"/>
  <c r="P226" i="18"/>
  <c r="P177" i="18"/>
  <c r="P86" i="18"/>
  <c r="P113" i="18"/>
  <c r="P282" i="18"/>
  <c r="P304" i="18"/>
  <c r="P213" i="18"/>
  <c r="P291" i="18"/>
  <c r="P116" i="18"/>
  <c r="P234" i="18"/>
  <c r="P430" i="18"/>
  <c r="P156" i="18"/>
  <c r="P195" i="18"/>
  <c r="P254" i="18"/>
  <c r="P363" i="18"/>
  <c r="P308" i="18"/>
  <c r="P295" i="18"/>
  <c r="P114" i="18"/>
  <c r="P75" i="18"/>
  <c r="P192" i="18"/>
  <c r="P89" i="18"/>
  <c r="P372" i="18"/>
  <c r="P76" i="18"/>
  <c r="P321" i="18"/>
  <c r="P62" i="18"/>
  <c r="P166" i="18"/>
  <c r="P232" i="18"/>
  <c r="P400" i="18"/>
  <c r="P153" i="18"/>
  <c r="P127" i="18"/>
  <c r="P323" i="18"/>
  <c r="P375" i="18"/>
  <c r="P53" i="18"/>
  <c r="P373" i="18"/>
  <c r="P339" i="18"/>
  <c r="P190" i="18"/>
  <c r="P235" i="18"/>
  <c r="P157" i="18"/>
  <c r="P99" i="18"/>
  <c r="P326" i="18"/>
  <c r="P255" i="18"/>
  <c r="P105" i="18"/>
  <c r="P390" i="18"/>
  <c r="P423" i="18"/>
  <c r="P359" i="18"/>
  <c r="P424" i="18"/>
  <c r="P337" i="18"/>
  <c r="P361" i="18"/>
  <c r="P124" i="18"/>
  <c r="P286" i="18"/>
  <c r="P142" i="18"/>
  <c r="P83" i="18"/>
  <c r="P178" i="18"/>
  <c r="P228" i="18"/>
  <c r="P117" i="18"/>
  <c r="P104" i="18"/>
  <c r="P111" i="18"/>
  <c r="P47" i="18"/>
  <c r="P152" i="18"/>
  <c r="P309" i="18"/>
  <c r="P193" i="18"/>
  <c r="P284" i="18"/>
  <c r="P283" i="18"/>
  <c r="P115" i="18"/>
  <c r="P270" i="18"/>
  <c r="P229" i="18"/>
  <c r="P365" i="18"/>
  <c r="P391" i="18"/>
  <c r="P261" i="18"/>
  <c r="P403" i="18"/>
  <c r="P428" i="18"/>
  <c r="P163" i="18"/>
  <c r="P52" i="18"/>
  <c r="P112" i="18"/>
  <c r="P200" i="18"/>
  <c r="P273" i="18"/>
  <c r="P85" i="18"/>
  <c r="P61" i="18"/>
  <c r="P128" i="18"/>
  <c r="P385" i="18"/>
  <c r="P183" i="18"/>
  <c r="P164" i="18"/>
  <c r="P413" i="18"/>
  <c r="Q3" i="18"/>
  <c r="P59" i="18"/>
  <c r="P49" i="18"/>
  <c r="P74" i="18"/>
  <c r="P425" i="18"/>
  <c r="P348" i="18"/>
  <c r="P144" i="18"/>
  <c r="P103" i="18"/>
  <c r="P313" i="18"/>
  <c r="P165" i="18"/>
  <c r="P72" i="18"/>
  <c r="P77" i="18"/>
  <c r="P294" i="18"/>
  <c r="P296" i="18"/>
  <c r="P167" i="18"/>
  <c r="P102" i="18"/>
  <c r="P258" i="18"/>
  <c r="P66" i="18"/>
  <c r="P378" i="18"/>
  <c r="P324" i="18"/>
  <c r="P416" i="18"/>
  <c r="P143" i="18"/>
  <c r="P122" i="18"/>
  <c r="P256" i="18"/>
  <c r="P298" i="18"/>
  <c r="P300" i="18"/>
  <c r="P151" i="18"/>
  <c r="P140" i="18"/>
  <c r="P426" i="18"/>
  <c r="P180" i="18"/>
  <c r="P297" i="18"/>
  <c r="P267" i="18"/>
  <c r="P196" i="18"/>
  <c r="P374" i="18"/>
  <c r="P287" i="18"/>
  <c r="P259" i="18"/>
  <c r="P182" i="18"/>
  <c r="P322" i="18"/>
  <c r="P387" i="18"/>
  <c r="P161" i="18"/>
  <c r="P268" i="18"/>
  <c r="P411" i="18"/>
  <c r="P412" i="18"/>
  <c r="P360" i="18"/>
  <c r="P414" i="18"/>
  <c r="P345" i="18"/>
  <c r="P325" i="18"/>
  <c r="Q325" i="18" s="1"/>
  <c r="P384" i="18"/>
  <c r="L15" i="7944"/>
  <c r="K7" i="7944"/>
  <c r="L7" i="7944"/>
  <c r="Q411" i="18"/>
  <c r="Q326" i="18"/>
  <c r="Q412" i="18"/>
  <c r="Q334" i="18"/>
  <c r="Q319" i="18"/>
  <c r="Q425" i="18"/>
  <c r="Q267" i="18"/>
  <c r="Q413" i="18"/>
  <c r="Q324" i="18"/>
  <c r="Q148" i="18"/>
  <c r="Q228" i="18"/>
  <c r="Q65" i="18"/>
  <c r="Q77" i="18"/>
  <c r="Q66" i="18"/>
  <c r="Q47" i="18"/>
  <c r="Q114" i="18"/>
  <c r="Q347" i="18"/>
  <c r="Q98" i="18"/>
  <c r="Q143" i="18"/>
  <c r="Q234" i="18"/>
  <c r="Q169" i="18"/>
  <c r="Q122" i="18"/>
  <c r="Q48" i="18"/>
  <c r="Q49" i="18"/>
  <c r="Q101" i="18"/>
  <c r="Q154" i="18"/>
  <c r="Q151" i="18"/>
  <c r="Q88" i="18"/>
  <c r="Q346" i="18"/>
  <c r="Q196" i="18"/>
  <c r="Q352" i="18"/>
  <c r="Q157" i="18"/>
  <c r="Q340" i="18"/>
  <c r="Q184" i="18"/>
  <c r="Q145" i="18"/>
  <c r="Q54" i="18"/>
  <c r="Q392" i="18"/>
  <c r="Q176" i="18"/>
  <c r="Q372" i="18"/>
  <c r="Q321" i="18"/>
  <c r="Q345" i="18"/>
  <c r="Q359" i="18"/>
  <c r="Q389" i="18"/>
  <c r="Q213" i="18"/>
  <c r="Q293" i="18"/>
  <c r="Q57" i="18"/>
  <c r="Q312" i="18"/>
  <c r="Q287" i="18"/>
  <c r="Q252" i="18"/>
  <c r="Q127" i="18"/>
  <c r="Q417" i="18"/>
  <c r="Q410" i="18"/>
  <c r="Q376" i="18"/>
  <c r="Q187" i="18"/>
  <c r="Q163" i="18"/>
  <c r="Q90" i="18"/>
  <c r="Q156" i="18"/>
  <c r="Q300" i="18"/>
  <c r="Q78" i="18"/>
  <c r="Q260" i="18"/>
  <c r="Q259" i="18"/>
  <c r="Q92" i="18"/>
  <c r="Q96" i="18"/>
  <c r="Q294" i="18"/>
  <c r="Q295" i="18"/>
  <c r="Q283" i="18"/>
  <c r="Q271" i="18"/>
  <c r="Q338" i="18"/>
  <c r="Q239" i="18"/>
  <c r="Q46" i="18"/>
  <c r="Q155" i="18"/>
  <c r="Q104" i="18"/>
  <c r="Q137" i="18"/>
  <c r="Q195" i="18"/>
  <c r="Q79" i="18"/>
  <c r="Q170" i="18"/>
  <c r="Q44" i="18"/>
  <c r="Q86" i="18"/>
  <c r="Q113" i="18"/>
  <c r="Q74" i="18"/>
  <c r="Q153" i="18"/>
  <c r="Q257" i="18"/>
  <c r="Q424" i="18"/>
  <c r="Q128" i="18"/>
  <c r="Q141" i="18"/>
  <c r="Q361" i="18"/>
  <c r="Q282" i="18"/>
  <c r="Q166" i="18"/>
  <c r="Q231" i="18"/>
  <c r="Q297" i="18"/>
  <c r="Q190" i="18"/>
  <c r="Q274" i="18"/>
  <c r="Q138" i="18"/>
  <c r="Q403" i="18"/>
  <c r="Q118" i="18"/>
  <c r="Q301" i="18"/>
  <c r="Q197" i="18"/>
  <c r="Q379" i="18"/>
  <c r="Q275" i="18"/>
  <c r="Q314" i="18"/>
  <c r="Q236" i="18"/>
  <c r="Q431" i="18"/>
  <c r="Q335" i="18"/>
  <c r="Q177" i="18"/>
  <c r="Q323" i="18"/>
  <c r="Q375" i="18"/>
  <c r="Q339" i="18"/>
  <c r="Q416" i="18"/>
  <c r="Q401" i="18"/>
  <c r="Q272" i="18"/>
  <c r="Q52" i="18"/>
  <c r="Q117" i="18"/>
  <c r="Q291" i="18"/>
  <c r="Q87" i="18"/>
  <c r="Q399" i="18"/>
  <c r="Q270" i="18"/>
  <c r="Q374" i="18"/>
  <c r="Q129" i="18"/>
  <c r="Q131" i="18"/>
  <c r="Q126" i="18"/>
  <c r="Q388" i="18"/>
  <c r="Q280" i="18"/>
  <c r="Q286" i="18"/>
  <c r="Q233" i="18"/>
  <c r="Q168" i="18"/>
  <c r="Q70" i="18"/>
  <c r="Q152" i="18"/>
  <c r="Q308" i="18"/>
  <c r="Q140" i="18"/>
  <c r="Q348" i="18"/>
  <c r="Q281" i="18"/>
  <c r="Q75" i="18"/>
  <c r="Q63" i="18"/>
  <c r="Q229" i="18"/>
  <c r="Q261" i="18"/>
  <c r="Q125" i="18"/>
  <c r="Q353" i="18"/>
  <c r="Q119" i="18"/>
  <c r="Q106" i="18"/>
  <c r="Q269" i="18"/>
  <c r="Q167" i="18"/>
  <c r="Q80" i="18"/>
  <c r="Q428" i="18"/>
  <c r="Q130" i="18"/>
  <c r="Q284" i="18"/>
  <c r="Q142" i="18"/>
  <c r="Q181" i="18"/>
  <c r="Q256" i="18"/>
  <c r="Q89" i="18"/>
  <c r="Q296" i="18"/>
  <c r="Q307" i="18"/>
  <c r="Q164" i="18"/>
  <c r="Q132" i="18"/>
  <c r="Q351" i="18"/>
  <c r="Q365" i="18"/>
  <c r="R3" i="18"/>
  <c r="Q273" i="18"/>
  <c r="Q313" i="18"/>
  <c r="Q179" i="18"/>
  <c r="Q135" i="18"/>
  <c r="Q72" i="18"/>
  <c r="Q182" i="18"/>
  <c r="Q91" i="18"/>
  <c r="Q183" i="18"/>
  <c r="Q59" i="18"/>
  <c r="Q61" i="18"/>
  <c r="Q309" i="18"/>
  <c r="Q50" i="18"/>
  <c r="Q76" i="18"/>
  <c r="Q230" i="18"/>
  <c r="Q423" i="18"/>
  <c r="Q387" i="18"/>
  <c r="Q144" i="18"/>
  <c r="Q99" i="18"/>
  <c r="Q327" i="18"/>
  <c r="Q171" i="18"/>
  <c r="Q93" i="18"/>
  <c r="Q288" i="18"/>
  <c r="Q371" i="18"/>
  <c r="Q404" i="18"/>
  <c r="Q254" i="18"/>
  <c r="Q298" i="18"/>
  <c r="Q364" i="18"/>
  <c r="Q193" i="18"/>
  <c r="Q174" i="18"/>
  <c r="Q51" i="18"/>
  <c r="Q299" i="18"/>
  <c r="Q194" i="18"/>
  <c r="Q53" i="18"/>
  <c r="Q109" i="18"/>
  <c r="Q178" i="18"/>
  <c r="Q192" i="18"/>
  <c r="Q232" i="18"/>
  <c r="Q100" i="18"/>
  <c r="Q310" i="18"/>
  <c r="Q386" i="18"/>
  <c r="Q429" i="18"/>
  <c r="Q60" i="18"/>
  <c r="Q418" i="18"/>
  <c r="Q67" i="18"/>
  <c r="Q366" i="18"/>
  <c r="Q111" i="18"/>
  <c r="Q306" i="18"/>
  <c r="Q189" i="18"/>
  <c r="Q311" i="18"/>
  <c r="Q150" i="18"/>
  <c r="Q112" i="18"/>
  <c r="Q62" i="18"/>
  <c r="Q226" i="18"/>
  <c r="Q180" i="18"/>
  <c r="Q105" i="18"/>
  <c r="Q158" i="18"/>
  <c r="Q405" i="18"/>
  <c r="Q363" i="18"/>
  <c r="Q414" i="18"/>
  <c r="Q400" i="18"/>
  <c r="Q397" i="18"/>
  <c r="Q384" i="18"/>
  <c r="Q360" i="18"/>
  <c r="Q390" i="18"/>
  <c r="Q336" i="18"/>
  <c r="Q373" i="18"/>
  <c r="J632" i="18" l="1"/>
  <c r="F134" i="7947"/>
  <c r="L173" i="18"/>
  <c r="L641" i="18" s="1"/>
  <c r="F148" i="7947"/>
  <c r="L186" i="18"/>
  <c r="L642" i="18" s="1"/>
  <c r="M296" i="7942"/>
  <c r="O295" i="7942"/>
  <c r="N296" i="7942" s="1"/>
  <c r="N340" i="7941" s="1"/>
  <c r="Q295" i="7942"/>
  <c r="J238" i="18"/>
  <c r="J646" i="18" s="1"/>
  <c r="F204" i="7947"/>
  <c r="J290" i="18"/>
  <c r="J650" i="18" s="1"/>
  <c r="F260" i="7947"/>
  <c r="F271" i="7947" s="1"/>
  <c r="L138" i="7942"/>
  <c r="K126" i="7942"/>
  <c r="M128" i="7942"/>
  <c r="L129" i="7942" s="1"/>
  <c r="O128" i="7942"/>
  <c r="N129" i="7942" s="1"/>
  <c r="N273" i="7941" s="1"/>
  <c r="L135" i="7942"/>
  <c r="N134" i="7942"/>
  <c r="L315" i="7942"/>
  <c r="M315" i="7942"/>
  <c r="L316" i="7942" s="1"/>
  <c r="I381" i="18"/>
  <c r="I657" i="18" s="1"/>
  <c r="K369" i="18"/>
  <c r="I420" i="18"/>
  <c r="I660" i="18" s="1"/>
  <c r="J408" i="18"/>
  <c r="I264" i="18"/>
  <c r="I648" i="18" s="1"/>
  <c r="F232" i="7947"/>
  <c r="F243" i="7947" s="1"/>
  <c r="F345" i="7947" s="1"/>
  <c r="H508" i="18"/>
  <c r="H77" i="7941" s="1"/>
  <c r="H502" i="18"/>
  <c r="K279" i="7942"/>
  <c r="L279" i="7942"/>
  <c r="M279" i="7942" s="1"/>
  <c r="L271" i="7942"/>
  <c r="K152" i="7942"/>
  <c r="M305" i="7942"/>
  <c r="Q71" i="7941"/>
  <c r="H355" i="18"/>
  <c r="H655" i="18" s="1"/>
  <c r="I343" i="18"/>
  <c r="H121" i="18"/>
  <c r="H637" i="18" s="1"/>
  <c r="F78" i="7947"/>
  <c r="H504" i="18"/>
  <c r="I440" i="18" s="1"/>
  <c r="G87" i="7941"/>
  <c r="G215" i="7941" s="1"/>
  <c r="H454" i="18"/>
  <c r="H682" i="18" s="1"/>
  <c r="G648" i="18"/>
  <c r="G631" i="18" s="1"/>
  <c r="I299" i="7942"/>
  <c r="J299" i="7942"/>
  <c r="I281" i="7942"/>
  <c r="J281" i="7942"/>
  <c r="L281" i="7942" s="1"/>
  <c r="N198" i="7941"/>
  <c r="O666" i="18"/>
  <c r="O665" i="18" s="1"/>
  <c r="O437" i="18"/>
  <c r="N6" i="7941"/>
  <c r="M296" i="7941"/>
  <c r="M304" i="7941"/>
  <c r="M245" i="7941"/>
  <c r="M249" i="7941"/>
  <c r="M302" i="7941"/>
  <c r="M299" i="7941"/>
  <c r="M256" i="7941"/>
  <c r="M323" i="7941"/>
  <c r="M257" i="7941"/>
  <c r="M234" i="7941"/>
  <c r="M235" i="7941"/>
  <c r="M242" i="7941"/>
  <c r="M248" i="7941"/>
  <c r="M254" i="7941"/>
  <c r="M298" i="7941"/>
  <c r="M247" i="7941"/>
  <c r="M324" i="7941"/>
  <c r="M306" i="7941"/>
  <c r="M255" i="7941"/>
  <c r="M243" i="7941"/>
  <c r="M246" i="7941"/>
  <c r="M232" i="7941"/>
  <c r="M230" i="7941" s="1"/>
  <c r="M315" i="7941"/>
  <c r="M236" i="7941"/>
  <c r="M313" i="7941"/>
  <c r="M320" i="7941"/>
  <c r="M244" i="7941"/>
  <c r="M240" i="7941"/>
  <c r="M300" i="7941"/>
  <c r="M316" i="7941"/>
  <c r="M311" i="7941"/>
  <c r="M241" i="7941"/>
  <c r="M250" i="7941"/>
  <c r="M295" i="7941"/>
  <c r="L350" i="7941"/>
  <c r="L338" i="7941"/>
  <c r="M632" i="18"/>
  <c r="M631" i="18" s="1"/>
  <c r="M43" i="18"/>
  <c r="I323" i="7942"/>
  <c r="K136" i="7942"/>
  <c r="N136" i="7942" s="1"/>
  <c r="M137" i="7942" s="1"/>
  <c r="J136" i="7942"/>
  <c r="L136" i="7942"/>
  <c r="H116" i="7942"/>
  <c r="I116" i="7942"/>
  <c r="J116" i="7942" s="1"/>
  <c r="H122" i="7942"/>
  <c r="I148" i="7942"/>
  <c r="H162" i="7942"/>
  <c r="I164" i="7942"/>
  <c r="H150" i="7942"/>
  <c r="I150" i="7942"/>
  <c r="I297" i="7942"/>
  <c r="J297" i="7942"/>
  <c r="K297" i="7942" s="1"/>
  <c r="H273" i="7942"/>
  <c r="H313" i="7942"/>
  <c r="H317" i="7942"/>
  <c r="I317" i="7942"/>
  <c r="J317" i="7942" s="1"/>
  <c r="H124" i="7942"/>
  <c r="I124" i="7942"/>
  <c r="I158" i="7942"/>
  <c r="J158" i="7942" s="1"/>
  <c r="K158" i="7942"/>
  <c r="L158" i="7942" s="1"/>
  <c r="G146" i="7941"/>
  <c r="G210" i="7941" s="1"/>
  <c r="H449" i="18"/>
  <c r="G140" i="7941"/>
  <c r="G565" i="18"/>
  <c r="G225" i="7941"/>
  <c r="H33" i="7941"/>
  <c r="H32" i="7941"/>
  <c r="G224" i="7941"/>
  <c r="H29" i="7941"/>
  <c r="G221" i="7941"/>
  <c r="G121" i="7941"/>
  <c r="H456" i="18"/>
  <c r="H684" i="18" s="1"/>
  <c r="G117" i="7941"/>
  <c r="H21" i="7941" s="1"/>
  <c r="H452" i="18"/>
  <c r="H680" i="18" s="1"/>
  <c r="G113" i="7941"/>
  <c r="G209" i="7941" s="1"/>
  <c r="H448" i="18"/>
  <c r="H676" i="18" s="1"/>
  <c r="G111" i="7941"/>
  <c r="G207" i="7941" s="1"/>
  <c r="H446" i="18"/>
  <c r="H674" i="18" s="1"/>
  <c r="G109" i="7941"/>
  <c r="H444" i="18"/>
  <c r="H672" i="18" s="1"/>
  <c r="G107" i="7941"/>
  <c r="H11" i="7941" s="1"/>
  <c r="H442" i="18"/>
  <c r="H670" i="18" s="1"/>
  <c r="G105" i="7941"/>
  <c r="G201" i="7941" s="1"/>
  <c r="H440" i="18"/>
  <c r="H668" i="18" s="1"/>
  <c r="G533" i="18"/>
  <c r="G199" i="7941"/>
  <c r="G228" i="7941"/>
  <c r="G660" i="18"/>
  <c r="G99" i="7941"/>
  <c r="G227" i="7941" s="1"/>
  <c r="H466" i="18"/>
  <c r="H694" i="18" s="1"/>
  <c r="G94" i="7941"/>
  <c r="H461" i="18"/>
  <c r="H689" i="18" s="1"/>
  <c r="G219" i="7941"/>
  <c r="H27" i="7941"/>
  <c r="G651" i="18"/>
  <c r="G90" i="7941"/>
  <c r="G649" i="18"/>
  <c r="G88" i="7941"/>
  <c r="H455" i="18"/>
  <c r="H683" i="18" s="1"/>
  <c r="H519" i="18" s="1"/>
  <c r="H88" i="7941" s="1"/>
  <c r="G86" i="7941"/>
  <c r="H453" i="18"/>
  <c r="H681" i="18" s="1"/>
  <c r="H517" i="18" s="1"/>
  <c r="G647" i="18"/>
  <c r="H15" i="7941"/>
  <c r="G206" i="7941"/>
  <c r="H14" i="7941"/>
  <c r="H9" i="7941"/>
  <c r="H333" i="7942"/>
  <c r="M44" i="18"/>
  <c r="H35" i="7941"/>
  <c r="G66" i="7941"/>
  <c r="H465" i="18"/>
  <c r="H693" i="18" s="1"/>
  <c r="H529" i="18" s="1"/>
  <c r="G58" i="7941"/>
  <c r="H457" i="18"/>
  <c r="H685" i="18" s="1"/>
  <c r="H521" i="18" s="1"/>
  <c r="H90" i="7941" s="1"/>
  <c r="G216" i="7941"/>
  <c r="H23" i="7941"/>
  <c r="G214" i="7941"/>
  <c r="H22" i="7941"/>
  <c r="G213" i="7941"/>
  <c r="G212" i="7941"/>
  <c r="G51" i="7941"/>
  <c r="H450" i="18"/>
  <c r="H678" i="18" s="1"/>
  <c r="H17" i="7941"/>
  <c r="H16" i="7941"/>
  <c r="G208" i="7941"/>
  <c r="H12" i="7941"/>
  <c r="G204" i="7941"/>
  <c r="G42" i="7941"/>
  <c r="H441" i="18"/>
  <c r="H669" i="18" s="1"/>
  <c r="G40" i="7941"/>
  <c r="G469" i="18"/>
  <c r="H439" i="18"/>
  <c r="H667" i="18" s="1"/>
  <c r="I293" i="7942"/>
  <c r="J293" i="7942"/>
  <c r="K293" i="7942" s="1"/>
  <c r="H269" i="7942"/>
  <c r="H309" i="7942"/>
  <c r="J309" i="7942"/>
  <c r="I309" i="7942"/>
  <c r="K309" i="7942"/>
  <c r="I303" i="7942"/>
  <c r="J303" i="7942"/>
  <c r="L303" i="7942" s="1"/>
  <c r="H301" i="7942"/>
  <c r="I287" i="7942"/>
  <c r="J287" i="7942"/>
  <c r="G156" i="7941"/>
  <c r="H459" i="18"/>
  <c r="H687" i="18" s="1"/>
  <c r="P278" i="18"/>
  <c r="Q278" i="18" s="1"/>
  <c r="P44" i="18"/>
  <c r="O395" i="18"/>
  <c r="M421" i="18"/>
  <c r="P295" i="7942"/>
  <c r="O296" i="7942" s="1"/>
  <c r="F92" i="7947"/>
  <c r="L340" i="7941"/>
  <c r="L273" i="7941"/>
  <c r="L126" i="7942"/>
  <c r="K44" i="18"/>
  <c r="K56" i="18" s="1"/>
  <c r="K632" i="18" s="1"/>
  <c r="L269" i="7941"/>
  <c r="N128" i="7942"/>
  <c r="M129" i="7942" s="1"/>
  <c r="L266" i="7941"/>
  <c r="I433" i="18"/>
  <c r="I661" i="18" s="1"/>
  <c r="J329" i="18"/>
  <c r="J653" i="18" s="1"/>
  <c r="K317" i="18"/>
  <c r="L147" i="7942"/>
  <c r="L282" i="7941" s="1"/>
  <c r="N146" i="7942"/>
  <c r="M147" i="7942" s="1"/>
  <c r="O146" i="7942"/>
  <c r="N147" i="7942" s="1"/>
  <c r="N282" i="7941" s="1"/>
  <c r="J327" i="7942"/>
  <c r="K303" i="7942"/>
  <c r="L152" i="7942"/>
  <c r="O291" i="7942"/>
  <c r="L276" i="7941"/>
  <c r="N114" i="7942"/>
  <c r="M115" i="7942" s="1"/>
  <c r="L111" i="7942"/>
  <c r="L264" i="7941" s="1"/>
  <c r="N110" i="7942"/>
  <c r="N501" i="18"/>
  <c r="H7" i="7941"/>
  <c r="N160" i="7942"/>
  <c r="H514" i="18"/>
  <c r="I450" i="18" s="1"/>
  <c r="L265" i="18"/>
  <c r="M265" i="18"/>
  <c r="I368" i="18"/>
  <c r="I656" i="18" s="1"/>
  <c r="J356" i="18"/>
  <c r="I44" i="18"/>
  <c r="F120" i="7947"/>
  <c r="F131" i="7947" s="1"/>
  <c r="H225" i="18"/>
  <c r="H645" i="18" s="1"/>
  <c r="H515" i="18" s="1"/>
  <c r="H510" i="18"/>
  <c r="H79" i="7941" s="1"/>
  <c r="M303" i="7941"/>
  <c r="M239" i="7941"/>
  <c r="M307" i="7941"/>
  <c r="M260" i="7941"/>
  <c r="M258" i="7941"/>
  <c r="M317" i="7941"/>
  <c r="M305" i="7941"/>
  <c r="H512" i="18"/>
  <c r="H81" i="7941" s="1"/>
  <c r="M319" i="7941"/>
  <c r="M301" i="7941"/>
  <c r="M318" i="7941"/>
  <c r="M310" i="7941"/>
  <c r="M309" i="7941"/>
  <c r="M259" i="7941"/>
  <c r="M233" i="7941"/>
  <c r="M271" i="7942"/>
  <c r="L272" i="7942" s="1"/>
  <c r="L328" i="7941" s="1"/>
  <c r="J289" i="7942"/>
  <c r="K281" i="7942"/>
  <c r="M281" i="7942" s="1"/>
  <c r="L282" i="7942" s="1"/>
  <c r="L333" i="7941" s="1"/>
  <c r="G501" i="18"/>
  <c r="M136" i="7942"/>
  <c r="L137" i="7942" s="1"/>
  <c r="L277" i="7941" s="1"/>
  <c r="K319" i="7942"/>
  <c r="H20" i="7941"/>
  <c r="H394" i="18"/>
  <c r="H658" i="18" s="1"/>
  <c r="H528" i="18" s="1"/>
  <c r="H97" i="7941" s="1"/>
  <c r="I382" i="18"/>
  <c r="J382" i="18"/>
  <c r="J394" i="18" s="1"/>
  <c r="J658" i="18" s="1"/>
  <c r="N43" i="18"/>
  <c r="H24" i="7941"/>
  <c r="H443" i="18"/>
  <c r="H671" i="18" s="1"/>
  <c r="I311" i="7942"/>
  <c r="J311" i="7942"/>
  <c r="F50" i="7947"/>
  <c r="H518" i="18"/>
  <c r="I454" i="18" s="1"/>
  <c r="H520" i="18"/>
  <c r="H505" i="18"/>
  <c r="H74" i="7941" s="1"/>
  <c r="H523" i="18"/>
  <c r="H516" i="18"/>
  <c r="M321" i="7942"/>
  <c r="L322" i="7942" s="1"/>
  <c r="L353" i="7941" s="1"/>
  <c r="H666" i="18"/>
  <c r="H437" i="18"/>
  <c r="I285" i="7942"/>
  <c r="K285" i="7942"/>
  <c r="J285" i="7942"/>
  <c r="L285" i="7942"/>
  <c r="I118" i="7942"/>
  <c r="J108" i="7942"/>
  <c r="K108" i="7942"/>
  <c r="Q296" i="7941"/>
  <c r="Q323" i="7941"/>
  <c r="Q245" i="7941"/>
  <c r="Q257" i="7941"/>
  <c r="Q249" i="7941"/>
  <c r="Q231" i="7941"/>
  <c r="Q250" i="7941"/>
  <c r="Q310" i="7941"/>
  <c r="Q300" i="7941"/>
  <c r="Q314" i="7941"/>
  <c r="Q315" i="7941"/>
  <c r="Q255" i="7941"/>
  <c r="Q244" i="7941"/>
  <c r="Q306" i="7941"/>
  <c r="Q236" i="7941"/>
  <c r="Q301" i="7941"/>
  <c r="Q258" i="7941"/>
  <c r="Q309" i="7941"/>
  <c r="Q316" i="7941"/>
  <c r="Q252" i="7941"/>
  <c r="Q237" i="7941"/>
  <c r="Q312" i="7941"/>
  <c r="Q238" i="7941"/>
  <c r="Q319" i="7941"/>
  <c r="Q297" i="7941"/>
  <c r="Q298" i="7941"/>
  <c r="Q241" i="7941"/>
  <c r="Q6" i="7941"/>
  <c r="Q667" i="18"/>
  <c r="Q437" i="18"/>
  <c r="P637" i="18"/>
  <c r="P507" i="18" s="1"/>
  <c r="P76" i="7941" s="1"/>
  <c r="P43" i="18"/>
  <c r="P198" i="7941"/>
  <c r="P6" i="7941"/>
  <c r="P502" i="18"/>
  <c r="P631" i="18"/>
  <c r="O300" i="7941"/>
  <c r="O250" i="7941"/>
  <c r="O305" i="7941"/>
  <c r="O255" i="7941"/>
  <c r="O316" i="7941"/>
  <c r="O323" i="7941"/>
  <c r="O320" i="7941"/>
  <c r="O245" i="7941"/>
  <c r="O319" i="7941"/>
  <c r="O234" i="7941"/>
  <c r="O247" i="7941"/>
  <c r="O324" i="7941"/>
  <c r="O254" i="7941"/>
  <c r="O299" i="7941"/>
  <c r="O294" i="7941" s="1"/>
  <c r="O231" i="7941"/>
  <c r="O317" i="7941"/>
  <c r="O241" i="7941"/>
  <c r="O257" i="7941"/>
  <c r="O246" i="7941"/>
  <c r="O248" i="7941"/>
  <c r="O632" i="18"/>
  <c r="O43" i="18"/>
  <c r="O518" i="18"/>
  <c r="O87" i="7941" s="1"/>
  <c r="O513" i="18"/>
  <c r="O82" i="7941" s="1"/>
  <c r="P665" i="18"/>
  <c r="O526" i="18"/>
  <c r="O95" i="7941" s="1"/>
  <c r="L325" i="7942"/>
  <c r="K325" i="7942"/>
  <c r="M325" i="7942"/>
  <c r="L326" i="7942" s="1"/>
  <c r="L355" i="7941" s="1"/>
  <c r="N70" i="7941"/>
  <c r="H530" i="18"/>
  <c r="I142" i="7942"/>
  <c r="G203" i="7941"/>
  <c r="H18" i="7941"/>
  <c r="K277" i="7942"/>
  <c r="K307" i="7942"/>
  <c r="Q531" i="18"/>
  <c r="Q100" i="7941" s="1"/>
  <c r="P525" i="18"/>
  <c r="P94" i="7941" s="1"/>
  <c r="M154" i="7942"/>
  <c r="J156" i="7942"/>
  <c r="H283" i="7942"/>
  <c r="H275" i="7942"/>
  <c r="H140" i="7942"/>
  <c r="I140" i="7942"/>
  <c r="I112" i="7942"/>
  <c r="G75" i="7942"/>
  <c r="J132" i="7942"/>
  <c r="K132" i="7942" s="1"/>
  <c r="H36" i="7941"/>
  <c r="Q519" i="18"/>
  <c r="Q88" i="7941" s="1"/>
  <c r="Q508" i="18"/>
  <c r="Q77" i="7941" s="1"/>
  <c r="Q511" i="18"/>
  <c r="Q80" i="7941" s="1"/>
  <c r="P527" i="18"/>
  <c r="P96" i="7941" s="1"/>
  <c r="O506" i="18"/>
  <c r="O75" i="7941" s="1"/>
  <c r="H144" i="7942"/>
  <c r="H130" i="7942"/>
  <c r="I166" i="7942"/>
  <c r="G656" i="18"/>
  <c r="G95" i="7941"/>
  <c r="G655" i="18"/>
  <c r="Q332" i="18"/>
  <c r="P332" i="18"/>
  <c r="K647" i="18"/>
  <c r="Q262" i="18"/>
  <c r="Q235" i="18"/>
  <c r="Q255" i="18"/>
  <c r="Q320" i="18"/>
  <c r="Q258" i="18"/>
  <c r="Q191" i="18"/>
  <c r="Q415" i="18"/>
  <c r="Q102" i="18"/>
  <c r="Q398" i="18"/>
  <c r="Q165" i="18"/>
  <c r="Q73" i="18"/>
  <c r="Q83" i="18"/>
  <c r="Q402" i="18"/>
  <c r="Q304" i="18"/>
  <c r="Q103" i="18"/>
  <c r="Q200" i="18"/>
  <c r="Q115" i="18"/>
  <c r="Q139" i="18"/>
  <c r="Q85" i="18"/>
  <c r="Q285" i="18"/>
  <c r="Q116" i="18"/>
  <c r="Q64" i="18"/>
  <c r="Q124" i="18"/>
  <c r="Q349" i="18"/>
  <c r="Q337" i="18"/>
  <c r="Q268" i="18"/>
  <c r="Q161" i="18"/>
  <c r="Q385" i="18"/>
  <c r="Q426" i="18"/>
  <c r="Q377" i="18"/>
  <c r="Q330" i="18"/>
  <c r="Q430" i="18"/>
  <c r="Q391" i="18"/>
  <c r="Q362" i="18"/>
  <c r="Q322" i="18"/>
  <c r="Q378" i="18"/>
  <c r="G108" i="7947"/>
  <c r="F117" i="7947"/>
  <c r="F336" i="7947" s="1"/>
  <c r="L645" i="18"/>
  <c r="F299" i="7947"/>
  <c r="O350" i="18"/>
  <c r="H83" i="7941"/>
  <c r="H80" i="7941"/>
  <c r="I447" i="18"/>
  <c r="I633" i="18"/>
  <c r="I444" i="18"/>
  <c r="H91" i="7941"/>
  <c r="I458" i="18"/>
  <c r="I446" i="18"/>
  <c r="I448" i="18"/>
  <c r="H92" i="7941"/>
  <c r="H85" i="7941"/>
  <c r="I452" i="18"/>
  <c r="H503" i="18"/>
  <c r="H73" i="7941"/>
  <c r="H87" i="7941"/>
  <c r="I451" i="18"/>
  <c r="H84" i="7941"/>
  <c r="I456" i="18"/>
  <c r="H89" i="7941"/>
  <c r="H78" i="7941"/>
  <c r="I445" i="18"/>
  <c r="I441" i="18"/>
  <c r="I460" i="18"/>
  <c r="H93" i="7941"/>
  <c r="I464" i="18"/>
  <c r="I463" i="18"/>
  <c r="H96" i="7941"/>
  <c r="H100" i="7941"/>
  <c r="I467" i="18"/>
  <c r="H99" i="7941"/>
  <c r="I466" i="18"/>
  <c r="O76" i="7941"/>
  <c r="H636" i="18"/>
  <c r="H43" i="18"/>
  <c r="H95" i="7941"/>
  <c r="I462" i="18"/>
  <c r="I705" i="18"/>
  <c r="I718" i="18"/>
  <c r="F103" i="7947"/>
  <c r="F335" i="7947" s="1"/>
  <c r="F61" i="7947"/>
  <c r="F332" i="7947" s="1"/>
  <c r="F47" i="7947"/>
  <c r="F331" i="7947" s="1"/>
  <c r="F33" i="7947"/>
  <c r="F330" i="7947" s="1"/>
  <c r="F285" i="7947"/>
  <c r="F348" i="7947" s="1"/>
  <c r="F215" i="7947"/>
  <c r="F343" i="7947" s="1"/>
  <c r="F173" i="7947"/>
  <c r="F340" i="7947" s="1"/>
  <c r="G117" i="7947"/>
  <c r="G336" i="7947" s="1"/>
  <c r="E360" i="7947" s="1"/>
  <c r="H360" i="7947" s="1"/>
  <c r="G47" i="7947"/>
  <c r="G331" i="7947" s="1"/>
  <c r="E355" i="7947" s="1"/>
  <c r="H355" i="7947" s="1"/>
  <c r="G285" i="7947"/>
  <c r="G348" i="7947" s="1"/>
  <c r="E372" i="7947" s="1"/>
  <c r="H372" i="7947" s="1"/>
  <c r="G243" i="7947"/>
  <c r="G345" i="7947" s="1"/>
  <c r="E369" i="7947" s="1"/>
  <c r="H369" i="7947" s="1"/>
  <c r="G61" i="7947"/>
  <c r="G332" i="7947" s="1"/>
  <c r="E356" i="7947" s="1"/>
  <c r="H356" i="7947" s="1"/>
  <c r="F75" i="7947"/>
  <c r="G299" i="7947"/>
  <c r="G349" i="7947" s="1"/>
  <c r="E373" i="7947" s="1"/>
  <c r="H373" i="7947" s="1"/>
  <c r="F145" i="7947"/>
  <c r="G103" i="7947"/>
  <c r="G335" i="7947" s="1"/>
  <c r="E359" i="7947" s="1"/>
  <c r="H359" i="7947" s="1"/>
  <c r="G215" i="7947"/>
  <c r="G343" i="7947" s="1"/>
  <c r="E367" i="7947" s="1"/>
  <c r="H367" i="7947" s="1"/>
  <c r="G75" i="7947"/>
  <c r="G333" i="7947" s="1"/>
  <c r="E357" i="7947" s="1"/>
  <c r="H357" i="7947" s="1"/>
  <c r="F333" i="7947"/>
  <c r="F89" i="7947"/>
  <c r="F159" i="7947"/>
  <c r="L132" i="7942" l="1"/>
  <c r="H98" i="7941"/>
  <c r="H226" i="7941" s="1"/>
  <c r="I465" i="18"/>
  <c r="H86" i="7941"/>
  <c r="H214" i="7941" s="1"/>
  <c r="I453" i="18"/>
  <c r="M158" i="7942"/>
  <c r="L159" i="7942" s="1"/>
  <c r="L288" i="7941" s="1"/>
  <c r="K317" i="7942"/>
  <c r="M317" i="7942"/>
  <c r="L318" i="7942" s="1"/>
  <c r="L351" i="7941" s="1"/>
  <c r="L297" i="7942"/>
  <c r="L280" i="7942"/>
  <c r="L332" i="7941" s="1"/>
  <c r="N279" i="7942"/>
  <c r="M280" i="7942" s="1"/>
  <c r="F347" i="7947"/>
  <c r="G271" i="7947"/>
  <c r="G347" i="7947" s="1"/>
  <c r="E371" i="7947" s="1"/>
  <c r="H371" i="7947" s="1"/>
  <c r="J166" i="7942"/>
  <c r="I130" i="7942"/>
  <c r="I144" i="7942"/>
  <c r="J275" i="7942"/>
  <c r="I283" i="7942"/>
  <c r="J142" i="7942"/>
  <c r="L142" i="7942" s="1"/>
  <c r="O502" i="18"/>
  <c r="O631" i="18"/>
  <c r="Q230" i="7941"/>
  <c r="L319" i="7942"/>
  <c r="J368" i="18"/>
  <c r="J656" i="18" s="1"/>
  <c r="K356" i="18"/>
  <c r="N321" i="7942"/>
  <c r="M322" i="7942" s="1"/>
  <c r="M111" i="7942"/>
  <c r="P110" i="7942"/>
  <c r="O111" i="7942" s="1"/>
  <c r="O264" i="7941" s="1"/>
  <c r="K329" i="18"/>
  <c r="H268" i="7942"/>
  <c r="G200" i="7941"/>
  <c r="G38" i="7941"/>
  <c r="H8" i="7941"/>
  <c r="G202" i="7941"/>
  <c r="G198" i="7941" s="1"/>
  <c r="H10" i="7941"/>
  <c r="H19" i="7941"/>
  <c r="H211" i="7941" s="1"/>
  <c r="G211" i="7941"/>
  <c r="G222" i="7941"/>
  <c r="H30" i="7941"/>
  <c r="G205" i="7941"/>
  <c r="H13" i="7941"/>
  <c r="H25" i="7941"/>
  <c r="I25" i="7941" s="1"/>
  <c r="G217" i="7941"/>
  <c r="H677" i="18"/>
  <c r="H513" i="18" s="1"/>
  <c r="H82" i="7941" s="1"/>
  <c r="I18" i="7941" s="1"/>
  <c r="J124" i="7942"/>
  <c r="I273" i="7942"/>
  <c r="M294" i="7941"/>
  <c r="N300" i="7941"/>
  <c r="N304" i="7941"/>
  <c r="N313" i="7941"/>
  <c r="N314" i="7941"/>
  <c r="N257" i="7941"/>
  <c r="N315" i="7941"/>
  <c r="N323" i="7941"/>
  <c r="N308" i="7941"/>
  <c r="N303" i="7941"/>
  <c r="N252" i="7941"/>
  <c r="N249" i="7941"/>
  <c r="N301" i="7941"/>
  <c r="N246" i="7941"/>
  <c r="N319" i="7941"/>
  <c r="N238" i="7941"/>
  <c r="N297" i="7941"/>
  <c r="N307" i="7941"/>
  <c r="N237" i="7941"/>
  <c r="N248" i="7941"/>
  <c r="N250" i="7941"/>
  <c r="N247" i="7941"/>
  <c r="N298" i="7941"/>
  <c r="N295" i="7941"/>
  <c r="N241" i="7941"/>
  <c r="N309" i="7941"/>
  <c r="N245" i="7941"/>
  <c r="N253" i="7941"/>
  <c r="N240" i="7941"/>
  <c r="N258" i="7941"/>
  <c r="N239" i="7941"/>
  <c r="N311" i="7941"/>
  <c r="N260" i="7941"/>
  <c r="N322" i="7941"/>
  <c r="N299" i="7941"/>
  <c r="N318" i="7941"/>
  <c r="N242" i="7941"/>
  <c r="N233" i="7941"/>
  <c r="N310" i="7941"/>
  <c r="N256" i="7941"/>
  <c r="N320" i="7941"/>
  <c r="N324" i="7941"/>
  <c r="N259" i="7941"/>
  <c r="N236" i="7941"/>
  <c r="M277" i="7941"/>
  <c r="M269" i="7941"/>
  <c r="M282" i="7941"/>
  <c r="N317" i="7941"/>
  <c r="N251" i="7941"/>
  <c r="N306" i="7941"/>
  <c r="N254" i="7941"/>
  <c r="N243" i="7941"/>
  <c r="N305" i="7941"/>
  <c r="N232" i="7941"/>
  <c r="N234" i="7941"/>
  <c r="N302" i="7941"/>
  <c r="N296" i="7941"/>
  <c r="M340" i="7941"/>
  <c r="N244" i="7941"/>
  <c r="N235" i="7941"/>
  <c r="N321" i="7941"/>
  <c r="N231" i="7941"/>
  <c r="N230" i="7941" s="1"/>
  <c r="N255" i="7941"/>
  <c r="N316" i="7941"/>
  <c r="N312" i="7941"/>
  <c r="M353" i="7941"/>
  <c r="M273" i="7941"/>
  <c r="M338" i="7941"/>
  <c r="M264" i="7941"/>
  <c r="M266" i="7941"/>
  <c r="M332" i="7941"/>
  <c r="L307" i="7942"/>
  <c r="L289" i="7942"/>
  <c r="H507" i="18"/>
  <c r="H76" i="7941" s="1"/>
  <c r="I355" i="18"/>
  <c r="I655" i="18" s="1"/>
  <c r="J343" i="18"/>
  <c r="O321" i="7942"/>
  <c r="N322" i="7942" s="1"/>
  <c r="N353" i="7941" s="1"/>
  <c r="M152" i="7942"/>
  <c r="L153" i="7942" s="1"/>
  <c r="L285" i="7941" s="1"/>
  <c r="I438" i="18"/>
  <c r="H71" i="7941"/>
  <c r="H199" i="7941" s="1"/>
  <c r="J420" i="18"/>
  <c r="J660" i="18" s="1"/>
  <c r="M135" i="7942"/>
  <c r="M276" i="7941" s="1"/>
  <c r="P296" i="7942"/>
  <c r="P340" i="7941" s="1"/>
  <c r="Q296" i="7942"/>
  <c r="Q340" i="7941" s="1"/>
  <c r="G33" i="7947"/>
  <c r="G330" i="7947" s="1"/>
  <c r="E354" i="7947" s="1"/>
  <c r="H354" i="7947" s="1"/>
  <c r="I36" i="7941"/>
  <c r="I455" i="18"/>
  <c r="I459" i="18"/>
  <c r="J459" i="18" s="1"/>
  <c r="I443" i="18"/>
  <c r="I457" i="18"/>
  <c r="J457" i="18" s="1"/>
  <c r="H31" i="7941"/>
  <c r="G223" i="7941"/>
  <c r="J130" i="7942"/>
  <c r="J144" i="7942"/>
  <c r="J140" i="7942"/>
  <c r="I275" i="7942"/>
  <c r="J283" i="7942"/>
  <c r="K156" i="7942"/>
  <c r="L156" i="7942" s="1"/>
  <c r="L155" i="7942"/>
  <c r="L286" i="7941" s="1"/>
  <c r="N154" i="7942"/>
  <c r="M277" i="7942"/>
  <c r="L278" i="7942" s="1"/>
  <c r="L331" i="7941" s="1"/>
  <c r="L277" i="7942"/>
  <c r="K142" i="7942"/>
  <c r="N325" i="7942"/>
  <c r="M326" i="7942" s="1"/>
  <c r="M355" i="7941" s="1"/>
  <c r="O230" i="7941"/>
  <c r="P71" i="7941"/>
  <c r="P70" i="7941" s="1"/>
  <c r="P501" i="18"/>
  <c r="P304" i="7941"/>
  <c r="P240" i="7941"/>
  <c r="P244" i="7941"/>
  <c r="P322" i="7941"/>
  <c r="P248" i="7941"/>
  <c r="P320" i="7941"/>
  <c r="P236" i="7941"/>
  <c r="P303" i="7941"/>
  <c r="P321" i="7941"/>
  <c r="P306" i="7941"/>
  <c r="P238" i="7941"/>
  <c r="P254" i="7941"/>
  <c r="P251" i="7941"/>
  <c r="P247" i="7941"/>
  <c r="P231" i="7941"/>
  <c r="P260" i="7941"/>
  <c r="P307" i="7941"/>
  <c r="P249" i="7941"/>
  <c r="P255" i="7941"/>
  <c r="P301" i="7941"/>
  <c r="P296" i="7941"/>
  <c r="P323" i="7941"/>
  <c r="P305" i="7941"/>
  <c r="P241" i="7941"/>
  <c r="P295" i="7941"/>
  <c r="P319" i="7941"/>
  <c r="P250" i="7941"/>
  <c r="P313" i="7941"/>
  <c r="P308" i="7941"/>
  <c r="P318" i="7941"/>
  <c r="P243" i="7941"/>
  <c r="P311" i="7941"/>
  <c r="P258" i="7941"/>
  <c r="P256" i="7941"/>
  <c r="P316" i="7941"/>
  <c r="P298" i="7941"/>
  <c r="P233" i="7941"/>
  <c r="P317" i="7941"/>
  <c r="P302" i="7941"/>
  <c r="P310" i="7941"/>
  <c r="P300" i="7941"/>
  <c r="P235" i="7941"/>
  <c r="P257" i="7941"/>
  <c r="P314" i="7941"/>
  <c r="P315" i="7941"/>
  <c r="P252" i="7941"/>
  <c r="P324" i="7941"/>
  <c r="P246" i="7941"/>
  <c r="O269" i="7941"/>
  <c r="P299" i="7941"/>
  <c r="P242" i="7941"/>
  <c r="P237" i="7941"/>
  <c r="P245" i="7941"/>
  <c r="P297" i="7941"/>
  <c r="P253" i="7941"/>
  <c r="P312" i="7941"/>
  <c r="P259" i="7941"/>
  <c r="P309" i="7941"/>
  <c r="P232" i="7941"/>
  <c r="P239" i="7941"/>
  <c r="P234" i="7941"/>
  <c r="O340" i="7941"/>
  <c r="Q503" i="18"/>
  <c r="Q665" i="18"/>
  <c r="Q294" i="7941"/>
  <c r="L108" i="7942"/>
  <c r="M108" i="7942"/>
  <c r="J118" i="7942"/>
  <c r="M285" i="7942"/>
  <c r="L286" i="7942" s="1"/>
  <c r="L335" i="7941" s="1"/>
  <c r="K311" i="7942"/>
  <c r="G102" i="7941"/>
  <c r="I394" i="18"/>
  <c r="I658" i="18" s="1"/>
  <c r="K382" i="18"/>
  <c r="K394" i="18" s="1"/>
  <c r="K658" i="18" s="1"/>
  <c r="M319" i="7942"/>
  <c r="L320" i="7942" s="1"/>
  <c r="L352" i="7941" s="1"/>
  <c r="I56" i="18"/>
  <c r="F8" i="7947"/>
  <c r="F19" i="7947" s="1"/>
  <c r="L356" i="18"/>
  <c r="L368" i="18" s="1"/>
  <c r="L656" i="18" s="1"/>
  <c r="L277" i="18"/>
  <c r="N265" i="18"/>
  <c r="O265" i="18"/>
  <c r="F246" i="7947"/>
  <c r="F257" i="7947" s="1"/>
  <c r="M161" i="7942"/>
  <c r="M289" i="7941" s="1"/>
  <c r="M385" i="7941" s="1"/>
  <c r="O160" i="7942"/>
  <c r="N161" i="7942" s="1"/>
  <c r="N289" i="7941" s="1"/>
  <c r="N385" i="7941" s="1"/>
  <c r="I7" i="7941"/>
  <c r="O110" i="7942"/>
  <c r="O114" i="7942"/>
  <c r="P291" i="7942"/>
  <c r="N292" i="7942"/>
  <c r="N338" i="7941" s="1"/>
  <c r="P146" i="7942"/>
  <c r="K327" i="7942"/>
  <c r="L317" i="18"/>
  <c r="L329" i="18" s="1"/>
  <c r="L653" i="18" s="1"/>
  <c r="M303" i="7942"/>
  <c r="L304" i="7942" s="1"/>
  <c r="L344" i="7941" s="1"/>
  <c r="K408" i="18"/>
  <c r="K420" i="18" s="1"/>
  <c r="K660" i="18" s="1"/>
  <c r="M126" i="7942"/>
  <c r="L127" i="7942" s="1"/>
  <c r="L272" i="7941" s="1"/>
  <c r="N421" i="18"/>
  <c r="O421" i="18" s="1"/>
  <c r="P395" i="18"/>
  <c r="Q395" i="18" s="1"/>
  <c r="P421" i="18"/>
  <c r="G220" i="7941"/>
  <c r="H28" i="7941"/>
  <c r="I28" i="7941" s="1"/>
  <c r="L287" i="7942"/>
  <c r="M287" i="7942" s="1"/>
  <c r="L288" i="7942" s="1"/>
  <c r="L336" i="7941" s="1"/>
  <c r="K287" i="7942"/>
  <c r="I301" i="7942"/>
  <c r="L309" i="7942"/>
  <c r="I269" i="7942"/>
  <c r="L293" i="7942"/>
  <c r="M293" i="7942" s="1"/>
  <c r="L294" i="7942" s="1"/>
  <c r="L339" i="7941" s="1"/>
  <c r="H26" i="7941"/>
  <c r="H218" i="7941" s="1"/>
  <c r="G218" i="7941"/>
  <c r="G226" i="7941"/>
  <c r="H34" i="7941"/>
  <c r="G70" i="7941"/>
  <c r="G134" i="7941"/>
  <c r="N317" i="7942"/>
  <c r="M318" i="7942" s="1"/>
  <c r="M351" i="7941" s="1"/>
  <c r="L317" i="7942"/>
  <c r="O317" i="7942" s="1"/>
  <c r="N318" i="7942" s="1"/>
  <c r="N351" i="7941" s="1"/>
  <c r="I313" i="7942"/>
  <c r="J273" i="7942"/>
  <c r="M297" i="7942"/>
  <c r="L298" i="7942" s="1"/>
  <c r="L341" i="7941" s="1"/>
  <c r="J150" i="7942"/>
  <c r="K164" i="7942"/>
  <c r="L164" i="7942" s="1"/>
  <c r="J164" i="7942"/>
  <c r="I162" i="7942"/>
  <c r="K148" i="7942"/>
  <c r="J148" i="7942"/>
  <c r="I122" i="7942"/>
  <c r="K116" i="7942"/>
  <c r="L116" i="7942" s="1"/>
  <c r="O136" i="7942"/>
  <c r="N137" i="7942" s="1"/>
  <c r="N277" i="7941" s="1"/>
  <c r="P136" i="7942"/>
  <c r="O137" i="7942" s="1"/>
  <c r="O277" i="7941" s="1"/>
  <c r="K323" i="7942"/>
  <c r="J323" i="7942"/>
  <c r="J112" i="7942"/>
  <c r="H107" i="7942"/>
  <c r="M132" i="7942"/>
  <c r="L133" i="7942" s="1"/>
  <c r="L275" i="7941" s="1"/>
  <c r="M307" i="7942"/>
  <c r="L308" i="7942" s="1"/>
  <c r="L346" i="7941" s="1"/>
  <c r="N281" i="7942"/>
  <c r="M282" i="7942" s="1"/>
  <c r="M333" i="7941" s="1"/>
  <c r="M365" i="7941" s="1"/>
  <c r="K299" i="7942"/>
  <c r="M289" i="7942"/>
  <c r="L290" i="7942" s="1"/>
  <c r="L337" i="7941" s="1"/>
  <c r="K289" i="7942"/>
  <c r="K343" i="18"/>
  <c r="K355" i="18" s="1"/>
  <c r="K655" i="18" s="1"/>
  <c r="H525" i="18"/>
  <c r="L306" i="7942"/>
  <c r="L345" i="7941" s="1"/>
  <c r="N305" i="7942"/>
  <c r="O305" i="7942"/>
  <c r="N306" i="7942" s="1"/>
  <c r="N345" i="7941" s="1"/>
  <c r="L327" i="7942"/>
  <c r="N271" i="7942"/>
  <c r="O279" i="7942"/>
  <c r="N280" i="7942" s="1"/>
  <c r="N332" i="7941" s="1"/>
  <c r="L408" i="18"/>
  <c r="L420" i="18" s="1"/>
  <c r="L660" i="18" s="1"/>
  <c r="K381" i="18"/>
  <c r="K657" i="18" s="1"/>
  <c r="L369" i="18"/>
  <c r="N315" i="7942"/>
  <c r="O134" i="7942"/>
  <c r="P128" i="7942"/>
  <c r="M138" i="7942"/>
  <c r="G173" i="7947"/>
  <c r="G340" i="7947" s="1"/>
  <c r="E364" i="7947" s="1"/>
  <c r="H364" i="7947" s="1"/>
  <c r="I697" i="18"/>
  <c r="J462" i="18"/>
  <c r="I690" i="18"/>
  <c r="I526" i="18" s="1"/>
  <c r="I95" i="7941" s="1"/>
  <c r="I694" i="18"/>
  <c r="I530" i="18" s="1"/>
  <c r="I99" i="7941" s="1"/>
  <c r="I695" i="18"/>
  <c r="I531" i="18" s="1"/>
  <c r="I100" i="7941" s="1"/>
  <c r="I228" i="7941" s="1"/>
  <c r="H224" i="7941"/>
  <c r="I32" i="7941"/>
  <c r="I692" i="18"/>
  <c r="H221" i="7941"/>
  <c r="I29" i="7941"/>
  <c r="I669" i="18"/>
  <c r="I505" i="18" s="1"/>
  <c r="I74" i="7941" s="1"/>
  <c r="H216" i="7941"/>
  <c r="I24" i="7941"/>
  <c r="I14" i="7941"/>
  <c r="H206" i="7941"/>
  <c r="I684" i="18"/>
  <c r="I520" i="18" s="1"/>
  <c r="I89" i="7941" s="1"/>
  <c r="I679" i="18"/>
  <c r="I515" i="18" s="1"/>
  <c r="I84" i="7941" s="1"/>
  <c r="I23" i="7941"/>
  <c r="H215" i="7941"/>
  <c r="I9" i="7941"/>
  <c r="H201" i="7941"/>
  <c r="I681" i="18"/>
  <c r="I517" i="18" s="1"/>
  <c r="I86" i="7941" s="1"/>
  <c r="H228" i="7941"/>
  <c r="H72" i="7941"/>
  <c r="I439" i="18"/>
  <c r="H213" i="7941"/>
  <c r="I21" i="7941"/>
  <c r="H220" i="7941"/>
  <c r="I693" i="18"/>
  <c r="I529" i="18" s="1"/>
  <c r="I98" i="7941" s="1"/>
  <c r="I676" i="18"/>
  <c r="I512" i="18" s="1"/>
  <c r="I81" i="7941" s="1"/>
  <c r="I674" i="18"/>
  <c r="I510" i="18" s="1"/>
  <c r="I79" i="7941" s="1"/>
  <c r="I686" i="18"/>
  <c r="I522" i="18" s="1"/>
  <c r="I91" i="7941" s="1"/>
  <c r="I26" i="7941"/>
  <c r="I672" i="18"/>
  <c r="I508" i="18" s="1"/>
  <c r="I77" i="7941" s="1"/>
  <c r="H208" i="7941"/>
  <c r="I16" i="7941"/>
  <c r="I678" i="18"/>
  <c r="I514" i="18" s="1"/>
  <c r="I83" i="7941" s="1"/>
  <c r="Q350" i="18"/>
  <c r="P350" i="18"/>
  <c r="I31" i="7941"/>
  <c r="H223" i="7941"/>
  <c r="H506" i="18"/>
  <c r="H631" i="18"/>
  <c r="I35" i="7941"/>
  <c r="H227" i="7941"/>
  <c r="I691" i="18"/>
  <c r="I527" i="18" s="1"/>
  <c r="I96" i="7941" s="1"/>
  <c r="I33" i="7941"/>
  <c r="H225" i="7941"/>
  <c r="I688" i="18"/>
  <c r="I524" i="18" s="1"/>
  <c r="I93" i="7941" s="1"/>
  <c r="I10" i="7941"/>
  <c r="H202" i="7941"/>
  <c r="I683" i="18"/>
  <c r="I519" i="18" s="1"/>
  <c r="I88" i="7941" s="1"/>
  <c r="I673" i="18"/>
  <c r="I509" i="18" s="1"/>
  <c r="I78" i="7941" s="1"/>
  <c r="H217" i="7941"/>
  <c r="I20" i="7941"/>
  <c r="H212" i="7941"/>
  <c r="I682" i="18"/>
  <c r="I518" i="18" s="1"/>
  <c r="I87" i="7941" s="1"/>
  <c r="I668" i="18"/>
  <c r="I504" i="18" s="1"/>
  <c r="I73" i="7941" s="1"/>
  <c r="I22" i="7941"/>
  <c r="I680" i="18"/>
  <c r="I516" i="18" s="1"/>
  <c r="I85" i="7941" s="1"/>
  <c r="I687" i="18"/>
  <c r="I523" i="18" s="1"/>
  <c r="I92" i="7941" s="1"/>
  <c r="I34" i="7941"/>
  <c r="I17" i="7941"/>
  <c r="H209" i="7941"/>
  <c r="I671" i="18"/>
  <c r="I507" i="18" s="1"/>
  <c r="I76" i="7941" s="1"/>
  <c r="H207" i="7941"/>
  <c r="I15" i="7941"/>
  <c r="H219" i="7941"/>
  <c r="I27" i="7941"/>
  <c r="I685" i="18"/>
  <c r="I521" i="18" s="1"/>
  <c r="I90" i="7941" s="1"/>
  <c r="H205" i="7941"/>
  <c r="I13" i="7941"/>
  <c r="I675" i="18"/>
  <c r="I511" i="18" s="1"/>
  <c r="I80" i="7941" s="1"/>
  <c r="I19" i="7941"/>
  <c r="F338" i="7947"/>
  <c r="G145" i="7947"/>
  <c r="G338" i="7947" s="1"/>
  <c r="E362" i="7947" s="1"/>
  <c r="H362" i="7947" s="1"/>
  <c r="F337" i="7947"/>
  <c r="G131" i="7947"/>
  <c r="G337" i="7947" s="1"/>
  <c r="E361" i="7947" s="1"/>
  <c r="H361" i="7947" s="1"/>
  <c r="F339" i="7947"/>
  <c r="G159" i="7947"/>
  <c r="G339" i="7947" s="1"/>
  <c r="E363" i="7947" s="1"/>
  <c r="H363" i="7947" s="1"/>
  <c r="G89" i="7947"/>
  <c r="G334" i="7947" s="1"/>
  <c r="E358" i="7947" s="1"/>
  <c r="H358" i="7947" s="1"/>
  <c r="F334" i="7947"/>
  <c r="Q265" i="18" l="1"/>
  <c r="L283" i="7942"/>
  <c r="O132" i="7942"/>
  <c r="N133" i="7942" s="1"/>
  <c r="N275" i="7941" s="1"/>
  <c r="O148" i="7942"/>
  <c r="N149" i="7942" s="1"/>
  <c r="N283" i="7941" s="1"/>
  <c r="N135" i="7942"/>
  <c r="N276" i="7941" s="1"/>
  <c r="N372" i="7941" s="1"/>
  <c r="L381" i="18"/>
  <c r="L657" i="18" s="1"/>
  <c r="M369" i="18"/>
  <c r="H94" i="7941"/>
  <c r="I461" i="18"/>
  <c r="I689" i="18" s="1"/>
  <c r="I525" i="18" s="1"/>
  <c r="I94" i="7941" s="1"/>
  <c r="J122" i="7942"/>
  <c r="J162" i="7942"/>
  <c r="K162" i="7942" s="1"/>
  <c r="J313" i="7942"/>
  <c r="I268" i="7942"/>
  <c r="J269" i="7942"/>
  <c r="J268" i="7942" s="1"/>
  <c r="N293" i="7942"/>
  <c r="M294" i="7942" s="1"/>
  <c r="M339" i="7941" s="1"/>
  <c r="M327" i="7942"/>
  <c r="L328" i="7942" s="1"/>
  <c r="L356" i="7941" s="1"/>
  <c r="O292" i="7942"/>
  <c r="O338" i="7941" s="1"/>
  <c r="Q291" i="7942"/>
  <c r="N115" i="7942"/>
  <c r="N266" i="7941" s="1"/>
  <c r="P114" i="7942"/>
  <c r="O115" i="7942" s="1"/>
  <c r="O266" i="7941" s="1"/>
  <c r="F346" i="7947"/>
  <c r="G257" i="7947"/>
  <c r="G346" i="7947" s="1"/>
  <c r="E370" i="7947" s="1"/>
  <c r="H370" i="7947" s="1"/>
  <c r="L649" i="18"/>
  <c r="G19" i="7947"/>
  <c r="G329" i="7947" s="1"/>
  <c r="E353" i="7947" s="1"/>
  <c r="H353" i="7947" s="1"/>
  <c r="F329" i="7947"/>
  <c r="J301" i="7942"/>
  <c r="L109" i="7942"/>
  <c r="L263" i="7941" s="1"/>
  <c r="P294" i="7941"/>
  <c r="P230" i="7941"/>
  <c r="O277" i="7942"/>
  <c r="N278" i="7942" s="1"/>
  <c r="N331" i="7941" s="1"/>
  <c r="I107" i="7942"/>
  <c r="P134" i="7942"/>
  <c r="O135" i="7942" s="1"/>
  <c r="O276" i="7941" s="1"/>
  <c r="O372" i="7941" s="1"/>
  <c r="M408" i="18"/>
  <c r="P408" i="18" s="1"/>
  <c r="M372" i="7941"/>
  <c r="N289" i="7942"/>
  <c r="M290" i="7942" s="1"/>
  <c r="M337" i="7941" s="1"/>
  <c r="M369" i="7941" s="1"/>
  <c r="K653" i="18"/>
  <c r="N319" i="7942"/>
  <c r="M320" i="7942" s="1"/>
  <c r="M352" i="7941" s="1"/>
  <c r="M142" i="7942"/>
  <c r="L143" i="7942" s="1"/>
  <c r="L280" i="7941" s="1"/>
  <c r="H210" i="7941"/>
  <c r="K275" i="7942"/>
  <c r="L299" i="7942"/>
  <c r="M309" i="7942"/>
  <c r="L310" i="7942" s="1"/>
  <c r="L347" i="7941" s="1"/>
  <c r="O293" i="7942"/>
  <c r="N294" i="7942" s="1"/>
  <c r="N339" i="7941" s="1"/>
  <c r="N371" i="7941" s="1"/>
  <c r="N132" i="7942"/>
  <c r="M133" i="7942" s="1"/>
  <c r="M275" i="7941" s="1"/>
  <c r="M371" i="7941" s="1"/>
  <c r="J447" i="18"/>
  <c r="J443" i="18"/>
  <c r="J452" i="18"/>
  <c r="J680" i="18" s="1"/>
  <c r="J516" i="18" s="1"/>
  <c r="J85" i="7941" s="1"/>
  <c r="J440" i="18"/>
  <c r="J454" i="18"/>
  <c r="J682" i="18" s="1"/>
  <c r="J518" i="18" s="1"/>
  <c r="J445" i="18"/>
  <c r="J455" i="18"/>
  <c r="J683" i="18" s="1"/>
  <c r="J519" i="18" s="1"/>
  <c r="J460" i="18"/>
  <c r="J463" i="18"/>
  <c r="J691" i="18" s="1"/>
  <c r="J527" i="18" s="1"/>
  <c r="J456" i="18"/>
  <c r="I528" i="18"/>
  <c r="I97" i="7941" s="1"/>
  <c r="J33" i="7941" s="1"/>
  <c r="L139" i="7942"/>
  <c r="L278" i="7941" s="1"/>
  <c r="N138" i="7942"/>
  <c r="O129" i="7942"/>
  <c r="O273" i="7941" s="1"/>
  <c r="Q128" i="7942"/>
  <c r="M316" i="7942"/>
  <c r="M350" i="7941" s="1"/>
  <c r="O315" i="7942"/>
  <c r="N316" i="7942" s="1"/>
  <c r="N350" i="7941" s="1"/>
  <c r="N369" i="18"/>
  <c r="M272" i="7942"/>
  <c r="M328" i="7941" s="1"/>
  <c r="M360" i="7941" s="1"/>
  <c r="O271" i="7942"/>
  <c r="M306" i="7942"/>
  <c r="M345" i="7941" s="1"/>
  <c r="P305" i="7942"/>
  <c r="O306" i="7942" s="1"/>
  <c r="O345" i="7941" s="1"/>
  <c r="P321" i="7942"/>
  <c r="O322" i="7942" s="1"/>
  <c r="O353" i="7941" s="1"/>
  <c r="N307" i="7942"/>
  <c r="M308" i="7942" s="1"/>
  <c r="M346" i="7941" s="1"/>
  <c r="M378" i="7941" s="1"/>
  <c r="K112" i="7942"/>
  <c r="M323" i="7942"/>
  <c r="L324" i="7942" s="1"/>
  <c r="L354" i="7941" s="1"/>
  <c r="L323" i="7942"/>
  <c r="M116" i="7942"/>
  <c r="L117" i="7942" s="1"/>
  <c r="L267" i="7941" s="1"/>
  <c r="L148" i="7942"/>
  <c r="P148" i="7942"/>
  <c r="O149" i="7942" s="1"/>
  <c r="O283" i="7941" s="1"/>
  <c r="M148" i="7942"/>
  <c r="L149" i="7942" s="1"/>
  <c r="L283" i="7941" s="1"/>
  <c r="Q148" i="7942"/>
  <c r="M164" i="7942"/>
  <c r="L165" i="7942" s="1"/>
  <c r="L291" i="7941" s="1"/>
  <c r="N297" i="7942"/>
  <c r="K273" i="7942"/>
  <c r="K313" i="7942"/>
  <c r="L313" i="7942" s="1"/>
  <c r="M313" i="7942" s="1"/>
  <c r="L314" i="7942" s="1"/>
  <c r="L349" i="7941" s="1"/>
  <c r="P317" i="7942"/>
  <c r="O318" i="7942" s="1"/>
  <c r="O351" i="7941" s="1"/>
  <c r="P293" i="7942"/>
  <c r="O294" i="7942" s="1"/>
  <c r="O339" i="7941" s="1"/>
  <c r="K301" i="7942"/>
  <c r="L301" i="7942" s="1"/>
  <c r="N287" i="7942"/>
  <c r="M288" i="7942" s="1"/>
  <c r="M336" i="7941" s="1"/>
  <c r="P287" i="7942"/>
  <c r="O288" i="7942" s="1"/>
  <c r="O336" i="7941" s="1"/>
  <c r="O287" i="7942"/>
  <c r="N288" i="7942" s="1"/>
  <c r="N336" i="7941" s="1"/>
  <c r="Q421" i="18"/>
  <c r="P132" i="7942"/>
  <c r="O133" i="7942" s="1"/>
  <c r="O275" i="7941" s="1"/>
  <c r="O147" i="7942"/>
  <c r="O282" i="7941" s="1"/>
  <c r="Q146" i="7942"/>
  <c r="N111" i="7942"/>
  <c r="N264" i="7941" s="1"/>
  <c r="Q110" i="7942"/>
  <c r="P160" i="7942"/>
  <c r="O161" i="7942" s="1"/>
  <c r="O289" i="7941" s="1"/>
  <c r="O385" i="7941" s="1"/>
  <c r="P265" i="18"/>
  <c r="I632" i="18"/>
  <c r="I631" i="18" s="1"/>
  <c r="I43" i="18"/>
  <c r="K124" i="7942"/>
  <c r="L382" i="18"/>
  <c r="N285" i="7942"/>
  <c r="O285" i="7942"/>
  <c r="N286" i="7942" s="1"/>
  <c r="N335" i="7941" s="1"/>
  <c r="K118" i="7942"/>
  <c r="N108" i="7942"/>
  <c r="Q72" i="7941"/>
  <c r="Q70" i="7941" s="1"/>
  <c r="Q501" i="18"/>
  <c r="P325" i="7942"/>
  <c r="O326" i="7942" s="1"/>
  <c r="O355" i="7941" s="1"/>
  <c r="N277" i="7942"/>
  <c r="M155" i="7942"/>
  <c r="M286" i="7941" s="1"/>
  <c r="M382" i="7941" s="1"/>
  <c r="O154" i="7942"/>
  <c r="M156" i="7942"/>
  <c r="L157" i="7942" s="1"/>
  <c r="L287" i="7941" s="1"/>
  <c r="K166" i="7942"/>
  <c r="N126" i="7942"/>
  <c r="N408" i="18"/>
  <c r="O408" i="18" s="1"/>
  <c r="I666" i="18"/>
  <c r="Q321" i="7942"/>
  <c r="J355" i="18"/>
  <c r="L343" i="18"/>
  <c r="H204" i="7941"/>
  <c r="I12" i="7941"/>
  <c r="J12" i="7941" s="1"/>
  <c r="O281" i="7942"/>
  <c r="N294" i="7941"/>
  <c r="Q136" i="7942"/>
  <c r="N148" i="7942"/>
  <c r="M149" i="7942" s="1"/>
  <c r="M283" i="7941" s="1"/>
  <c r="K150" i="7942"/>
  <c r="I449" i="18"/>
  <c r="H6" i="7941"/>
  <c r="Q114" i="7942"/>
  <c r="N303" i="7942"/>
  <c r="M317" i="18"/>
  <c r="K368" i="18"/>
  <c r="K656" i="18" s="1"/>
  <c r="M356" i="18"/>
  <c r="L311" i="7942"/>
  <c r="O71" i="7941"/>
  <c r="O70" i="7941" s="1"/>
  <c r="O501" i="18"/>
  <c r="N142" i="7942"/>
  <c r="M143" i="7942" s="1"/>
  <c r="M280" i="7941" s="1"/>
  <c r="K283" i="7942"/>
  <c r="M283" i="7942" s="1"/>
  <c r="L275" i="7942"/>
  <c r="K140" i="7942"/>
  <c r="L140" i="7942" s="1"/>
  <c r="K144" i="7942"/>
  <c r="K130" i="7942"/>
  <c r="L130" i="7942" s="1"/>
  <c r="P279" i="7942"/>
  <c r="O280" i="7942" s="1"/>
  <c r="O332" i="7941" s="1"/>
  <c r="N158" i="7942"/>
  <c r="H665" i="18"/>
  <c r="N152" i="7942"/>
  <c r="O325" i="7942"/>
  <c r="J675" i="18"/>
  <c r="J511" i="18" s="1"/>
  <c r="J80" i="7941" s="1"/>
  <c r="J13" i="7941"/>
  <c r="I205" i="7941"/>
  <c r="J27" i="7941"/>
  <c r="I219" i="7941"/>
  <c r="J671" i="18"/>
  <c r="J507" i="18" s="1"/>
  <c r="J76" i="7941" s="1"/>
  <c r="J668" i="18"/>
  <c r="J504" i="18" s="1"/>
  <c r="J73" i="7941" s="1"/>
  <c r="J25" i="7941"/>
  <c r="I217" i="7941"/>
  <c r="J673" i="18"/>
  <c r="J509" i="18" s="1"/>
  <c r="J78" i="7941" s="1"/>
  <c r="K445" i="18"/>
  <c r="I211" i="7941"/>
  <c r="J19" i="7941"/>
  <c r="I209" i="7941"/>
  <c r="J17" i="7941"/>
  <c r="I226" i="7941"/>
  <c r="J34" i="7941"/>
  <c r="I214" i="7941"/>
  <c r="J22" i="7941"/>
  <c r="I212" i="7941"/>
  <c r="J20" i="7941"/>
  <c r="J10" i="7941"/>
  <c r="I202" i="7941"/>
  <c r="I225" i="7941"/>
  <c r="J35" i="7941"/>
  <c r="I227" i="7941"/>
  <c r="H75" i="7941"/>
  <c r="I442" i="18"/>
  <c r="J31" i="7941"/>
  <c r="I223" i="7941"/>
  <c r="J450" i="18"/>
  <c r="J16" i="7941"/>
  <c r="I208" i="7941"/>
  <c r="J444" i="18"/>
  <c r="J458" i="18"/>
  <c r="J446" i="18"/>
  <c r="J448" i="18"/>
  <c r="J465" i="18"/>
  <c r="J28" i="7941"/>
  <c r="I220" i="7941"/>
  <c r="J21" i="7941"/>
  <c r="I213" i="7941"/>
  <c r="H501" i="18"/>
  <c r="H200" i="7941"/>
  <c r="I8" i="7941"/>
  <c r="H70" i="7941"/>
  <c r="J453" i="18"/>
  <c r="J451" i="18"/>
  <c r="J24" i="7941"/>
  <c r="I216" i="7941"/>
  <c r="J441" i="18"/>
  <c r="I221" i="7941"/>
  <c r="J29" i="7941"/>
  <c r="J464" i="18"/>
  <c r="I224" i="7941"/>
  <c r="J32" i="7941"/>
  <c r="J467" i="18"/>
  <c r="J466" i="18"/>
  <c r="I204" i="7941"/>
  <c r="J36" i="7941"/>
  <c r="J685" i="18"/>
  <c r="J521" i="18" s="1"/>
  <c r="J90" i="7941" s="1"/>
  <c r="J15" i="7941"/>
  <c r="I207" i="7941"/>
  <c r="J687" i="18"/>
  <c r="J523" i="18" s="1"/>
  <c r="J92" i="7941" s="1"/>
  <c r="K459" i="18"/>
  <c r="J688" i="18"/>
  <c r="J524" i="18" s="1"/>
  <c r="J93" i="7941" s="1"/>
  <c r="K460" i="18"/>
  <c r="J26" i="7941"/>
  <c r="I218" i="7941"/>
  <c r="I667" i="18"/>
  <c r="I437" i="18"/>
  <c r="I201" i="7941"/>
  <c r="J9" i="7941"/>
  <c r="I215" i="7941"/>
  <c r="J23" i="7941"/>
  <c r="J684" i="18"/>
  <c r="J520" i="18" s="1"/>
  <c r="J89" i="7941" s="1"/>
  <c r="I206" i="7941"/>
  <c r="J14" i="7941"/>
  <c r="J690" i="18"/>
  <c r="J526" i="18" s="1"/>
  <c r="J95" i="7941" s="1"/>
  <c r="M130" i="7942" l="1"/>
  <c r="L131" i="7942" s="1"/>
  <c r="L274" i="7941" s="1"/>
  <c r="N140" i="7942"/>
  <c r="M141" i="7942" s="1"/>
  <c r="M279" i="7941" s="1"/>
  <c r="L284" i="7942"/>
  <c r="L334" i="7941" s="1"/>
  <c r="O323" i="7942"/>
  <c r="N324" i="7942" s="1"/>
  <c r="N354" i="7941" s="1"/>
  <c r="J96" i="7941"/>
  <c r="K463" i="18"/>
  <c r="L463" i="18" s="1"/>
  <c r="J88" i="7941"/>
  <c r="K455" i="18"/>
  <c r="K683" i="18" s="1"/>
  <c r="K519" i="18" s="1"/>
  <c r="K88" i="7941" s="1"/>
  <c r="J87" i="7941"/>
  <c r="K454" i="18"/>
  <c r="L454" i="18" s="1"/>
  <c r="M162" i="7942"/>
  <c r="L163" i="7942" s="1"/>
  <c r="L290" i="7941" s="1"/>
  <c r="L162" i="7942"/>
  <c r="N162" i="7942" s="1"/>
  <c r="N301" i="7942"/>
  <c r="M302" i="7942" s="1"/>
  <c r="M343" i="7941" s="1"/>
  <c r="M375" i="7941" s="1"/>
  <c r="K12" i="7941"/>
  <c r="M153" i="7942"/>
  <c r="M285" i="7941" s="1"/>
  <c r="M304" i="7942"/>
  <c r="M344" i="7941" s="1"/>
  <c r="M376" i="7941" s="1"/>
  <c r="O303" i="7942"/>
  <c r="N304" i="7942" s="1"/>
  <c r="N344" i="7941" s="1"/>
  <c r="P115" i="7942"/>
  <c r="P266" i="7941" s="1"/>
  <c r="Q115" i="7942"/>
  <c r="Q266" i="7941" s="1"/>
  <c r="Q137" i="7942"/>
  <c r="Q277" i="7941" s="1"/>
  <c r="P137" i="7942"/>
  <c r="P277" i="7941" s="1"/>
  <c r="J655" i="18"/>
  <c r="J631" i="18" s="1"/>
  <c r="J43" i="18"/>
  <c r="Q322" i="7942"/>
  <c r="Q353" i="7941" s="1"/>
  <c r="P322" i="7942"/>
  <c r="P353" i="7941" s="1"/>
  <c r="Q408" i="18"/>
  <c r="M109" i="7942"/>
  <c r="M263" i="7941" s="1"/>
  <c r="L394" i="18"/>
  <c r="L658" i="18" s="1"/>
  <c r="M382" i="18"/>
  <c r="Q111" i="7942"/>
  <c r="Q264" i="7941" s="1"/>
  <c r="P111" i="7942"/>
  <c r="P264" i="7941" s="1"/>
  <c r="P147" i="7942"/>
  <c r="P282" i="7941" s="1"/>
  <c r="Q147" i="7942"/>
  <c r="Q282" i="7941" s="1"/>
  <c r="O371" i="7941"/>
  <c r="M298" i="7942"/>
  <c r="M341" i="7941" s="1"/>
  <c r="M373" i="7941" s="1"/>
  <c r="P297" i="7942"/>
  <c r="O298" i="7942" s="1"/>
  <c r="O341" i="7941" s="1"/>
  <c r="O373" i="7941" s="1"/>
  <c r="P149" i="7942"/>
  <c r="P283" i="7941" s="1"/>
  <c r="Q149" i="7942"/>
  <c r="Q283" i="7941" s="1"/>
  <c r="P152" i="7942"/>
  <c r="O153" i="7942" s="1"/>
  <c r="O285" i="7941" s="1"/>
  <c r="L124" i="7942"/>
  <c r="O307" i="7942"/>
  <c r="K43" i="18"/>
  <c r="O108" i="7942"/>
  <c r="P292" i="7942"/>
  <c r="P338" i="7941" s="1"/>
  <c r="Q292" i="7942"/>
  <c r="Q338" i="7941" s="1"/>
  <c r="M301" i="7942"/>
  <c r="L302" i="7942" s="1"/>
  <c r="L343" i="7941" s="1"/>
  <c r="K122" i="7942"/>
  <c r="M299" i="7942"/>
  <c r="O369" i="18"/>
  <c r="Q134" i="7942"/>
  <c r="L144" i="7942"/>
  <c r="O289" i="7942"/>
  <c r="K462" i="18"/>
  <c r="K690" i="18" s="1"/>
  <c r="K526" i="18" s="1"/>
  <c r="K456" i="18"/>
  <c r="J461" i="18"/>
  <c r="J689" i="18" s="1"/>
  <c r="J525" i="18" s="1"/>
  <c r="K443" i="18"/>
  <c r="N326" i="7942"/>
  <c r="N355" i="7941" s="1"/>
  <c r="Q325" i="7942"/>
  <c r="M159" i="7942"/>
  <c r="M288" i="7941" s="1"/>
  <c r="M384" i="7941" s="1"/>
  <c r="O158" i="7942"/>
  <c r="N159" i="7942" s="1"/>
  <c r="N288" i="7941" s="1"/>
  <c r="Q158" i="7942"/>
  <c r="P158" i="7942"/>
  <c r="O159" i="7942" s="1"/>
  <c r="O288" i="7941" s="1"/>
  <c r="M275" i="7942"/>
  <c r="L276" i="7942" s="1"/>
  <c r="L330" i="7941" s="1"/>
  <c r="N311" i="7942"/>
  <c r="M312" i="7942" s="1"/>
  <c r="M348" i="7941" s="1"/>
  <c r="M311" i="7942"/>
  <c r="N356" i="18"/>
  <c r="O356" i="18"/>
  <c r="N317" i="18"/>
  <c r="O317" i="18" s="1"/>
  <c r="P317" i="18"/>
  <c r="Q287" i="7942"/>
  <c r="I677" i="18"/>
  <c r="I513" i="18" s="1"/>
  <c r="I82" i="7941" s="1"/>
  <c r="J449" i="18"/>
  <c r="N164" i="7942"/>
  <c r="N282" i="7942"/>
  <c r="N333" i="7941" s="1"/>
  <c r="N365" i="7941" s="1"/>
  <c r="P281" i="7942"/>
  <c r="L355" i="18"/>
  <c r="M343" i="18"/>
  <c r="N343" i="18" s="1"/>
  <c r="O152" i="7942"/>
  <c r="N153" i="7942" s="1"/>
  <c r="N285" i="7941" s="1"/>
  <c r="I502" i="18"/>
  <c r="M127" i="7942"/>
  <c r="M272" i="7941" s="1"/>
  <c r="M368" i="7941" s="1"/>
  <c r="O126" i="7942"/>
  <c r="L166" i="7942"/>
  <c r="N156" i="7942"/>
  <c r="M157" i="7942" s="1"/>
  <c r="M287" i="7941" s="1"/>
  <c r="M383" i="7941" s="1"/>
  <c r="N155" i="7942"/>
  <c r="N286" i="7941" s="1"/>
  <c r="P154" i="7942"/>
  <c r="M278" i="7942"/>
  <c r="M331" i="7941" s="1"/>
  <c r="P277" i="7942"/>
  <c r="O278" i="7942" s="1"/>
  <c r="O331" i="7941" s="1"/>
  <c r="J107" i="7942"/>
  <c r="P108" i="7942"/>
  <c r="L118" i="7942"/>
  <c r="M286" i="7942"/>
  <c r="M335" i="7941" s="1"/>
  <c r="P285" i="7942"/>
  <c r="O286" i="7942" s="1"/>
  <c r="O335" i="7941" s="1"/>
  <c r="Q285" i="7942"/>
  <c r="O319" i="7942"/>
  <c r="N320" i="7942" s="1"/>
  <c r="N352" i="7941" s="1"/>
  <c r="N384" i="7941" s="1"/>
  <c r="Q160" i="7942"/>
  <c r="K269" i="7942"/>
  <c r="Q293" i="7942"/>
  <c r="O297" i="7942"/>
  <c r="N298" i="7942" s="1"/>
  <c r="N341" i="7941" s="1"/>
  <c r="N373" i="7941" s="1"/>
  <c r="L150" i="7942"/>
  <c r="O116" i="7942"/>
  <c r="N117" i="7942" s="1"/>
  <c r="N267" i="7941" s="1"/>
  <c r="N363" i="7941" s="1"/>
  <c r="N323" i="7942"/>
  <c r="L112" i="7942"/>
  <c r="Q132" i="7942"/>
  <c r="N299" i="7942"/>
  <c r="M300" i="7942" s="1"/>
  <c r="M342" i="7941" s="1"/>
  <c r="Q305" i="7942"/>
  <c r="N272" i="7942"/>
  <c r="N328" i="7941" s="1"/>
  <c r="N360" i="7941" s="1"/>
  <c r="P271" i="7942"/>
  <c r="Q279" i="7942"/>
  <c r="N382" i="7941"/>
  <c r="P315" i="7942"/>
  <c r="P129" i="7942"/>
  <c r="P273" i="7941" s="1"/>
  <c r="Q129" i="7942"/>
  <c r="Q273" i="7941" s="1"/>
  <c r="M139" i="7942"/>
  <c r="M278" i="7941" s="1"/>
  <c r="M374" i="7941" s="1"/>
  <c r="P138" i="7942"/>
  <c r="O139" i="7942" s="1"/>
  <c r="O278" i="7941" s="1"/>
  <c r="O138" i="7942"/>
  <c r="Q317" i="7942"/>
  <c r="N116" i="7942"/>
  <c r="N130" i="7942"/>
  <c r="M131" i="7942" s="1"/>
  <c r="M274" i="7941" s="1"/>
  <c r="M370" i="7941" s="1"/>
  <c r="M140" i="7942"/>
  <c r="L141" i="7942" s="1"/>
  <c r="L279" i="7941" s="1"/>
  <c r="N283" i="7942"/>
  <c r="M284" i="7942" s="1"/>
  <c r="M334" i="7941" s="1"/>
  <c r="P319" i="7942"/>
  <c r="O320" i="7942" s="1"/>
  <c r="O352" i="7941" s="1"/>
  <c r="O384" i="7941" s="1"/>
  <c r="K631" i="18"/>
  <c r="M124" i="7942"/>
  <c r="L125" i="7942" s="1"/>
  <c r="L271" i="7941" s="1"/>
  <c r="N313" i="7942"/>
  <c r="M314" i="7942" s="1"/>
  <c r="M349" i="7941" s="1"/>
  <c r="L273" i="7942"/>
  <c r="O164" i="7942"/>
  <c r="N165" i="7942" s="1"/>
  <c r="N291" i="7941" s="1"/>
  <c r="N387" i="7941" s="1"/>
  <c r="N327" i="7942"/>
  <c r="N309" i="7942"/>
  <c r="L269" i="7942"/>
  <c r="L268" i="7942" s="1"/>
  <c r="I30" i="7941"/>
  <c r="H222" i="7941"/>
  <c r="M166" i="7942"/>
  <c r="L167" i="7942" s="1"/>
  <c r="L292" i="7941" s="1"/>
  <c r="O156" i="7942"/>
  <c r="N157" i="7942" s="1"/>
  <c r="N287" i="7941" s="1"/>
  <c r="N383" i="7941" s="1"/>
  <c r="O142" i="7942"/>
  <c r="N143" i="7942" s="1"/>
  <c r="N280" i="7941" s="1"/>
  <c r="N376" i="7941" s="1"/>
  <c r="L460" i="18"/>
  <c r="K688" i="18"/>
  <c r="K524" i="18" s="1"/>
  <c r="K93" i="7941" s="1"/>
  <c r="K29" i="7941"/>
  <c r="J221" i="7941"/>
  <c r="K441" i="18"/>
  <c r="J669" i="18"/>
  <c r="J505" i="18" s="1"/>
  <c r="J74" i="7941" s="1"/>
  <c r="K24" i="7941"/>
  <c r="J216" i="7941"/>
  <c r="J681" i="18"/>
  <c r="J517" i="18" s="1"/>
  <c r="J86" i="7941" s="1"/>
  <c r="K22" i="7941" s="1"/>
  <c r="K21" i="7941"/>
  <c r="J213" i="7941"/>
  <c r="J220" i="7941"/>
  <c r="K28" i="7941"/>
  <c r="J676" i="18"/>
  <c r="J512" i="18" s="1"/>
  <c r="J81" i="7941" s="1"/>
  <c r="J209" i="7941" s="1"/>
  <c r="J686" i="18"/>
  <c r="J522" i="18" s="1"/>
  <c r="J91" i="7941" s="1"/>
  <c r="K27" i="7941" s="1"/>
  <c r="J678" i="18"/>
  <c r="J514" i="18" s="1"/>
  <c r="J83" i="7941" s="1"/>
  <c r="J211" i="7941" s="1"/>
  <c r="I670" i="18"/>
  <c r="I506" i="18" s="1"/>
  <c r="I75" i="7941" s="1"/>
  <c r="J214" i="7941"/>
  <c r="K17" i="7941"/>
  <c r="K19" i="7941"/>
  <c r="K691" i="18"/>
  <c r="K527" i="18" s="1"/>
  <c r="K96" i="7941" s="1"/>
  <c r="K673" i="18"/>
  <c r="K509" i="18" s="1"/>
  <c r="K78" i="7941" s="1"/>
  <c r="K682" i="18"/>
  <c r="K518" i="18" s="1"/>
  <c r="K87" i="7941" s="1"/>
  <c r="K452" i="18"/>
  <c r="K447" i="18"/>
  <c r="J204" i="7941"/>
  <c r="K684" i="18"/>
  <c r="K520" i="18" s="1"/>
  <c r="K89" i="7941" s="1"/>
  <c r="L459" i="18"/>
  <c r="K687" i="18"/>
  <c r="K523" i="18" s="1"/>
  <c r="K92" i="7941" s="1"/>
  <c r="J695" i="18"/>
  <c r="J531" i="18" s="1"/>
  <c r="J100" i="7941" s="1"/>
  <c r="J228" i="7941" s="1"/>
  <c r="J206" i="7941"/>
  <c r="K14" i="7941"/>
  <c r="K23" i="7941"/>
  <c r="J215" i="7941"/>
  <c r="K9" i="7941"/>
  <c r="J201" i="7941"/>
  <c r="I503" i="18"/>
  <c r="J218" i="7941"/>
  <c r="K26" i="7941"/>
  <c r="K457" i="18"/>
  <c r="J694" i="18"/>
  <c r="J530" i="18" s="1"/>
  <c r="J99" i="7941" s="1"/>
  <c r="J227" i="7941" s="1"/>
  <c r="J224" i="7941"/>
  <c r="K32" i="7941"/>
  <c r="J692" i="18"/>
  <c r="J528" i="18" s="1"/>
  <c r="J97" i="7941" s="1"/>
  <c r="K33" i="7941" s="1"/>
  <c r="J679" i="18"/>
  <c r="J515" i="18" s="1"/>
  <c r="J84" i="7941" s="1"/>
  <c r="K20" i="7941" s="1"/>
  <c r="J693" i="18"/>
  <c r="J529" i="18" s="1"/>
  <c r="J98" i="7941" s="1"/>
  <c r="K34" i="7941" s="1"/>
  <c r="J674" i="18"/>
  <c r="J510" i="18" s="1"/>
  <c r="J79" i="7941" s="1"/>
  <c r="K15" i="7941" s="1"/>
  <c r="J672" i="18"/>
  <c r="J508" i="18" s="1"/>
  <c r="J77" i="7941" s="1"/>
  <c r="K13" i="7941" s="1"/>
  <c r="K16" i="7941"/>
  <c r="J208" i="7941"/>
  <c r="K31" i="7941"/>
  <c r="J223" i="7941"/>
  <c r="H203" i="7941"/>
  <c r="I11" i="7941"/>
  <c r="K35" i="7941"/>
  <c r="J225" i="7941"/>
  <c r="K10" i="7941"/>
  <c r="J202" i="7941"/>
  <c r="K25" i="7941"/>
  <c r="J217" i="7941"/>
  <c r="K440" i="18"/>
  <c r="L443" i="18"/>
  <c r="K671" i="18"/>
  <c r="K507" i="18" s="1"/>
  <c r="K76" i="7941" s="1"/>
  <c r="J219" i="7941"/>
  <c r="J205" i="7941"/>
  <c r="J94" i="7941" l="1"/>
  <c r="K461" i="18"/>
  <c r="K95" i="7941"/>
  <c r="L462" i="18"/>
  <c r="M163" i="7942"/>
  <c r="M290" i="7941" s="1"/>
  <c r="O162" i="7942"/>
  <c r="N163" i="7942" s="1"/>
  <c r="N290" i="7941" s="1"/>
  <c r="N386" i="7941" s="1"/>
  <c r="M310" i="7942"/>
  <c r="M347" i="7941" s="1"/>
  <c r="M379" i="7941" s="1"/>
  <c r="O309" i="7942"/>
  <c r="N310" i="7942" s="1"/>
  <c r="N347" i="7941" s="1"/>
  <c r="N379" i="7941" s="1"/>
  <c r="M328" i="7942"/>
  <c r="M356" i="7941" s="1"/>
  <c r="Q318" i="7942"/>
  <c r="Q351" i="7941" s="1"/>
  <c r="P318" i="7942"/>
  <c r="P351" i="7941" s="1"/>
  <c r="O316" i="7942"/>
  <c r="O350" i="7941" s="1"/>
  <c r="Q315" i="7942"/>
  <c r="P280" i="7942"/>
  <c r="P332" i="7941" s="1"/>
  <c r="Q280" i="7942"/>
  <c r="Q332" i="7941" s="1"/>
  <c r="P306" i="7942"/>
  <c r="P345" i="7941" s="1"/>
  <c r="Q306" i="7942"/>
  <c r="Q345" i="7941" s="1"/>
  <c r="P133" i="7942"/>
  <c r="P275" i="7941" s="1"/>
  <c r="Q133" i="7942"/>
  <c r="Q275" i="7941" s="1"/>
  <c r="K268" i="7942"/>
  <c r="M269" i="7942"/>
  <c r="Q286" i="7942"/>
  <c r="Q335" i="7941" s="1"/>
  <c r="P286" i="7942"/>
  <c r="P335" i="7941" s="1"/>
  <c r="O109" i="7942"/>
  <c r="O263" i="7941" s="1"/>
  <c r="O155" i="7942"/>
  <c r="O286" i="7941" s="1"/>
  <c r="Q154" i="7942"/>
  <c r="P156" i="7942"/>
  <c r="O157" i="7942" s="1"/>
  <c r="O287" i="7941" s="1"/>
  <c r="O383" i="7941" s="1"/>
  <c r="N166" i="7942"/>
  <c r="M167" i="7942" s="1"/>
  <c r="M292" i="7941" s="1"/>
  <c r="M388" i="7941" s="1"/>
  <c r="N127" i="7942"/>
  <c r="N272" i="7941" s="1"/>
  <c r="N368" i="7941" s="1"/>
  <c r="I71" i="7941"/>
  <c r="J438" i="18"/>
  <c r="L655" i="18"/>
  <c r="L631" i="18" s="1"/>
  <c r="L43" i="18"/>
  <c r="M165" i="7942"/>
  <c r="M291" i="7941" s="1"/>
  <c r="M387" i="7941" s="1"/>
  <c r="P164" i="7942"/>
  <c r="O165" i="7942" s="1"/>
  <c r="O291" i="7941" s="1"/>
  <c r="O387" i="7941" s="1"/>
  <c r="J677" i="18"/>
  <c r="J513" i="18" s="1"/>
  <c r="J82" i="7941" s="1"/>
  <c r="N269" i="7942"/>
  <c r="Q319" i="7942"/>
  <c r="Q159" i="7942"/>
  <c r="Q288" i="7941" s="1"/>
  <c r="P159" i="7942"/>
  <c r="P288" i="7941" s="1"/>
  <c r="Q156" i="7942"/>
  <c r="L122" i="7942"/>
  <c r="N109" i="7942"/>
  <c r="N263" i="7941" s="1"/>
  <c r="N275" i="7942"/>
  <c r="M276" i="7942" s="1"/>
  <c r="M330" i="7941" s="1"/>
  <c r="M362" i="7941" s="1"/>
  <c r="N124" i="7942"/>
  <c r="M125" i="7942" s="1"/>
  <c r="M271" i="7941" s="1"/>
  <c r="M367" i="7941" s="1"/>
  <c r="M144" i="7942"/>
  <c r="Q152" i="7942"/>
  <c r="O301" i="7942"/>
  <c r="O130" i="7942"/>
  <c r="N131" i="7942" s="1"/>
  <c r="N274" i="7941" s="1"/>
  <c r="N370" i="7941" s="1"/>
  <c r="L12" i="7941"/>
  <c r="H198" i="7941"/>
  <c r="K464" i="18"/>
  <c r="K466" i="18"/>
  <c r="I665" i="18"/>
  <c r="L445" i="18"/>
  <c r="J442" i="18"/>
  <c r="K450" i="18"/>
  <c r="K458" i="18"/>
  <c r="P116" i="7942"/>
  <c r="O117" i="7942" s="1"/>
  <c r="O267" i="7941" s="1"/>
  <c r="O363" i="7941" s="1"/>
  <c r="P369" i="18"/>
  <c r="Q369" i="18" s="1"/>
  <c r="J30" i="7941"/>
  <c r="I222" i="7941"/>
  <c r="P301" i="7942"/>
  <c r="O302" i="7942" s="1"/>
  <c r="O343" i="7941" s="1"/>
  <c r="P142" i="7942"/>
  <c r="O143" i="7942" s="1"/>
  <c r="O280" i="7941" s="1"/>
  <c r="M117" i="7942"/>
  <c r="M267" i="7941" s="1"/>
  <c r="Q116" i="7942"/>
  <c r="N139" i="7942"/>
  <c r="N278" i="7941" s="1"/>
  <c r="Q138" i="7942"/>
  <c r="O272" i="7942"/>
  <c r="O328" i="7941" s="1"/>
  <c r="O360" i="7941" s="1"/>
  <c r="Q271" i="7942"/>
  <c r="O327" i="7942"/>
  <c r="N328" i="7942" s="1"/>
  <c r="N356" i="7941" s="1"/>
  <c r="M112" i="7942"/>
  <c r="L107" i="7942"/>
  <c r="M324" i="7942"/>
  <c r="M354" i="7941" s="1"/>
  <c r="Q164" i="7942"/>
  <c r="P294" i="7942"/>
  <c r="P339" i="7941" s="1"/>
  <c r="P371" i="7941" s="1"/>
  <c r="Q294" i="7942"/>
  <c r="Q339" i="7941" s="1"/>
  <c r="Q161" i="7942"/>
  <c r="Q289" i="7941" s="1"/>
  <c r="Q385" i="7941" s="1"/>
  <c r="P161" i="7942"/>
  <c r="P289" i="7941" s="1"/>
  <c r="P385" i="7941" s="1"/>
  <c r="O311" i="7942"/>
  <c r="N312" i="7942" s="1"/>
  <c r="N348" i="7941" s="1"/>
  <c r="N118" i="7942"/>
  <c r="M119" i="7942" s="1"/>
  <c r="M268" i="7941" s="1"/>
  <c r="M364" i="7941" s="1"/>
  <c r="M118" i="7942"/>
  <c r="O118" i="7942"/>
  <c r="N119" i="7942" s="1"/>
  <c r="N268" i="7941" s="1"/>
  <c r="N364" i="7941" s="1"/>
  <c r="M363" i="7941"/>
  <c r="P126" i="7942"/>
  <c r="O127" i="7942" s="1"/>
  <c r="O272" i="7941" s="1"/>
  <c r="O368" i="7941" s="1"/>
  <c r="O343" i="18"/>
  <c r="O282" i="7942"/>
  <c r="O333" i="7941" s="1"/>
  <c r="O365" i="7941" s="1"/>
  <c r="Q281" i="7942"/>
  <c r="P323" i="7942"/>
  <c r="O324" i="7942" s="1"/>
  <c r="O354" i="7941" s="1"/>
  <c r="O313" i="7942"/>
  <c r="J18" i="7941"/>
  <c r="I210" i="7941"/>
  <c r="Q288" i="7942"/>
  <c r="Q336" i="7941" s="1"/>
  <c r="P288" i="7942"/>
  <c r="P336" i="7941" s="1"/>
  <c r="Q317" i="18"/>
  <c r="P356" i="18"/>
  <c r="Q356" i="18" s="1"/>
  <c r="L312" i="7942"/>
  <c r="L348" i="7941" s="1"/>
  <c r="P311" i="7942"/>
  <c r="O312" i="7942" s="1"/>
  <c r="O348" i="7941" s="1"/>
  <c r="Q311" i="7942"/>
  <c r="O140" i="7942"/>
  <c r="Q326" i="7942"/>
  <c r="Q355" i="7941" s="1"/>
  <c r="P326" i="7942"/>
  <c r="P355" i="7941" s="1"/>
  <c r="N290" i="7942"/>
  <c r="N337" i="7941" s="1"/>
  <c r="N369" i="7941" s="1"/>
  <c r="P289" i="7942"/>
  <c r="Q277" i="7942"/>
  <c r="Q135" i="7942"/>
  <c r="Q276" i="7941" s="1"/>
  <c r="Q372" i="7941" s="1"/>
  <c r="P135" i="7942"/>
  <c r="P276" i="7941" s="1"/>
  <c r="P372" i="7941" s="1"/>
  <c r="L300" i="7942"/>
  <c r="L342" i="7941" s="1"/>
  <c r="O299" i="7942"/>
  <c r="N300" i="7942" s="1"/>
  <c r="N342" i="7941" s="1"/>
  <c r="M273" i="7942"/>
  <c r="N308" i="7942"/>
  <c r="N346" i="7941" s="1"/>
  <c r="N378" i="7941" s="1"/>
  <c r="P307" i="7942"/>
  <c r="Q297" i="7942"/>
  <c r="K107" i="7942"/>
  <c r="N382" i="18"/>
  <c r="Q108" i="7942"/>
  <c r="P303" i="7942"/>
  <c r="O304" i="7942" s="1"/>
  <c r="O344" i="7941" s="1"/>
  <c r="N144" i="7942"/>
  <c r="M145" i="7942" s="1"/>
  <c r="M281" i="7941" s="1"/>
  <c r="M377" i="7941" s="1"/>
  <c r="M381" i="7941"/>
  <c r="P162" i="7942"/>
  <c r="O163" i="7942" s="1"/>
  <c r="O290" i="7941" s="1"/>
  <c r="O386" i="7941" s="1"/>
  <c r="M150" i="7942"/>
  <c r="L151" i="7942" s="1"/>
  <c r="L284" i="7941" s="1"/>
  <c r="O283" i="7942"/>
  <c r="P140" i="7942"/>
  <c r="O141" i="7942" s="1"/>
  <c r="O279" i="7941" s="1"/>
  <c r="P130" i="7942"/>
  <c r="O131" i="7942" s="1"/>
  <c r="O274" i="7941" s="1"/>
  <c r="O370" i="7941" s="1"/>
  <c r="Q130" i="7942"/>
  <c r="J11" i="7941"/>
  <c r="I203" i="7941"/>
  <c r="K692" i="18"/>
  <c r="K528" i="18" s="1"/>
  <c r="K97" i="7941" s="1"/>
  <c r="L464" i="18"/>
  <c r="K224" i="7941"/>
  <c r="L32" i="7941"/>
  <c r="K694" i="18"/>
  <c r="K530" i="18" s="1"/>
  <c r="K99" i="7941" s="1"/>
  <c r="L466" i="18"/>
  <c r="K685" i="18"/>
  <c r="K521" i="18" s="1"/>
  <c r="K90" i="7941" s="1"/>
  <c r="L457" i="18"/>
  <c r="J207" i="7941"/>
  <c r="L23" i="7941"/>
  <c r="K215" i="7941"/>
  <c r="K36" i="7941"/>
  <c r="K668" i="18"/>
  <c r="K504" i="18" s="1"/>
  <c r="K73" i="7941" s="1"/>
  <c r="K201" i="7941" s="1"/>
  <c r="L25" i="7941"/>
  <c r="K217" i="7941"/>
  <c r="K225" i="7941"/>
  <c r="L33" i="7941"/>
  <c r="L31" i="7941"/>
  <c r="K223" i="7941"/>
  <c r="K444" i="18"/>
  <c r="K446" i="18"/>
  <c r="K465" i="18"/>
  <c r="K451" i="18"/>
  <c r="K218" i="7941"/>
  <c r="L26" i="7941"/>
  <c r="I72" i="7941"/>
  <c r="I501" i="18"/>
  <c r="J439" i="18"/>
  <c r="K206" i="7941"/>
  <c r="L14" i="7941"/>
  <c r="K467" i="18"/>
  <c r="L455" i="18"/>
  <c r="L456" i="18"/>
  <c r="K680" i="18"/>
  <c r="K516" i="18" s="1"/>
  <c r="K85" i="7941" s="1"/>
  <c r="L21" i="7941" s="1"/>
  <c r="J226" i="7941"/>
  <c r="J212" i="7941"/>
  <c r="K448" i="18"/>
  <c r="K213" i="7941"/>
  <c r="K453" i="18"/>
  <c r="K204" i="7941"/>
  <c r="L671" i="18"/>
  <c r="L507" i="18" s="1"/>
  <c r="L76" i="7941" s="1"/>
  <c r="L204" i="7941" s="1"/>
  <c r="K227" i="7941"/>
  <c r="L35" i="7941"/>
  <c r="L687" i="18"/>
  <c r="L523" i="18" s="1"/>
  <c r="L92" i="7941" s="1"/>
  <c r="L690" i="18"/>
  <c r="L526" i="18" s="1"/>
  <c r="L95" i="7941" s="1"/>
  <c r="K675" i="18"/>
  <c r="K511" i="18" s="1"/>
  <c r="K80" i="7941" s="1"/>
  <c r="K208" i="7941" s="1"/>
  <c r="L682" i="18"/>
  <c r="L518" i="18" s="1"/>
  <c r="L87" i="7941" s="1"/>
  <c r="M454" i="18"/>
  <c r="M682" i="18" s="1"/>
  <c r="M518" i="18" s="1"/>
  <c r="M87" i="7941" s="1"/>
  <c r="L673" i="18"/>
  <c r="L509" i="18" s="1"/>
  <c r="L78" i="7941" s="1"/>
  <c r="L691" i="18"/>
  <c r="L527" i="18" s="1"/>
  <c r="L96" i="7941" s="1"/>
  <c r="J670" i="18"/>
  <c r="J506" i="18" s="1"/>
  <c r="J75" i="7941" s="1"/>
  <c r="K678" i="18"/>
  <c r="K514" i="18" s="1"/>
  <c r="K83" i="7941" s="1"/>
  <c r="L19" i="7941" s="1"/>
  <c r="K686" i="18"/>
  <c r="K522" i="18" s="1"/>
  <c r="K91" i="7941" s="1"/>
  <c r="K219" i="7941" s="1"/>
  <c r="K220" i="7941"/>
  <c r="L28" i="7941"/>
  <c r="I6" i="7941"/>
  <c r="K216" i="7941"/>
  <c r="L24" i="7941"/>
  <c r="K669" i="18"/>
  <c r="K505" i="18" s="1"/>
  <c r="K74" i="7941" s="1"/>
  <c r="K202" i="7941" s="1"/>
  <c r="L29" i="7941"/>
  <c r="K221" i="7941"/>
  <c r="K689" i="18"/>
  <c r="K525" i="18" s="1"/>
  <c r="K94" i="7941" s="1"/>
  <c r="L688" i="18"/>
  <c r="L524" i="18" s="1"/>
  <c r="L93" i="7941" s="1"/>
  <c r="L9" i="7941" l="1"/>
  <c r="P131" i="7942"/>
  <c r="P274" i="7941" s="1"/>
  <c r="P370" i="7941" s="1"/>
  <c r="Q131" i="7942"/>
  <c r="Q274" i="7941" s="1"/>
  <c r="Q370" i="7941" s="1"/>
  <c r="L274" i="7942"/>
  <c r="L329" i="7941" s="1"/>
  <c r="N273" i="7942"/>
  <c r="O290" i="7942"/>
  <c r="O337" i="7941" s="1"/>
  <c r="O369" i="7941" s="1"/>
  <c r="Q289" i="7942"/>
  <c r="N141" i="7942"/>
  <c r="N279" i="7941" s="1"/>
  <c r="Q140" i="7942"/>
  <c r="P312" i="7942"/>
  <c r="P348" i="7941" s="1"/>
  <c r="Q312" i="7942"/>
  <c r="Q348" i="7941" s="1"/>
  <c r="K18" i="7941"/>
  <c r="J210" i="7941"/>
  <c r="Q165" i="7942"/>
  <c r="Q291" i="7941" s="1"/>
  <c r="Q387" i="7941" s="1"/>
  <c r="P165" i="7942"/>
  <c r="P291" i="7941" s="1"/>
  <c r="P387" i="7941" s="1"/>
  <c r="L220" i="7941"/>
  <c r="L458" i="18"/>
  <c r="L450" i="18"/>
  <c r="K442" i="18"/>
  <c r="M463" i="18"/>
  <c r="M691" i="18" s="1"/>
  <c r="M527" i="18" s="1"/>
  <c r="M96" i="7941" s="1"/>
  <c r="M462" i="18"/>
  <c r="M690" i="18" s="1"/>
  <c r="M526" i="18" s="1"/>
  <c r="M95" i="7941" s="1"/>
  <c r="M459" i="18"/>
  <c r="M687" i="18" s="1"/>
  <c r="M523" i="18" s="1"/>
  <c r="M92" i="7941" s="1"/>
  <c r="M443" i="18"/>
  <c r="M671" i="18" s="1"/>
  <c r="M507" i="18" s="1"/>
  <c r="M76" i="7941" s="1"/>
  <c r="L452" i="18"/>
  <c r="L440" i="18"/>
  <c r="N284" i="7942"/>
  <c r="N334" i="7941" s="1"/>
  <c r="P283" i="7942"/>
  <c r="O284" i="7942" s="1"/>
  <c r="O334" i="7941" s="1"/>
  <c r="Q283" i="7942"/>
  <c r="P299" i="7942"/>
  <c r="O300" i="7942" s="1"/>
  <c r="O342" i="7941" s="1"/>
  <c r="O374" i="7941" s="1"/>
  <c r="Q303" i="7942"/>
  <c r="Q109" i="7942"/>
  <c r="Q263" i="7941" s="1"/>
  <c r="P109" i="7942"/>
  <c r="P263" i="7941" s="1"/>
  <c r="O308" i="7942"/>
  <c r="O346" i="7941" s="1"/>
  <c r="O378" i="7941" s="1"/>
  <c r="Q307" i="7942"/>
  <c r="Q299" i="7942"/>
  <c r="P278" i="7942"/>
  <c r="P331" i="7941" s="1"/>
  <c r="Q278" i="7942"/>
  <c r="Q331" i="7941" s="1"/>
  <c r="Q142" i="7942"/>
  <c r="N314" i="7942"/>
  <c r="N349" i="7941" s="1"/>
  <c r="N381" i="7941" s="1"/>
  <c r="P313" i="7942"/>
  <c r="P282" i="7942"/>
  <c r="P333" i="7941" s="1"/>
  <c r="P365" i="7941" s="1"/>
  <c r="Q282" i="7942"/>
  <c r="Q333" i="7941" s="1"/>
  <c r="Q365" i="7941" s="1"/>
  <c r="P343" i="18"/>
  <c r="Q343" i="18" s="1"/>
  <c r="L119" i="7942"/>
  <c r="L268" i="7941" s="1"/>
  <c r="P118" i="7942"/>
  <c r="O119" i="7942" s="1"/>
  <c r="O268" i="7941" s="1"/>
  <c r="O364" i="7941" s="1"/>
  <c r="Q323" i="7942"/>
  <c r="L113" i="7942"/>
  <c r="L265" i="7941" s="1"/>
  <c r="N112" i="7942"/>
  <c r="P272" i="7942"/>
  <c r="P328" i="7941" s="1"/>
  <c r="P360" i="7941" s="1"/>
  <c r="Q272" i="7942"/>
  <c r="Q328" i="7941" s="1"/>
  <c r="Q360" i="7941" s="1"/>
  <c r="N374" i="7941"/>
  <c r="J222" i="7941"/>
  <c r="K30" i="7941"/>
  <c r="K222" i="7941" s="1"/>
  <c r="N302" i="7942"/>
  <c r="N343" i="7941" s="1"/>
  <c r="N375" i="7941" s="1"/>
  <c r="Q301" i="7942"/>
  <c r="P153" i="7942"/>
  <c r="P285" i="7941" s="1"/>
  <c r="Q153" i="7942"/>
  <c r="Q285" i="7941" s="1"/>
  <c r="L145" i="7942"/>
  <c r="L281" i="7941" s="1"/>
  <c r="O124" i="7942"/>
  <c r="O275" i="7942"/>
  <c r="Q384" i="7941"/>
  <c r="Q320" i="7942"/>
  <c r="Q352" i="7941" s="1"/>
  <c r="P320" i="7942"/>
  <c r="P352" i="7941" s="1"/>
  <c r="K449" i="18"/>
  <c r="J666" i="18"/>
  <c r="J502" i="18" s="1"/>
  <c r="J71" i="7941" s="1"/>
  <c r="Q126" i="7942"/>
  <c r="O166" i="7942"/>
  <c r="P166" i="7942"/>
  <c r="O167" i="7942" s="1"/>
  <c r="O292" i="7941" s="1"/>
  <c r="P155" i="7942"/>
  <c r="P286" i="7941" s="1"/>
  <c r="Q155" i="7942"/>
  <c r="Q286" i="7941" s="1"/>
  <c r="L270" i="7942"/>
  <c r="L327" i="7941" s="1"/>
  <c r="L326" i="7941" s="1"/>
  <c r="M268" i="7942"/>
  <c r="L329" i="7942" s="1"/>
  <c r="O382" i="7941"/>
  <c r="Q162" i="7942"/>
  <c r="M386" i="7941"/>
  <c r="O382" i="18"/>
  <c r="P382" i="18" s="1"/>
  <c r="Q382" i="18" s="1"/>
  <c r="P298" i="7942"/>
  <c r="P341" i="7941" s="1"/>
  <c r="P373" i="7941" s="1"/>
  <c r="Q298" i="7942"/>
  <c r="Q341" i="7941" s="1"/>
  <c r="Q373" i="7941" s="1"/>
  <c r="Q139" i="7942"/>
  <c r="Q278" i="7941" s="1"/>
  <c r="P139" i="7942"/>
  <c r="P278" i="7941" s="1"/>
  <c r="Q117" i="7942"/>
  <c r="Q267" i="7941" s="1"/>
  <c r="Q363" i="7941" s="1"/>
  <c r="P117" i="7942"/>
  <c r="P267" i="7941" s="1"/>
  <c r="P363" i="7941" s="1"/>
  <c r="O376" i="7941"/>
  <c r="O375" i="7941"/>
  <c r="N150" i="7942"/>
  <c r="M151" i="7942" s="1"/>
  <c r="M284" i="7941" s="1"/>
  <c r="M380" i="7941" s="1"/>
  <c r="M122" i="7942"/>
  <c r="N122" i="7942"/>
  <c r="M123" i="7942" s="1"/>
  <c r="M270" i="7941" s="1"/>
  <c r="M366" i="7941" s="1"/>
  <c r="P157" i="7942"/>
  <c r="P287" i="7941" s="1"/>
  <c r="P383" i="7941" s="1"/>
  <c r="Q157" i="7942"/>
  <c r="Q287" i="7941" s="1"/>
  <c r="Q383" i="7941" s="1"/>
  <c r="P384" i="7941"/>
  <c r="M270" i="7942"/>
  <c r="M327" i="7941" s="1"/>
  <c r="N268" i="7942"/>
  <c r="M329" i="7942" s="1"/>
  <c r="I199" i="7941"/>
  <c r="J7" i="7941"/>
  <c r="O269" i="7942"/>
  <c r="O150" i="7942"/>
  <c r="N151" i="7942" s="1"/>
  <c r="N284" i="7941" s="1"/>
  <c r="N380" i="7941" s="1"/>
  <c r="Q371" i="7941"/>
  <c r="P316" i="7942"/>
  <c r="P350" i="7941" s="1"/>
  <c r="P382" i="7941" s="1"/>
  <c r="Q316" i="7942"/>
  <c r="Q350" i="7941" s="1"/>
  <c r="P327" i="7942"/>
  <c r="O328" i="7942" s="1"/>
  <c r="O356" i="7941" s="1"/>
  <c r="P309" i="7942"/>
  <c r="O310" i="7942" s="1"/>
  <c r="O347" i="7941" s="1"/>
  <c r="O379" i="7941" s="1"/>
  <c r="O144" i="7942"/>
  <c r="N145" i="7942" s="1"/>
  <c r="N281" i="7941" s="1"/>
  <c r="N377" i="7941" s="1"/>
  <c r="L686" i="18"/>
  <c r="L522" i="18" s="1"/>
  <c r="L91" i="7941" s="1"/>
  <c r="M460" i="18"/>
  <c r="M688" i="18" s="1"/>
  <c r="M524" i="18" s="1"/>
  <c r="M93" i="7941" s="1"/>
  <c r="L461" i="18"/>
  <c r="L441" i="18"/>
  <c r="M445" i="18"/>
  <c r="M673" i="18" s="1"/>
  <c r="M509" i="18" s="1"/>
  <c r="M78" i="7941" s="1"/>
  <c r="L447" i="18"/>
  <c r="L16" i="7941"/>
  <c r="K681" i="18"/>
  <c r="K517" i="18" s="1"/>
  <c r="K86" i="7941" s="1"/>
  <c r="K211" i="7941"/>
  <c r="L683" i="18"/>
  <c r="L519" i="18" s="1"/>
  <c r="L88" i="7941" s="1"/>
  <c r="L216" i="7941" s="1"/>
  <c r="M455" i="18"/>
  <c r="M683" i="18" s="1"/>
  <c r="M519" i="18" s="1"/>
  <c r="M88" i="7941" s="1"/>
  <c r="L206" i="7941"/>
  <c r="J667" i="18"/>
  <c r="J437" i="18"/>
  <c r="I70" i="7941"/>
  <c r="J8" i="7941"/>
  <c r="I200" i="7941"/>
  <c r="I198" i="7941" s="1"/>
  <c r="L30" i="7941"/>
  <c r="K693" i="18"/>
  <c r="K529" i="18" s="1"/>
  <c r="K98" i="7941" s="1"/>
  <c r="K672" i="18"/>
  <c r="K508" i="18" s="1"/>
  <c r="K77" i="7941" s="1"/>
  <c r="L223" i="7941"/>
  <c r="L10" i="7941"/>
  <c r="L27" i="7941"/>
  <c r="L219" i="7941" s="1"/>
  <c r="K11" i="7941"/>
  <c r="J203" i="7941"/>
  <c r="L221" i="7941"/>
  <c r="L678" i="18"/>
  <c r="L514" i="18" s="1"/>
  <c r="L83" i="7941" s="1"/>
  <c r="L211" i="7941" s="1"/>
  <c r="K670" i="18"/>
  <c r="K506" i="18" s="1"/>
  <c r="K75" i="7941" s="1"/>
  <c r="K676" i="18"/>
  <c r="K512" i="18" s="1"/>
  <c r="K81" i="7941" s="1"/>
  <c r="L680" i="18"/>
  <c r="L516" i="18" s="1"/>
  <c r="L85" i="7941" s="1"/>
  <c r="L213" i="7941" s="1"/>
  <c r="L684" i="18"/>
  <c r="L520" i="18" s="1"/>
  <c r="L89" i="7941" s="1"/>
  <c r="L217" i="7941" s="1"/>
  <c r="K695" i="18"/>
  <c r="K531" i="18" s="1"/>
  <c r="K100" i="7941" s="1"/>
  <c r="L36" i="7941" s="1"/>
  <c r="K679" i="18"/>
  <c r="K515" i="18" s="1"/>
  <c r="K84" i="7941" s="1"/>
  <c r="L451" i="18"/>
  <c r="K674" i="18"/>
  <c r="K510" i="18" s="1"/>
  <c r="K79" i="7941" s="1"/>
  <c r="L446" i="18"/>
  <c r="L668" i="18"/>
  <c r="L504" i="18" s="1"/>
  <c r="L73" i="7941" s="1"/>
  <c r="L201" i="7941" s="1"/>
  <c r="K228" i="7941"/>
  <c r="L215" i="7941"/>
  <c r="L685" i="18"/>
  <c r="L521" i="18" s="1"/>
  <c r="L90" i="7941" s="1"/>
  <c r="L218" i="7941" s="1"/>
  <c r="L694" i="18"/>
  <c r="L530" i="18" s="1"/>
  <c r="L99" i="7941" s="1"/>
  <c r="L227" i="7941" s="1"/>
  <c r="L224" i="7941"/>
  <c r="L692" i="18"/>
  <c r="L528" i="18" s="1"/>
  <c r="L97" i="7941" s="1"/>
  <c r="L225" i="7941" s="1"/>
  <c r="L442" i="18" l="1"/>
  <c r="L444" i="18"/>
  <c r="L465" i="18"/>
  <c r="J199" i="7941"/>
  <c r="K7" i="7941"/>
  <c r="L123" i="7942"/>
  <c r="L270" i="7941" s="1"/>
  <c r="Q309" i="7942"/>
  <c r="P150" i="7942"/>
  <c r="O151" i="7942" s="1"/>
  <c r="O284" i="7941" s="1"/>
  <c r="O380" i="7941" s="1"/>
  <c r="N167" i="7942"/>
  <c r="N292" i="7941" s="1"/>
  <c r="N388" i="7941" s="1"/>
  <c r="Q166" i="7942"/>
  <c r="K438" i="18"/>
  <c r="K677" i="18"/>
  <c r="K513" i="18" s="1"/>
  <c r="K82" i="7941" s="1"/>
  <c r="N276" i="7942"/>
  <c r="N330" i="7941" s="1"/>
  <c r="N362" i="7941" s="1"/>
  <c r="P275" i="7942"/>
  <c r="P144" i="7942"/>
  <c r="O145" i="7942" s="1"/>
  <c r="O281" i="7941" s="1"/>
  <c r="O377" i="7941" s="1"/>
  <c r="P302" i="7942"/>
  <c r="P343" i="7941" s="1"/>
  <c r="Q302" i="7942"/>
  <c r="Q343" i="7941" s="1"/>
  <c r="M113" i="7942"/>
  <c r="M265" i="7941" s="1"/>
  <c r="N107" i="7942"/>
  <c r="O112" i="7942"/>
  <c r="P112" i="7942" s="1"/>
  <c r="M107" i="7942"/>
  <c r="L168" i="7942" s="1"/>
  <c r="P324" i="7942"/>
  <c r="P354" i="7941" s="1"/>
  <c r="Q324" i="7942"/>
  <c r="Q354" i="7941" s="1"/>
  <c r="Q118" i="7942"/>
  <c r="Q143" i="7942"/>
  <c r="Q280" i="7941" s="1"/>
  <c r="P143" i="7942"/>
  <c r="P280" i="7941" s="1"/>
  <c r="Q308" i="7942"/>
  <c r="Q346" i="7941" s="1"/>
  <c r="Q378" i="7941" s="1"/>
  <c r="P308" i="7942"/>
  <c r="P346" i="7941" s="1"/>
  <c r="P378" i="7941" s="1"/>
  <c r="Q141" i="7942"/>
  <c r="Q279" i="7941" s="1"/>
  <c r="P141" i="7942"/>
  <c r="P279" i="7941" s="1"/>
  <c r="P375" i="7941" s="1"/>
  <c r="P290" i="7942"/>
  <c r="P337" i="7941" s="1"/>
  <c r="P369" i="7941" s="1"/>
  <c r="Q290" i="7942"/>
  <c r="Q337" i="7941" s="1"/>
  <c r="Q369" i="7941" s="1"/>
  <c r="M274" i="7942"/>
  <c r="M329" i="7941" s="1"/>
  <c r="O273" i="7942"/>
  <c r="N270" i="7942"/>
  <c r="N327" i="7941" s="1"/>
  <c r="O268" i="7942"/>
  <c r="N329" i="7942" s="1"/>
  <c r="M326" i="7941"/>
  <c r="M359" i="7941"/>
  <c r="Q144" i="7942"/>
  <c r="P374" i="7941"/>
  <c r="Q163" i="7942"/>
  <c r="Q290" i="7941" s="1"/>
  <c r="P163" i="7942"/>
  <c r="P290" i="7941" s="1"/>
  <c r="P386" i="7941" s="1"/>
  <c r="Q327" i="7942"/>
  <c r="Q150" i="7942"/>
  <c r="P269" i="7942"/>
  <c r="Q382" i="7941"/>
  <c r="O388" i="7941"/>
  <c r="P127" i="7942"/>
  <c r="P272" i="7941" s="1"/>
  <c r="P368" i="7941" s="1"/>
  <c r="Q127" i="7942"/>
  <c r="Q272" i="7941" s="1"/>
  <c r="Q368" i="7941" s="1"/>
  <c r="N125" i="7942"/>
  <c r="N271" i="7941" s="1"/>
  <c r="N367" i="7941" s="1"/>
  <c r="P124" i="7942"/>
  <c r="O125" i="7942" s="1"/>
  <c r="O271" i="7941" s="1"/>
  <c r="O367" i="7941" s="1"/>
  <c r="Q124" i="7942"/>
  <c r="L262" i="7941"/>
  <c r="O314" i="7942"/>
  <c r="O349" i="7941" s="1"/>
  <c r="O381" i="7941" s="1"/>
  <c r="Q313" i="7942"/>
  <c r="P300" i="7942"/>
  <c r="P342" i="7941" s="1"/>
  <c r="Q300" i="7942"/>
  <c r="Q342" i="7941" s="1"/>
  <c r="Q374" i="7941" s="1"/>
  <c r="Q304" i="7942"/>
  <c r="Q344" i="7941" s="1"/>
  <c r="P304" i="7942"/>
  <c r="P344" i="7941" s="1"/>
  <c r="Q284" i="7942"/>
  <c r="Q334" i="7941" s="1"/>
  <c r="P284" i="7942"/>
  <c r="P334" i="7941" s="1"/>
  <c r="K210" i="7941"/>
  <c r="L18" i="7941"/>
  <c r="O122" i="7942"/>
  <c r="N123" i="7942" s="1"/>
  <c r="N270" i="7941" s="1"/>
  <c r="N366" i="7941" s="1"/>
  <c r="M464" i="18"/>
  <c r="M692" i="18" s="1"/>
  <c r="M528" i="18" s="1"/>
  <c r="M97" i="7941" s="1"/>
  <c r="M466" i="18"/>
  <c r="M694" i="18" s="1"/>
  <c r="M530" i="18" s="1"/>
  <c r="M99" i="7941" s="1"/>
  <c r="M457" i="18"/>
  <c r="M685" i="18" s="1"/>
  <c r="M521" i="18" s="1"/>
  <c r="M90" i="7941" s="1"/>
  <c r="M440" i="18"/>
  <c r="M668" i="18" s="1"/>
  <c r="M504" i="18" s="1"/>
  <c r="M73" i="7941" s="1"/>
  <c r="L15" i="7941"/>
  <c r="K207" i="7941"/>
  <c r="L20" i="7941"/>
  <c r="K212" i="7941"/>
  <c r="L467" i="18"/>
  <c r="M456" i="18"/>
  <c r="M684" i="18" s="1"/>
  <c r="M520" i="18" s="1"/>
  <c r="M89" i="7941" s="1"/>
  <c r="M452" i="18"/>
  <c r="M680" i="18" s="1"/>
  <c r="M516" i="18" s="1"/>
  <c r="M85" i="7941" s="1"/>
  <c r="L448" i="18"/>
  <c r="M450" i="18"/>
  <c r="M678" i="18" s="1"/>
  <c r="M514" i="18" s="1"/>
  <c r="M83" i="7941" s="1"/>
  <c r="L11" i="7941"/>
  <c r="K203" i="7941"/>
  <c r="L13" i="7941"/>
  <c r="K205" i="7941"/>
  <c r="K226" i="7941"/>
  <c r="L34" i="7941"/>
  <c r="L453" i="18"/>
  <c r="L669" i="18"/>
  <c r="L505" i="18" s="1"/>
  <c r="L74" i="7941" s="1"/>
  <c r="M441" i="18"/>
  <c r="M669" i="18" s="1"/>
  <c r="M505" i="18" s="1"/>
  <c r="M74" i="7941" s="1"/>
  <c r="M458" i="18"/>
  <c r="M686" i="18" s="1"/>
  <c r="M522" i="18" s="1"/>
  <c r="M91" i="7941" s="1"/>
  <c r="L674" i="18"/>
  <c r="L510" i="18" s="1"/>
  <c r="L79" i="7941" s="1"/>
  <c r="L679" i="18"/>
  <c r="L515" i="18" s="1"/>
  <c r="L84" i="7941" s="1"/>
  <c r="K209" i="7941"/>
  <c r="L17" i="7941"/>
  <c r="L670" i="18"/>
  <c r="L506" i="18" s="1"/>
  <c r="L75" i="7941" s="1"/>
  <c r="L202" i="7941"/>
  <c r="L672" i="18"/>
  <c r="L508" i="18" s="1"/>
  <c r="L77" i="7941" s="1"/>
  <c r="L693" i="18"/>
  <c r="L529" i="18" s="1"/>
  <c r="L98" i="7941" s="1"/>
  <c r="J6" i="7941"/>
  <c r="J503" i="18"/>
  <c r="J665" i="18"/>
  <c r="K214" i="7941"/>
  <c r="L22" i="7941"/>
  <c r="L675" i="18"/>
  <c r="L511" i="18" s="1"/>
  <c r="L80" i="7941" s="1"/>
  <c r="L208" i="7941" s="1"/>
  <c r="M447" i="18"/>
  <c r="M675" i="18" s="1"/>
  <c r="M511" i="18" s="1"/>
  <c r="M80" i="7941" s="1"/>
  <c r="L689" i="18"/>
  <c r="L525" i="18" s="1"/>
  <c r="L94" i="7941" s="1"/>
  <c r="L222" i="7941" s="1"/>
  <c r="O113" i="7942" l="1"/>
  <c r="O265" i="7941" s="1"/>
  <c r="M465" i="18"/>
  <c r="M693" i="18" s="1"/>
  <c r="M529" i="18" s="1"/>
  <c r="M98" i="7941" s="1"/>
  <c r="M444" i="18"/>
  <c r="M672" i="18" s="1"/>
  <c r="M508" i="18" s="1"/>
  <c r="M77" i="7941" s="1"/>
  <c r="O270" i="7942"/>
  <c r="O327" i="7941" s="1"/>
  <c r="Q269" i="7942"/>
  <c r="P328" i="7942"/>
  <c r="P356" i="7941" s="1"/>
  <c r="Q328" i="7942"/>
  <c r="Q356" i="7941" s="1"/>
  <c r="Q386" i="7941"/>
  <c r="Q145" i="7942"/>
  <c r="Q281" i="7941" s="1"/>
  <c r="Q377" i="7941" s="1"/>
  <c r="P145" i="7942"/>
  <c r="P281" i="7941" s="1"/>
  <c r="P377" i="7941" s="1"/>
  <c r="N359" i="7941"/>
  <c r="P376" i="7941"/>
  <c r="P119" i="7942"/>
  <c r="P268" i="7941" s="1"/>
  <c r="P364" i="7941" s="1"/>
  <c r="Q119" i="7942"/>
  <c r="Q268" i="7941" s="1"/>
  <c r="Q364" i="7941" s="1"/>
  <c r="M168" i="7942"/>
  <c r="Q375" i="7941"/>
  <c r="O276" i="7942"/>
  <c r="O330" i="7941" s="1"/>
  <c r="O362" i="7941" s="1"/>
  <c r="Q275" i="7942"/>
  <c r="L449" i="18"/>
  <c r="K666" i="18"/>
  <c r="K502" i="18" s="1"/>
  <c r="K71" i="7941" s="1"/>
  <c r="Q310" i="7942"/>
  <c r="Q347" i="7941" s="1"/>
  <c r="Q379" i="7941" s="1"/>
  <c r="P310" i="7942"/>
  <c r="P347" i="7941" s="1"/>
  <c r="P379" i="7941" s="1"/>
  <c r="Q314" i="7942"/>
  <c r="Q349" i="7941" s="1"/>
  <c r="Q381" i="7941" s="1"/>
  <c r="P314" i="7942"/>
  <c r="P349" i="7941" s="1"/>
  <c r="P381" i="7941" s="1"/>
  <c r="Q125" i="7942"/>
  <c r="Q271" i="7941" s="1"/>
  <c r="Q367" i="7941" s="1"/>
  <c r="P125" i="7942"/>
  <c r="P271" i="7941" s="1"/>
  <c r="P367" i="7941" s="1"/>
  <c r="Q151" i="7942"/>
  <c r="Q284" i="7941" s="1"/>
  <c r="Q380" i="7941" s="1"/>
  <c r="P151" i="7942"/>
  <c r="P284" i="7941" s="1"/>
  <c r="P380" i="7941" s="1"/>
  <c r="N274" i="7942"/>
  <c r="N329" i="7941" s="1"/>
  <c r="N326" i="7941" s="1"/>
  <c r="P273" i="7942"/>
  <c r="O274" i="7942" s="1"/>
  <c r="O329" i="7941" s="1"/>
  <c r="Q273" i="7942"/>
  <c r="Q376" i="7941"/>
  <c r="N113" i="7942"/>
  <c r="N265" i="7941" s="1"/>
  <c r="O107" i="7942"/>
  <c r="N168" i="7942" s="1"/>
  <c r="Q112" i="7942"/>
  <c r="M361" i="7941"/>
  <c r="M358" i="7941" s="1"/>
  <c r="M262" i="7941"/>
  <c r="Q167" i="7942"/>
  <c r="Q292" i="7941" s="1"/>
  <c r="Q388" i="7941" s="1"/>
  <c r="P167" i="7942"/>
  <c r="P292" i="7941" s="1"/>
  <c r="P122" i="7942"/>
  <c r="P107" i="7942" s="1"/>
  <c r="O168" i="7942" s="1"/>
  <c r="L7" i="7941"/>
  <c r="K199" i="7941"/>
  <c r="M461" i="18"/>
  <c r="M689" i="18" s="1"/>
  <c r="M525" i="18" s="1"/>
  <c r="M94" i="7941" s="1"/>
  <c r="J72" i="7941"/>
  <c r="J501" i="18"/>
  <c r="K439" i="18"/>
  <c r="M442" i="18"/>
  <c r="M670" i="18" s="1"/>
  <c r="M506" i="18" s="1"/>
  <c r="M75" i="7941" s="1"/>
  <c r="M451" i="18"/>
  <c r="M679" i="18" s="1"/>
  <c r="M515" i="18" s="1"/>
  <c r="M84" i="7941" s="1"/>
  <c r="M446" i="18"/>
  <c r="M674" i="18" s="1"/>
  <c r="M510" i="18" s="1"/>
  <c r="M79" i="7941" s="1"/>
  <c r="L681" i="18"/>
  <c r="L517" i="18" s="1"/>
  <c r="L86" i="7941" s="1"/>
  <c r="L214" i="7941" s="1"/>
  <c r="L205" i="7941"/>
  <c r="S205" i="7941" s="1"/>
  <c r="L203" i="7941"/>
  <c r="L676" i="18"/>
  <c r="L512" i="18" s="1"/>
  <c r="L81" i="7941" s="1"/>
  <c r="L209" i="7941" s="1"/>
  <c r="M448" i="18"/>
  <c r="M676" i="18" s="1"/>
  <c r="M512" i="18" s="1"/>
  <c r="M81" i="7941" s="1"/>
  <c r="L226" i="7941"/>
  <c r="L695" i="18"/>
  <c r="L531" i="18" s="1"/>
  <c r="L100" i="7941" s="1"/>
  <c r="L228" i="7941" s="1"/>
  <c r="L212" i="7941"/>
  <c r="L207" i="7941"/>
  <c r="L438" i="18" l="1"/>
  <c r="L677" i="18"/>
  <c r="L513" i="18" s="1"/>
  <c r="L82" i="7941" s="1"/>
  <c r="L210" i="7941" s="1"/>
  <c r="P388" i="7941"/>
  <c r="O359" i="7941"/>
  <c r="O326" i="7941"/>
  <c r="O123" i="7942"/>
  <c r="O270" i="7941" s="1"/>
  <c r="O366" i="7941" s="1"/>
  <c r="Q122" i="7942"/>
  <c r="Q107" i="7942" s="1"/>
  <c r="P113" i="7942"/>
  <c r="P265" i="7941" s="1"/>
  <c r="Q113" i="7942"/>
  <c r="Q265" i="7941" s="1"/>
  <c r="N361" i="7941"/>
  <c r="N358" i="7941" s="1"/>
  <c r="N262" i="7941"/>
  <c r="Q274" i="7942"/>
  <c r="Q329" i="7941" s="1"/>
  <c r="P274" i="7942"/>
  <c r="P329" i="7941" s="1"/>
  <c r="P276" i="7942"/>
  <c r="P330" i="7941" s="1"/>
  <c r="P362" i="7941" s="1"/>
  <c r="Q276" i="7942"/>
  <c r="Q330" i="7941" s="1"/>
  <c r="Q362" i="7941" s="1"/>
  <c r="Q270" i="7942"/>
  <c r="Q327" i="7941" s="1"/>
  <c r="P270" i="7942"/>
  <c r="P327" i="7941" s="1"/>
  <c r="Q268" i="7942"/>
  <c r="P268" i="7942"/>
  <c r="O329" i="7942" s="1"/>
  <c r="O361" i="7941"/>
  <c r="O262" i="7941"/>
  <c r="M467" i="18"/>
  <c r="M695" i="18" s="1"/>
  <c r="M531" i="18" s="1"/>
  <c r="M100" i="7941" s="1"/>
  <c r="M453" i="18"/>
  <c r="M681" i="18" s="1"/>
  <c r="M517" i="18" s="1"/>
  <c r="M86" i="7941" s="1"/>
  <c r="K667" i="18"/>
  <c r="K437" i="18"/>
  <c r="J70" i="7941"/>
  <c r="J200" i="7941"/>
  <c r="J198" i="7941" s="1"/>
  <c r="K8" i="7941"/>
  <c r="Q168" i="7942" l="1"/>
  <c r="P168" i="7942"/>
  <c r="P359" i="7941"/>
  <c r="P326" i="7941"/>
  <c r="P361" i="7941"/>
  <c r="O358" i="7941"/>
  <c r="M449" i="18"/>
  <c r="M677" i="18" s="1"/>
  <c r="M513" i="18" s="1"/>
  <c r="M82" i="7941" s="1"/>
  <c r="L666" i="18"/>
  <c r="L502" i="18" s="1"/>
  <c r="L71" i="7941" s="1"/>
  <c r="L199" i="7941" s="1"/>
  <c r="Q329" i="7942"/>
  <c r="P329" i="7942"/>
  <c r="Q326" i="7941"/>
  <c r="Q359" i="7941"/>
  <c r="Q361" i="7941"/>
  <c r="Q123" i="7942"/>
  <c r="Q270" i="7941" s="1"/>
  <c r="Q366" i="7941" s="1"/>
  <c r="P123" i="7942"/>
  <c r="P270" i="7941" s="1"/>
  <c r="P366" i="7941" s="1"/>
  <c r="K6" i="7941"/>
  <c r="K503" i="18"/>
  <c r="K665" i="18"/>
  <c r="Q262" i="7941" l="1"/>
  <c r="Q358" i="7941"/>
  <c r="M438" i="18"/>
  <c r="M666" i="18" s="1"/>
  <c r="M502" i="18" s="1"/>
  <c r="M71" i="7941" s="1"/>
  <c r="P262" i="7941"/>
  <c r="P358" i="7941"/>
  <c r="K72" i="7941"/>
  <c r="K501" i="18"/>
  <c r="L439" i="18"/>
  <c r="K70" i="7941" l="1"/>
  <c r="L8" i="7941"/>
  <c r="K200" i="7941"/>
  <c r="K198" i="7941" s="1"/>
  <c r="L667" i="18"/>
  <c r="L437" i="18"/>
  <c r="L503" i="18" l="1"/>
  <c r="L665" i="18"/>
  <c r="L6" i="7941"/>
  <c r="L72" i="7941" l="1"/>
  <c r="L501" i="18"/>
  <c r="M439" i="18"/>
  <c r="M667" i="18" l="1"/>
  <c r="M437" i="18"/>
  <c r="L70" i="7941"/>
  <c r="L200" i="7941"/>
  <c r="L198" i="7941" l="1"/>
  <c r="M503" i="18"/>
  <c r="M665" i="18"/>
  <c r="M72" i="7941" l="1"/>
  <c r="M70" i="7941" s="1"/>
  <c r="M501" i="18"/>
  <c r="L314" i="7941"/>
  <c r="L235" i="7941"/>
  <c r="L245" i="7941"/>
  <c r="L260" i="7941"/>
  <c r="L313" i="7941"/>
  <c r="L305" i="7941"/>
  <c r="L307" i="7941"/>
  <c r="L321" i="7941"/>
  <c r="L317" i="7941"/>
  <c r="L299" i="7941"/>
  <c r="L306" i="7941"/>
  <c r="L247" i="7941"/>
  <c r="L309" i="7941"/>
  <c r="L243" i="7941"/>
  <c r="L371" i="7941" s="1"/>
  <c r="L449" i="7941" s="1"/>
  <c r="L298" i="7941"/>
  <c r="L295" i="7941"/>
  <c r="L311" i="7941"/>
  <c r="L237" i="7941"/>
  <c r="L257" i="7941"/>
  <c r="L385" i="7941" s="1"/>
  <c r="L238" i="7941"/>
  <c r="L242" i="7941"/>
  <c r="L370" i="7941" s="1"/>
  <c r="L448" i="7941" s="1"/>
  <c r="L319" i="7941"/>
  <c r="L310" i="7941"/>
  <c r="L256" i="7941"/>
  <c r="L258" i="7941"/>
  <c r="L253" i="7941"/>
  <c r="L381" i="7941" s="1"/>
  <c r="L303" i="7941"/>
  <c r="L233" i="7941"/>
  <c r="L323" i="7941"/>
  <c r="L315" i="7941"/>
  <c r="L252" i="7941"/>
  <c r="L324" i="7941"/>
  <c r="L246" i="7941"/>
  <c r="L374" i="7941" s="1"/>
  <c r="L452" i="7941" s="1"/>
  <c r="L255" i="7941"/>
  <c r="L383" i="7941" s="1"/>
  <c r="L322" i="7941"/>
  <c r="L296" i="7941"/>
  <c r="L240" i="7941"/>
  <c r="L249" i="7941"/>
  <c r="L377" i="7941" s="1"/>
  <c r="L455" i="7941" s="1"/>
  <c r="L244" i="7941"/>
  <c r="L239" i="7941"/>
  <c r="L367" i="7941" s="1"/>
  <c r="L445" i="7941" s="1"/>
  <c r="L302" i="7941"/>
  <c r="L320" i="7941"/>
  <c r="L312" i="7941"/>
  <c r="L318" i="7941"/>
  <c r="L231" i="7941"/>
  <c r="L316" i="7941"/>
  <c r="L248" i="7941"/>
  <c r="L376" i="7941" s="1"/>
  <c r="L454" i="7941" s="1"/>
  <c r="L301" i="7941"/>
  <c r="L232" i="7941"/>
  <c r="L360" i="7941" s="1"/>
  <c r="L438" i="7941" s="1"/>
  <c r="L259" i="7941"/>
  <c r="L387" i="7941" s="1"/>
  <c r="L254" i="7941"/>
  <c r="L382" i="7941" s="1"/>
  <c r="L234" i="7941"/>
  <c r="L362" i="7941" s="1"/>
  <c r="L440" i="7941" s="1"/>
  <c r="L308" i="7941"/>
  <c r="L297" i="7941"/>
  <c r="L250" i="7941"/>
  <c r="L378" i="7941" s="1"/>
  <c r="L456" i="7941" s="1"/>
  <c r="L304" i="7941"/>
  <c r="L300" i="7941"/>
  <c r="L236" i="7941"/>
  <c r="L241" i="7941"/>
  <c r="L369" i="7941" s="1"/>
  <c r="L447" i="7941" s="1"/>
  <c r="L251" i="7941"/>
  <c r="L379" i="7941" s="1"/>
  <c r="L457" i="7941" s="1"/>
  <c r="L521" i="7941" l="1"/>
  <c r="L546" i="7941" s="1"/>
  <c r="L472" i="7941"/>
  <c r="L481" i="7941"/>
  <c r="L530" i="7941"/>
  <c r="L555" i="7941" s="1"/>
  <c r="L482" i="7941"/>
  <c r="L531" i="7941"/>
  <c r="L556" i="7941" s="1"/>
  <c r="L364" i="7941"/>
  <c r="L442" i="7941" s="1"/>
  <c r="L514" i="7941"/>
  <c r="L470" i="7941"/>
  <c r="L519" i="7941"/>
  <c r="L544" i="7941" s="1"/>
  <c r="L529" i="7941"/>
  <c r="L554" i="7941" s="1"/>
  <c r="L480" i="7941"/>
  <c r="L361" i="7941"/>
  <c r="L439" i="7941" s="1"/>
  <c r="L384" i="7941"/>
  <c r="L366" i="7941"/>
  <c r="L444" i="7941" s="1"/>
  <c r="L365" i="7941"/>
  <c r="L443" i="7941" s="1"/>
  <c r="L294" i="7941"/>
  <c r="L474" i="7941"/>
  <c r="L523" i="7941"/>
  <c r="L548" i="7941" s="1"/>
  <c r="L375" i="7941"/>
  <c r="L453" i="7941" s="1"/>
  <c r="L388" i="7941"/>
  <c r="L363" i="7941"/>
  <c r="L441" i="7941" s="1"/>
  <c r="L512" i="7941"/>
  <c r="L537" i="7941" s="1"/>
  <c r="L463" i="7941"/>
  <c r="L528" i="7941"/>
  <c r="L553" i="7941" s="1"/>
  <c r="L479" i="7941"/>
  <c r="L230" i="7941"/>
  <c r="L359" i="7941"/>
  <c r="L372" i="7941"/>
  <c r="L450" i="7941" s="1"/>
  <c r="L524" i="7941" s="1"/>
  <c r="L368" i="7941"/>
  <c r="L446" i="7941" s="1"/>
  <c r="L477" i="7941"/>
  <c r="L526" i="7941"/>
  <c r="L551" i="7941" s="1"/>
  <c r="L380" i="7941"/>
  <c r="L386" i="7941"/>
  <c r="L473" i="7941"/>
  <c r="L522" i="7941"/>
  <c r="L547" i="7941" s="1"/>
  <c r="L373" i="7941"/>
  <c r="L451" i="7941" s="1"/>
  <c r="L520" i="7941" l="1"/>
  <c r="L545" i="7941" s="1"/>
  <c r="L471" i="7941"/>
  <c r="L525" i="7941"/>
  <c r="L550" i="7941" s="1"/>
  <c r="L476" i="7941"/>
  <c r="L469" i="7941"/>
  <c r="L518" i="7941"/>
  <c r="L543" i="7941" s="1"/>
  <c r="L513" i="7941"/>
  <c r="L538" i="7941" s="1"/>
  <c r="L464" i="7941"/>
  <c r="L539" i="7941"/>
  <c r="L437" i="7941"/>
  <c r="L358" i="7941"/>
  <c r="L466" i="7941"/>
  <c r="L515" i="7941"/>
  <c r="L540" i="7941" s="1"/>
  <c r="L478" i="7941"/>
  <c r="L527" i="7941"/>
  <c r="L552" i="7941" s="1"/>
  <c r="L468" i="7941"/>
  <c r="L517" i="7941"/>
  <c r="L542" i="7941" s="1"/>
  <c r="L465" i="7941"/>
  <c r="L516" i="7941"/>
  <c r="L541" i="7941" s="1"/>
  <c r="L467" i="7941"/>
  <c r="L511" i="7941" l="1"/>
  <c r="L436" i="7941"/>
  <c r="L462" i="7941"/>
  <c r="L461" i="7941" s="1"/>
  <c r="L510" i="7941" l="1"/>
  <c r="L536" i="7941"/>
  <c r="L535" i="7941" s="1"/>
  <c r="L558" i="7941" l="1"/>
</calcChain>
</file>

<file path=xl/comments1.xml><?xml version="1.0" encoding="utf-8"?>
<comments xmlns="http://schemas.openxmlformats.org/spreadsheetml/2006/main">
  <authors>
    <author>Rick Miles</author>
    <author>kyap</author>
    <author>OfficeXP</author>
    <author>Iftekhar Omar</author>
    <author>Nam Le</author>
    <author>Tuomainen, Anton</author>
    <author>T53494</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K7" authorId="3">
      <text>
        <r>
          <rPr>
            <b/>
            <sz val="8"/>
            <color indexed="81"/>
            <rFont val="Tahoma"/>
            <family val="2"/>
          </rPr>
          <t>Iftekhar Omar:</t>
        </r>
        <r>
          <rPr>
            <sz val="8"/>
            <color indexed="81"/>
            <rFont val="Tahoma"/>
            <family val="2"/>
          </rPr>
          <t xml:space="preserve">
From 2009-14 approved PTRM (Tribunal amended)</t>
        </r>
      </text>
    </comment>
    <comment ref="L7" authorId="3">
      <text>
        <r>
          <rPr>
            <b/>
            <sz val="8"/>
            <color indexed="81"/>
            <rFont val="Tahoma"/>
            <family val="2"/>
          </rPr>
          <t>Iftekhar Omar:</t>
        </r>
        <r>
          <rPr>
            <sz val="8"/>
            <color indexed="81"/>
            <rFont val="Tahoma"/>
            <family val="2"/>
          </rPr>
          <t xml:space="preserve">
From 2009-14 approved PTRM (Tribunal amended)</t>
        </r>
      </text>
    </comment>
    <comment ref="M7" authorId="4">
      <text>
        <r>
          <rPr>
            <b/>
            <sz val="8"/>
            <color indexed="81"/>
            <rFont val="Tahoma"/>
            <family val="2"/>
          </rPr>
          <t>Nam Le:</t>
        </r>
        <r>
          <rPr>
            <sz val="8"/>
            <color indexed="81"/>
            <rFont val="Tahoma"/>
            <family val="2"/>
          </rPr>
          <t xml:space="preserve">
As at 1 July 2008
Source - Ausgrid 2009-14 RFM Dx
Calculated based on opening RAB in 2008-09, adjusted for:
* difference between actual and forecast capex / depn in 2003-04 
* foregone return on this 2003-04 difference
* asset transfer from Dx to Tx
* asset transfer from Tx to Dx
* allocation of work in progress (based on pro-rata interim RAB values)</t>
        </r>
      </text>
    </comment>
    <comment ref="N7" authorId="3">
      <text>
        <r>
          <rPr>
            <b/>
            <sz val="8"/>
            <color indexed="81"/>
            <rFont val="Tahoma"/>
            <family val="2"/>
          </rPr>
          <t>Iftekhar Omar:</t>
        </r>
        <r>
          <rPr>
            <sz val="8"/>
            <color indexed="81"/>
            <rFont val="Tahoma"/>
            <family val="2"/>
          </rPr>
          <t xml:space="preserve">
Regulatory depreciation in 2008-09 in 2009-14 RFM, in nominal terms
Source - Ausgrid 2009-14 RFM Dx</t>
        </r>
      </text>
    </comment>
    <comment ref="S7" authorId="3">
      <text>
        <r>
          <rPr>
            <b/>
            <sz val="8"/>
            <color indexed="81"/>
            <rFont val="Tahoma"/>
            <family val="2"/>
          </rPr>
          <t>AER:</t>
        </r>
        <r>
          <rPr>
            <sz val="8"/>
            <color indexed="81"/>
            <rFont val="Tahoma"/>
            <family val="2"/>
          </rPr>
          <t xml:space="preserve">
Approved opening tax asset value as at 1 July 2009.
</t>
        </r>
      </text>
    </comment>
    <comment ref="U7" authorId="3">
      <text>
        <r>
          <rPr>
            <b/>
            <sz val="8"/>
            <color indexed="81"/>
            <rFont val="Tahoma"/>
            <family val="2"/>
          </rPr>
          <t>Iftekhar Omar:</t>
        </r>
        <r>
          <rPr>
            <sz val="8"/>
            <color indexed="81"/>
            <rFont val="Tahoma"/>
            <family val="2"/>
          </rPr>
          <t xml:space="preserve">
From 2009-14 approved PTRM (Tribunal amended)</t>
        </r>
      </text>
    </comment>
    <comment ref="F40" authorId="1">
      <text>
        <r>
          <rPr>
            <sz val="8"/>
            <color indexed="81"/>
            <rFont val="Tahoma"/>
            <family val="2"/>
          </rPr>
          <t>Exclude half year rate of return. Inputs are assumed to be in middle of year terms because actual capex is reported evenly over a financial year.</t>
        </r>
      </text>
    </comment>
    <comment ref="H62" authorId="5">
      <text>
        <r>
          <rPr>
            <b/>
            <sz val="8"/>
            <color indexed="81"/>
            <rFont val="Tahoma"/>
            <family val="2"/>
          </rPr>
          <t>Tuomainen, Anton:</t>
        </r>
        <r>
          <rPr>
            <sz val="8"/>
            <color indexed="81"/>
            <rFont val="Tahoma"/>
            <family val="2"/>
          </rPr>
          <t xml:space="preserve">
This adjusts real 2008-09 value by half year CPI to convert to nominal 2009-10 value.
Refer to Ausgrid email of 9 August 2011.</t>
        </r>
      </text>
    </comment>
    <comment ref="R73" authorId="1">
      <text>
        <r>
          <rPr>
            <sz val="8"/>
            <color indexed="81"/>
            <rFont val="Tahoma"/>
            <family val="2"/>
          </rPr>
          <t>Total for the regulatory control period.</t>
        </r>
      </text>
    </comment>
    <comment ref="F74" authorId="1">
      <text>
        <r>
          <rPr>
            <sz val="8"/>
            <color indexed="81"/>
            <rFont val="Tahoma"/>
            <family val="2"/>
          </rPr>
          <t>Exclude half year rate of return. Inputs are assumed to be in middle of year terms because actual disposal is reported evenly over a financial year.</t>
        </r>
      </text>
    </comment>
    <comment ref="H76" authorId="5">
      <text>
        <r>
          <rPr>
            <b/>
            <sz val="8"/>
            <color indexed="81"/>
            <rFont val="Tahoma"/>
            <family val="2"/>
          </rPr>
          <t>Tuomainen, Anton:</t>
        </r>
        <r>
          <rPr>
            <sz val="8"/>
            <color indexed="81"/>
            <rFont val="Tahoma"/>
            <family val="2"/>
          </rPr>
          <t xml:space="preserve">
2009-10 to 2013-14: Disposals updated to reflect proceeds from sale of assets. Ausgrid advised previously reported WDV of assets in regulatory accounts. Refer to spreadsheet 'reconciliation of proceeds.cxlsx" received from Ausgrid on 20 August 2014.
Note: FY2013-14 updated to reflect revised estimate - audited accounts  unavailable at time of decision.</t>
        </r>
      </text>
    </comment>
    <comment ref="G82" authorId="5">
      <text>
        <r>
          <rPr>
            <b/>
            <sz val="8"/>
            <color indexed="81"/>
            <rFont val="Tahoma"/>
            <family val="2"/>
          </rPr>
          <t>Tuomainen, Anton:</t>
        </r>
        <r>
          <rPr>
            <sz val="8"/>
            <color indexed="81"/>
            <rFont val="Tahoma"/>
            <family val="2"/>
          </rPr>
          <t xml:space="preserve">
Ausgrid apperas to have understated disposals for customer metering and load control for value of $0.02m proposed under asset class Customer metering (digital). Await Ausgrid repsonse to resolve issue as flows through to allocation of assets to be transferred to metering RAB.</t>
        </r>
      </text>
    </comment>
    <comment ref="G93" authorId="5">
      <text>
        <r>
          <rPr>
            <b/>
            <sz val="8"/>
            <color indexed="81"/>
            <rFont val="Tahoma"/>
            <family val="2"/>
          </rPr>
          <t>Tuomainen, Anton:</t>
        </r>
        <r>
          <rPr>
            <sz val="8"/>
            <color indexed="81"/>
            <rFont val="Tahoma"/>
            <family val="2"/>
          </rPr>
          <t xml:space="preserve">
Ausgrid advised disposal of $0.66m, with 0.58 allocated to Dx RAB. 
Ausgrid recommends applying $5.34 (IT systems - $0.66M) disposals without further adjustment to Tx RAB.</t>
        </r>
      </text>
    </comment>
    <comment ref="R107" authorId="1">
      <text>
        <r>
          <rPr>
            <sz val="8"/>
            <color indexed="81"/>
            <rFont val="Tahoma"/>
            <family val="2"/>
          </rPr>
          <t>Total for the regulatory control period.</t>
        </r>
      </text>
    </comment>
    <comment ref="F108" authorId="1">
      <text>
        <r>
          <rPr>
            <sz val="8"/>
            <color indexed="81"/>
            <rFont val="Tahoma"/>
            <family val="2"/>
          </rPr>
          <t>Exclude half year rate of return. Inputs are assumed to be in middle of year terms because actual contributions are reported evenly over a financial year.</t>
        </r>
      </text>
    </comment>
    <comment ref="G109" authorId="6">
      <text>
        <r>
          <rPr>
            <b/>
            <sz val="8"/>
            <color indexed="81"/>
            <rFont val="Tahoma"/>
            <family val="2"/>
          </rPr>
          <t>T53494:</t>
        </r>
        <r>
          <rPr>
            <sz val="8"/>
            <color indexed="81"/>
            <rFont val="Tahoma"/>
            <family val="2"/>
          </rPr>
          <t xml:space="preserve">
</t>
        </r>
      </text>
    </comment>
    <comment ref="R141" authorId="1">
      <text>
        <r>
          <rPr>
            <sz val="8"/>
            <color indexed="81"/>
            <rFont val="Tahoma"/>
            <family val="2"/>
          </rPr>
          <t>Total for the regulatory control period.</t>
        </r>
      </text>
    </comment>
    <comment ref="F142" authorId="2">
      <text>
        <r>
          <rPr>
            <sz val="8"/>
            <color indexed="81"/>
            <rFont val="Tahoma"/>
            <family val="2"/>
          </rPr>
          <t>Exclude half year rate of return. Inputs are assumed to be in middle of year terms because actual net capex is reported evenly over a financial year.</t>
        </r>
      </text>
    </comment>
    <comment ref="R175" authorId="1">
      <text>
        <r>
          <rPr>
            <sz val="8"/>
            <color indexed="81"/>
            <rFont val="Tahoma"/>
            <family val="2"/>
          </rPr>
          <t>Total for the regulatory control period.</t>
        </r>
      </text>
    </comment>
    <comment ref="F178" authorId="1">
      <text>
        <r>
          <rPr>
            <sz val="8"/>
            <color indexed="81"/>
            <rFont val="Tahoma"/>
            <family val="2"/>
          </rPr>
          <t>Consistent with the annual adjustments to form of control.</t>
        </r>
      </text>
    </comment>
    <comment ref="G178" authorId="3">
      <text>
        <r>
          <rPr>
            <b/>
            <sz val="8"/>
            <color indexed="81"/>
            <rFont val="Tahoma"/>
            <family val="2"/>
          </rPr>
          <t>Iftekhar Omar:</t>
        </r>
        <r>
          <rPr>
            <sz val="8"/>
            <color indexed="81"/>
            <rFont val="Tahoma"/>
            <family val="2"/>
          </rPr>
          <t xml:space="preserve">
Based on sum of four quarters CPI change from Dec 2007 to Dec 2008.</t>
        </r>
      </text>
    </comment>
    <comment ref="H178" authorId="3">
      <text>
        <r>
          <rPr>
            <b/>
            <sz val="8"/>
            <color indexed="81"/>
            <rFont val="Tahoma"/>
            <family val="2"/>
          </rPr>
          <t>Iftekhar Omar:</t>
        </r>
        <r>
          <rPr>
            <sz val="8"/>
            <color indexed="81"/>
            <rFont val="Tahoma"/>
            <family val="2"/>
          </rPr>
          <t xml:space="preserve">
Consistent with CPI applied for pricing - change in sum of four quarters CPI from Dec 2008 to Dec 2009.</t>
        </r>
      </text>
    </comment>
    <comment ref="I178" authorId="3">
      <text>
        <r>
          <rPr>
            <b/>
            <sz val="8"/>
            <color indexed="81"/>
            <rFont val="Tahoma"/>
            <family val="2"/>
          </rPr>
          <t>Iftekhar Omar:</t>
        </r>
        <r>
          <rPr>
            <sz val="8"/>
            <color indexed="81"/>
            <rFont val="Tahoma"/>
            <family val="2"/>
          </rPr>
          <t xml:space="preserve">
Consistent with CPI applied for pricing - change in sum of four quarters CPI from Dec 2009 to Dec 2010.</t>
        </r>
      </text>
    </comment>
    <comment ref="J178" authorId="3">
      <text>
        <r>
          <rPr>
            <b/>
            <sz val="8"/>
            <color indexed="81"/>
            <rFont val="Tahoma"/>
            <family val="2"/>
          </rPr>
          <t>Iftekhar Omar:</t>
        </r>
        <r>
          <rPr>
            <sz val="8"/>
            <color indexed="81"/>
            <rFont val="Tahoma"/>
            <family val="2"/>
          </rPr>
          <t xml:space="preserve">
Consistent with CPI applied for pricing - change in sum of four quarters CPI from Dec 2010 to Dec 2011.</t>
        </r>
      </text>
    </comment>
    <comment ref="K178" authorId="3">
      <text>
        <r>
          <rPr>
            <b/>
            <sz val="8"/>
            <color indexed="81"/>
            <rFont val="Tahoma"/>
            <family val="2"/>
          </rPr>
          <t>Iftekhar Omar:</t>
        </r>
        <r>
          <rPr>
            <sz val="8"/>
            <color indexed="81"/>
            <rFont val="Tahoma"/>
            <family val="2"/>
          </rPr>
          <t xml:space="preserve">
Consistent with CPI applied for pricing - change in sum of four quarters CPI from Dec 2011 to Dec 2012.</t>
        </r>
      </text>
    </comment>
    <comment ref="L178" authorId="3">
      <text>
        <r>
          <rPr>
            <b/>
            <sz val="8"/>
            <color indexed="81"/>
            <rFont val="Tahoma"/>
            <family val="2"/>
          </rPr>
          <t>Iftekhar Omar:</t>
        </r>
        <r>
          <rPr>
            <sz val="8"/>
            <color indexed="81"/>
            <rFont val="Tahoma"/>
            <family val="2"/>
          </rPr>
          <t xml:space="preserve">
Change in sum of four quarters CPI Dec2012-Dec2013</t>
        </r>
      </text>
    </comment>
    <comment ref="F180" authorId="1">
      <text>
        <r>
          <rPr>
            <sz val="8"/>
            <color indexed="81"/>
            <rFont val="Tahoma"/>
            <family val="2"/>
          </rPr>
          <t>Forecast inflation rate used in the decisions covering the previous and current regulatory control periods.</t>
        </r>
      </text>
    </comment>
    <comment ref="G180" authorId="4">
      <text>
        <r>
          <rPr>
            <b/>
            <sz val="8"/>
            <color indexed="81"/>
            <rFont val="Tahoma"/>
            <family val="2"/>
          </rPr>
          <t>Nam Le:</t>
        </r>
        <r>
          <rPr>
            <sz val="8"/>
            <color indexed="81"/>
            <rFont val="Tahoma"/>
            <family val="2"/>
          </rPr>
          <t xml:space="preserve">
Sourced from Ausgrid 2009-14 RFM, 'Forecast inflation rate'</t>
        </r>
      </text>
    </comment>
    <comment ref="H180" authorId="4">
      <text>
        <r>
          <rPr>
            <b/>
            <sz val="8"/>
            <color indexed="81"/>
            <rFont val="Tahoma"/>
            <family val="2"/>
          </rPr>
          <t>Nam Le:</t>
        </r>
        <r>
          <rPr>
            <sz val="8"/>
            <color indexed="81"/>
            <rFont val="Tahoma"/>
            <family val="2"/>
          </rPr>
          <t xml:space="preserve">
Sourced from Ausgrid 2009-14 PTRM, 'Forecast inflation rate'</t>
        </r>
      </text>
    </comment>
    <comment ref="F183"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Tuomainen, Anton</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B333" authorId="1">
      <text>
        <r>
          <rPr>
            <b/>
            <sz val="8"/>
            <color indexed="81"/>
            <rFont val="Tahoma"/>
            <family val="2"/>
          </rPr>
          <t>Tuomainen, Anton:</t>
        </r>
        <r>
          <rPr>
            <sz val="8"/>
            <color indexed="81"/>
            <rFont val="Tahoma"/>
            <family val="2"/>
          </rPr>
          <t xml:space="preserve">
AER adjustments for WIP allocation reduces value of non-depreciating assets.</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t44450</author>
    <author>Viriya Chittasy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L391"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14"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65" authorId="4">
      <text>
        <r>
          <rPr>
            <sz val="9"/>
            <color indexed="81"/>
            <rFont val="Tahoma"/>
            <family val="2"/>
          </rPr>
          <t>Emergency Spares allocated to Substations</t>
        </r>
      </text>
    </comment>
    <comment ref="L475" authorId="4">
      <text>
        <r>
          <rPr>
            <sz val="9"/>
            <color indexed="81"/>
            <rFont val="Tahoma"/>
            <family val="2"/>
          </rPr>
          <t>Emergency spares allocated to substations</t>
        </r>
      </text>
    </comment>
  </commentList>
</comments>
</file>

<file path=xl/comments5.xml><?xml version="1.0" encoding="utf-8"?>
<comments xmlns="http://schemas.openxmlformats.org/spreadsheetml/2006/main">
  <authors>
    <author>Nam Le</author>
    <author>Tuomainen, Anton</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 ref="C349" authorId="1">
      <text>
        <r>
          <rPr>
            <sz val="8"/>
            <color indexed="81"/>
            <rFont val="Tahoma"/>
            <family val="2"/>
          </rPr>
          <t xml:space="preserve">
This value is set as at previous decision.</t>
        </r>
      </text>
    </comment>
  </commentList>
</comments>
</file>

<file path=xl/comments6.xml><?xml version="1.0" encoding="utf-8"?>
<comments xmlns="http://schemas.openxmlformats.org/spreadsheetml/2006/main">
  <authors>
    <author>Nam Le</author>
    <author>Tuomainen, Anton</author>
  </authors>
  <commentList>
    <comment ref="B7" authorId="0">
      <text>
        <r>
          <rPr>
            <b/>
            <sz val="8"/>
            <color indexed="81"/>
            <rFont val="Tahoma"/>
            <family val="2"/>
          </rPr>
          <t>Nam Le:</t>
        </r>
        <r>
          <rPr>
            <sz val="8"/>
            <color indexed="81"/>
            <rFont val="Tahoma"/>
            <family val="2"/>
          </rPr>
          <t xml:space="preserve">
Note that model's tax asset value calculations are not required - overridden by hard coded tax depreciation</t>
        </r>
      </text>
    </commen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 ref="B474" authorId="1">
      <text>
        <r>
          <rPr>
            <b/>
            <sz val="8"/>
            <color indexed="81"/>
            <rFont val="Tahoma"/>
            <family val="2"/>
          </rPr>
          <t>Source:</t>
        </r>
        <r>
          <rPr>
            <sz val="8"/>
            <color indexed="81"/>
            <rFont val="Tahoma"/>
            <family val="2"/>
          </rPr>
          <t xml:space="preserve"> AER final decision for EA distribution  - RFM.xls (input sheet, Cells L31:L48,L76:L96).
Total capex $884.16 and no forecast customer contributions . 
</t>
        </r>
      </text>
    </comment>
    <comment ref="B500" authorId="1">
      <text>
        <r>
          <rPr>
            <b/>
            <sz val="9"/>
            <color indexed="81"/>
            <rFont val="Tahoma"/>
            <family val="2"/>
          </rPr>
          <t xml:space="preserve">Source: </t>
        </r>
        <r>
          <rPr>
            <sz val="9"/>
            <color indexed="81"/>
            <rFont val="Tahoma"/>
            <family val="2"/>
          </rPr>
          <t>Revised proposal attachment  - Ausgrid - 4.03_Revised adjustment of RAB for Dx SCS and metering ACS, Type 5-6 Metering TAB worksheet, cells 
B6:B26.</t>
        </r>
      </text>
    </comment>
  </commentList>
</comments>
</file>

<file path=xl/sharedStrings.xml><?xml version="1.0" encoding="utf-8"?>
<sst xmlns="http://schemas.openxmlformats.org/spreadsheetml/2006/main" count="771" uniqueCount="205">
  <si>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</si>
  <si>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</si>
  <si>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</si>
  <si>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</si>
  <si>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</si>
  <si>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</si>
  <si>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</si>
  <si>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</si>
  <si>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</si>
  <si>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</si>
  <si>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</si>
  <si>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</si>
  <si>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</si>
  <si>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</si>
  <si>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</si>
  <si>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</si>
  <si>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</si>
  <si>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</si>
  <si>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</si>
  <si>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</si>
  <si>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</si>
  <si>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</si>
  <si>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</si>
  <si>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</si>
  <si>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</si>
  <si>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</si>
  <si>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</si>
  <si>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</si>
  <si>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</si>
  <si>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</si>
  <si>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</si>
  <si>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</si>
  <si>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</si>
  <si>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</si>
  <si>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</si>
  <si>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</si>
  <si>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</si>
  <si>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</si>
  <si>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</si>
  <si>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</si>
  <si>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</si>
  <si>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</si>
  <si>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</si>
  <si>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</si>
  <si>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</si>
  <si>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</si>
  <si>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</si>
  <si>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</si>
  <si>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</si>
  <si>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</si>
  <si>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</si>
  <si>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</si>
  <si>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</si>
  <si>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</si>
  <si>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</si>
  <si>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</si>
  <si>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</si>
  <si>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</si>
  <si>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</si>
  <si>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</si>
  <si>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</si>
  <si>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</si>
  <si>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</si>
  <si>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</si>
  <si>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</si>
  <si>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</si>
  <si>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</si>
  <si>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</si>
  <si>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</si>
  <si>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</si>
  <si>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</si>
  <si>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</si>
  <si>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</si>
  <si>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</si>
  <si>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</si>
  <si>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</si>
  <si>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</si>
  <si>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</si>
  <si>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</si>
  <si>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</si>
  <si>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</si>
  <si>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</si>
  <si>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</si>
  <si>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</si>
  <si>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</si>
  <si>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</si>
  <si>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</si>
  <si>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</si>
  <si>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</si>
  <si>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</si>
  <si>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</si>
  <si>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</si>
  <si>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</si>
  <si>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</si>
  <si>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</si>
  <si>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</si>
  <si>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</si>
  <si>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</si>
  <si>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</si>
  <si>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</si>
  <si>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</si>
  <si>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</si>
  <si>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</si>
  <si>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</si>
  <si>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</si>
  <si>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</si>
  <si>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</si>
  <si>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</si>
  <si>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</si>
  <si>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</si>
  <si>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</si>
  <si>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</si>
  <si>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Cable tunnel (dx)</t>
  </si>
  <si>
    <t>System IT (dx)</t>
  </si>
  <si>
    <t>Ancillary substation equipment (dx)</t>
  </si>
  <si>
    <t>Sub-transmission lines and cables</t>
  </si>
  <si>
    <t>Communications (digital) - dx</t>
  </si>
  <si>
    <t>Distribution lines and cables</t>
  </si>
  <si>
    <t>Substations</t>
  </si>
  <si>
    <t>Transformers</t>
  </si>
  <si>
    <t>Low Voltage Lines and Cables</t>
  </si>
  <si>
    <t>Customer Metering and Load Control</t>
  </si>
  <si>
    <t>Customer Metering (digital)</t>
  </si>
  <si>
    <t>Total Communications</t>
  </si>
  <si>
    <t>Land and Easements</t>
  </si>
  <si>
    <t>Emergency Spares (Major Plant, Excludes Inventory)</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</si>
  <si>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</si>
  <si>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</si>
  <si>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</si>
  <si>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</si>
  <si>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</si>
  <si>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</si>
  <si>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</si>
  <si>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</si>
  <si>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</si>
  <si>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</si>
  <si>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</si>
  <si>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</si>
  <si>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</si>
  <si>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</si>
  <si>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</si>
  <si>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</si>
  <si>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</si>
  <si>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</si>
  <si>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</si>
  <si>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 xml:space="preserve">Closing Regulated Asset Base (After System D to T transfer) </t>
  </si>
  <si>
    <t>System Assets transferred from Distribution (to Transmission)</t>
  </si>
  <si>
    <t>System Assets transferred into Distribution (from Transmission)</t>
  </si>
  <si>
    <t>Summarised Data</t>
  </si>
  <si>
    <t>Average Remaining Asset Lives Roll Forward - RFM</t>
  </si>
  <si>
    <t>WIP</t>
  </si>
  <si>
    <t>wip</t>
  </si>
  <si>
    <t>Return on Difference in Final Year Capex</t>
  </si>
  <si>
    <t>Difference in Final Year Capex (2003-04)</t>
  </si>
  <si>
    <t>System Assets Moving From Dx to Tx and Non-system Assets Reallocation</t>
  </si>
  <si>
    <t>Nominal Difference in Final Year Capex (2003-04)</t>
  </si>
  <si>
    <t>Nominal Return on Difference in Final Year Capex (2003-04)</t>
  </si>
  <si>
    <t>Nominal Sys Assets Moving Dx to Tx and Non-sys Assets Reallocation</t>
  </si>
  <si>
    <t>WIP Reallocation</t>
  </si>
  <si>
    <t>2010-11</t>
  </si>
  <si>
    <t>2011-12</t>
  </si>
  <si>
    <t>2012-13</t>
  </si>
  <si>
    <t>2013-14</t>
  </si>
  <si>
    <t>Assets moving from RAB to Metering asset base</t>
  </si>
  <si>
    <t>Final closing RAB as at 30 June 2014 (for input into PTRM)</t>
  </si>
  <si>
    <t xml:space="preserve">Opening TAB adjustments </t>
  </si>
  <si>
    <t>Forecast net capex</t>
  </si>
  <si>
    <t xml:space="preserve">Tax asset base - Roll Forward </t>
  </si>
  <si>
    <t>Previous decision</t>
  </si>
  <si>
    <t>Proposed Opening TAB as at 1 July 2009</t>
  </si>
  <si>
    <t>OTAB</t>
  </si>
  <si>
    <t>OTAB proposed 
2009-10</t>
  </si>
  <si>
    <t>2009-10 Approved TAB</t>
  </si>
  <si>
    <t xml:space="preserve">forecast net capex </t>
  </si>
  <si>
    <t>2008-09 forecast net capex (less adjustment for half year WACC)</t>
  </si>
  <si>
    <t>Actual net capex (proposed RFM) - AER adjusted for asset allocation</t>
  </si>
  <si>
    <t>Difference between actual and forecast net capex (TAB)</t>
  </si>
  <si>
    <t>Difference between proposed and approved OTAB (2009)</t>
  </si>
  <si>
    <t>AER OTAB adjusted for actual capex - as at 1 July 2009</t>
  </si>
  <si>
    <t>Previous decision  - PTRM</t>
  </si>
  <si>
    <t>Tax depreciation</t>
  </si>
  <si>
    <t>Tax asset lives</t>
  </si>
  <si>
    <t>Ausgrid approved tax depreciation ($m, nominal)</t>
  </si>
  <si>
    <t xml:space="preserve">Adjusted tax depreciation for difference in 2008-09 actual and forecast capex </t>
  </si>
  <si>
    <t>RL</t>
  </si>
  <si>
    <t>SL</t>
  </si>
  <si>
    <t>SL Depn on difference between 2008-09 actual and forecast net capex</t>
  </si>
  <si>
    <t>over 5 years</t>
  </si>
  <si>
    <t>Difference in tax depreciation OTAB</t>
  </si>
  <si>
    <t>Ausgrid proposed capex addition for 2008-09  (AER AUSGRID 014)</t>
  </si>
  <si>
    <t>Difference from AER Adj</t>
  </si>
  <si>
    <t xml:space="preserve">Ausgrid proposed tax depreication </t>
  </si>
  <si>
    <t>Difference from approved</t>
  </si>
  <si>
    <t xml:space="preserve">RAB </t>
  </si>
  <si>
    <t>Tax remaining lives</t>
  </si>
  <si>
    <t>RAB SL</t>
  </si>
  <si>
    <t>Tax SL</t>
  </si>
  <si>
    <t>RAB RL</t>
  </si>
  <si>
    <t>Tax RL</t>
  </si>
  <si>
    <t>Emergency spares allocation to Substations asset class</t>
  </si>
  <si>
    <t>Proposed Tax RLs</t>
  </si>
  <si>
    <t xml:space="preserve">Closing Regulated Asset Base (Emergency Spares allocated - Used in PTRM Allocator) </t>
  </si>
  <si>
    <t>TAB moving to metering RAB</t>
  </si>
  <si>
    <t>FD - Input</t>
  </si>
  <si>
    <t>RAB remaining 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</si>
</sst>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_ ;[Red]\-#,##0.00\ "/>
    <numFmt numFmtId="176" formatCode="_-* #,##0.000000_-;\-* #,##0.000000_-;_-* &quot;-&quot;??_-;_-@_-"/>
  </numFmts>
  <fonts count="7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i/>
      <sz val="10"/>
      <color rgb="FFFF0000"/>
      <name val="Arial"/>
      <family val="2"/>
    </font>
    <font>
      <b/>
      <i/>
      <sz val="10"/>
      <name val="Arial"/>
      <family val="2"/>
    </font>
    <font>
      <b/>
      <sz val="10"/>
      <color rgb="FF00B0F0"/>
      <name val="Arial"/>
      <family val="2"/>
    </font>
    <font>
      <b/>
      <sz val="8"/>
      <color rgb="FFFF0000"/>
      <name val="Arial"/>
      <family val="2"/>
    </font>
    <font>
      <sz val="8"/>
      <color rgb="FFFF0000"/>
      <name val="Arial"/>
      <family val="2"/>
    </font>
    <font>
      <b/>
      <i/>
      <sz val="8"/>
      <name val="Arial"/>
      <family val="2"/>
    </font>
    <font>
      <b/>
      <sz val="9"/>
      <color theme="1"/>
      <name val="Calibri"/>
      <family val="2"/>
      <scheme val="minor"/>
    </font>
    <font>
      <b/>
      <sz val="11"/>
      <color theme="1"/>
      <name val="Calibri"/>
      <family val="2"/>
      <scheme val="minor"/>
    </font>
    <font>
      <b/>
      <i/>
      <sz val="11"/>
      <color theme="1"/>
      <name val="Calibri"/>
      <family val="2"/>
      <scheme val="minor"/>
    </font>
    <font>
      <b/>
      <sz val="8"/>
      <color theme="1"/>
      <name val="Calibri"/>
      <family val="2"/>
      <scheme val="minor"/>
    </font>
    <font>
      <sz val="9"/>
      <color indexed="81"/>
      <name val="Tahoma"/>
      <family val="2"/>
    </font>
    <font>
      <b/>
      <sz val="9"/>
      <color indexed="81"/>
      <name val="Tahoma"/>
      <family val="2"/>
    </font>
    <font>
      <b/>
      <u/>
      <sz val="10"/>
      <name val="Arial"/>
      <family val="2"/>
    </font>
    <font>
      <b/>
      <i/>
      <u/>
      <sz val="10"/>
      <name val="Arial"/>
      <family val="2"/>
    </font>
  </fonts>
  <fills count="4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
      <patternFill patternType="solid">
        <fgColor theme="9" tint="0.79998168889431442"/>
        <bgColor indexed="64"/>
      </patternFill>
    </fill>
    <fill>
      <patternFill patternType="solid">
        <fgColor rgb="FFC5D9F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thin">
        <color indexed="64"/>
      </right>
      <top style="thin">
        <color indexed="64"/>
      </top>
      <bottom/>
      <diagonal/>
    </border>
    <border>
      <left style="thin">
        <color indexed="64"/>
      </left>
      <right/>
      <top/>
      <bottom/>
      <diagonal/>
    </border>
    <border>
      <left/>
      <right style="dotted">
        <color indexed="64"/>
      </right>
      <top style="thin">
        <color indexed="64"/>
      </top>
      <bottom/>
      <diagonal/>
    </border>
    <border>
      <left style="thin">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indexed="23"/>
      </left>
      <right style="dashed">
        <color indexed="23"/>
      </right>
      <top style="thin">
        <color theme="1" tint="0.499984740745262"/>
      </top>
      <bottom/>
      <diagonal/>
    </border>
    <border>
      <left/>
      <right/>
      <top style="thin">
        <color theme="1" tint="0.499984740745262"/>
      </top>
      <bottom/>
      <diagonal/>
    </border>
  </borders>
  <cellStyleXfs count="106">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xf numFmtId="43" fontId="1" fillId="0" borderId="0" applyFont="0" applyFill="0" applyBorder="0" applyAlignment="0" applyProtection="0"/>
    <xf numFmtId="0" fontId="1" fillId="0" borderId="0"/>
  </cellStyleXfs>
  <cellXfs count="505">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10" fontId="4" fillId="33" borderId="12" xfId="95" applyNumberFormat="1" applyFont="1" applyFill="1" applyBorder="1" applyAlignment="1" applyProtection="1">
      <alignment horizontal="center"/>
    </xf>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3"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5" xfId="0" applyNumberFormat="1" applyFill="1" applyBorder="1"/>
    <xf numFmtId="169" fontId="0" fillId="33" borderId="0" xfId="0" applyNumberFormat="1" applyFill="1" applyBorder="1"/>
    <xf numFmtId="169" fontId="1" fillId="33" borderId="22" xfId="29" applyNumberFormat="1" applyFill="1" applyBorder="1"/>
    <xf numFmtId="0" fontId="2" fillId="33" borderId="26"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29" xfId="0" applyNumberFormat="1" applyFont="1" applyFill="1" applyBorder="1"/>
    <xf numFmtId="43" fontId="4" fillId="33" borderId="29" xfId="29" applyFont="1" applyFill="1" applyBorder="1"/>
    <xf numFmtId="10" fontId="2" fillId="33" borderId="33" xfId="95" applyNumberFormat="1" applyFont="1" applyFill="1" applyBorder="1" applyAlignment="1">
      <alignment horizontal="center" wrapText="1"/>
    </xf>
    <xf numFmtId="0" fontId="2" fillId="33" borderId="12" xfId="0" applyFont="1" applyFill="1" applyBorder="1" applyAlignment="1" applyProtection="1">
      <alignment horizontal="center"/>
    </xf>
    <xf numFmtId="0" fontId="58" fillId="33" borderId="0" xfId="0" applyFont="1" applyFill="1" applyBorder="1" applyAlignment="1"/>
    <xf numFmtId="0" fontId="59" fillId="33" borderId="0" xfId="0" applyFont="1" applyFill="1" applyAlignment="1">
      <alignment horizontal="right"/>
    </xf>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0" fontId="4" fillId="39" borderId="24"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9" borderId="0" xfId="30" applyFont="1" applyFill="1" applyBorder="1" applyAlignment="1">
      <alignment horizontal="center" vertical="center"/>
    </xf>
    <xf numFmtId="43" fontId="4" fillId="39" borderId="20" xfId="29" applyNumberFormat="1" applyFont="1" applyFill="1" applyBorder="1" applyAlignment="1">
      <alignment horizontal="right" vertical="center"/>
    </xf>
    <xf numFmtId="10" fontId="1" fillId="39" borderId="21" xfId="95" applyNumberFormat="1" applyFill="1" applyBorder="1"/>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43" fontId="15" fillId="39" borderId="0" xfId="0" applyNumberFormat="1" applyFont="1" applyFill="1" applyAlignment="1">
      <alignment horizontal="right"/>
    </xf>
    <xf numFmtId="43" fontId="15" fillId="39" borderId="0" xfId="0" applyNumberFormat="1" applyFont="1" applyFill="1" applyBorder="1" applyAlignment="1">
      <alignment horizontal="right"/>
    </xf>
    <xf numFmtId="43" fontId="15" fillId="39" borderId="0" xfId="0" applyNumberFormat="1" applyFont="1" applyFill="1"/>
    <xf numFmtId="43" fontId="0" fillId="39" borderId="0" xfId="0" applyNumberFormat="1" applyFill="1"/>
    <xf numFmtId="43" fontId="4" fillId="39" borderId="0" xfId="29" applyFont="1" applyFill="1" applyBorder="1" applyAlignment="1">
      <alignment horizontal="right" vertical="center"/>
    </xf>
    <xf numFmtId="0" fontId="2" fillId="33" borderId="34" xfId="0" quotePrefix="1" applyFont="1" applyFill="1" applyBorder="1" applyAlignment="1">
      <alignment horizontal="right" vertical="center"/>
    </xf>
    <xf numFmtId="44" fontId="10" fillId="37" borderId="0" xfId="33" applyFont="1" applyFill="1" applyBorder="1" applyAlignment="1">
      <alignment horizontal="center" vertical="center"/>
    </xf>
    <xf numFmtId="44" fontId="11" fillId="37" borderId="0" xfId="33" applyFont="1" applyFill="1" applyBorder="1" applyAlignment="1">
      <alignment horizontal="center" vertical="center"/>
    </xf>
    <xf numFmtId="0" fontId="0" fillId="39" borderId="0" xfId="0" applyFill="1"/>
    <xf numFmtId="0" fontId="10" fillId="39" borderId="0" xfId="0" quotePrefix="1" applyFont="1" applyFill="1" applyBorder="1" applyAlignment="1">
      <alignment horizontal="right"/>
    </xf>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0" fontId="0" fillId="40" borderId="0" xfId="0" applyFill="1"/>
    <xf numFmtId="10" fontId="1" fillId="39" borderId="36" xfId="95" applyNumberFormat="1" applyFill="1" applyBorder="1"/>
    <xf numFmtId="0" fontId="0" fillId="37" borderId="0" xfId="0" applyFill="1"/>
    <xf numFmtId="0" fontId="8" fillId="33" borderId="0" xfId="0" applyFont="1" applyFill="1" applyBorder="1" applyAlignment="1"/>
    <xf numFmtId="0" fontId="8" fillId="33" borderId="0" xfId="0" applyFont="1" applyFill="1" applyBorder="1"/>
    <xf numFmtId="0" fontId="2" fillId="37" borderId="0" xfId="0" applyFont="1" applyFill="1" applyBorder="1"/>
    <xf numFmtId="0" fontId="0" fillId="37" borderId="0" xfId="0" applyFill="1" applyBorder="1"/>
    <xf numFmtId="43" fontId="4" fillId="37" borderId="0" xfId="29" applyFont="1" applyFill="1" applyBorder="1"/>
    <xf numFmtId="43" fontId="4" fillId="37" borderId="0" xfId="29" applyNumberFormat="1" applyFont="1" applyFill="1"/>
    <xf numFmtId="43" fontId="10" fillId="37" borderId="12" xfId="29" applyNumberFormat="1" applyFont="1" applyFill="1" applyBorder="1" applyAlignment="1">
      <alignment horizontal="right"/>
    </xf>
    <xf numFmtId="0" fontId="1" fillId="36" borderId="0" xfId="0" applyFont="1" applyFill="1"/>
    <xf numFmtId="0" fontId="0" fillId="36" borderId="0" xfId="0" applyFill="1"/>
    <xf numFmtId="0" fontId="10" fillId="36" borderId="0" xfId="0" quotePrefix="1" applyFont="1" applyFill="1" applyBorder="1" applyAlignment="1">
      <alignment horizontal="right"/>
    </xf>
    <xf numFmtId="43" fontId="0" fillId="36" borderId="0" xfId="0" applyNumberFormat="1" applyFill="1"/>
    <xf numFmtId="43" fontId="4" fillId="37" borderId="0" xfId="29" applyNumberFormat="1" applyFont="1" applyFill="1" applyBorder="1"/>
    <xf numFmtId="43" fontId="59" fillId="37" borderId="0" xfId="0" applyNumberFormat="1" applyFont="1" applyFill="1" applyBorder="1"/>
    <xf numFmtId="43" fontId="15" fillId="37" borderId="0" xfId="0" applyNumberFormat="1" applyFont="1" applyFill="1" applyBorder="1"/>
    <xf numFmtId="43" fontId="60" fillId="37" borderId="0" xfId="0" applyNumberFormat="1" applyFont="1" applyFill="1" applyBorder="1"/>
    <xf numFmtId="0" fontId="4" fillId="36" borderId="0" xfId="0" quotePrefix="1" applyFont="1" applyFill="1" applyBorder="1" applyAlignment="1">
      <alignment horizontal="right"/>
    </xf>
    <xf numFmtId="168" fontId="1" fillId="36" borderId="0" xfId="29" applyNumberFormat="1" applyFill="1"/>
    <xf numFmtId="0" fontId="0" fillId="36" borderId="0" xfId="0" applyFill="1" applyAlignment="1">
      <alignment horizontal="right"/>
    </xf>
    <xf numFmtId="165" fontId="0" fillId="36" borderId="0" xfId="95" applyNumberFormat="1" applyFont="1" applyFill="1"/>
    <xf numFmtId="43" fontId="15" fillId="36" borderId="0" xfId="0" applyNumberFormat="1" applyFont="1" applyFill="1"/>
    <xf numFmtId="0" fontId="54" fillId="0" borderId="0" xfId="0" applyFont="1" applyFill="1" applyBorder="1" applyAlignment="1">
      <alignment horizontal="center"/>
    </xf>
    <xf numFmtId="0" fontId="7" fillId="0" borderId="0" xfId="0" applyFont="1" applyFill="1" applyBorder="1" applyAlignment="1">
      <alignment horizontal="left"/>
    </xf>
    <xf numFmtId="0" fontId="2" fillId="0" borderId="0" xfId="0" applyFont="1" applyFill="1" applyBorder="1" applyAlignment="1">
      <alignment horizontal="right"/>
    </xf>
    <xf numFmtId="0" fontId="10" fillId="0" borderId="0" xfId="0" applyFont="1" applyFill="1" applyBorder="1" applyAlignment="1">
      <alignment horizontal="right"/>
    </xf>
    <xf numFmtId="0" fontId="13" fillId="0" borderId="0" xfId="0" applyFont="1" applyFill="1" applyBorder="1" applyAlignment="1">
      <alignment horizontal="center"/>
    </xf>
    <xf numFmtId="0" fontId="13" fillId="0" borderId="0" xfId="0" applyFont="1" applyFill="1" applyBorder="1" applyAlignment="1">
      <alignment horizontal="center" vertical="center" textRotation="255"/>
    </xf>
    <xf numFmtId="10" fontId="0" fillId="36" borderId="24" xfId="95" applyNumberFormat="1" applyFont="1" applyFill="1" applyBorder="1"/>
    <xf numFmtId="0" fontId="1" fillId="0" borderId="0" xfId="0" applyFont="1"/>
    <xf numFmtId="0" fontId="62" fillId="33" borderId="0" xfId="0" applyFont="1" applyFill="1"/>
    <xf numFmtId="10" fontId="0" fillId="0" borderId="0" xfId="95" applyNumberFormat="1" applyFont="1" applyFill="1"/>
    <xf numFmtId="0" fontId="60" fillId="36" borderId="0" xfId="0" applyFont="1" applyFill="1"/>
    <xf numFmtId="0" fontId="0" fillId="0" borderId="11" xfId="0" applyBorder="1"/>
    <xf numFmtId="0" fontId="2" fillId="36" borderId="0" xfId="0" applyFont="1" applyFill="1" applyBorder="1"/>
    <xf numFmtId="0" fontId="0" fillId="36" borderId="0" xfId="0" applyFill="1" applyBorder="1"/>
    <xf numFmtId="43" fontId="4" fillId="36" borderId="0" xfId="29" applyFont="1" applyFill="1" applyBorder="1"/>
    <xf numFmtId="0" fontId="64" fillId="0" borderId="0" xfId="0" applyFont="1" applyFill="1" applyAlignment="1">
      <alignment wrapText="1"/>
    </xf>
    <xf numFmtId="0" fontId="65" fillId="0" borderId="0" xfId="0" applyFont="1" applyFill="1" applyAlignment="1">
      <alignment wrapText="1"/>
    </xf>
    <xf numFmtId="0" fontId="58" fillId="37" borderId="0" xfId="0" applyFont="1" applyFill="1" applyBorder="1"/>
    <xf numFmtId="0" fontId="1" fillId="37" borderId="0" xfId="0" applyFont="1" applyFill="1" applyBorder="1"/>
    <xf numFmtId="0" fontId="1" fillId="37" borderId="0" xfId="0" applyFont="1" applyFill="1" applyBorder="1" applyAlignment="1">
      <alignment horizontal="right"/>
    </xf>
    <xf numFmtId="2" fontId="0" fillId="37" borderId="0" xfId="0" applyNumberFormat="1" applyFill="1" applyBorder="1"/>
    <xf numFmtId="165" fontId="0" fillId="37" borderId="0" xfId="95" applyNumberFormat="1" applyFont="1" applyFill="1" applyBorder="1"/>
    <xf numFmtId="43" fontId="0" fillId="37" borderId="0" xfId="0" applyNumberFormat="1" applyFill="1" applyBorder="1"/>
    <xf numFmtId="0" fontId="67" fillId="0" borderId="0" xfId="0" applyFont="1"/>
    <xf numFmtId="0" fontId="66" fillId="0" borderId="0" xfId="0" applyFont="1"/>
    <xf numFmtId="0" fontId="68" fillId="0" borderId="11" xfId="0" applyFont="1" applyBorder="1" applyAlignment="1">
      <alignment wrapText="1"/>
    </xf>
    <xf numFmtId="0" fontId="68" fillId="36" borderId="11" xfId="0" applyFont="1" applyFill="1" applyBorder="1" applyAlignment="1">
      <alignment wrapText="1"/>
    </xf>
    <xf numFmtId="2" fontId="0" fillId="0" borderId="0" xfId="0" applyNumberFormat="1"/>
    <xf numFmtId="2" fontId="0" fillId="0" borderId="11" xfId="0" applyNumberFormat="1" applyBorder="1"/>
    <xf numFmtId="43" fontId="0" fillId="0" borderId="11" xfId="0" applyNumberFormat="1" applyBorder="1"/>
    <xf numFmtId="0" fontId="67" fillId="36" borderId="0" xfId="0" applyFont="1" applyFill="1"/>
    <xf numFmtId="0" fontId="67" fillId="41" borderId="0" xfId="0" applyFont="1" applyFill="1"/>
    <xf numFmtId="0" fontId="0" fillId="41" borderId="0" xfId="0" applyFill="1"/>
    <xf numFmtId="0" fontId="67" fillId="0" borderId="11" xfId="0" applyFont="1" applyBorder="1"/>
    <xf numFmtId="0" fontId="65" fillId="0" borderId="11" xfId="0" applyFont="1" applyBorder="1" applyAlignment="1">
      <alignment wrapText="1"/>
    </xf>
    <xf numFmtId="0" fontId="65" fillId="0" borderId="11" xfId="0" applyFont="1" applyFill="1" applyBorder="1" applyAlignment="1">
      <alignment wrapText="1"/>
    </xf>
    <xf numFmtId="2" fontId="0" fillId="0" borderId="0" xfId="0" applyNumberFormat="1" applyAlignment="1">
      <alignment horizontal="center"/>
    </xf>
    <xf numFmtId="0" fontId="66" fillId="0" borderId="11" xfId="0" applyFont="1" applyBorder="1"/>
    <xf numFmtId="0" fontId="2" fillId="0" borderId="0" xfId="0" applyFont="1"/>
    <xf numFmtId="0" fontId="60" fillId="0" borderId="0" xfId="0" applyFont="1"/>
    <xf numFmtId="0" fontId="60" fillId="41" borderId="0" xfId="0" applyFont="1" applyFill="1"/>
    <xf numFmtId="43" fontId="0" fillId="0" borderId="0" xfId="0" applyNumberFormat="1" applyFill="1" applyBorder="1"/>
    <xf numFmtId="0" fontId="1" fillId="33" borderId="0" xfId="0" applyFont="1" applyFill="1" applyBorder="1" applyAlignment="1"/>
    <xf numFmtId="43" fontId="0" fillId="33" borderId="0" xfId="0" applyNumberFormat="1" applyFill="1" applyBorder="1" applyAlignment="1">
      <alignment wrapText="1"/>
    </xf>
    <xf numFmtId="170" fontId="0" fillId="0" borderId="0" xfId="0" applyNumberFormat="1" applyFill="1" applyBorder="1"/>
    <xf numFmtId="0" fontId="0" fillId="0" borderId="12" xfId="0" applyBorder="1"/>
    <xf numFmtId="0" fontId="63" fillId="33" borderId="0" xfId="0" applyFont="1" applyFill="1"/>
    <xf numFmtId="43" fontId="63" fillId="33" borderId="0" xfId="0" applyNumberFormat="1" applyFont="1" applyFill="1"/>
    <xf numFmtId="170" fontId="4" fillId="33" borderId="0" xfId="29" applyNumberFormat="1" applyFont="1" applyFill="1" applyBorder="1"/>
    <xf numFmtId="174" fontId="15" fillId="33" borderId="0" xfId="0" applyNumberFormat="1" applyFont="1" applyFill="1"/>
    <xf numFmtId="170" fontId="15" fillId="33" borderId="22" xfId="0" applyNumberFormat="1" applyFont="1" applyFill="1" applyBorder="1"/>
    <xf numFmtId="0" fontId="0" fillId="37" borderId="0" xfId="0" applyFill="1"/>
    <xf numFmtId="0" fontId="0" fillId="37" borderId="0" xfId="0" applyFill="1"/>
    <xf numFmtId="0" fontId="60" fillId="33" borderId="0" xfId="0" applyFont="1" applyFill="1" applyBorder="1"/>
    <xf numFmtId="175" fontId="0" fillId="33" borderId="0" xfId="0" applyNumberFormat="1" applyFill="1" applyBorder="1"/>
    <xf numFmtId="0" fontId="1" fillId="33" borderId="0" xfId="0" applyFont="1" applyFill="1" applyBorder="1"/>
    <xf numFmtId="0" fontId="60" fillId="0" borderId="0" xfId="0" applyFont="1" applyFill="1" applyBorder="1"/>
    <xf numFmtId="0" fontId="1" fillId="0" borderId="0" xfId="0" applyFont="1" applyFill="1"/>
    <xf numFmtId="43" fontId="55" fillId="0" borderId="0" xfId="0" applyNumberFormat="1" applyFont="1" applyFill="1"/>
    <xf numFmtId="0" fontId="0" fillId="37" borderId="0" xfId="0" applyFill="1" applyAlignment="1">
      <alignment horizontal="right"/>
    </xf>
    <xf numFmtId="0" fontId="60" fillId="0" borderId="0" xfId="0" applyFont="1" applyFill="1"/>
    <xf numFmtId="0" fontId="0" fillId="0" borderId="0" xfId="0" applyFill="1" applyBorder="1" applyAlignment="1">
      <alignment wrapText="1"/>
    </xf>
    <xf numFmtId="0" fontId="0" fillId="0" borderId="0" xfId="0" applyAlignment="1">
      <alignment wrapText="1"/>
    </xf>
    <xf numFmtId="0" fontId="0" fillId="0" borderId="13" xfId="0" applyBorder="1" applyAlignment="1">
      <alignment wrapText="1"/>
    </xf>
    <xf numFmtId="43" fontId="0" fillId="0" borderId="13" xfId="0" applyNumberFormat="1" applyBorder="1"/>
    <xf numFmtId="43" fontId="0" fillId="0" borderId="12" xfId="0" applyNumberFormat="1" applyBorder="1"/>
    <xf numFmtId="0" fontId="1" fillId="0" borderId="12" xfId="0" applyFont="1" applyBorder="1"/>
    <xf numFmtId="0" fontId="59" fillId="0" borderId="0" xfId="0" applyFont="1" applyFill="1" applyBorder="1"/>
    <xf numFmtId="10" fontId="0" fillId="0" borderId="0" xfId="95" applyNumberFormat="1" applyFont="1"/>
    <xf numFmtId="10" fontId="0" fillId="0" borderId="0" xfId="0" applyNumberFormat="1"/>
    <xf numFmtId="10" fontId="55" fillId="0" borderId="0" xfId="0" applyNumberFormat="1" applyFont="1"/>
    <xf numFmtId="0" fontId="15" fillId="36" borderId="0" xfId="0" applyFont="1" applyFill="1" applyAlignment="1">
      <alignment horizontal="right"/>
    </xf>
    <xf numFmtId="0" fontId="0" fillId="37" borderId="0" xfId="0" applyFill="1"/>
    <xf numFmtId="0" fontId="1" fillId="37" borderId="0" xfId="0" applyFont="1" applyFill="1"/>
    <xf numFmtId="43" fontId="1" fillId="37" borderId="0" xfId="0" applyNumberFormat="1" applyFont="1" applyFill="1"/>
    <xf numFmtId="43" fontId="0" fillId="37" borderId="0" xfId="0" applyNumberFormat="1" applyFill="1"/>
    <xf numFmtId="0" fontId="15" fillId="37" borderId="0" xfId="0" applyFont="1" applyFill="1" applyAlignment="1">
      <alignment horizontal="right"/>
    </xf>
    <xf numFmtId="43" fontId="15" fillId="37" borderId="0" xfId="0" applyNumberFormat="1" applyFont="1" applyFill="1" applyAlignment="1">
      <alignment horizontal="right"/>
    </xf>
    <xf numFmtId="176" fontId="0" fillId="0" borderId="0" xfId="0" applyNumberFormat="1"/>
    <xf numFmtId="43" fontId="58" fillId="0" borderId="11" xfId="0" applyNumberFormat="1" applyFont="1" applyBorder="1"/>
    <xf numFmtId="43" fontId="58" fillId="33" borderId="0" xfId="29" applyNumberFormat="1" applyFont="1" applyFill="1"/>
    <xf numFmtId="43" fontId="55" fillId="0" borderId="11" xfId="0" applyNumberFormat="1" applyFont="1" applyBorder="1"/>
    <xf numFmtId="43" fontId="2" fillId="39" borderId="0" xfId="29" applyNumberFormat="1" applyFont="1" applyFill="1" applyBorder="1" applyAlignment="1">
      <alignment horizontal="right" vertical="center"/>
    </xf>
    <xf numFmtId="43" fontId="2" fillId="39" borderId="14" xfId="29" applyNumberFormat="1" applyFont="1" applyFill="1" applyBorder="1" applyAlignment="1">
      <alignment horizontal="right" vertical="center"/>
    </xf>
    <xf numFmtId="43" fontId="2" fillId="39" borderId="0" xfId="29" applyFont="1" applyFill="1" applyBorder="1" applyAlignment="1">
      <alignment horizontal="center" vertical="center"/>
    </xf>
    <xf numFmtId="43" fontId="2" fillId="39" borderId="0" xfId="29" applyFont="1" applyFill="1" applyBorder="1" applyAlignment="1">
      <alignment horizontal="right" vertical="center"/>
    </xf>
    <xf numFmtId="43" fontId="4" fillId="42" borderId="14" xfId="29" applyNumberFormat="1" applyFont="1" applyFill="1" applyBorder="1" applyAlignment="1">
      <alignment horizontal="right" vertical="center"/>
    </xf>
    <xf numFmtId="43" fontId="2" fillId="42" borderId="14" xfId="29" applyNumberFormat="1" applyFont="1" applyFill="1" applyBorder="1" applyAlignment="1">
      <alignment horizontal="right" vertical="center"/>
    </xf>
    <xf numFmtId="43" fontId="2" fillId="42" borderId="0" xfId="29" applyNumberFormat="1" applyFont="1" applyFill="1" applyBorder="1" applyAlignment="1">
      <alignment horizontal="right" vertical="center"/>
    </xf>
    <xf numFmtId="43" fontId="2" fillId="42" borderId="0" xfId="29" applyFont="1" applyFill="1" applyBorder="1" applyAlignment="1">
      <alignment horizontal="center" vertical="center"/>
    </xf>
    <xf numFmtId="0" fontId="2" fillId="37" borderId="0" xfId="0" applyFont="1" applyFill="1" applyAlignment="1">
      <alignment horizontal="center" wrapText="1"/>
    </xf>
    <xf numFmtId="43" fontId="1" fillId="37" borderId="0" xfId="29" applyFont="1" applyFill="1" applyBorder="1" applyAlignment="1">
      <alignment horizontal="center" vertical="center"/>
    </xf>
    <xf numFmtId="43" fontId="4" fillId="42" borderId="0" xfId="30" applyFont="1" applyFill="1" applyBorder="1" applyAlignment="1">
      <alignment horizontal="center" vertical="center"/>
    </xf>
    <xf numFmtId="43" fontId="2" fillId="0" borderId="0" xfId="29" applyFont="1" applyFill="1" applyBorder="1" applyAlignment="1">
      <alignment horizontal="center" vertical="center"/>
    </xf>
    <xf numFmtId="43" fontId="2" fillId="37" borderId="0" xfId="29" applyFont="1" applyFill="1" applyBorder="1" applyAlignment="1">
      <alignment horizontal="center" vertical="center"/>
    </xf>
    <xf numFmtId="43" fontId="2" fillId="37" borderId="0" xfId="29" applyNumberFormat="1" applyFont="1" applyFill="1" applyBorder="1" applyAlignment="1">
      <alignment horizontal="center" vertical="center"/>
    </xf>
    <xf numFmtId="43" fontId="4" fillId="42" borderId="35" xfId="29" applyNumberFormat="1" applyFont="1" applyFill="1" applyBorder="1" applyAlignment="1">
      <alignment horizontal="right" vertical="center"/>
    </xf>
    <xf numFmtId="43" fontId="4" fillId="42" borderId="20" xfId="29" applyNumberFormat="1" applyFont="1" applyFill="1" applyBorder="1" applyAlignment="1">
      <alignment horizontal="right" vertical="center"/>
    </xf>
    <xf numFmtId="43" fontId="1" fillId="42" borderId="0" xfId="0" applyNumberFormat="1" applyFont="1" applyFill="1"/>
    <xf numFmtId="0" fontId="61" fillId="0" borderId="12" xfId="0" applyFont="1" applyFill="1" applyBorder="1" applyAlignment="1">
      <alignment horizontal="center"/>
    </xf>
    <xf numFmtId="43" fontId="4" fillId="0" borderId="22" xfId="29" applyFont="1" applyFill="1" applyBorder="1"/>
    <xf numFmtId="43" fontId="10" fillId="0" borderId="12" xfId="29" applyNumberFormat="1" applyFont="1" applyFill="1" applyBorder="1" applyAlignment="1">
      <alignment horizontal="right"/>
    </xf>
    <xf numFmtId="43" fontId="10" fillId="0" borderId="0" xfId="29" applyNumberFormat="1" applyFont="1" applyFill="1"/>
    <xf numFmtId="0" fontId="0" fillId="37" borderId="0" xfId="0" applyFill="1"/>
    <xf numFmtId="0" fontId="0" fillId="0" borderId="0" xfId="0" quotePrefix="1"/>
    <xf numFmtId="0" fontId="54" fillId="40" borderId="11" xfId="0" applyFont="1" applyFill="1" applyBorder="1"/>
    <xf numFmtId="43" fontId="60" fillId="36" borderId="0" xfId="0" applyNumberFormat="1" applyFont="1" applyFill="1"/>
    <xf numFmtId="43" fontId="2" fillId="36" borderId="0" xfId="0" applyNumberFormat="1" applyFont="1" applyFill="1"/>
    <xf numFmtId="0" fontId="55" fillId="36" borderId="0" xfId="0" applyFont="1" applyFill="1"/>
    <xf numFmtId="43" fontId="55" fillId="36" borderId="0" xfId="0" applyNumberFormat="1" applyFont="1" applyFill="1"/>
    <xf numFmtId="0" fontId="71" fillId="36" borderId="0" xfId="0" applyFont="1" applyFill="1"/>
    <xf numFmtId="0" fontId="72" fillId="36" borderId="0" xfId="0" applyFont="1" applyFill="1"/>
    <xf numFmtId="0" fontId="0" fillId="34" borderId="30" xfId="0" applyFill="1" applyBorder="1" applyAlignment="1">
      <alignment horizontal="left"/>
    </xf>
    <xf numFmtId="0" fontId="0" fillId="34" borderId="0" xfId="0" applyFill="1" applyBorder="1" applyAlignment="1">
      <alignment horizontal="left"/>
    </xf>
    <xf numFmtId="0" fontId="4" fillId="39" borderId="30" xfId="0" applyFont="1" applyFill="1" applyBorder="1" applyAlignment="1">
      <alignment horizontal="left"/>
    </xf>
    <xf numFmtId="0" fontId="0" fillId="39" borderId="0" xfId="0" applyFill="1" applyBorder="1" applyAlignment="1">
      <alignment horizontal="left"/>
    </xf>
    <xf numFmtId="0" fontId="2" fillId="33" borderId="0" xfId="0" applyFont="1" applyFill="1" applyBorder="1" applyAlignment="1">
      <alignment horizontal="left" wrapText="1"/>
    </xf>
    <xf numFmtId="0" fontId="2" fillId="37" borderId="26" xfId="0" applyFont="1" applyFill="1" applyBorder="1" applyAlignment="1">
      <alignment horizontal="center" wrapText="1"/>
    </xf>
    <xf numFmtId="0" fontId="4" fillId="34" borderId="24"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6" xfId="0" applyFont="1" applyFill="1" applyBorder="1" applyAlignment="1">
      <alignment horizontal="center" wrapText="1"/>
    </xf>
    <xf numFmtId="0" fontId="4" fillId="39" borderId="24" xfId="0" applyFont="1" applyFill="1" applyBorder="1" applyAlignment="1">
      <alignment horizontal="left"/>
    </xf>
    <xf numFmtId="0" fontId="0" fillId="39" borderId="14" xfId="0" applyFill="1" applyBorder="1" applyAlignment="1">
      <alignment horizontal="left"/>
    </xf>
    <xf numFmtId="0" fontId="23" fillId="33" borderId="27"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1" xfId="0" applyFont="1" applyFill="1" applyBorder="1" applyAlignment="1">
      <alignment horizontal="center"/>
    </xf>
    <xf numFmtId="0" fontId="23" fillId="33" borderId="32" xfId="0" applyFont="1" applyFill="1" applyBorder="1" applyAlignment="1">
      <alignment horizontal="center"/>
    </xf>
    <xf numFmtId="0" fontId="23" fillId="33" borderId="28"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1" xfId="0" applyFont="1" applyFill="1" applyBorder="1" applyAlignment="1">
      <alignment horizontal="center"/>
    </xf>
    <xf numFmtId="0" fontId="30" fillId="33" borderId="32" xfId="0" applyFont="1" applyFill="1" applyBorder="1" applyAlignment="1">
      <alignment horizontal="center"/>
    </xf>
    <xf numFmtId="0" fontId="0" fillId="37" borderId="0" xfId="0" applyFill="1"/>
    <xf numFmtId="0" fontId="13" fillId="33" borderId="27" xfId="0" applyFont="1" applyFill="1" applyBorder="1" applyAlignment="1">
      <alignment horizontal="center" vertical="center" textRotation="255"/>
    </xf>
    <xf numFmtId="0" fontId="13" fillId="33" borderId="7" xfId="0" applyFont="1" applyFill="1" applyBorder="1" applyAlignment="1">
      <alignment horizontal="center" vertical="center" textRotation="255"/>
    </xf>
    <xf numFmtId="0" fontId="68" fillId="0" borderId="0" xfId="0" applyFont="1" applyFill="1" applyBorder="1" applyAlignment="1">
      <alignment wrapText="1"/>
    </xf>
    <xf numFmtId="2" fontId="0" fillId="0" borderId="0" xfId="0" applyNumberFormat="1" applyFill="1" applyBorder="1"/>
    <xf numFmtId="43" fontId="63" fillId="0" borderId="0" xfId="0" applyNumberFormat="1" applyFont="1" applyFill="1" applyBorder="1"/>
    <xf numFmtId="0" fontId="13" fillId="0" borderId="0" xfId="0" applyFont="1" applyFill="1" applyBorder="1" applyAlignment="1">
      <alignment wrapText="1"/>
    </xf>
    <xf numFmtId="43" fontId="11" fillId="0" borderId="0" xfId="0" applyNumberFormat="1" applyFont="1" applyFill="1" applyBorder="1"/>
    <xf numFmtId="0" fontId="11" fillId="0" borderId="0" xfId="0" applyFont="1" applyFill="1" applyBorder="1"/>
    <xf numFmtId="10" fontId="11" fillId="0" borderId="0" xfId="95" applyNumberFormat="1" applyFont="1" applyFill="1" applyBorder="1"/>
    <xf numFmtId="2" fontId="11" fillId="0" borderId="0" xfId="0" applyNumberFormat="1" applyFont="1" applyFill="1" applyBorder="1"/>
    <xf numFmtId="174" fontId="63" fillId="0" borderId="0" xfId="0" applyNumberFormat="1" applyFont="1" applyFill="1" applyBorder="1"/>
    <xf numFmtId="0" fontId="64" fillId="0" borderId="0" xfId="0" applyFont="1" applyFill="1" applyBorder="1" applyAlignment="1">
      <alignment wrapText="1"/>
    </xf>
    <xf numFmtId="43" fontId="10" fillId="0" borderId="0" xfId="0" applyNumberFormat="1" applyFont="1" applyFill="1" applyBorder="1"/>
    <xf numFmtId="2" fontId="2" fillId="0" borderId="0" xfId="0" applyNumberFormat="1" applyFont="1" applyFill="1" applyBorder="1"/>
  </cellXfs>
  <cellStyles count="10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3" xfId="104"/>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 5" xfId="105"/>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5D9F1"/>
      <color rgb="FFD9D9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351772</xdr:colOff>
      <xdr:row>45</xdr:row>
      <xdr:rowOff>56253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5228572" cy="7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396" name="Group 1"/>
        <xdr:cNvGrpSpPr>
          <a:grpSpLocks/>
        </xdr:cNvGrpSpPr>
      </xdr:nvGrpSpPr>
      <xdr:grpSpPr bwMode="auto">
        <a:xfrm>
          <a:off x="28575" y="2933700"/>
          <a:ext cx="1990725" cy="352425"/>
          <a:chOff x="2" y="144"/>
          <a:chExt cx="209" cy="37"/>
        </a:xfrm>
      </xdr:grpSpPr>
      <xdr:grpSp>
        <xdr:nvGrpSpPr>
          <xdr:cNvPr id="143404" name="Group 2"/>
          <xdr:cNvGrpSpPr>
            <a:grpSpLocks/>
          </xdr:cNvGrpSpPr>
        </xdr:nvGrpSpPr>
        <xdr:grpSpPr bwMode="auto">
          <a:xfrm>
            <a:off x="2" y="152"/>
            <a:ext cx="203" cy="29"/>
            <a:chOff x="2" y="159"/>
            <a:chExt cx="200" cy="27"/>
          </a:xfrm>
        </xdr:grpSpPr>
        <xdr:sp macro="" textlink="">
          <xdr:nvSpPr>
            <xdr:cNvPr id="1434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4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4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3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398" name="Group 16"/>
        <xdr:cNvGrpSpPr>
          <a:grpSpLocks/>
        </xdr:cNvGrpSpPr>
      </xdr:nvGrpSpPr>
      <xdr:grpSpPr bwMode="auto">
        <a:xfrm>
          <a:off x="57150" y="3609975"/>
          <a:ext cx="390525" cy="4705350"/>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40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Asset lives roll forward"/>
      <sheetName val="Tax value roll forward"/>
      <sheetName val="Output summary"/>
      <sheetName val="WACC"/>
      <sheetName val="Assets"/>
      <sheetName val="Analysis"/>
      <sheetName val="Forecast revenues"/>
      <sheetName val="X factor"/>
      <sheetName val="Chart 1-revenues"/>
      <sheetName val="Chart 2-Price path"/>
      <sheetName val="Chart 3-Building blocks"/>
      <sheetName val="Ausgrid RFM - RAB 1 July 14 - D"/>
      <sheetName val="RecoveredExternalLink1"/>
    </sheetNames>
    <sheetDataSet>
      <sheetData sheetId="0" refreshError="1"/>
      <sheetData sheetId="1" refreshError="1">
        <row r="7">
          <cell r="G7" t="str">
            <v>Sub-transmission lines and cables</v>
          </cell>
          <cell r="T7" t="str">
            <v>n/a</v>
          </cell>
          <cell r="U7" t="str">
            <v>n/a</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election activeCell="N18" sqref="N18"/>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workbookViewId="0"/>
  </sheetViews>
  <sheetFormatPr defaultRowHeight="12.75"/>
  <cols>
    <col min="1" max="1" width="2.28515625" customWidth="1"/>
    <col min="2" max="2" width="15.7109375" customWidth="1"/>
  </cols>
  <sheetData>
    <row r="1" spans="1:23" ht="44.25" customHeight="1">
      <c r="A1" s="9"/>
      <c r="B1" s="9"/>
      <c r="D1" s="44"/>
      <c r="E1" s="129"/>
      <c r="F1" s="239" t="s">
        <v>90</v>
      </c>
      <c r="R1" s="9"/>
      <c r="S1" s="9"/>
      <c r="T1" s="9"/>
      <c r="U1" s="9"/>
      <c r="V1" s="9"/>
      <c r="W1" s="9"/>
    </row>
    <row r="2" spans="1:23" ht="44.25" customHeight="1">
      <c r="A2" s="9"/>
      <c r="B2" s="9"/>
      <c r="D2" s="44"/>
      <c r="F2" s="239"/>
      <c r="K2" s="239" t="s">
        <v>92</v>
      </c>
      <c r="R2" s="9"/>
      <c r="S2" s="9"/>
      <c r="T2" s="9"/>
      <c r="U2" s="9"/>
      <c r="V2" s="9"/>
      <c r="W2" s="9"/>
    </row>
    <row r="3" spans="1:23" ht="54.95" customHeight="1">
      <c r="A3" s="9"/>
      <c r="B3" s="9"/>
      <c r="D3" s="44"/>
      <c r="G3" s="239"/>
      <c r="K3" s="183" t="s">
        <v>85</v>
      </c>
      <c r="R3" s="9"/>
      <c r="S3" s="9"/>
      <c r="T3" s="9"/>
      <c r="U3" s="9"/>
      <c r="V3" s="9"/>
      <c r="W3" s="9"/>
    </row>
    <row r="4" spans="1:23" ht="36" customHeight="1">
      <c r="A4" s="9"/>
      <c r="B4" s="9"/>
      <c r="D4" s="44"/>
      <c r="G4" s="239"/>
      <c r="J4" s="185"/>
      <c r="K4" s="240" t="s">
        <v>110</v>
      </c>
      <c r="R4" s="9"/>
      <c r="S4" s="9"/>
      <c r="T4" s="9"/>
      <c r="U4" s="9"/>
      <c r="V4" s="9"/>
      <c r="W4" s="9"/>
    </row>
    <row r="5" spans="1:23" ht="36" customHeight="1">
      <c r="A5" s="9"/>
      <c r="B5" s="9"/>
      <c r="D5" s="44"/>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9"/>
      <c r="I7" s="120"/>
      <c r="J7" s="184"/>
      <c r="K7" s="169"/>
      <c r="L7" s="120"/>
      <c r="M7" s="120"/>
      <c r="N7" s="169"/>
      <c r="O7" s="169"/>
      <c r="P7" s="120"/>
      <c r="Q7" s="120"/>
      <c r="R7" s="120"/>
      <c r="S7" s="120"/>
      <c r="T7" s="120"/>
      <c r="U7" s="120"/>
      <c r="V7" s="120"/>
      <c r="W7" s="120"/>
    </row>
    <row r="8" spans="1:23" ht="15.75">
      <c r="A8" s="120"/>
      <c r="B8" s="120"/>
      <c r="C8" s="120"/>
      <c r="D8" s="120"/>
      <c r="E8" s="120"/>
      <c r="F8" s="120"/>
      <c r="G8" s="120"/>
      <c r="H8" s="169"/>
      <c r="I8" s="120"/>
      <c r="J8" s="170"/>
      <c r="K8" s="169"/>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7" t="s">
        <v>93</v>
      </c>
      <c r="D13" s="41"/>
      <c r="E13" s="41"/>
      <c r="F13" s="41"/>
      <c r="G13" s="41"/>
      <c r="H13" s="41"/>
      <c r="I13" s="41"/>
      <c r="J13" s="41"/>
      <c r="K13" s="41"/>
      <c r="L13" s="41"/>
      <c r="M13" s="9"/>
      <c r="N13" s="9"/>
      <c r="O13" s="9"/>
      <c r="P13" s="9"/>
      <c r="Q13" s="9"/>
      <c r="R13" s="9"/>
      <c r="S13" s="9"/>
      <c r="T13" s="9"/>
      <c r="U13" s="9"/>
      <c r="V13" s="9"/>
      <c r="W13" s="9"/>
    </row>
    <row r="14" spans="1:23" ht="15">
      <c r="A14" s="9"/>
      <c r="B14" s="9"/>
      <c r="C14" s="167" t="s">
        <v>91</v>
      </c>
      <c r="D14" s="41"/>
      <c r="E14" s="41"/>
      <c r="F14" s="41"/>
      <c r="G14" s="41"/>
      <c r="H14" s="41"/>
      <c r="I14" s="41"/>
      <c r="J14" s="41"/>
      <c r="K14" s="41"/>
      <c r="L14" s="41"/>
      <c r="M14" s="9"/>
      <c r="N14" s="9"/>
      <c r="O14" s="9"/>
      <c r="P14" s="9"/>
      <c r="Q14" s="9"/>
      <c r="R14" s="9"/>
      <c r="S14" s="9"/>
      <c r="T14" s="9"/>
      <c r="U14" s="9"/>
      <c r="V14" s="9"/>
      <c r="W14" s="9"/>
    </row>
    <row r="15" spans="1:23" ht="15">
      <c r="A15" s="9"/>
      <c r="B15" s="9"/>
      <c r="C15" s="167"/>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1" t="s">
        <v>104</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2" t="s">
        <v>105</v>
      </c>
      <c r="E21" s="243" t="s">
        <v>106</v>
      </c>
      <c r="F21" s="243"/>
      <c r="G21" s="243" t="s">
        <v>107</v>
      </c>
      <c r="H21" s="243"/>
      <c r="I21" s="41"/>
      <c r="J21" s="41"/>
      <c r="K21" s="41"/>
      <c r="L21" s="41"/>
      <c r="M21" s="9"/>
      <c r="N21" s="9"/>
      <c r="O21" s="9"/>
      <c r="P21" s="9"/>
      <c r="Q21" s="9"/>
      <c r="R21" s="9"/>
      <c r="S21" s="9"/>
      <c r="T21" s="9"/>
      <c r="U21" s="9"/>
      <c r="V21" s="9"/>
      <c r="W21" s="9"/>
    </row>
    <row r="22" spans="1:23" ht="15">
      <c r="A22" s="9"/>
      <c r="B22" s="9"/>
      <c r="C22" s="41"/>
      <c r="D22" s="244" t="s">
        <v>108</v>
      </c>
      <c r="E22" s="245">
        <v>39625</v>
      </c>
      <c r="F22" s="167"/>
      <c r="G22" s="167"/>
      <c r="H22" s="167"/>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37"/>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28"/>
      <c r="F40" s="185"/>
      <c r="G40" s="185"/>
      <c r="H40" s="9"/>
      <c r="I40" s="9"/>
      <c r="J40" s="9"/>
      <c r="K40" s="9"/>
      <c r="L40" s="9"/>
      <c r="M40" s="9"/>
      <c r="N40" s="9"/>
      <c r="O40" s="9"/>
      <c r="P40" s="9"/>
      <c r="Q40" s="9"/>
      <c r="R40" s="9"/>
      <c r="S40" s="9"/>
      <c r="T40" s="9"/>
      <c r="U40" s="9"/>
      <c r="V40" s="9"/>
      <c r="W40" s="9"/>
    </row>
    <row r="41" spans="1:23" ht="15">
      <c r="A41" s="9"/>
      <c r="B41" s="9"/>
      <c r="C41" s="9"/>
      <c r="D41" s="238"/>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V201"/>
  <sheetViews>
    <sheetView tabSelected="1" zoomScale="85" zoomScaleNormal="85" workbookViewId="0"/>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9.7109375" bestFit="1" customWidth="1"/>
  </cols>
  <sheetData>
    <row r="1" spans="1:48">
      <c r="A1" s="11"/>
      <c r="B1" s="11"/>
      <c r="C1" s="11"/>
      <c r="D1" s="11"/>
      <c r="E1" s="11"/>
      <c r="F1" s="49"/>
      <c r="G1" s="49"/>
      <c r="H1" s="49"/>
      <c r="I1" s="49"/>
      <c r="J1" s="49"/>
      <c r="K1" s="49"/>
      <c r="L1" s="49"/>
      <c r="M1" s="49"/>
      <c r="N1" s="49"/>
      <c r="O1" s="49"/>
      <c r="P1" s="49"/>
      <c r="Q1" s="49"/>
      <c r="R1" s="49"/>
      <c r="S1" s="49"/>
      <c r="T1" s="49"/>
      <c r="U1" s="49"/>
      <c r="V1" s="49"/>
      <c r="W1" s="49"/>
      <c r="X1" s="337"/>
      <c r="Y1" s="49"/>
      <c r="Z1" s="9"/>
      <c r="AA1" s="9"/>
      <c r="AB1" s="18"/>
      <c r="AC1" s="9"/>
      <c r="AD1" s="9"/>
      <c r="AE1" s="9"/>
      <c r="AF1" s="185"/>
      <c r="AG1" s="185"/>
      <c r="AH1" s="185"/>
      <c r="AI1" s="185"/>
      <c r="AJ1" s="185"/>
      <c r="AK1" s="185"/>
      <c r="AL1" s="185"/>
      <c r="AM1" s="185"/>
      <c r="AN1" s="185"/>
      <c r="AO1" s="185"/>
      <c r="AP1" s="185"/>
      <c r="AQ1" s="185"/>
      <c r="AR1" s="185"/>
      <c r="AS1" s="185"/>
      <c r="AT1" s="185"/>
      <c r="AU1" s="185"/>
      <c r="AV1" s="185"/>
    </row>
    <row r="2" spans="1:48" ht="16.5" customHeight="1">
      <c r="A2" s="11"/>
      <c r="B2" s="11"/>
      <c r="C2" s="11"/>
      <c r="D2" s="11"/>
      <c r="E2" s="11"/>
      <c r="F2" s="51" t="s">
        <v>21</v>
      </c>
      <c r="G2" s="476" t="s">
        <v>74</v>
      </c>
      <c r="H2" s="477"/>
      <c r="I2" s="49"/>
      <c r="J2" s="49"/>
      <c r="K2" s="49"/>
      <c r="L2" s="49"/>
      <c r="M2" s="49"/>
      <c r="N2" s="49"/>
      <c r="O2" s="49"/>
      <c r="P2" s="49"/>
      <c r="Q2" s="49"/>
      <c r="R2" s="49"/>
      <c r="S2" s="49"/>
      <c r="T2" s="49"/>
      <c r="U2" s="49"/>
      <c r="V2" s="49"/>
      <c r="W2" s="49"/>
      <c r="X2" s="337"/>
      <c r="Y2" s="18"/>
      <c r="Z2" s="18"/>
      <c r="AA2" s="18"/>
      <c r="AB2" s="18"/>
      <c r="AC2" s="9"/>
      <c r="AD2" s="9"/>
      <c r="AE2" s="9"/>
      <c r="AF2" s="185"/>
      <c r="AG2" s="185"/>
      <c r="AH2" s="185"/>
      <c r="AI2" s="185"/>
      <c r="AJ2" s="185"/>
      <c r="AK2" s="185"/>
      <c r="AL2" s="185"/>
      <c r="AM2" s="185"/>
      <c r="AN2" s="185"/>
      <c r="AO2" s="185"/>
      <c r="AP2" s="185"/>
      <c r="AQ2" s="185"/>
      <c r="AR2" s="185"/>
      <c r="AS2" s="185"/>
      <c r="AT2" s="185"/>
      <c r="AU2" s="185"/>
      <c r="AV2" s="185"/>
    </row>
    <row r="3" spans="1:48" s="47" customFormat="1">
      <c r="A3" s="53"/>
      <c r="B3" s="53"/>
      <c r="C3" s="53"/>
      <c r="D3" s="53"/>
      <c r="E3" s="53"/>
      <c r="F3" s="54"/>
      <c r="G3" s="54"/>
      <c r="H3" s="53"/>
      <c r="I3" s="53"/>
      <c r="J3" s="53"/>
      <c r="K3" s="53"/>
      <c r="L3" s="53"/>
      <c r="M3" s="53"/>
      <c r="N3" s="53"/>
      <c r="O3" s="53"/>
      <c r="P3" s="53"/>
      <c r="Q3" s="53"/>
      <c r="R3" s="53"/>
      <c r="S3" s="53"/>
      <c r="T3" s="53"/>
      <c r="U3" s="53"/>
      <c r="V3" s="53"/>
      <c r="W3" s="53"/>
      <c r="X3" s="337"/>
      <c r="Y3" s="52"/>
      <c r="Z3" s="52"/>
      <c r="AA3" s="52"/>
      <c r="AB3" s="52"/>
      <c r="AC3" s="44"/>
      <c r="AD3" s="44"/>
      <c r="AE3" s="44"/>
      <c r="AF3" s="205"/>
      <c r="AG3" s="205"/>
      <c r="AH3" s="205"/>
      <c r="AI3" s="205"/>
      <c r="AJ3" s="205"/>
      <c r="AK3" s="205"/>
      <c r="AL3" s="205"/>
      <c r="AM3" s="205"/>
      <c r="AN3" s="205"/>
      <c r="AO3" s="205"/>
      <c r="AP3" s="205"/>
      <c r="AQ3" s="205"/>
      <c r="AR3" s="205"/>
      <c r="AS3" s="205"/>
      <c r="AT3" s="205"/>
      <c r="AU3" s="205"/>
      <c r="AV3" s="205"/>
    </row>
    <row r="4" spans="1:48" s="6" customFormat="1" ht="15.75">
      <c r="A4" s="68"/>
      <c r="B4" s="68"/>
      <c r="C4" s="68"/>
      <c r="D4" s="68"/>
      <c r="E4" s="68"/>
      <c r="F4" s="69"/>
      <c r="G4" s="69"/>
      <c r="H4" s="70"/>
      <c r="I4" s="71"/>
      <c r="J4" s="69"/>
      <c r="K4" s="68"/>
      <c r="L4" s="68"/>
      <c r="M4" s="68"/>
      <c r="N4" s="68"/>
      <c r="O4" s="68"/>
      <c r="P4" s="68"/>
      <c r="Q4" s="68"/>
      <c r="R4" s="68"/>
      <c r="S4" s="68"/>
      <c r="T4" s="68"/>
      <c r="U4" s="68"/>
      <c r="V4" s="68"/>
      <c r="W4" s="68"/>
      <c r="X4" s="337"/>
      <c r="Y4" s="338"/>
      <c r="Z4" s="338"/>
      <c r="AA4" s="338"/>
      <c r="AB4" s="338"/>
      <c r="AC4" s="339"/>
      <c r="AD4" s="339"/>
      <c r="AE4" s="41"/>
      <c r="AF4" s="228"/>
      <c r="AG4" s="228"/>
      <c r="AH4" s="228"/>
      <c r="AI4" s="228"/>
      <c r="AJ4" s="228"/>
      <c r="AK4" s="228"/>
      <c r="AL4" s="228"/>
      <c r="AM4" s="228"/>
      <c r="AN4" s="228"/>
      <c r="AO4" s="228"/>
      <c r="AP4" s="228"/>
      <c r="AQ4" s="228"/>
      <c r="AR4" s="228"/>
      <c r="AS4" s="228"/>
      <c r="AT4" s="228"/>
      <c r="AU4" s="228"/>
      <c r="AV4" s="228"/>
    </row>
    <row r="5" spans="1:48" ht="12.75" customHeight="1">
      <c r="A5" s="72"/>
      <c r="B5" s="72"/>
      <c r="C5" s="72"/>
      <c r="D5" s="72"/>
      <c r="E5" s="72"/>
      <c r="F5" s="159" t="str">
        <f>"Opening Regulated Asset Base for "&amp;CONCATENATE(LEFT(V7, 4)-1 &amp;"-" &amp;IF(V7&gt;"2009-10",,"0") &amp;RIGHT(V7,2)-1) &amp;" ($m Nominal)"</f>
        <v>Opening Regulated Asset Base for 2008-09 ($m Nominal)</v>
      </c>
      <c r="G5" s="159"/>
      <c r="H5" s="159"/>
      <c r="I5" s="159"/>
      <c r="J5" s="73"/>
      <c r="K5" s="74"/>
      <c r="L5" s="73"/>
      <c r="M5" s="74"/>
      <c r="N5" s="73"/>
      <c r="O5" s="73"/>
      <c r="P5" s="73"/>
      <c r="Q5" s="73"/>
      <c r="R5" s="73"/>
      <c r="S5" s="73"/>
      <c r="T5" s="73"/>
      <c r="U5" s="73"/>
      <c r="V5" s="74"/>
      <c r="W5" s="74"/>
      <c r="X5" s="337"/>
      <c r="Y5" s="8"/>
      <c r="Z5" s="8"/>
      <c r="AA5" s="8"/>
      <c r="AB5" s="8"/>
      <c r="AC5" s="474"/>
      <c r="AD5" s="11"/>
      <c r="AE5" s="9"/>
      <c r="AF5" s="185"/>
      <c r="AG5" s="185"/>
      <c r="AH5" s="185"/>
      <c r="AI5" s="185"/>
      <c r="AJ5" s="185"/>
      <c r="AK5" s="185"/>
      <c r="AL5" s="185"/>
      <c r="AM5" s="185"/>
      <c r="AN5" s="185"/>
      <c r="AO5" s="185"/>
      <c r="AP5" s="185"/>
      <c r="AQ5" s="185"/>
      <c r="AR5" s="185"/>
      <c r="AS5" s="185"/>
      <c r="AT5" s="185"/>
      <c r="AU5" s="185"/>
      <c r="AV5" s="185"/>
    </row>
    <row r="6" spans="1:48" ht="60.75" customHeight="1">
      <c r="A6" s="11"/>
      <c r="B6" s="11"/>
      <c r="C6" s="11"/>
      <c r="D6" s="11"/>
      <c r="E6" s="11"/>
      <c r="F6" s="38"/>
      <c r="G6" s="478" t="s">
        <v>84</v>
      </c>
      <c r="H6" s="478"/>
      <c r="I6" s="478"/>
      <c r="J6" s="304" t="s">
        <v>2</v>
      </c>
      <c r="K6" s="10" t="s">
        <v>3</v>
      </c>
      <c r="L6" s="10" t="s">
        <v>4</v>
      </c>
      <c r="M6" s="10" t="s">
        <v>77</v>
      </c>
      <c r="N6" s="10" t="s">
        <v>71</v>
      </c>
      <c r="O6" s="448" t="s">
        <v>153</v>
      </c>
      <c r="P6" s="448" t="s">
        <v>152</v>
      </c>
      <c r="Q6" s="475" t="s">
        <v>154</v>
      </c>
      <c r="R6" s="475"/>
      <c r="S6" s="10" t="s">
        <v>62</v>
      </c>
      <c r="T6" s="10" t="s">
        <v>63</v>
      </c>
      <c r="U6" s="10" t="s">
        <v>64</v>
      </c>
      <c r="V6" s="10" t="s">
        <v>23</v>
      </c>
      <c r="W6" s="10" t="s">
        <v>137</v>
      </c>
      <c r="X6" s="337"/>
      <c r="Y6" s="274"/>
      <c r="Z6" s="274"/>
      <c r="AA6" s="274"/>
      <c r="AB6" s="11"/>
      <c r="AC6" s="474"/>
      <c r="AD6" s="274"/>
      <c r="AE6" s="409"/>
      <c r="AI6" s="185"/>
      <c r="AJ6" s="185"/>
      <c r="AK6" s="185"/>
      <c r="AL6" s="185"/>
      <c r="AM6" s="185"/>
      <c r="AN6" s="185"/>
      <c r="AO6" s="185"/>
      <c r="AP6" s="185"/>
      <c r="AQ6" s="185"/>
      <c r="AR6" s="185"/>
      <c r="AS6" s="185"/>
      <c r="AT6" s="185"/>
      <c r="AU6" s="185"/>
      <c r="AV6" s="185"/>
    </row>
    <row r="7" spans="1:48">
      <c r="A7" s="300" t="s">
        <v>140</v>
      </c>
      <c r="B7" s="11"/>
      <c r="C7" s="11"/>
      <c r="D7" s="11"/>
      <c r="E7" s="11"/>
      <c r="F7" s="39" t="s">
        <v>0</v>
      </c>
      <c r="G7" s="479" t="s">
        <v>115</v>
      </c>
      <c r="H7" s="480"/>
      <c r="I7" s="480"/>
      <c r="J7" s="440">
        <v>628.07263528768385</v>
      </c>
      <c r="K7" s="441">
        <v>27.819250955324598</v>
      </c>
      <c r="L7" s="441">
        <v>46.298951338166589</v>
      </c>
      <c r="M7" s="441">
        <v>0</v>
      </c>
      <c r="N7" s="445">
        <v>3.4084223005991499</v>
      </c>
      <c r="O7" s="445">
        <v>-13.906548058546541</v>
      </c>
      <c r="P7" s="445">
        <v>-8.7532189093259447</v>
      </c>
      <c r="Q7" s="445">
        <v>-1.6899431763238399</v>
      </c>
      <c r="R7" s="445">
        <f>Q7</f>
        <v>-1.6899431763238399</v>
      </c>
      <c r="S7" s="445">
        <f>'Tax asset base adjustments'!F7</f>
        <v>364.48910320268573</v>
      </c>
      <c r="T7" s="310" t="s">
        <v>109</v>
      </c>
      <c r="U7" s="310">
        <v>47.5</v>
      </c>
      <c r="V7" s="312" t="s">
        <v>111</v>
      </c>
      <c r="W7" s="8">
        <v>5</v>
      </c>
      <c r="X7" s="337"/>
      <c r="Y7" s="275"/>
      <c r="Z7" s="275"/>
      <c r="AA7" s="277"/>
      <c r="AB7" s="277"/>
      <c r="AC7" s="141"/>
      <c r="AD7" s="141"/>
      <c r="AE7" s="409"/>
      <c r="AI7" s="185"/>
      <c r="AJ7" s="185"/>
      <c r="AK7" s="185"/>
      <c r="AL7" s="185"/>
      <c r="AM7" s="185"/>
      <c r="AN7" s="185"/>
      <c r="AO7" s="185"/>
      <c r="AP7" s="185"/>
      <c r="AQ7" s="185"/>
      <c r="AR7" s="185"/>
      <c r="AS7" s="185"/>
      <c r="AT7" s="185"/>
      <c r="AU7" s="185"/>
      <c r="AV7" s="185"/>
    </row>
    <row r="8" spans="1:48">
      <c r="A8" s="300" t="s">
        <v>141</v>
      </c>
      <c r="B8" s="11"/>
      <c r="C8" s="11"/>
      <c r="D8" s="11"/>
      <c r="E8" s="11"/>
      <c r="F8" s="39" t="s">
        <v>1</v>
      </c>
      <c r="G8" s="472" t="s">
        <v>112</v>
      </c>
      <c r="H8" s="473"/>
      <c r="I8" s="473"/>
      <c r="J8" s="440">
        <v>34.039669444934937</v>
      </c>
      <c r="K8" s="440">
        <v>69.460592106097153</v>
      </c>
      <c r="L8" s="440">
        <v>70</v>
      </c>
      <c r="M8" s="440">
        <v>29.58704874813581</v>
      </c>
      <c r="N8" s="446">
        <v>-0.98400254874549298</v>
      </c>
      <c r="O8" s="446">
        <v>0</v>
      </c>
      <c r="P8" s="446">
        <v>0</v>
      </c>
      <c r="Q8" s="446">
        <v>0</v>
      </c>
      <c r="R8" s="446">
        <f t="shared" ref="R8:R27" si="0">Q8</f>
        <v>0</v>
      </c>
      <c r="S8" s="446">
        <f>'Tax asset base adjustments'!F8</f>
        <v>59.716960502500001</v>
      </c>
      <c r="T8" s="311" t="s">
        <v>109</v>
      </c>
      <c r="U8" s="311">
        <v>40</v>
      </c>
      <c r="V8" s="8"/>
      <c r="W8" s="8"/>
      <c r="X8" s="337"/>
      <c r="Y8" s="275"/>
      <c r="Z8" s="275"/>
      <c r="AA8" s="277"/>
      <c r="AB8" s="277"/>
      <c r="AC8" s="141"/>
      <c r="AD8" s="141"/>
      <c r="AE8" s="409"/>
      <c r="AI8" s="185"/>
      <c r="AJ8" s="185"/>
      <c r="AK8" s="185"/>
      <c r="AL8" s="185"/>
      <c r="AM8" s="185"/>
      <c r="AN8" s="185"/>
      <c r="AO8" s="185"/>
      <c r="AP8" s="185"/>
      <c r="AQ8" s="185"/>
      <c r="AR8" s="185"/>
      <c r="AS8" s="185"/>
      <c r="AT8" s="185"/>
      <c r="AU8" s="185"/>
      <c r="AV8" s="185"/>
    </row>
    <row r="9" spans="1:48">
      <c r="A9" s="300" t="s">
        <v>142</v>
      </c>
      <c r="B9" s="11"/>
      <c r="C9" s="11"/>
      <c r="D9" s="11"/>
      <c r="E9" s="11"/>
      <c r="F9" s="39" t="s">
        <v>6</v>
      </c>
      <c r="G9" s="472" t="s">
        <v>117</v>
      </c>
      <c r="H9" s="473"/>
      <c r="I9" s="473"/>
      <c r="J9" s="440">
        <v>1590.1669051835506</v>
      </c>
      <c r="K9" s="440">
        <v>45.907178407431708</v>
      </c>
      <c r="L9" s="440">
        <v>58.033383369141177</v>
      </c>
      <c r="M9" s="442">
        <v>189.88115007143207</v>
      </c>
      <c r="N9" s="446">
        <v>-32.3580732625907</v>
      </c>
      <c r="O9" s="446">
        <v>12.2233474467562</v>
      </c>
      <c r="P9" s="446">
        <v>7.6937594833573622</v>
      </c>
      <c r="Q9" s="446">
        <v>0</v>
      </c>
      <c r="R9" s="446">
        <f t="shared" si="0"/>
        <v>0</v>
      </c>
      <c r="S9" s="446">
        <f>'Tax asset base adjustments'!F9</f>
        <v>807.90842585082771</v>
      </c>
      <c r="T9" s="324" t="s">
        <v>109</v>
      </c>
      <c r="U9" s="311">
        <v>48.7</v>
      </c>
      <c r="V9" s="8"/>
      <c r="W9" s="8"/>
      <c r="X9" s="337"/>
      <c r="Y9" s="275"/>
      <c r="Z9" s="275"/>
      <c r="AA9" s="277"/>
      <c r="AB9" s="277"/>
      <c r="AC9" s="141"/>
      <c r="AD9" s="141"/>
      <c r="AE9" s="9"/>
      <c r="AI9" s="185"/>
      <c r="AJ9" s="185"/>
      <c r="AK9" s="185"/>
      <c r="AL9" s="185"/>
      <c r="AM9" s="185"/>
      <c r="AN9" s="185"/>
      <c r="AO9" s="185"/>
      <c r="AP9" s="185"/>
      <c r="AQ9" s="185"/>
      <c r="AR9" s="185"/>
      <c r="AS9" s="185"/>
      <c r="AT9" s="185"/>
      <c r="AU9" s="185"/>
      <c r="AV9" s="185"/>
    </row>
    <row r="10" spans="1:48">
      <c r="A10" s="300" t="s">
        <v>118</v>
      </c>
      <c r="B10" s="11"/>
      <c r="C10" s="11"/>
      <c r="D10" s="11"/>
      <c r="E10" s="11"/>
      <c r="F10" s="39" t="s">
        <v>7</v>
      </c>
      <c r="G10" s="472" t="s">
        <v>118</v>
      </c>
      <c r="H10" s="473"/>
      <c r="I10" s="473"/>
      <c r="J10" s="440">
        <v>1540.4625077042031</v>
      </c>
      <c r="K10" s="440">
        <v>32.202785885745534</v>
      </c>
      <c r="L10" s="440">
        <v>46.842831924321999</v>
      </c>
      <c r="M10" s="442">
        <v>329.36725338549758</v>
      </c>
      <c r="N10" s="446">
        <v>2.4798460213513902</v>
      </c>
      <c r="O10" s="446">
        <v>55.805376788684697</v>
      </c>
      <c r="P10" s="446">
        <v>35.125660033840759</v>
      </c>
      <c r="Q10" s="446">
        <v>-0.83023642406459597</v>
      </c>
      <c r="R10" s="446">
        <f t="shared" si="0"/>
        <v>-0.83023642406459597</v>
      </c>
      <c r="S10" s="446">
        <f>'Tax asset base adjustments'!F10</f>
        <v>1419.5598289877933</v>
      </c>
      <c r="T10" s="324" t="s">
        <v>109</v>
      </c>
      <c r="U10" s="311">
        <v>40</v>
      </c>
      <c r="V10" s="8"/>
      <c r="W10" s="8"/>
      <c r="X10" s="337"/>
      <c r="Y10" s="275"/>
      <c r="Z10" s="275"/>
      <c r="AA10" s="277"/>
      <c r="AB10" s="277"/>
      <c r="AC10" s="141"/>
      <c r="AD10" s="141"/>
      <c r="AE10" s="9"/>
      <c r="AI10" s="185"/>
      <c r="AJ10" s="185"/>
      <c r="AK10" s="185"/>
      <c r="AL10" s="185"/>
      <c r="AM10" s="185"/>
      <c r="AN10" s="185"/>
      <c r="AO10" s="185"/>
      <c r="AP10" s="185"/>
      <c r="AQ10" s="185"/>
      <c r="AR10" s="185"/>
      <c r="AS10" s="185"/>
      <c r="AT10" s="185"/>
      <c r="AU10" s="185"/>
      <c r="AV10" s="185"/>
    </row>
    <row r="11" spans="1:48">
      <c r="A11" s="300" t="s">
        <v>119</v>
      </c>
      <c r="B11" s="11"/>
      <c r="C11" s="11"/>
      <c r="D11" s="11"/>
      <c r="E11" s="11"/>
      <c r="F11" s="39" t="s">
        <v>8</v>
      </c>
      <c r="G11" s="472" t="s">
        <v>119</v>
      </c>
      <c r="H11" s="473"/>
      <c r="I11" s="473"/>
      <c r="J11" s="440">
        <v>397.33283980757915</v>
      </c>
      <c r="K11" s="440">
        <v>27.412957030264273</v>
      </c>
      <c r="L11" s="440">
        <v>45.887214388616371</v>
      </c>
      <c r="M11" s="442">
        <v>62.449806464815232</v>
      </c>
      <c r="N11" s="446">
        <v>2.1690686637323902</v>
      </c>
      <c r="O11" s="446">
        <v>-5.3468658549369792</v>
      </c>
      <c r="P11" s="446">
        <v>-3.3654856050564135</v>
      </c>
      <c r="Q11" s="446">
        <v>-2.2706686955399</v>
      </c>
      <c r="R11" s="446">
        <f t="shared" si="0"/>
        <v>-2.2706686955399</v>
      </c>
      <c r="S11" s="446">
        <f>'Tax asset base adjustments'!F11</f>
        <v>282.36654102291311</v>
      </c>
      <c r="T11" s="324" t="s">
        <v>109</v>
      </c>
      <c r="U11" s="311">
        <v>42</v>
      </c>
      <c r="V11" s="8"/>
      <c r="W11" s="8"/>
      <c r="X11" s="337"/>
      <c r="Y11" s="275"/>
      <c r="Z11" s="275"/>
      <c r="AA11" s="277"/>
      <c r="AB11" s="277"/>
      <c r="AC11" s="141"/>
      <c r="AD11" s="141"/>
      <c r="AE11" s="9"/>
      <c r="AI11" s="185"/>
      <c r="AJ11" s="185"/>
      <c r="AK11" s="185"/>
      <c r="AL11" s="185"/>
      <c r="AM11" s="185"/>
      <c r="AN11" s="185"/>
      <c r="AO11" s="185"/>
      <c r="AP11" s="185"/>
      <c r="AQ11" s="185"/>
      <c r="AR11" s="185"/>
      <c r="AS11" s="185"/>
      <c r="AT11" s="185"/>
      <c r="AU11" s="185"/>
      <c r="AV11" s="185"/>
    </row>
    <row r="12" spans="1:48">
      <c r="A12" s="300" t="s">
        <v>120</v>
      </c>
      <c r="B12" s="11"/>
      <c r="C12" s="11"/>
      <c r="D12" s="11"/>
      <c r="E12" s="11"/>
      <c r="F12" s="39" t="s">
        <v>9</v>
      </c>
      <c r="G12" s="472" t="s">
        <v>120</v>
      </c>
      <c r="H12" s="473"/>
      <c r="I12" s="473"/>
      <c r="J12" s="440">
        <v>695.63342058586409</v>
      </c>
      <c r="K12" s="440">
        <v>34.680890904277661</v>
      </c>
      <c r="L12" s="440">
        <v>52.073244732796169</v>
      </c>
      <c r="M12" s="442">
        <v>42.267212497336871</v>
      </c>
      <c r="N12" s="446">
        <v>-9.1007699457152604</v>
      </c>
      <c r="O12" s="446">
        <v>-14.408826893958135</v>
      </c>
      <c r="P12" s="446">
        <v>-9.0693690122392976</v>
      </c>
      <c r="Q12" s="446"/>
      <c r="R12" s="446">
        <f t="shared" si="0"/>
        <v>0</v>
      </c>
      <c r="S12" s="446">
        <f>'Tax asset base adjustments'!F12</f>
        <v>451.3684698400034</v>
      </c>
      <c r="T12" s="324" t="s">
        <v>109</v>
      </c>
      <c r="U12" s="311">
        <v>45.8</v>
      </c>
      <c r="V12" s="8"/>
      <c r="W12" s="8"/>
      <c r="X12" s="337"/>
      <c r="Y12" s="275"/>
      <c r="Z12" s="275"/>
      <c r="AA12" s="277"/>
      <c r="AB12" s="277"/>
      <c r="AC12" s="141"/>
      <c r="AD12" s="141"/>
      <c r="AE12" s="9"/>
      <c r="AI12" s="185"/>
      <c r="AJ12" s="185"/>
      <c r="AK12" s="185"/>
      <c r="AL12" s="185"/>
      <c r="AM12" s="185"/>
      <c r="AN12" s="185"/>
      <c r="AO12" s="185"/>
      <c r="AP12" s="185"/>
      <c r="AQ12" s="185"/>
      <c r="AR12" s="185"/>
      <c r="AS12" s="185"/>
      <c r="AT12" s="185"/>
      <c r="AU12" s="185"/>
      <c r="AV12" s="185"/>
    </row>
    <row r="13" spans="1:48">
      <c r="A13" s="300" t="s">
        <v>121</v>
      </c>
      <c r="B13" s="11"/>
      <c r="C13" s="11"/>
      <c r="D13" s="11"/>
      <c r="E13" s="11"/>
      <c r="F13" s="39" t="s">
        <v>10</v>
      </c>
      <c r="G13" s="472" t="s">
        <v>121</v>
      </c>
      <c r="H13" s="473"/>
      <c r="I13" s="473"/>
      <c r="J13" s="440">
        <v>186.91073309905713</v>
      </c>
      <c r="K13" s="440">
        <v>19.495918236295051</v>
      </c>
      <c r="L13" s="440">
        <v>25</v>
      </c>
      <c r="M13" s="442">
        <v>45.225917372150448</v>
      </c>
      <c r="N13" s="446">
        <v>2.5794350532511898</v>
      </c>
      <c r="O13" s="446">
        <v>3.612680543317369</v>
      </c>
      <c r="P13" s="446">
        <v>2.2739348048119852</v>
      </c>
      <c r="Q13" s="446"/>
      <c r="R13" s="446">
        <f t="shared" si="0"/>
        <v>0</v>
      </c>
      <c r="S13" s="446">
        <f>'Tax asset base adjustments'!F13</f>
        <v>203.41371776120002</v>
      </c>
      <c r="T13" s="324" t="s">
        <v>109</v>
      </c>
      <c r="U13" s="311">
        <v>25</v>
      </c>
      <c r="V13" s="8"/>
      <c r="W13" s="8"/>
      <c r="X13" s="337"/>
      <c r="Y13" s="275"/>
      <c r="Z13" s="275"/>
      <c r="AA13" s="277"/>
      <c r="AB13" s="277"/>
      <c r="AC13" s="141"/>
      <c r="AD13" s="141"/>
      <c r="AE13" s="9"/>
      <c r="AI13" s="185"/>
      <c r="AJ13" s="185"/>
      <c r="AK13" s="185"/>
      <c r="AL13" s="185"/>
      <c r="AM13" s="185"/>
      <c r="AN13" s="185"/>
      <c r="AO13" s="185"/>
      <c r="AP13" s="185"/>
      <c r="AQ13" s="185"/>
      <c r="AR13" s="185"/>
      <c r="AS13" s="185"/>
      <c r="AT13" s="185"/>
      <c r="AU13" s="185"/>
      <c r="AV13" s="185"/>
    </row>
    <row r="14" spans="1:48" ht="12.75" customHeight="1">
      <c r="A14" s="300" t="s">
        <v>122</v>
      </c>
      <c r="B14" s="11"/>
      <c r="C14" s="11"/>
      <c r="D14" s="11"/>
      <c r="E14" s="11"/>
      <c r="F14" s="39" t="s">
        <v>11</v>
      </c>
      <c r="G14" s="472" t="s">
        <v>122</v>
      </c>
      <c r="H14" s="473"/>
      <c r="I14" s="473"/>
      <c r="J14" s="440">
        <v>0</v>
      </c>
      <c r="K14" s="440" t="s">
        <v>109</v>
      </c>
      <c r="L14" s="440">
        <v>15</v>
      </c>
      <c r="M14" s="442">
        <v>0</v>
      </c>
      <c r="N14" s="446">
        <v>0</v>
      </c>
      <c r="O14" s="446"/>
      <c r="P14" s="446"/>
      <c r="Q14" s="446"/>
      <c r="R14" s="446">
        <f t="shared" si="0"/>
        <v>0</v>
      </c>
      <c r="S14" s="446">
        <f>'Tax asset base adjustments'!F14</f>
        <v>0</v>
      </c>
      <c r="T14" s="324" t="s">
        <v>109</v>
      </c>
      <c r="U14" s="311">
        <v>15</v>
      </c>
      <c r="V14" s="8"/>
      <c r="W14" s="8"/>
      <c r="X14" s="337"/>
      <c r="Y14" s="275"/>
      <c r="Z14" s="275"/>
      <c r="AA14" s="277"/>
      <c r="AB14" s="277"/>
      <c r="AC14" s="141"/>
      <c r="AD14" s="141"/>
      <c r="AE14" s="9"/>
      <c r="AI14" s="185"/>
      <c r="AJ14" s="185"/>
      <c r="AK14" s="185"/>
      <c r="AL14" s="185"/>
      <c r="AM14" s="185"/>
      <c r="AN14" s="185"/>
      <c r="AO14" s="185"/>
      <c r="AP14" s="185"/>
      <c r="AQ14" s="185"/>
      <c r="AR14" s="185"/>
      <c r="AS14" s="185"/>
      <c r="AT14" s="185"/>
      <c r="AU14" s="185"/>
      <c r="AV14" s="185"/>
    </row>
    <row r="15" spans="1:48" ht="12.75" customHeight="1">
      <c r="A15" s="300" t="s">
        <v>116</v>
      </c>
      <c r="B15" s="11"/>
      <c r="C15" s="11"/>
      <c r="D15" s="11"/>
      <c r="E15" s="11"/>
      <c r="F15" s="39" t="s">
        <v>12</v>
      </c>
      <c r="G15" s="472" t="s">
        <v>116</v>
      </c>
      <c r="H15" s="473"/>
      <c r="I15" s="473"/>
      <c r="J15" s="440">
        <v>0</v>
      </c>
      <c r="K15" s="440" t="s">
        <v>109</v>
      </c>
      <c r="L15" s="440">
        <v>10</v>
      </c>
      <c r="M15" s="442">
        <v>0</v>
      </c>
      <c r="N15" s="446">
        <v>0</v>
      </c>
      <c r="O15" s="446"/>
      <c r="P15" s="446"/>
      <c r="Q15" s="446"/>
      <c r="R15" s="446">
        <f t="shared" si="0"/>
        <v>0</v>
      </c>
      <c r="S15" s="446">
        <f>'Tax asset base adjustments'!F15</f>
        <v>0</v>
      </c>
      <c r="T15" s="324" t="s">
        <v>109</v>
      </c>
      <c r="U15" s="311">
        <v>10</v>
      </c>
      <c r="V15" s="8"/>
      <c r="W15" s="8"/>
      <c r="X15" s="337"/>
      <c r="Y15" s="275"/>
      <c r="Z15" s="275"/>
      <c r="AA15" s="277"/>
      <c r="AB15" s="277"/>
      <c r="AC15" s="141"/>
      <c r="AD15" s="141"/>
      <c r="AE15" s="9"/>
      <c r="AI15" s="185"/>
      <c r="AJ15" s="185"/>
      <c r="AK15" s="185"/>
      <c r="AL15" s="185"/>
      <c r="AM15" s="185"/>
      <c r="AN15" s="185"/>
      <c r="AO15" s="185"/>
      <c r="AP15" s="185"/>
      <c r="AQ15" s="185"/>
      <c r="AR15" s="185"/>
      <c r="AS15" s="185"/>
      <c r="AT15" s="185"/>
      <c r="AU15" s="185"/>
      <c r="AV15" s="185"/>
    </row>
    <row r="16" spans="1:48" ht="12.75" customHeight="1">
      <c r="A16" s="300" t="s">
        <v>143</v>
      </c>
      <c r="B16" s="11"/>
      <c r="C16" s="11"/>
      <c r="D16" s="11"/>
      <c r="E16" s="11"/>
      <c r="F16" s="39" t="s">
        <v>13</v>
      </c>
      <c r="G16" s="472" t="s">
        <v>123</v>
      </c>
      <c r="H16" s="473"/>
      <c r="I16" s="473"/>
      <c r="J16" s="440">
        <v>102.05067031207685</v>
      </c>
      <c r="K16" s="440">
        <v>7.9948709195105057</v>
      </c>
      <c r="L16" s="440">
        <v>10.221009481131924</v>
      </c>
      <c r="M16" s="442">
        <v>23.035630811048595</v>
      </c>
      <c r="N16" s="446">
        <v>11.1703111163889</v>
      </c>
      <c r="O16" s="446">
        <v>6.7566642408488242</v>
      </c>
      <c r="P16" s="446">
        <v>4.2528570676183826</v>
      </c>
      <c r="Q16" s="446"/>
      <c r="R16" s="446">
        <f t="shared" si="0"/>
        <v>0</v>
      </c>
      <c r="S16" s="446">
        <f>'Tax asset base adjustments'!F16</f>
        <v>68.056379530131338</v>
      </c>
      <c r="T16" s="324" t="s">
        <v>109</v>
      </c>
      <c r="U16" s="311">
        <v>7.4</v>
      </c>
      <c r="V16" s="8"/>
      <c r="W16" s="8"/>
      <c r="X16" s="337"/>
      <c r="Y16" s="275"/>
      <c r="Z16" s="275"/>
      <c r="AA16" s="277"/>
      <c r="AB16" s="277"/>
      <c r="AC16" s="141"/>
      <c r="AD16" s="141"/>
      <c r="AE16" s="9"/>
      <c r="AI16" s="185"/>
      <c r="AJ16" s="185"/>
      <c r="AK16" s="185"/>
      <c r="AL16" s="185"/>
      <c r="AM16" s="185"/>
      <c r="AN16" s="185"/>
      <c r="AO16" s="185"/>
      <c r="AP16" s="185"/>
      <c r="AQ16" s="185"/>
      <c r="AR16" s="185"/>
      <c r="AS16" s="185"/>
      <c r="AT16" s="185"/>
      <c r="AU16" s="185"/>
      <c r="AV16" s="185"/>
    </row>
    <row r="17" spans="1:48" ht="12.75" customHeight="1">
      <c r="A17" s="300" t="s">
        <v>113</v>
      </c>
      <c r="B17" s="11"/>
      <c r="C17" s="11"/>
      <c r="D17" s="11"/>
      <c r="E17" s="11"/>
      <c r="F17" s="39" t="s">
        <v>14</v>
      </c>
      <c r="G17" s="472" t="s">
        <v>113</v>
      </c>
      <c r="H17" s="473"/>
      <c r="I17" s="473"/>
      <c r="J17" s="440">
        <v>0</v>
      </c>
      <c r="K17" s="440" t="s">
        <v>109</v>
      </c>
      <c r="L17" s="440">
        <v>7</v>
      </c>
      <c r="M17" s="442">
        <v>0</v>
      </c>
      <c r="N17" s="446">
        <v>0</v>
      </c>
      <c r="O17" s="446"/>
      <c r="P17" s="446"/>
      <c r="Q17" s="446"/>
      <c r="R17" s="446">
        <f t="shared" si="0"/>
        <v>0</v>
      </c>
      <c r="S17" s="446">
        <f>'Tax asset base adjustments'!F17</f>
        <v>0</v>
      </c>
      <c r="T17" s="324" t="s">
        <v>109</v>
      </c>
      <c r="U17" s="311">
        <v>7</v>
      </c>
      <c r="V17" s="8"/>
      <c r="W17" s="8"/>
      <c r="X17" s="337"/>
      <c r="Y17" s="275"/>
      <c r="Z17" s="275"/>
      <c r="AA17" s="277"/>
      <c r="AB17" s="277"/>
      <c r="AC17" s="141"/>
      <c r="AD17" s="141"/>
      <c r="AE17" s="9"/>
      <c r="AI17" s="185"/>
      <c r="AJ17" s="185"/>
      <c r="AK17" s="185"/>
      <c r="AL17" s="185"/>
      <c r="AM17" s="185"/>
      <c r="AN17" s="185"/>
      <c r="AO17" s="185"/>
      <c r="AP17" s="185"/>
      <c r="AQ17" s="185"/>
      <c r="AR17" s="185"/>
      <c r="AS17" s="185"/>
      <c r="AT17" s="185"/>
      <c r="AU17" s="185"/>
      <c r="AV17" s="185"/>
    </row>
    <row r="18" spans="1:48" ht="12.75" customHeight="1">
      <c r="A18" s="300" t="s">
        <v>114</v>
      </c>
      <c r="B18" s="11"/>
      <c r="C18" s="11"/>
      <c r="D18" s="11"/>
      <c r="E18" s="11"/>
      <c r="F18" s="39" t="s">
        <v>15</v>
      </c>
      <c r="G18" s="472" t="s">
        <v>114</v>
      </c>
      <c r="H18" s="473"/>
      <c r="I18" s="473"/>
      <c r="J18" s="440">
        <v>0</v>
      </c>
      <c r="K18" s="440" t="s">
        <v>109</v>
      </c>
      <c r="L18" s="440">
        <v>15</v>
      </c>
      <c r="M18" s="442">
        <v>0</v>
      </c>
      <c r="N18" s="446">
        <v>0</v>
      </c>
      <c r="O18" s="446"/>
      <c r="P18" s="446"/>
      <c r="Q18" s="446"/>
      <c r="R18" s="446">
        <f t="shared" si="0"/>
        <v>0</v>
      </c>
      <c r="S18" s="446">
        <f>'Tax asset base adjustments'!F18</f>
        <v>0</v>
      </c>
      <c r="T18" s="324" t="s">
        <v>109</v>
      </c>
      <c r="U18" s="311">
        <v>15</v>
      </c>
      <c r="V18" s="8"/>
      <c r="W18" s="8"/>
      <c r="X18" s="337"/>
      <c r="Y18" s="275"/>
      <c r="Z18" s="275"/>
      <c r="AA18" s="277"/>
      <c r="AB18" s="277"/>
      <c r="AC18" s="141"/>
      <c r="AD18" s="141"/>
      <c r="AE18" s="9"/>
      <c r="AI18" s="185"/>
      <c r="AJ18" s="185"/>
      <c r="AK18" s="185"/>
      <c r="AL18" s="185"/>
      <c r="AM18" s="185"/>
      <c r="AN18" s="185"/>
      <c r="AO18" s="185"/>
      <c r="AP18" s="185"/>
      <c r="AQ18" s="185"/>
      <c r="AR18" s="185"/>
      <c r="AS18" s="185"/>
      <c r="AT18" s="185"/>
      <c r="AU18" s="185"/>
      <c r="AV18" s="185"/>
    </row>
    <row r="19" spans="1:48" ht="12.75" customHeight="1">
      <c r="A19" s="300" t="s">
        <v>124</v>
      </c>
      <c r="B19" s="11"/>
      <c r="C19" s="11"/>
      <c r="D19" s="11"/>
      <c r="E19" s="11"/>
      <c r="F19" s="39" t="s">
        <v>16</v>
      </c>
      <c r="G19" s="472" t="s">
        <v>124</v>
      </c>
      <c r="H19" s="473"/>
      <c r="I19" s="473"/>
      <c r="J19" s="440">
        <v>468.57214388000489</v>
      </c>
      <c r="K19" s="440" t="s">
        <v>109</v>
      </c>
      <c r="L19" s="440" t="s">
        <v>109</v>
      </c>
      <c r="M19" s="442">
        <v>41.421868247390137</v>
      </c>
      <c r="N19" s="446">
        <v>-20.3952737522952</v>
      </c>
      <c r="O19" s="446">
        <v>6.704083661215817</v>
      </c>
      <c r="P19" s="446">
        <v>4.2197611963806532</v>
      </c>
      <c r="Q19" s="446">
        <v>-52.979567800171701</v>
      </c>
      <c r="R19" s="446">
        <f t="shared" si="0"/>
        <v>-52.979567800171701</v>
      </c>
      <c r="S19" s="446">
        <f>'Tax asset base adjustments'!F19</f>
        <v>271.76676983772137</v>
      </c>
      <c r="T19" s="324" t="s">
        <v>109</v>
      </c>
      <c r="U19" s="311" t="s">
        <v>109</v>
      </c>
      <c r="V19" s="8"/>
      <c r="W19" s="8"/>
      <c r="X19" s="337"/>
      <c r="Y19" s="275"/>
      <c r="Z19" s="275"/>
      <c r="AA19" s="277"/>
      <c r="AB19" s="277"/>
      <c r="AC19" s="141"/>
      <c r="AD19" s="141"/>
      <c r="AE19" s="9"/>
      <c r="AI19" s="185"/>
      <c r="AJ19" s="185"/>
      <c r="AK19" s="185"/>
      <c r="AL19" s="185"/>
      <c r="AM19" s="185"/>
      <c r="AN19" s="185"/>
      <c r="AO19" s="185"/>
      <c r="AP19" s="185"/>
      <c r="AQ19" s="185"/>
      <c r="AR19" s="185"/>
      <c r="AS19" s="185"/>
      <c r="AT19" s="185"/>
      <c r="AU19" s="185"/>
      <c r="AV19" s="185"/>
    </row>
    <row r="20" spans="1:48" ht="12.75" customHeight="1">
      <c r="A20" s="300" t="s">
        <v>144</v>
      </c>
      <c r="B20" s="11"/>
      <c r="C20" s="11"/>
      <c r="D20" s="11"/>
      <c r="E20" s="11"/>
      <c r="F20" s="39" t="s">
        <v>17</v>
      </c>
      <c r="G20" s="472" t="s">
        <v>125</v>
      </c>
      <c r="H20" s="473"/>
      <c r="I20" s="473"/>
      <c r="J20" s="440">
        <v>56.525816504302178</v>
      </c>
      <c r="K20" s="440" t="s">
        <v>109</v>
      </c>
      <c r="L20" s="440" t="s">
        <v>109</v>
      </c>
      <c r="M20" s="442">
        <v>0</v>
      </c>
      <c r="N20" s="446">
        <v>-2.4603671317953602</v>
      </c>
      <c r="O20" s="446">
        <v>-12.028820812831013</v>
      </c>
      <c r="P20" s="446">
        <v>-7.5713182992998274</v>
      </c>
      <c r="Q20" s="446"/>
      <c r="R20" s="446">
        <f t="shared" si="0"/>
        <v>0</v>
      </c>
      <c r="S20" s="446">
        <f>'Tax asset base adjustments'!F20</f>
        <v>0</v>
      </c>
      <c r="T20" s="324" t="s">
        <v>109</v>
      </c>
      <c r="U20" s="311" t="s">
        <v>109</v>
      </c>
      <c r="V20" s="8"/>
      <c r="W20" s="8"/>
      <c r="X20" s="337"/>
      <c r="Y20" s="275"/>
      <c r="Z20" s="275"/>
      <c r="AA20" s="277"/>
      <c r="AB20" s="277"/>
      <c r="AC20" s="141"/>
      <c r="AD20" s="141"/>
      <c r="AE20" s="9"/>
      <c r="AI20" s="185"/>
      <c r="AJ20" s="185"/>
      <c r="AK20" s="185"/>
      <c r="AL20" s="185"/>
      <c r="AM20" s="185"/>
      <c r="AN20" s="185"/>
      <c r="AO20" s="185"/>
      <c r="AP20" s="185"/>
      <c r="AQ20" s="185"/>
      <c r="AR20" s="185"/>
      <c r="AS20" s="185"/>
      <c r="AT20" s="185"/>
      <c r="AU20" s="185"/>
      <c r="AV20" s="185"/>
    </row>
    <row r="21" spans="1:48" ht="12.75" customHeight="1">
      <c r="A21" s="300" t="s">
        <v>126</v>
      </c>
      <c r="B21" s="11"/>
      <c r="C21" s="11"/>
      <c r="D21" s="11"/>
      <c r="E21" s="11"/>
      <c r="F21" s="39" t="s">
        <v>18</v>
      </c>
      <c r="G21" s="472" t="s">
        <v>126</v>
      </c>
      <c r="H21" s="473"/>
      <c r="I21" s="473"/>
      <c r="J21" s="440">
        <v>24.814851213853935</v>
      </c>
      <c r="K21" s="440">
        <v>13.901920987227765</v>
      </c>
      <c r="L21" s="440">
        <v>17.439221952066688</v>
      </c>
      <c r="M21" s="442">
        <v>5.3811924881171107</v>
      </c>
      <c r="N21" s="446">
        <v>2.5768657614300801</v>
      </c>
      <c r="O21" s="446">
        <v>-0.20017774486448836</v>
      </c>
      <c r="P21" s="446">
        <v>-0.12599817109158268</v>
      </c>
      <c r="Q21" s="446">
        <v>0.60775456415614215</v>
      </c>
      <c r="R21" s="446">
        <f t="shared" si="0"/>
        <v>0.60775456415614215</v>
      </c>
      <c r="S21" s="446">
        <f>'Tax asset base adjustments'!F21</f>
        <v>21.75732733772557</v>
      </c>
      <c r="T21" s="324" t="s">
        <v>109</v>
      </c>
      <c r="U21" s="311">
        <v>10.6</v>
      </c>
      <c r="V21" s="8"/>
      <c r="W21" s="8"/>
      <c r="X21" s="337"/>
      <c r="Y21" s="275"/>
      <c r="Z21" s="275"/>
      <c r="AA21" s="277"/>
      <c r="AB21" s="277"/>
      <c r="AC21" s="141"/>
      <c r="AD21" s="141"/>
      <c r="AE21" s="9"/>
      <c r="AI21" s="185"/>
      <c r="AJ21" s="185"/>
      <c r="AK21" s="185"/>
      <c r="AL21" s="185"/>
      <c r="AM21" s="185"/>
      <c r="AN21" s="185"/>
      <c r="AO21" s="185"/>
      <c r="AP21" s="185"/>
      <c r="AQ21" s="185"/>
      <c r="AR21" s="185"/>
      <c r="AS21" s="185"/>
      <c r="AT21" s="185"/>
      <c r="AU21" s="185"/>
      <c r="AV21" s="185"/>
    </row>
    <row r="22" spans="1:48" ht="12.75" customHeight="1">
      <c r="A22" s="300" t="s">
        <v>127</v>
      </c>
      <c r="B22" s="11"/>
      <c r="C22" s="11"/>
      <c r="D22" s="11"/>
      <c r="E22" s="11"/>
      <c r="F22" s="39" t="s">
        <v>19</v>
      </c>
      <c r="G22" s="472" t="s">
        <v>127</v>
      </c>
      <c r="H22" s="473"/>
      <c r="I22" s="473"/>
      <c r="J22" s="440">
        <v>23.529747046876647</v>
      </c>
      <c r="K22" s="440" t="s">
        <v>109</v>
      </c>
      <c r="L22" s="440" t="s">
        <v>109</v>
      </c>
      <c r="M22" s="442">
        <v>24.640226043635298</v>
      </c>
      <c r="N22" s="446">
        <v>-1.02416594458548</v>
      </c>
      <c r="O22" s="446">
        <v>-1.9608297201348512</v>
      </c>
      <c r="P22" s="446">
        <v>-1.2342079221956501</v>
      </c>
      <c r="Q22" s="446">
        <v>1.0242978692249736</v>
      </c>
      <c r="R22" s="446">
        <f t="shared" si="0"/>
        <v>1.0242978692249736</v>
      </c>
      <c r="S22" s="446">
        <f>'Tax asset base adjustments'!F22</f>
        <v>89.153553399427565</v>
      </c>
      <c r="T22" s="324" t="s">
        <v>109</v>
      </c>
      <c r="U22" s="311" t="s">
        <v>109</v>
      </c>
      <c r="V22" s="8"/>
      <c r="W22" s="8"/>
      <c r="X22" s="337"/>
      <c r="Y22" s="275"/>
      <c r="Z22" s="275"/>
      <c r="AA22" s="277"/>
      <c r="AB22" s="277"/>
      <c r="AC22" s="141"/>
      <c r="AD22" s="141"/>
      <c r="AE22" s="9"/>
      <c r="AI22" s="185"/>
      <c r="AJ22" s="185"/>
      <c r="AK22" s="185"/>
      <c r="AL22" s="185"/>
      <c r="AM22" s="185"/>
      <c r="AN22" s="185"/>
      <c r="AO22" s="185"/>
      <c r="AP22" s="185"/>
      <c r="AQ22" s="185"/>
      <c r="AR22" s="185"/>
      <c r="AS22" s="185"/>
      <c r="AT22" s="185"/>
      <c r="AU22" s="185"/>
      <c r="AV22" s="185"/>
    </row>
    <row r="23" spans="1:48" ht="12.75" customHeight="1">
      <c r="A23" s="300" t="s">
        <v>128</v>
      </c>
      <c r="B23" s="11"/>
      <c r="C23" s="11"/>
      <c r="D23" s="11"/>
      <c r="E23" s="11"/>
      <c r="F23" s="39" t="s">
        <v>20</v>
      </c>
      <c r="G23" s="472" t="s">
        <v>128</v>
      </c>
      <c r="H23" s="473"/>
      <c r="I23" s="473"/>
      <c r="J23" s="440">
        <v>114.74511085977755</v>
      </c>
      <c r="K23" s="440">
        <v>12.021608591831892</v>
      </c>
      <c r="L23" s="440">
        <v>29.444039815489198</v>
      </c>
      <c r="M23" s="442">
        <v>0</v>
      </c>
      <c r="N23" s="446">
        <v>4.0960644723242501</v>
      </c>
      <c r="O23" s="446">
        <v>-3.4070576477654524</v>
      </c>
      <c r="P23" s="446">
        <v>-2.1445092845493021</v>
      </c>
      <c r="Q23" s="446">
        <v>2.3402875492637634</v>
      </c>
      <c r="R23" s="446">
        <f t="shared" si="0"/>
        <v>2.3402875492637634</v>
      </c>
      <c r="S23" s="446">
        <f>'Tax asset base adjustments'!F23</f>
        <v>1.7158400813501418</v>
      </c>
      <c r="T23" s="324" t="s">
        <v>109</v>
      </c>
      <c r="U23" s="311">
        <v>10.5</v>
      </c>
      <c r="V23" s="8"/>
      <c r="W23" s="8"/>
      <c r="X23" s="337"/>
      <c r="Y23" s="275"/>
      <c r="Z23" s="275"/>
      <c r="AA23" s="277"/>
      <c r="AB23" s="277"/>
      <c r="AC23" s="141"/>
      <c r="AD23" s="141"/>
      <c r="AE23" s="9"/>
      <c r="AI23" s="185"/>
      <c r="AJ23" s="185"/>
      <c r="AK23" s="185"/>
      <c r="AL23" s="185"/>
      <c r="AM23" s="185"/>
      <c r="AN23" s="185"/>
      <c r="AO23" s="185"/>
      <c r="AP23" s="185"/>
      <c r="AQ23" s="185"/>
      <c r="AR23" s="185"/>
      <c r="AS23" s="185"/>
      <c r="AT23" s="185"/>
      <c r="AU23" s="185"/>
      <c r="AV23" s="185"/>
    </row>
    <row r="24" spans="1:48" ht="12.75" customHeight="1">
      <c r="A24" s="300" t="s">
        <v>129</v>
      </c>
      <c r="B24" s="11"/>
      <c r="C24" s="11"/>
      <c r="D24" s="11"/>
      <c r="E24" s="11"/>
      <c r="F24" s="39" t="s">
        <v>24</v>
      </c>
      <c r="G24" s="472" t="s">
        <v>129</v>
      </c>
      <c r="H24" s="473"/>
      <c r="I24" s="473"/>
      <c r="J24" s="440">
        <v>99.917353135056416</v>
      </c>
      <c r="K24" s="440">
        <v>4.1543349805632577</v>
      </c>
      <c r="L24" s="440">
        <v>5</v>
      </c>
      <c r="M24" s="442">
        <v>61.480877112247526</v>
      </c>
      <c r="N24" s="446">
        <v>29.814847967849801</v>
      </c>
      <c r="O24" s="446">
        <v>-9.6860685290715409</v>
      </c>
      <c r="P24" s="446">
        <v>-6.0967162985921668</v>
      </c>
      <c r="Q24" s="446">
        <v>2.5786222259441587</v>
      </c>
      <c r="R24" s="446">
        <f t="shared" si="0"/>
        <v>2.5786222259441587</v>
      </c>
      <c r="S24" s="446">
        <f>'Tax asset base adjustments'!F24</f>
        <v>109.21420141312143</v>
      </c>
      <c r="T24" s="324" t="s">
        <v>109</v>
      </c>
      <c r="U24" s="311">
        <v>4</v>
      </c>
      <c r="V24" s="8"/>
      <c r="W24" s="8"/>
      <c r="X24" s="337"/>
      <c r="Y24" s="275"/>
      <c r="Z24" s="275"/>
      <c r="AA24" s="277"/>
      <c r="AB24" s="277"/>
      <c r="AC24" s="141"/>
      <c r="AD24" s="141"/>
      <c r="AE24" s="9"/>
      <c r="AI24" s="185"/>
      <c r="AJ24" s="185"/>
      <c r="AK24" s="185"/>
      <c r="AL24" s="185"/>
      <c r="AM24" s="185"/>
      <c r="AN24" s="185"/>
      <c r="AO24" s="185"/>
      <c r="AP24" s="185"/>
      <c r="AQ24" s="185"/>
      <c r="AR24" s="185"/>
      <c r="AS24" s="185"/>
      <c r="AT24" s="185"/>
      <c r="AU24" s="185"/>
      <c r="AV24" s="185"/>
    </row>
    <row r="25" spans="1:48" ht="12.75" customHeight="1">
      <c r="A25" s="300" t="s">
        <v>130</v>
      </c>
      <c r="B25" s="11"/>
      <c r="C25" s="11"/>
      <c r="D25" s="11"/>
      <c r="E25" s="11"/>
      <c r="F25" s="39" t="s">
        <v>25</v>
      </c>
      <c r="G25" s="472" t="s">
        <v>130</v>
      </c>
      <c r="H25" s="473"/>
      <c r="I25" s="473"/>
      <c r="J25" s="440">
        <v>74.944727351411942</v>
      </c>
      <c r="K25" s="440">
        <v>8.3660039727683593</v>
      </c>
      <c r="L25" s="440">
        <v>10.244186762015632</v>
      </c>
      <c r="M25" s="442">
        <v>22.631020279422213</v>
      </c>
      <c r="N25" s="446">
        <v>12.2188805582015</v>
      </c>
      <c r="O25" s="446">
        <v>2.2773040420221129</v>
      </c>
      <c r="P25" s="446">
        <v>1.4334068180681037</v>
      </c>
      <c r="Q25" s="446">
        <v>1.9833372290151488</v>
      </c>
      <c r="R25" s="446">
        <f t="shared" si="0"/>
        <v>1.9833372290151488</v>
      </c>
      <c r="S25" s="446">
        <f>'Tax asset base adjustments'!F25</f>
        <v>73.318249566841089</v>
      </c>
      <c r="T25" s="324" t="s">
        <v>109</v>
      </c>
      <c r="U25" s="311">
        <v>20</v>
      </c>
      <c r="V25" s="8"/>
      <c r="W25" s="8"/>
      <c r="X25" s="337"/>
      <c r="Y25" s="275"/>
      <c r="Z25" s="275"/>
      <c r="AA25" s="277"/>
      <c r="AB25" s="277"/>
      <c r="AC25" s="141"/>
      <c r="AD25" s="141"/>
      <c r="AE25" s="9"/>
      <c r="AI25" s="185"/>
      <c r="AJ25" s="185"/>
      <c r="AK25" s="185"/>
      <c r="AL25" s="185"/>
      <c r="AM25" s="185"/>
      <c r="AN25" s="185"/>
      <c r="AO25" s="185"/>
      <c r="AP25" s="185"/>
      <c r="AQ25" s="185"/>
      <c r="AR25" s="185"/>
      <c r="AS25" s="185"/>
      <c r="AT25" s="185"/>
      <c r="AU25" s="185"/>
      <c r="AV25" s="185"/>
    </row>
    <row r="26" spans="1:48" ht="12.75" customHeight="1">
      <c r="A26" s="300" t="s">
        <v>131</v>
      </c>
      <c r="B26" s="11"/>
      <c r="C26" s="11"/>
      <c r="D26" s="11"/>
      <c r="E26" s="11"/>
      <c r="F26" s="39" t="s">
        <v>26</v>
      </c>
      <c r="G26" s="472" t="s">
        <v>131</v>
      </c>
      <c r="H26" s="473"/>
      <c r="I26" s="473"/>
      <c r="J26" s="440">
        <v>62.901796243165677</v>
      </c>
      <c r="K26" s="442">
        <v>33.031846639808428</v>
      </c>
      <c r="L26" s="442">
        <v>35.916896031439698</v>
      </c>
      <c r="M26" s="442">
        <v>56.901077339938503</v>
      </c>
      <c r="N26" s="447">
        <v>-0.65309237314368795</v>
      </c>
      <c r="O26" s="447">
        <v>0.69546717669315772</v>
      </c>
      <c r="P26" s="447">
        <v>0.43774892347240957</v>
      </c>
      <c r="Q26" s="447">
        <v>2.7075211543322695</v>
      </c>
      <c r="R26" s="446">
        <f t="shared" si="0"/>
        <v>2.7075211543322695</v>
      </c>
      <c r="S26" s="446">
        <f>'Tax asset base adjustments'!F26</f>
        <v>139.10623453727609</v>
      </c>
      <c r="T26" s="324" t="s">
        <v>109</v>
      </c>
      <c r="U26" s="309">
        <v>40</v>
      </c>
      <c r="V26" s="8"/>
      <c r="W26" s="8"/>
      <c r="X26" s="337"/>
      <c r="Y26" s="275"/>
      <c r="Z26" s="275"/>
      <c r="AA26" s="277"/>
      <c r="AB26" s="277"/>
      <c r="AC26" s="141"/>
      <c r="AD26" s="141"/>
      <c r="AE26" s="9"/>
      <c r="AI26" s="185"/>
      <c r="AJ26" s="185"/>
      <c r="AK26" s="185"/>
      <c r="AL26" s="185"/>
      <c r="AM26" s="185"/>
      <c r="AN26" s="185"/>
      <c r="AO26" s="185"/>
      <c r="AP26" s="185"/>
      <c r="AQ26" s="185"/>
      <c r="AR26" s="185"/>
      <c r="AS26" s="185"/>
      <c r="AT26" s="185"/>
      <c r="AU26" s="185"/>
      <c r="AV26" s="185"/>
    </row>
    <row r="27" spans="1:48" ht="12.75" customHeight="1">
      <c r="A27" s="11"/>
      <c r="B27" s="11"/>
      <c r="C27" s="11"/>
      <c r="D27" s="11"/>
      <c r="E27" s="11"/>
      <c r="F27" s="39" t="s">
        <v>94</v>
      </c>
      <c r="G27" s="472" t="s">
        <v>139</v>
      </c>
      <c r="H27" s="473"/>
      <c r="I27" s="473"/>
      <c r="J27" s="440">
        <v>0</v>
      </c>
      <c r="K27" s="443" t="s">
        <v>109</v>
      </c>
      <c r="L27" s="442">
        <v>47.42815308482453</v>
      </c>
      <c r="M27" s="442">
        <v>0</v>
      </c>
      <c r="N27" s="447">
        <v>0</v>
      </c>
      <c r="O27" s="447"/>
      <c r="P27" s="447"/>
      <c r="Q27" s="447"/>
      <c r="R27" s="446">
        <f t="shared" si="0"/>
        <v>0</v>
      </c>
      <c r="S27" s="446">
        <f>'Tax asset base adjustments'!F27</f>
        <v>0</v>
      </c>
      <c r="T27" s="324" t="s">
        <v>109</v>
      </c>
      <c r="U27" s="309">
        <v>47.42815308482453</v>
      </c>
      <c r="V27" s="8"/>
      <c r="W27" s="8"/>
      <c r="X27" s="337"/>
      <c r="Y27" s="8"/>
      <c r="Z27" s="8"/>
      <c r="AA27" s="11"/>
      <c r="AB27" s="11"/>
      <c r="AC27" s="11"/>
      <c r="AD27" s="11"/>
      <c r="AE27" s="9"/>
      <c r="AI27" s="185"/>
      <c r="AJ27" s="185"/>
      <c r="AK27" s="185"/>
      <c r="AL27" s="185"/>
      <c r="AM27" s="185"/>
      <c r="AN27" s="185"/>
      <c r="AO27" s="185"/>
      <c r="AP27" s="185"/>
      <c r="AQ27" s="185"/>
      <c r="AR27" s="185"/>
      <c r="AS27" s="185"/>
      <c r="AT27" s="185"/>
      <c r="AU27" s="185"/>
      <c r="AV27" s="185"/>
    </row>
    <row r="28" spans="1:48" ht="12.75" customHeight="1">
      <c r="A28" s="11"/>
      <c r="B28" s="11"/>
      <c r="C28" s="11"/>
      <c r="D28" s="11"/>
      <c r="E28" s="11"/>
      <c r="F28" s="39" t="s">
        <v>95</v>
      </c>
      <c r="G28" s="472" t="s">
        <v>150</v>
      </c>
      <c r="H28" s="473"/>
      <c r="I28" s="473"/>
      <c r="J28" s="440">
        <v>256.95474748429052</v>
      </c>
      <c r="K28" s="440" t="s">
        <v>109</v>
      </c>
      <c r="L28" s="440" t="s">
        <v>109</v>
      </c>
      <c r="M28" s="442"/>
      <c r="N28" s="446">
        <v>-11.184323450170901</v>
      </c>
      <c r="O28" s="446"/>
      <c r="P28" s="446"/>
      <c r="Q28" s="446"/>
      <c r="R28" s="446">
        <f>Q28</f>
        <v>0</v>
      </c>
      <c r="S28" s="446">
        <v>0</v>
      </c>
      <c r="T28" s="324"/>
      <c r="U28" s="311"/>
      <c r="V28" s="8"/>
      <c r="W28" s="8"/>
      <c r="X28" s="337"/>
      <c r="Y28" s="8"/>
      <c r="Z28" s="8"/>
      <c r="AA28" s="11"/>
      <c r="AB28" s="11"/>
      <c r="AC28" s="11"/>
      <c r="AD28" s="11"/>
      <c r="AE28" s="9"/>
      <c r="AI28" s="185"/>
      <c r="AJ28" s="185"/>
      <c r="AK28" s="185"/>
      <c r="AL28" s="185"/>
      <c r="AM28" s="185"/>
      <c r="AN28" s="185"/>
      <c r="AO28" s="185"/>
      <c r="AP28" s="185"/>
      <c r="AQ28" s="185"/>
      <c r="AR28" s="185"/>
      <c r="AS28" s="185"/>
      <c r="AT28" s="185"/>
      <c r="AU28" s="185"/>
      <c r="AV28" s="185"/>
    </row>
    <row r="29" spans="1:48" ht="12.75" customHeight="1">
      <c r="A29" s="11"/>
      <c r="B29" s="11"/>
      <c r="C29" s="11"/>
      <c r="D29" s="11"/>
      <c r="E29" s="11"/>
      <c r="F29" s="39" t="s">
        <v>96</v>
      </c>
      <c r="G29" s="470"/>
      <c r="H29" s="471"/>
      <c r="I29" s="471"/>
      <c r="J29" s="62"/>
      <c r="K29" s="62"/>
      <c r="L29" s="62"/>
      <c r="M29" s="62"/>
      <c r="N29" s="62"/>
      <c r="O29" s="62"/>
      <c r="P29" s="62"/>
      <c r="Q29" s="62"/>
      <c r="R29" s="62"/>
      <c r="S29" s="62"/>
      <c r="T29" s="62"/>
      <c r="U29" s="62"/>
      <c r="V29" s="8"/>
      <c r="W29" s="8"/>
      <c r="X29" s="337"/>
      <c r="Y29" s="8"/>
      <c r="Z29" s="8"/>
      <c r="AA29" s="11"/>
      <c r="AB29" s="11"/>
      <c r="AC29" s="11"/>
      <c r="AD29" s="11"/>
      <c r="AE29" s="9"/>
      <c r="AI29" s="185"/>
      <c r="AJ29" s="185"/>
      <c r="AK29" s="185"/>
      <c r="AL29" s="185"/>
      <c r="AM29" s="185"/>
      <c r="AN29" s="185"/>
      <c r="AO29" s="185"/>
      <c r="AP29" s="185"/>
      <c r="AQ29" s="185"/>
      <c r="AR29" s="185"/>
      <c r="AS29" s="185"/>
      <c r="AT29" s="185"/>
      <c r="AU29" s="185"/>
      <c r="AV29" s="185"/>
    </row>
    <row r="30" spans="1:48" ht="12.75" customHeight="1">
      <c r="A30" s="11"/>
      <c r="B30" s="11"/>
      <c r="C30" s="11"/>
      <c r="D30" s="11"/>
      <c r="E30" s="11"/>
      <c r="F30" s="39" t="s">
        <v>97</v>
      </c>
      <c r="G30" s="470"/>
      <c r="H30" s="471"/>
      <c r="I30" s="471"/>
      <c r="J30" s="62"/>
      <c r="K30" s="62"/>
      <c r="L30" s="62"/>
      <c r="M30" s="62"/>
      <c r="N30" s="62"/>
      <c r="O30" s="62"/>
      <c r="P30" s="62"/>
      <c r="Q30" s="62"/>
      <c r="R30" s="62"/>
      <c r="S30" s="62"/>
      <c r="T30" s="62"/>
      <c r="U30" s="62"/>
      <c r="V30" s="8"/>
      <c r="W30" s="8"/>
      <c r="X30" s="337"/>
      <c r="Y30" s="8"/>
      <c r="Z30" s="8"/>
      <c r="AA30" s="11"/>
      <c r="AB30" s="11"/>
      <c r="AC30" s="11"/>
      <c r="AD30" s="11"/>
      <c r="AE30" s="9"/>
      <c r="AI30" s="185"/>
      <c r="AJ30" s="185"/>
      <c r="AK30" s="185"/>
      <c r="AL30" s="185"/>
      <c r="AM30" s="185"/>
      <c r="AN30" s="185"/>
      <c r="AO30" s="185"/>
      <c r="AP30" s="185"/>
      <c r="AQ30" s="185"/>
      <c r="AR30" s="185"/>
      <c r="AS30" s="185"/>
      <c r="AT30" s="185"/>
      <c r="AU30" s="185"/>
      <c r="AV30" s="185"/>
    </row>
    <row r="31" spans="1:48" ht="12.75" customHeight="1">
      <c r="A31" s="11"/>
      <c r="B31" s="11"/>
      <c r="C31" s="11"/>
      <c r="D31" s="11"/>
      <c r="E31" s="11"/>
      <c r="F31" s="39" t="s">
        <v>98</v>
      </c>
      <c r="G31" s="470"/>
      <c r="H31" s="471"/>
      <c r="I31" s="471"/>
      <c r="J31" s="62"/>
      <c r="K31" s="62"/>
      <c r="L31" s="62"/>
      <c r="M31" s="62"/>
      <c r="N31" s="62"/>
      <c r="O31" s="62"/>
      <c r="P31" s="62"/>
      <c r="Q31" s="62"/>
      <c r="R31" s="62"/>
      <c r="S31" s="62"/>
      <c r="T31" s="62"/>
      <c r="U31" s="62"/>
      <c r="V31" s="8"/>
      <c r="W31" s="8"/>
      <c r="X31" s="337"/>
      <c r="Y31" s="8"/>
      <c r="Z31" s="8"/>
      <c r="AA31" s="11"/>
      <c r="AB31" s="11"/>
      <c r="AC31" s="11"/>
      <c r="AD31" s="11"/>
      <c r="AE31" s="9"/>
      <c r="AF31" s="185"/>
      <c r="AG31" s="185"/>
      <c r="AH31" s="185"/>
      <c r="AI31" s="185"/>
      <c r="AJ31" s="185"/>
      <c r="AK31" s="185"/>
      <c r="AL31" s="185"/>
      <c r="AM31" s="185"/>
      <c r="AN31" s="185"/>
      <c r="AO31" s="185"/>
      <c r="AP31" s="185"/>
      <c r="AQ31" s="185"/>
      <c r="AR31" s="185"/>
      <c r="AS31" s="185"/>
      <c r="AT31" s="185"/>
      <c r="AU31" s="185"/>
      <c r="AV31" s="185"/>
    </row>
    <row r="32" spans="1:48" ht="12.75" customHeight="1">
      <c r="A32" s="11"/>
      <c r="B32" s="11"/>
      <c r="C32" s="11"/>
      <c r="D32" s="11"/>
      <c r="E32" s="11"/>
      <c r="F32" s="39" t="s">
        <v>99</v>
      </c>
      <c r="G32" s="470"/>
      <c r="H32" s="471"/>
      <c r="I32" s="471"/>
      <c r="J32" s="62"/>
      <c r="K32" s="62"/>
      <c r="L32" s="62"/>
      <c r="M32" s="62"/>
      <c r="N32" s="62"/>
      <c r="O32" s="62"/>
      <c r="P32" s="62"/>
      <c r="Q32" s="62"/>
      <c r="R32" s="62"/>
      <c r="S32" s="62"/>
      <c r="T32" s="62"/>
      <c r="U32" s="62"/>
      <c r="V32" s="8"/>
      <c r="W32" s="8"/>
      <c r="X32" s="337"/>
      <c r="Y32" s="8"/>
      <c r="Z32" s="8"/>
      <c r="AA32" s="11"/>
      <c r="AB32" s="11"/>
      <c r="AC32" s="11"/>
      <c r="AD32" s="11"/>
      <c r="AE32" s="9"/>
      <c r="AF32" s="185"/>
      <c r="AG32" s="185"/>
      <c r="AH32" s="185"/>
      <c r="AI32" s="185"/>
      <c r="AJ32" s="185"/>
      <c r="AK32" s="185"/>
      <c r="AL32" s="185"/>
      <c r="AM32" s="185"/>
      <c r="AN32" s="185"/>
      <c r="AO32" s="185"/>
      <c r="AP32" s="185"/>
      <c r="AQ32" s="185"/>
      <c r="AR32" s="185"/>
      <c r="AS32" s="185"/>
      <c r="AT32" s="185"/>
      <c r="AU32" s="185"/>
      <c r="AV32" s="185"/>
    </row>
    <row r="33" spans="1:48" ht="12.75" customHeight="1">
      <c r="A33" s="11"/>
      <c r="B33" s="11"/>
      <c r="C33" s="11"/>
      <c r="D33" s="11"/>
      <c r="E33" s="11"/>
      <c r="F33" s="39" t="s">
        <v>100</v>
      </c>
      <c r="G33" s="470"/>
      <c r="H33" s="471"/>
      <c r="I33" s="471"/>
      <c r="J33" s="62"/>
      <c r="K33" s="62"/>
      <c r="L33" s="62"/>
      <c r="M33" s="62"/>
      <c r="N33" s="62"/>
      <c r="O33" s="62"/>
      <c r="P33" s="62"/>
      <c r="Q33" s="62"/>
      <c r="R33" s="62"/>
      <c r="S33" s="62"/>
      <c r="T33" s="62"/>
      <c r="U33" s="62"/>
      <c r="V33" s="8"/>
      <c r="W33" s="8"/>
      <c r="X33" s="337"/>
      <c r="Y33" s="8"/>
      <c r="Z33" s="8"/>
      <c r="AA33" s="11"/>
      <c r="AB33" s="11"/>
      <c r="AC33" s="11"/>
      <c r="AD33" s="11"/>
      <c r="AE33" s="9"/>
      <c r="AF33" s="185"/>
      <c r="AG33" s="185"/>
      <c r="AH33" s="185"/>
      <c r="AI33" s="185"/>
      <c r="AJ33" s="185"/>
      <c r="AK33" s="185"/>
      <c r="AL33" s="185"/>
      <c r="AM33" s="185"/>
      <c r="AN33" s="185"/>
      <c r="AO33" s="185"/>
      <c r="AP33" s="185"/>
      <c r="AQ33" s="185"/>
      <c r="AR33" s="185"/>
      <c r="AS33" s="185"/>
      <c r="AT33" s="185"/>
      <c r="AU33" s="185"/>
      <c r="AV33" s="185"/>
    </row>
    <row r="34" spans="1:48" ht="12.75" customHeight="1">
      <c r="A34" s="11"/>
      <c r="B34" s="11"/>
      <c r="C34" s="11"/>
      <c r="D34" s="11"/>
      <c r="E34" s="11"/>
      <c r="F34" s="39" t="s">
        <v>101</v>
      </c>
      <c r="G34" s="470"/>
      <c r="H34" s="471"/>
      <c r="I34" s="471"/>
      <c r="J34" s="62"/>
      <c r="K34" s="62"/>
      <c r="L34" s="62"/>
      <c r="M34" s="62"/>
      <c r="N34" s="62"/>
      <c r="O34" s="62"/>
      <c r="P34" s="62"/>
      <c r="Q34" s="62"/>
      <c r="R34" s="62"/>
      <c r="S34" s="62"/>
      <c r="T34" s="62"/>
      <c r="U34" s="62"/>
      <c r="V34" s="8"/>
      <c r="W34" s="8"/>
      <c r="X34" s="337"/>
      <c r="Y34" s="8"/>
      <c r="Z34" s="8"/>
      <c r="AA34" s="11"/>
      <c r="AB34" s="11"/>
      <c r="AC34" s="11"/>
      <c r="AD34" s="11"/>
      <c r="AE34" s="9"/>
      <c r="AF34" s="185"/>
      <c r="AG34" s="185"/>
      <c r="AH34" s="185"/>
      <c r="AI34" s="185"/>
      <c r="AJ34" s="185"/>
      <c r="AK34" s="185"/>
      <c r="AL34" s="185"/>
      <c r="AM34" s="185"/>
      <c r="AN34" s="185"/>
      <c r="AO34" s="185"/>
      <c r="AP34" s="185"/>
      <c r="AQ34" s="185"/>
      <c r="AR34" s="185"/>
      <c r="AS34" s="185"/>
      <c r="AT34" s="185"/>
      <c r="AU34" s="185"/>
      <c r="AV34" s="185"/>
    </row>
    <row r="35" spans="1:48" ht="12.75" customHeight="1">
      <c r="A35" s="11"/>
      <c r="B35" s="11"/>
      <c r="C35" s="11"/>
      <c r="D35" s="11"/>
      <c r="E35" s="11"/>
      <c r="F35" s="39" t="s">
        <v>102</v>
      </c>
      <c r="G35" s="470"/>
      <c r="H35" s="471"/>
      <c r="I35" s="471"/>
      <c r="J35" s="62"/>
      <c r="K35" s="62"/>
      <c r="L35" s="62"/>
      <c r="M35" s="62"/>
      <c r="N35" s="62"/>
      <c r="O35" s="62"/>
      <c r="P35" s="62"/>
      <c r="Q35" s="62"/>
      <c r="R35" s="62"/>
      <c r="S35" s="62"/>
      <c r="T35" s="62"/>
      <c r="U35" s="62"/>
      <c r="V35" s="8"/>
      <c r="W35" s="8"/>
      <c r="X35" s="337"/>
      <c r="Y35" s="8"/>
      <c r="Z35" s="8"/>
      <c r="AA35" s="11"/>
      <c r="AB35" s="11"/>
      <c r="AC35" s="11"/>
      <c r="AD35" s="11"/>
      <c r="AE35" s="9"/>
      <c r="AF35" s="185"/>
      <c r="AG35" s="185"/>
      <c r="AH35" s="185"/>
      <c r="AI35" s="185"/>
      <c r="AJ35" s="185"/>
      <c r="AK35" s="185"/>
      <c r="AL35" s="185"/>
      <c r="AM35" s="185"/>
      <c r="AN35" s="185"/>
      <c r="AO35" s="185"/>
      <c r="AP35" s="185"/>
      <c r="AQ35" s="185"/>
      <c r="AR35" s="185"/>
      <c r="AS35" s="185"/>
      <c r="AT35" s="185"/>
      <c r="AU35" s="185"/>
      <c r="AV35" s="185"/>
    </row>
    <row r="36" spans="1:48" ht="12.75" customHeight="1">
      <c r="A36" s="11"/>
      <c r="B36" s="11"/>
      <c r="C36" s="11"/>
      <c r="D36" s="11"/>
      <c r="E36" s="11"/>
      <c r="F36" s="39" t="s">
        <v>103</v>
      </c>
      <c r="G36" s="470"/>
      <c r="H36" s="471"/>
      <c r="I36" s="471"/>
      <c r="J36" s="62"/>
      <c r="K36" s="62"/>
      <c r="L36" s="62"/>
      <c r="M36" s="62"/>
      <c r="N36" s="62"/>
      <c r="O36" s="62"/>
      <c r="P36" s="62"/>
      <c r="Q36" s="62"/>
      <c r="R36" s="62"/>
      <c r="S36" s="62"/>
      <c r="T36" s="62"/>
      <c r="U36" s="62"/>
      <c r="V36" s="8"/>
      <c r="W36" s="8"/>
      <c r="X36" s="337"/>
      <c r="Y36" s="8"/>
      <c r="Z36" s="8"/>
      <c r="AA36" s="11"/>
      <c r="AB36" s="11"/>
      <c r="AC36" s="11"/>
      <c r="AD36" s="11"/>
      <c r="AE36" s="9"/>
      <c r="AF36" s="185"/>
      <c r="AG36" s="185"/>
      <c r="AH36" s="185"/>
      <c r="AI36" s="185"/>
      <c r="AJ36" s="185"/>
      <c r="AK36" s="185"/>
      <c r="AL36" s="185"/>
      <c r="AM36" s="185"/>
      <c r="AN36" s="185"/>
      <c r="AO36" s="185"/>
      <c r="AP36" s="185"/>
      <c r="AQ36" s="185"/>
      <c r="AR36" s="185"/>
      <c r="AS36" s="185"/>
      <c r="AT36" s="185"/>
      <c r="AU36" s="185"/>
      <c r="AV36" s="185"/>
    </row>
    <row r="37" spans="1:48">
      <c r="A37" s="11"/>
      <c r="B37" s="11"/>
      <c r="C37" s="11"/>
      <c r="D37" s="11"/>
      <c r="E37" s="11"/>
      <c r="F37" s="39" t="s">
        <v>22</v>
      </c>
      <c r="G37" s="470"/>
      <c r="H37" s="471"/>
      <c r="I37" s="471"/>
      <c r="J37" s="62"/>
      <c r="K37" s="62"/>
      <c r="L37" s="62"/>
      <c r="M37" s="62"/>
      <c r="N37" s="62"/>
      <c r="O37" s="62"/>
      <c r="P37" s="62"/>
      <c r="Q37" s="62"/>
      <c r="R37" s="62"/>
      <c r="S37" s="62"/>
      <c r="T37" s="62"/>
      <c r="U37" s="62"/>
      <c r="V37" s="59"/>
      <c r="X37" s="337"/>
      <c r="Y37" s="276"/>
      <c r="Z37" s="276"/>
      <c r="AA37" s="276"/>
      <c r="AB37" s="8"/>
      <c r="AC37" s="8"/>
      <c r="AD37" s="8"/>
      <c r="AE37" s="8"/>
      <c r="AF37" s="185"/>
      <c r="AG37" s="185"/>
      <c r="AH37" s="185"/>
      <c r="AI37" s="185"/>
      <c r="AJ37" s="185"/>
      <c r="AK37" s="185"/>
      <c r="AL37" s="185"/>
      <c r="AM37" s="185"/>
      <c r="AN37" s="185"/>
      <c r="AO37" s="185"/>
      <c r="AP37" s="185"/>
      <c r="AQ37" s="185"/>
      <c r="AR37" s="185"/>
      <c r="AS37" s="185"/>
      <c r="AT37" s="185"/>
      <c r="AU37" s="185"/>
      <c r="AV37" s="185"/>
    </row>
    <row r="38" spans="1:48" ht="21" customHeight="1">
      <c r="A38" s="11"/>
      <c r="B38" s="11"/>
      <c r="C38" s="11"/>
      <c r="D38" s="11"/>
      <c r="E38" s="11"/>
      <c r="F38" s="39"/>
      <c r="G38" s="157"/>
      <c r="H38" s="157"/>
      <c r="I38" s="157"/>
      <c r="J38" s="276">
        <f>SUM(J7:J37)</f>
        <v>6357.5756751436893</v>
      </c>
      <c r="K38" s="326"/>
      <c r="L38" s="327"/>
      <c r="M38" s="276">
        <f t="shared" ref="M38:S38" si="1">SUM(M7:M37)</f>
        <v>934.27028086116718</v>
      </c>
      <c r="N38" s="276">
        <f t="shared" si="1"/>
        <v>-7.6463264939134206</v>
      </c>
      <c r="O38" s="276">
        <f t="shared" si="1"/>
        <v>27.129728637429164</v>
      </c>
      <c r="P38" s="276">
        <f t="shared" si="1"/>
        <v>17.076304825199475</v>
      </c>
      <c r="Q38" s="276">
        <f t="shared" si="1"/>
        <v>-46.528595504163583</v>
      </c>
      <c r="R38" s="276">
        <f t="shared" si="1"/>
        <v>-46.528595504163583</v>
      </c>
      <c r="S38" s="449">
        <f t="shared" si="1"/>
        <v>4362.9116028715171</v>
      </c>
      <c r="T38" s="276"/>
      <c r="U38" s="276"/>
      <c r="V38" s="59"/>
      <c r="X38" s="337"/>
      <c r="Y38" s="49"/>
      <c r="Z38" s="8"/>
      <c r="AA38" s="8"/>
      <c r="AB38" s="8"/>
      <c r="AC38" s="42"/>
      <c r="AD38" s="9"/>
      <c r="AE38" s="9"/>
      <c r="AF38" s="185"/>
      <c r="AG38" s="185"/>
      <c r="AH38" s="185"/>
      <c r="AI38" s="185"/>
      <c r="AJ38" s="185"/>
      <c r="AK38" s="185"/>
      <c r="AL38" s="185"/>
      <c r="AM38" s="185"/>
      <c r="AN38" s="185"/>
      <c r="AO38" s="185"/>
      <c r="AP38" s="185"/>
      <c r="AQ38" s="185"/>
      <c r="AR38" s="185"/>
      <c r="AS38" s="185"/>
      <c r="AT38" s="185"/>
      <c r="AU38" s="185"/>
      <c r="AV38" s="185"/>
    </row>
    <row r="39" spans="1:48" ht="13.5" customHeight="1">
      <c r="A39" s="11"/>
      <c r="B39" s="11"/>
      <c r="C39" s="11"/>
      <c r="D39" s="11"/>
      <c r="E39" s="11"/>
      <c r="F39" s="89"/>
      <c r="G39" s="160"/>
      <c r="H39" s="49"/>
      <c r="I39" s="49"/>
      <c r="J39" s="49"/>
      <c r="K39" s="49"/>
      <c r="L39" s="49"/>
      <c r="M39" s="273"/>
      <c r="N39" s="273"/>
      <c r="O39" s="175"/>
      <c r="P39" s="175"/>
      <c r="Q39" s="175"/>
      <c r="R39" s="175"/>
      <c r="S39" s="175"/>
      <c r="T39" s="175"/>
      <c r="U39" s="175"/>
      <c r="V39" s="49"/>
      <c r="W39" s="49"/>
      <c r="X39" s="337"/>
      <c r="Y39" s="8"/>
      <c r="Z39" s="8"/>
      <c r="AA39" s="8"/>
      <c r="AB39" s="8"/>
      <c r="AC39" s="42"/>
      <c r="AD39" s="9"/>
      <c r="AE39" s="9"/>
      <c r="AF39" s="185"/>
      <c r="AG39" s="185"/>
      <c r="AH39" s="185"/>
      <c r="AI39" s="185"/>
      <c r="AJ39" s="185"/>
      <c r="AK39" s="185"/>
      <c r="AL39" s="185"/>
      <c r="AM39" s="185"/>
      <c r="AN39" s="185"/>
      <c r="AO39" s="185"/>
      <c r="AP39" s="185"/>
      <c r="AQ39" s="185"/>
      <c r="AR39" s="185"/>
      <c r="AS39" s="185"/>
      <c r="AT39" s="185"/>
      <c r="AU39" s="185"/>
      <c r="AV39" s="185"/>
    </row>
    <row r="40" spans="1:48">
      <c r="A40" s="72"/>
      <c r="B40" s="72"/>
      <c r="C40" s="72"/>
      <c r="D40" s="72"/>
      <c r="E40" s="72"/>
      <c r="F40" s="159" t="s">
        <v>80</v>
      </c>
      <c r="G40" s="159"/>
      <c r="H40" s="159"/>
      <c r="I40" s="159"/>
      <c r="J40" s="279">
        <v>2</v>
      </c>
      <c r="K40" s="279">
        <v>3</v>
      </c>
      <c r="L40" s="279">
        <v>4</v>
      </c>
      <c r="M40" s="73"/>
      <c r="N40" s="73"/>
      <c r="O40" s="73"/>
      <c r="P40" s="73"/>
      <c r="Q40" s="73"/>
      <c r="R40" s="73"/>
      <c r="S40" s="73"/>
      <c r="T40" s="73"/>
      <c r="U40" s="73"/>
      <c r="V40" s="73"/>
      <c r="W40" s="73"/>
      <c r="X40" s="337"/>
      <c r="Y40" s="9"/>
      <c r="Z40" s="413"/>
      <c r="AA40" s="11"/>
      <c r="AB40" s="11"/>
      <c r="AC40" s="11"/>
      <c r="AD40" s="11"/>
      <c r="AE40" s="11"/>
      <c r="AF40" s="214"/>
      <c r="AG40" s="185"/>
      <c r="AH40" s="185"/>
      <c r="AI40" s="185"/>
      <c r="AJ40" s="185"/>
      <c r="AK40" s="185"/>
      <c r="AL40" s="185"/>
      <c r="AM40" s="185"/>
      <c r="AN40" s="185"/>
      <c r="AO40" s="185"/>
      <c r="AP40" s="185"/>
      <c r="AQ40" s="185"/>
      <c r="AR40" s="185"/>
      <c r="AS40" s="185"/>
      <c r="AT40" s="185"/>
      <c r="AU40" s="185"/>
      <c r="AV40" s="185"/>
    </row>
    <row r="41" spans="1:48" outlineLevel="1">
      <c r="A41" s="11"/>
      <c r="B41" s="11"/>
      <c r="C41" s="11"/>
      <c r="D41" s="11"/>
      <c r="E41" s="11"/>
      <c r="F41" s="38" t="s">
        <v>5</v>
      </c>
      <c r="G41" s="325" t="str">
        <f>CONCATENATE(LEFT(H41, 4)-1 &amp;"-" &amp;IF(H41&gt;"2009-10",,"0") &amp;RIGHT(H41,2)-1)</f>
        <v>2008-09</v>
      </c>
      <c r="H41" s="313" t="str">
        <f>V7</f>
        <v>2009-10</v>
      </c>
      <c r="I41" s="313" t="str">
        <f>CONCATENATE(LEFT(H41, 4)+1 &amp;"-" &amp;IF(H41&gt;"2007-08",,"0") &amp;RIGHT(H41,2)+1)</f>
        <v>2010-11</v>
      </c>
      <c r="J41" s="313" t="str">
        <f t="shared" ref="J41:P41" si="2">CONCATENATE(LEFT(I41, 4)+1 &amp;"-" &amp;IF(I41&gt;"2007-08",,"0") &amp;RIGHT(I41,2)+1)</f>
        <v>2011-12</v>
      </c>
      <c r="K41" s="313" t="str">
        <f t="shared" si="2"/>
        <v>2012-13</v>
      </c>
      <c r="L41" s="313" t="str">
        <f t="shared" si="2"/>
        <v>2013-14</v>
      </c>
      <c r="M41" s="234" t="str">
        <f t="shared" si="2"/>
        <v>2014-15</v>
      </c>
      <c r="N41" s="234" t="str">
        <f t="shared" si="2"/>
        <v>2015-16</v>
      </c>
      <c r="O41" s="234" t="str">
        <f t="shared" si="2"/>
        <v>2016-17</v>
      </c>
      <c r="P41" s="234" t="str">
        <f t="shared" si="2"/>
        <v>2017-18</v>
      </c>
      <c r="Q41" s="234" t="str">
        <f>CONCATENATE(LEFT(P41, 4)+1 &amp;"-" &amp;IF(P41&gt;"2007-08",,"0") &amp;RIGHT(P41,2)+1)</f>
        <v>2018-19</v>
      </c>
      <c r="R41" s="143"/>
      <c r="S41" s="8"/>
      <c r="T41" s="8"/>
      <c r="U41" s="8"/>
      <c r="V41" s="8"/>
      <c r="W41" s="42"/>
      <c r="X41" s="337"/>
      <c r="Y41" s="9"/>
      <c r="Z41" s="411"/>
      <c r="AA41" s="411"/>
      <c r="AB41" s="411"/>
      <c r="AC41" s="411"/>
      <c r="AD41" s="411"/>
      <c r="AE41" s="411"/>
      <c r="AF41" s="414"/>
      <c r="AG41" s="185"/>
      <c r="AH41" s="185"/>
      <c r="AI41" s="185"/>
      <c r="AJ41" s="185"/>
      <c r="AK41" s="185"/>
      <c r="AL41" s="185"/>
      <c r="AM41" s="185"/>
      <c r="AN41" s="185"/>
      <c r="AO41" s="185"/>
      <c r="AP41" s="185"/>
      <c r="AQ41" s="185"/>
      <c r="AR41" s="185"/>
      <c r="AS41" s="185"/>
      <c r="AT41" s="185"/>
      <c r="AU41" s="185"/>
      <c r="AV41" s="185"/>
    </row>
    <row r="42" spans="1:48" outlineLevel="1">
      <c r="A42" s="11"/>
      <c r="B42" s="11"/>
      <c r="C42" s="11"/>
      <c r="D42" s="11"/>
      <c r="E42" s="11"/>
      <c r="F42" s="39" t="str">
        <f>Asset1</f>
        <v>Sub-transmission lines and cables</v>
      </c>
      <c r="G42" s="315">
        <v>162.69999999999999</v>
      </c>
      <c r="H42" s="444">
        <v>115.637323314965</v>
      </c>
      <c r="I42" s="444">
        <v>118.17192321181</v>
      </c>
      <c r="J42" s="444">
        <v>125.71548624700002</v>
      </c>
      <c r="K42" s="444">
        <v>96.18287772959998</v>
      </c>
      <c r="L42" s="444">
        <v>53.906705853951017</v>
      </c>
      <c r="M42" s="60"/>
      <c r="N42" s="60"/>
      <c r="O42" s="60"/>
      <c r="P42" s="60"/>
      <c r="Q42" s="60"/>
      <c r="R42" s="275"/>
      <c r="S42" s="8"/>
      <c r="T42" s="8"/>
      <c r="U42" s="8"/>
      <c r="V42" s="8"/>
      <c r="W42" s="42"/>
      <c r="X42" s="337"/>
      <c r="Y42" s="9"/>
      <c r="Z42" s="141"/>
      <c r="AA42" s="141"/>
      <c r="AB42" s="141"/>
      <c r="AC42" s="141"/>
      <c r="AD42" s="141"/>
      <c r="AE42" s="141"/>
      <c r="AF42" s="399"/>
      <c r="AG42" s="185"/>
      <c r="AH42" s="185"/>
      <c r="AI42" s="185"/>
      <c r="AJ42" s="185"/>
      <c r="AK42" s="185"/>
      <c r="AL42" s="185"/>
      <c r="AM42" s="185"/>
      <c r="AN42" s="185"/>
      <c r="AO42" s="185"/>
      <c r="AP42" s="185"/>
      <c r="AQ42" s="185"/>
      <c r="AR42" s="185"/>
      <c r="AS42" s="185"/>
      <c r="AT42" s="185"/>
      <c r="AU42" s="185"/>
      <c r="AV42" s="185"/>
    </row>
    <row r="43" spans="1:48" outlineLevel="1">
      <c r="A43" s="11"/>
      <c r="B43" s="11"/>
      <c r="C43" s="11"/>
      <c r="D43" s="11"/>
      <c r="E43" s="11"/>
      <c r="F43" s="39" t="str">
        <f>Asset2</f>
        <v>Cable tunnel (dx)</v>
      </c>
      <c r="G43" s="315">
        <v>0</v>
      </c>
      <c r="H43" s="450">
        <v>1.03880488</v>
      </c>
      <c r="I43" s="450">
        <v>0.23831696999999999</v>
      </c>
      <c r="J43" s="450">
        <v>3.9804910000000006E-2</v>
      </c>
      <c r="K43" s="450">
        <v>56.919638259999999</v>
      </c>
      <c r="L43" s="450">
        <v>44.51561746864143</v>
      </c>
      <c r="M43" s="61"/>
      <c r="N43" s="61"/>
      <c r="O43" s="61"/>
      <c r="P43" s="61"/>
      <c r="Q43" s="61"/>
      <c r="R43" s="275"/>
      <c r="S43" s="8"/>
      <c r="T43" s="8"/>
      <c r="U43" s="8"/>
      <c r="V43" s="8"/>
      <c r="W43" s="42"/>
      <c r="X43" s="337"/>
      <c r="Y43" s="9"/>
      <c r="Z43" s="141"/>
      <c r="AA43" s="141"/>
      <c r="AB43" s="141"/>
      <c r="AC43" s="141"/>
      <c r="AD43" s="141"/>
      <c r="AE43" s="141"/>
      <c r="AF43" s="399"/>
      <c r="AG43" s="185"/>
      <c r="AH43" s="185"/>
      <c r="AI43" s="185"/>
      <c r="AJ43" s="185"/>
      <c r="AK43" s="185"/>
      <c r="AL43" s="185"/>
      <c r="AM43" s="185"/>
      <c r="AN43" s="185"/>
      <c r="AO43" s="185"/>
      <c r="AP43" s="185"/>
      <c r="AQ43" s="185"/>
      <c r="AR43" s="185"/>
      <c r="AS43" s="185"/>
      <c r="AT43" s="185"/>
      <c r="AU43" s="185"/>
      <c r="AV43" s="185"/>
    </row>
    <row r="44" spans="1:48" outlineLevel="1">
      <c r="A44" s="11"/>
      <c r="B44" s="11"/>
      <c r="C44" s="11"/>
      <c r="D44" s="11"/>
      <c r="E44" s="11"/>
      <c r="F44" s="39" t="str">
        <f>Asset3</f>
        <v>Distribution lines and cables</v>
      </c>
      <c r="G44" s="315">
        <v>193.94325296000002</v>
      </c>
      <c r="H44" s="450">
        <v>184.52154811448969</v>
      </c>
      <c r="I44" s="450">
        <v>290.98387194399999</v>
      </c>
      <c r="J44" s="450">
        <v>308.60391237613015</v>
      </c>
      <c r="K44" s="450">
        <v>276.99586638626988</v>
      </c>
      <c r="L44" s="450">
        <v>193.28807641491812</v>
      </c>
      <c r="M44" s="61"/>
      <c r="N44" s="61"/>
      <c r="O44" s="61"/>
      <c r="P44" s="61"/>
      <c r="Q44" s="61"/>
      <c r="R44" s="275"/>
      <c r="S44" s="306"/>
      <c r="T44" s="8"/>
      <c r="U44" s="8"/>
      <c r="V44" s="8"/>
      <c r="W44" s="42"/>
      <c r="X44" s="337"/>
      <c r="Y44" s="9"/>
      <c r="Z44" s="141"/>
      <c r="AA44" s="141"/>
      <c r="AB44" s="141"/>
      <c r="AC44" s="141"/>
      <c r="AD44" s="141"/>
      <c r="AE44" s="141"/>
      <c r="AF44" s="399"/>
      <c r="AG44" s="185"/>
      <c r="AH44" s="185"/>
      <c r="AI44" s="185"/>
      <c r="AJ44" s="185"/>
      <c r="AK44" s="185"/>
      <c r="AL44" s="185"/>
      <c r="AM44" s="185"/>
      <c r="AN44" s="185"/>
      <c r="AO44" s="185"/>
      <c r="AP44" s="185"/>
      <c r="AQ44" s="185"/>
      <c r="AR44" s="185"/>
      <c r="AS44" s="185"/>
      <c r="AT44" s="185"/>
      <c r="AU44" s="185"/>
      <c r="AV44" s="185"/>
    </row>
    <row r="45" spans="1:48" outlineLevel="1">
      <c r="A45" s="11"/>
      <c r="B45" s="11"/>
      <c r="C45" s="11"/>
      <c r="D45" s="11"/>
      <c r="E45" s="11"/>
      <c r="F45" s="39" t="str">
        <f>Asset4</f>
        <v>Substations</v>
      </c>
      <c r="G45" s="315">
        <v>286.03801247999996</v>
      </c>
      <c r="H45" s="450">
        <v>301.77707357934969</v>
      </c>
      <c r="I45" s="450">
        <v>343.08434250633394</v>
      </c>
      <c r="J45" s="450">
        <v>417.66179004413061</v>
      </c>
      <c r="K45" s="450">
        <v>277.52553368266439</v>
      </c>
      <c r="L45" s="450">
        <v>170.53987451806853</v>
      </c>
      <c r="M45" s="61"/>
      <c r="N45" s="61"/>
      <c r="O45" s="61"/>
      <c r="P45" s="61"/>
      <c r="Q45" s="61"/>
      <c r="R45" s="275"/>
      <c r="S45" s="8"/>
      <c r="T45" s="8"/>
      <c r="U45" s="8"/>
      <c r="V45" s="8"/>
      <c r="W45" s="42"/>
      <c r="X45" s="337"/>
      <c r="Y45" s="9"/>
      <c r="Z45" s="141"/>
      <c r="AA45" s="141"/>
      <c r="AB45" s="141"/>
      <c r="AC45" s="141"/>
      <c r="AD45" s="141"/>
      <c r="AE45" s="141"/>
      <c r="AF45" s="399"/>
      <c r="AG45" s="185"/>
      <c r="AH45" s="185"/>
      <c r="AI45" s="185"/>
      <c r="AJ45" s="185"/>
      <c r="AK45" s="185"/>
      <c r="AL45" s="185"/>
      <c r="AM45" s="185"/>
      <c r="AN45" s="185"/>
      <c r="AO45" s="185"/>
      <c r="AP45" s="185"/>
      <c r="AQ45" s="185"/>
      <c r="AR45" s="185"/>
      <c r="AS45" s="185"/>
      <c r="AT45" s="185"/>
      <c r="AU45" s="185"/>
      <c r="AV45" s="185"/>
    </row>
    <row r="46" spans="1:48" outlineLevel="1">
      <c r="A46" s="11"/>
      <c r="B46" s="11"/>
      <c r="C46" s="11"/>
      <c r="D46" s="11"/>
      <c r="E46" s="11"/>
      <c r="F46" s="39" t="str">
        <f>Asset5</f>
        <v>Transformers</v>
      </c>
      <c r="G46" s="315">
        <v>53.933070549999997</v>
      </c>
      <c r="H46" s="450">
        <v>57.399967567594985</v>
      </c>
      <c r="I46" s="450">
        <v>78.330932110956695</v>
      </c>
      <c r="J46" s="450">
        <v>53.549009273335308</v>
      </c>
      <c r="K46" s="450">
        <v>40.800441885424725</v>
      </c>
      <c r="L46" s="450">
        <v>30.819467554495823</v>
      </c>
      <c r="M46" s="61"/>
      <c r="N46" s="61"/>
      <c r="O46" s="61"/>
      <c r="P46" s="61"/>
      <c r="Q46" s="61"/>
      <c r="R46" s="275"/>
      <c r="S46" s="8"/>
      <c r="T46" s="8"/>
      <c r="U46" s="8"/>
      <c r="V46" s="8"/>
      <c r="W46" s="42"/>
      <c r="X46" s="337"/>
      <c r="Y46" s="9"/>
      <c r="Z46" s="141"/>
      <c r="AA46" s="141"/>
      <c r="AB46" s="141"/>
      <c r="AC46" s="141"/>
      <c r="AD46" s="141"/>
      <c r="AE46" s="141"/>
      <c r="AF46" s="399"/>
      <c r="AG46" s="185"/>
      <c r="AH46" s="185"/>
      <c r="AI46" s="185"/>
      <c r="AJ46" s="185"/>
      <c r="AK46" s="185"/>
      <c r="AL46" s="185"/>
      <c r="AM46" s="185"/>
      <c r="AN46" s="185"/>
      <c r="AO46" s="185"/>
      <c r="AP46" s="185"/>
      <c r="AQ46" s="185"/>
      <c r="AR46" s="185"/>
      <c r="AS46" s="185"/>
      <c r="AT46" s="185"/>
      <c r="AU46" s="185"/>
      <c r="AV46" s="185"/>
    </row>
    <row r="47" spans="1:48" outlineLevel="1">
      <c r="A47" s="11"/>
      <c r="B47" s="11"/>
      <c r="C47" s="11"/>
      <c r="D47" s="11"/>
      <c r="E47" s="11"/>
      <c r="F47" s="39" t="str">
        <f>Asset6</f>
        <v>Low Voltage Lines and Cables</v>
      </c>
      <c r="G47" s="315">
        <v>137.37258537000002</v>
      </c>
      <c r="H47" s="450">
        <v>147.30042034196501</v>
      </c>
      <c r="I47" s="450">
        <v>177.96745040999997</v>
      </c>
      <c r="J47" s="450">
        <v>217.11089568227627</v>
      </c>
      <c r="K47" s="450">
        <v>176.0086795781236</v>
      </c>
      <c r="L47" s="450">
        <v>154.78061115978869</v>
      </c>
      <c r="M47" s="61"/>
      <c r="N47" s="61"/>
      <c r="O47" s="61"/>
      <c r="P47" s="61"/>
      <c r="Q47" s="61"/>
      <c r="R47" s="275"/>
      <c r="S47" s="8"/>
      <c r="T47" s="8"/>
      <c r="U47" s="8"/>
      <c r="V47" s="8"/>
      <c r="W47" s="42"/>
      <c r="X47" s="337"/>
      <c r="Y47" s="9"/>
      <c r="Z47" s="141"/>
      <c r="AA47" s="141"/>
      <c r="AB47" s="141"/>
      <c r="AC47" s="141"/>
      <c r="AD47" s="141"/>
      <c r="AE47" s="141"/>
      <c r="AF47" s="399"/>
      <c r="AG47" s="185"/>
      <c r="AH47" s="185"/>
      <c r="AI47" s="185"/>
      <c r="AJ47" s="185"/>
      <c r="AK47" s="185"/>
      <c r="AL47" s="185"/>
      <c r="AM47" s="185"/>
      <c r="AN47" s="185"/>
      <c r="AO47" s="185"/>
      <c r="AP47" s="185"/>
      <c r="AQ47" s="185"/>
      <c r="AR47" s="185"/>
      <c r="AS47" s="185"/>
      <c r="AT47" s="185"/>
      <c r="AU47" s="185"/>
      <c r="AV47" s="185"/>
    </row>
    <row r="48" spans="1:48" outlineLevel="1">
      <c r="A48" s="11"/>
      <c r="B48" s="11"/>
      <c r="C48" s="11"/>
      <c r="D48" s="11"/>
      <c r="E48" s="11"/>
      <c r="F48" s="39" t="str">
        <f>Asset7</f>
        <v>Customer Metering and Load Control</v>
      </c>
      <c r="G48" s="315">
        <v>23.9</v>
      </c>
      <c r="H48" s="450">
        <v>0.42458137000000001</v>
      </c>
      <c r="I48" s="450">
        <v>0</v>
      </c>
      <c r="J48" s="450">
        <v>0</v>
      </c>
      <c r="K48" s="450">
        <v>0</v>
      </c>
      <c r="L48" s="450">
        <v>0</v>
      </c>
      <c r="M48" s="61"/>
      <c r="N48" s="61"/>
      <c r="O48" s="61"/>
      <c r="P48" s="61"/>
      <c r="Q48" s="61"/>
      <c r="R48" s="275"/>
      <c r="S48" s="8"/>
      <c r="T48" s="8"/>
      <c r="U48" s="8"/>
      <c r="V48" s="8"/>
      <c r="W48" s="42"/>
      <c r="X48" s="337"/>
      <c r="Y48" s="9"/>
      <c r="Z48" s="141"/>
      <c r="AA48" s="141"/>
      <c r="AB48" s="141"/>
      <c r="AC48" s="141"/>
      <c r="AD48" s="141"/>
      <c r="AE48" s="141"/>
      <c r="AF48" s="399"/>
      <c r="AG48" s="185"/>
      <c r="AH48" s="185"/>
      <c r="AI48" s="185"/>
      <c r="AJ48" s="185"/>
      <c r="AK48" s="185"/>
      <c r="AL48" s="185"/>
      <c r="AM48" s="185"/>
      <c r="AN48" s="185"/>
      <c r="AO48" s="185"/>
      <c r="AP48" s="185"/>
      <c r="AQ48" s="185"/>
      <c r="AR48" s="185"/>
      <c r="AS48" s="185"/>
      <c r="AT48" s="185"/>
      <c r="AU48" s="185"/>
      <c r="AV48" s="185"/>
    </row>
    <row r="49" spans="1:48" outlineLevel="1">
      <c r="A49" s="11"/>
      <c r="B49" s="11"/>
      <c r="C49" s="11"/>
      <c r="D49" s="11"/>
      <c r="E49" s="11"/>
      <c r="F49" s="39" t="str">
        <f>Asset8</f>
        <v>Customer Metering (digital)</v>
      </c>
      <c r="G49" s="315">
        <v>0</v>
      </c>
      <c r="H49" s="450">
        <v>22.539909299999998</v>
      </c>
      <c r="I49" s="450">
        <v>29.874306489999999</v>
      </c>
      <c r="J49" s="450">
        <v>24.182602139999993</v>
      </c>
      <c r="K49" s="450">
        <v>18.797886600000005</v>
      </c>
      <c r="L49" s="450">
        <v>17.634197130349651</v>
      </c>
      <c r="M49" s="61"/>
      <c r="N49" s="61"/>
      <c r="O49" s="61"/>
      <c r="P49" s="61"/>
      <c r="Q49" s="61"/>
      <c r="R49" s="275"/>
      <c r="S49" s="8"/>
      <c r="T49" s="8"/>
      <c r="U49" s="8"/>
      <c r="V49" s="8"/>
      <c r="W49" s="42"/>
      <c r="X49" s="337"/>
      <c r="Y49" s="9"/>
      <c r="Z49" s="141"/>
      <c r="AA49" s="141"/>
      <c r="AB49" s="141"/>
      <c r="AC49" s="141"/>
      <c r="AD49" s="141"/>
      <c r="AE49" s="141"/>
      <c r="AF49" s="399"/>
      <c r="AG49" s="185"/>
      <c r="AH49" s="185"/>
      <c r="AI49" s="185"/>
      <c r="AJ49" s="185"/>
      <c r="AK49" s="185"/>
      <c r="AL49" s="185"/>
      <c r="AM49" s="185"/>
      <c r="AN49" s="185"/>
      <c r="AO49" s="185"/>
      <c r="AP49" s="185"/>
      <c r="AQ49" s="185"/>
      <c r="AR49" s="185"/>
      <c r="AS49" s="185"/>
      <c r="AT49" s="185"/>
      <c r="AU49" s="185"/>
      <c r="AV49" s="185"/>
    </row>
    <row r="50" spans="1:48" outlineLevel="1">
      <c r="A50" s="11"/>
      <c r="B50" s="11"/>
      <c r="C50" s="11"/>
      <c r="D50" s="11"/>
      <c r="E50" s="11"/>
      <c r="F50" s="39" t="str">
        <f>Asset9</f>
        <v>Communications (digital) - dx</v>
      </c>
      <c r="G50" s="315">
        <v>0</v>
      </c>
      <c r="H50" s="450">
        <v>21.705821874249995</v>
      </c>
      <c r="I50" s="450">
        <v>1.1602349599999999</v>
      </c>
      <c r="J50" s="450">
        <v>1.0394035620000002</v>
      </c>
      <c r="K50" s="450">
        <v>1.1690009500000009</v>
      </c>
      <c r="L50" s="450">
        <v>1.2856241399999999</v>
      </c>
      <c r="M50" s="61"/>
      <c r="N50" s="61"/>
      <c r="O50" s="61"/>
      <c r="P50" s="61"/>
      <c r="Q50" s="61"/>
      <c r="R50" s="275"/>
      <c r="S50" s="8"/>
      <c r="T50" s="8"/>
      <c r="U50" s="8"/>
      <c r="V50" s="8"/>
      <c r="W50" s="42"/>
      <c r="X50" s="337"/>
      <c r="Y50" s="9"/>
      <c r="Z50" s="141"/>
      <c r="AA50" s="141"/>
      <c r="AB50" s="141"/>
      <c r="AC50" s="141"/>
      <c r="AD50" s="141"/>
      <c r="AE50" s="141"/>
      <c r="AF50" s="399"/>
      <c r="AG50" s="185"/>
      <c r="AH50" s="185"/>
      <c r="AI50" s="185"/>
      <c r="AJ50" s="185"/>
      <c r="AK50" s="185"/>
      <c r="AL50" s="185"/>
      <c r="AM50" s="185"/>
      <c r="AN50" s="185"/>
      <c r="AO50" s="185"/>
      <c r="AP50" s="185"/>
      <c r="AQ50" s="185"/>
      <c r="AR50" s="185"/>
      <c r="AS50" s="185"/>
      <c r="AT50" s="185"/>
      <c r="AU50" s="185"/>
      <c r="AV50" s="185"/>
    </row>
    <row r="51" spans="1:48" outlineLevel="1">
      <c r="A51" s="11"/>
      <c r="B51" s="11"/>
      <c r="C51" s="11"/>
      <c r="D51" s="11"/>
      <c r="E51" s="11"/>
      <c r="F51" s="39" t="str">
        <f>Asset10</f>
        <v>Total Communications</v>
      </c>
      <c r="G51" s="315">
        <v>37.599999999999994</v>
      </c>
      <c r="H51" s="450">
        <v>2.1727705100000003</v>
      </c>
      <c r="I51" s="450">
        <v>0</v>
      </c>
      <c r="J51" s="450">
        <v>0</v>
      </c>
      <c r="K51" s="450">
        <v>0</v>
      </c>
      <c r="L51" s="450">
        <v>0</v>
      </c>
      <c r="M51" s="61"/>
      <c r="N51" s="61"/>
      <c r="O51" s="61"/>
      <c r="P51" s="61"/>
      <c r="Q51" s="61"/>
      <c r="R51" s="275"/>
      <c r="S51" s="8"/>
      <c r="T51" s="8"/>
      <c r="U51" s="8"/>
      <c r="V51" s="8"/>
      <c r="W51" s="42"/>
      <c r="X51" s="337"/>
      <c r="Y51" s="9"/>
      <c r="Z51" s="141"/>
      <c r="AA51" s="141"/>
      <c r="AB51" s="141"/>
      <c r="AC51" s="141"/>
      <c r="AD51" s="141"/>
      <c r="AE51" s="141"/>
      <c r="AF51" s="399"/>
      <c r="AG51" s="185"/>
      <c r="AH51" s="185"/>
      <c r="AI51" s="185"/>
      <c r="AJ51" s="185"/>
      <c r="AK51" s="185"/>
      <c r="AL51" s="185"/>
      <c r="AM51" s="185"/>
      <c r="AN51" s="185"/>
      <c r="AO51" s="185"/>
      <c r="AP51" s="185"/>
      <c r="AQ51" s="185"/>
      <c r="AR51" s="185"/>
      <c r="AS51" s="185"/>
      <c r="AT51" s="185"/>
      <c r="AU51" s="185"/>
      <c r="AV51" s="185"/>
    </row>
    <row r="52" spans="1:48" outlineLevel="1">
      <c r="A52" s="11"/>
      <c r="B52" s="11"/>
      <c r="C52" s="11"/>
      <c r="D52" s="11"/>
      <c r="E52" s="11"/>
      <c r="F52" s="39" t="str">
        <f>Asset11</f>
        <v>System IT (dx)</v>
      </c>
      <c r="G52" s="315">
        <v>0</v>
      </c>
      <c r="H52" s="450">
        <v>28.899759730695003</v>
      </c>
      <c r="I52" s="450">
        <v>104.26797576097501</v>
      </c>
      <c r="J52" s="450">
        <v>117.18664893190001</v>
      </c>
      <c r="K52" s="450">
        <v>56.917605615199996</v>
      </c>
      <c r="L52" s="450">
        <v>9.8827440300000013</v>
      </c>
      <c r="M52" s="61"/>
      <c r="N52" s="61"/>
      <c r="O52" s="61"/>
      <c r="P52" s="61"/>
      <c r="Q52" s="61"/>
      <c r="R52" s="275"/>
      <c r="S52" s="8"/>
      <c r="T52" s="8"/>
      <c r="U52" s="8"/>
      <c r="V52" s="8"/>
      <c r="W52" s="42"/>
      <c r="X52" s="337"/>
      <c r="Y52" s="9"/>
      <c r="Z52" s="141"/>
      <c r="AA52" s="141"/>
      <c r="AB52" s="141"/>
      <c r="AC52" s="141"/>
      <c r="AD52" s="141"/>
      <c r="AE52" s="141"/>
      <c r="AF52" s="399"/>
      <c r="AG52" s="185"/>
      <c r="AH52" s="185"/>
      <c r="AI52" s="185"/>
      <c r="AJ52" s="185"/>
      <c r="AK52" s="185"/>
      <c r="AL52" s="185"/>
      <c r="AM52" s="185"/>
      <c r="AN52" s="185"/>
      <c r="AO52" s="185"/>
      <c r="AP52" s="185"/>
      <c r="AQ52" s="185"/>
      <c r="AR52" s="185"/>
      <c r="AS52" s="185"/>
      <c r="AT52" s="185"/>
      <c r="AU52" s="185"/>
      <c r="AV52" s="185"/>
    </row>
    <row r="53" spans="1:48" outlineLevel="1">
      <c r="A53" s="11"/>
      <c r="B53" s="11"/>
      <c r="C53" s="11"/>
      <c r="D53" s="11"/>
      <c r="E53" s="11"/>
      <c r="F53" s="39" t="str">
        <f>Asset12</f>
        <v>Ancillary substation equipment (dx)</v>
      </c>
      <c r="G53" s="315">
        <v>0</v>
      </c>
      <c r="H53" s="450">
        <v>26.98692426381</v>
      </c>
      <c r="I53" s="450">
        <v>6.9767609064750005</v>
      </c>
      <c r="J53" s="450">
        <v>14.499160764104998</v>
      </c>
      <c r="K53" s="450">
        <v>8.8248356132000048</v>
      </c>
      <c r="L53" s="450">
        <v>5.2362133302072547</v>
      </c>
      <c r="M53" s="61"/>
      <c r="N53" s="61"/>
      <c r="O53" s="61"/>
      <c r="P53" s="61"/>
      <c r="Q53" s="61"/>
      <c r="R53" s="275"/>
      <c r="S53" s="8"/>
      <c r="T53" s="8"/>
      <c r="U53" s="8"/>
      <c r="V53" s="8"/>
      <c r="W53" s="42"/>
      <c r="X53" s="337"/>
      <c r="Y53" s="9"/>
      <c r="Z53" s="141"/>
      <c r="AA53" s="141"/>
      <c r="AB53" s="141"/>
      <c r="AC53" s="141"/>
      <c r="AD53" s="141"/>
      <c r="AE53" s="141"/>
      <c r="AF53" s="399"/>
      <c r="AG53" s="185"/>
      <c r="AH53" s="185"/>
      <c r="AI53" s="185"/>
      <c r="AJ53" s="185"/>
      <c r="AK53" s="185"/>
      <c r="AL53" s="185"/>
      <c r="AM53" s="185"/>
      <c r="AN53" s="185"/>
      <c r="AO53" s="185"/>
      <c r="AP53" s="185"/>
      <c r="AQ53" s="185"/>
      <c r="AR53" s="185"/>
      <c r="AS53" s="185"/>
      <c r="AT53" s="185"/>
      <c r="AU53" s="185"/>
      <c r="AV53" s="185"/>
    </row>
    <row r="54" spans="1:48" outlineLevel="1">
      <c r="A54" s="11"/>
      <c r="B54" s="11"/>
      <c r="C54" s="11"/>
      <c r="D54" s="11"/>
      <c r="E54" s="11"/>
      <c r="F54" s="39" t="str">
        <f>Asset13</f>
        <v>Land and Easements</v>
      </c>
      <c r="G54" s="315">
        <v>106.69999999999999</v>
      </c>
      <c r="H54" s="450">
        <v>33.042589530000008</v>
      </c>
      <c r="I54" s="450">
        <v>16.579009630000002</v>
      </c>
      <c r="J54" s="450">
        <v>15.225442819999998</v>
      </c>
      <c r="K54" s="450">
        <v>9.9334102671999993</v>
      </c>
      <c r="L54" s="450">
        <v>7.8943037511952969</v>
      </c>
      <c r="M54" s="61"/>
      <c r="N54" s="61"/>
      <c r="O54" s="61"/>
      <c r="P54" s="61"/>
      <c r="Q54" s="61"/>
      <c r="R54" s="275"/>
      <c r="S54" s="8"/>
      <c r="T54" s="8"/>
      <c r="U54" s="8"/>
      <c r="V54" s="8"/>
      <c r="W54" s="42"/>
      <c r="X54" s="337"/>
      <c r="Y54" s="9"/>
      <c r="Z54" s="141"/>
      <c r="AA54" s="141"/>
      <c r="AB54" s="141"/>
      <c r="AC54" s="141"/>
      <c r="AD54" s="141"/>
      <c r="AE54" s="141"/>
      <c r="AF54" s="399"/>
      <c r="AG54" s="185"/>
      <c r="AH54" s="185"/>
      <c r="AI54" s="185"/>
      <c r="AJ54" s="185"/>
      <c r="AK54" s="185"/>
      <c r="AL54" s="185"/>
      <c r="AM54" s="185"/>
      <c r="AN54" s="185"/>
      <c r="AO54" s="185"/>
      <c r="AP54" s="185"/>
      <c r="AQ54" s="185"/>
      <c r="AR54" s="185"/>
      <c r="AS54" s="185"/>
      <c r="AT54" s="185"/>
      <c r="AU54" s="185"/>
      <c r="AV54" s="185"/>
    </row>
    <row r="55" spans="1:48" outlineLevel="1">
      <c r="A55" s="11"/>
      <c r="B55" s="11"/>
      <c r="C55" s="11"/>
      <c r="D55" s="11"/>
      <c r="E55" s="11"/>
      <c r="F55" s="39" t="str">
        <f>Asset14</f>
        <v>Emergency Spares (Major Plant, Excludes Inventory)</v>
      </c>
      <c r="G55" s="315">
        <v>0</v>
      </c>
      <c r="H55" s="450">
        <v>0</v>
      </c>
      <c r="I55" s="450">
        <v>0</v>
      </c>
      <c r="J55" s="450">
        <v>0</v>
      </c>
      <c r="K55" s="450">
        <v>0</v>
      </c>
      <c r="L55" s="450">
        <v>0</v>
      </c>
      <c r="M55" s="61"/>
      <c r="N55" s="61"/>
      <c r="O55" s="61"/>
      <c r="P55" s="61"/>
      <c r="Q55" s="61"/>
      <c r="R55" s="275"/>
      <c r="S55" s="8"/>
      <c r="T55" s="8"/>
      <c r="U55" s="8"/>
      <c r="V55" s="8"/>
      <c r="W55" s="42"/>
      <c r="X55" s="337"/>
      <c r="Y55" s="9"/>
      <c r="Z55" s="141"/>
      <c r="AA55" s="141"/>
      <c r="AB55" s="141"/>
      <c r="AC55" s="141"/>
      <c r="AD55" s="141"/>
      <c r="AE55" s="141"/>
      <c r="AF55" s="399"/>
      <c r="AG55" s="185"/>
      <c r="AH55" s="185"/>
      <c r="AI55" s="185"/>
      <c r="AJ55" s="185"/>
      <c r="AK55" s="185"/>
      <c r="AL55" s="185"/>
      <c r="AM55" s="185"/>
      <c r="AN55" s="185"/>
      <c r="AO55" s="185"/>
      <c r="AP55" s="185"/>
      <c r="AQ55" s="185"/>
      <c r="AR55" s="185"/>
      <c r="AS55" s="185"/>
      <c r="AT55" s="185"/>
      <c r="AU55" s="185"/>
      <c r="AV55" s="185"/>
    </row>
    <row r="56" spans="1:48" outlineLevel="1">
      <c r="A56" s="11"/>
      <c r="B56" s="11"/>
      <c r="C56" s="11"/>
      <c r="D56" s="11"/>
      <c r="E56" s="11"/>
      <c r="F56" s="39" t="str">
        <f>Asset15</f>
        <v>Furniture, fittings, plant and equipment</v>
      </c>
      <c r="G56" s="315">
        <v>5.2</v>
      </c>
      <c r="H56" s="450">
        <v>7.0695196098252646</v>
      </c>
      <c r="I56" s="450">
        <v>6.6205084583496898</v>
      </c>
      <c r="J56" s="450">
        <v>6.7902933273198061</v>
      </c>
      <c r="K56" s="450">
        <v>4.2078227211102588</v>
      </c>
      <c r="L56" s="450">
        <v>3.8512281100000001</v>
      </c>
      <c r="M56" s="61"/>
      <c r="N56" s="61"/>
      <c r="O56" s="61"/>
      <c r="P56" s="61"/>
      <c r="Q56" s="61"/>
      <c r="R56" s="275"/>
      <c r="S56" s="8"/>
      <c r="T56" s="8"/>
      <c r="U56" s="8"/>
      <c r="V56" s="8"/>
      <c r="W56" s="42"/>
      <c r="X56" s="337"/>
      <c r="Y56" s="9"/>
      <c r="Z56" s="141"/>
      <c r="AA56" s="141"/>
      <c r="AB56" s="141"/>
      <c r="AC56" s="141"/>
      <c r="AD56" s="141"/>
      <c r="AE56" s="141"/>
      <c r="AF56" s="399"/>
      <c r="AG56" s="185"/>
      <c r="AH56" s="185"/>
      <c r="AI56" s="185"/>
      <c r="AJ56" s="185"/>
      <c r="AK56" s="185"/>
      <c r="AL56" s="185"/>
      <c r="AM56" s="185"/>
      <c r="AN56" s="185"/>
      <c r="AO56" s="185"/>
      <c r="AP56" s="185"/>
      <c r="AQ56" s="185"/>
      <c r="AR56" s="185"/>
      <c r="AS56" s="185"/>
      <c r="AT56" s="185"/>
      <c r="AU56" s="185"/>
      <c r="AV56" s="185"/>
    </row>
    <row r="57" spans="1:48" outlineLevel="1">
      <c r="A57" s="11"/>
      <c r="B57" s="11"/>
      <c r="C57" s="11"/>
      <c r="D57" s="11"/>
      <c r="E57" s="11"/>
      <c r="F57" s="39" t="str">
        <f>Asset16</f>
        <v>Land (non-system)</v>
      </c>
      <c r="G57" s="315">
        <v>11.2</v>
      </c>
      <c r="H57" s="450">
        <v>18.6265015</v>
      </c>
      <c r="I57" s="450">
        <v>6.186337</v>
      </c>
      <c r="J57" s="450">
        <v>8.0703480422550005</v>
      </c>
      <c r="K57" s="450">
        <v>0</v>
      </c>
      <c r="L57" s="450">
        <v>3.2536799999999992E-3</v>
      </c>
      <c r="M57" s="61"/>
      <c r="N57" s="61"/>
      <c r="O57" s="61"/>
      <c r="P57" s="61"/>
      <c r="Q57" s="61"/>
      <c r="R57" s="275"/>
      <c r="S57" s="8"/>
      <c r="T57" s="8"/>
      <c r="U57" s="8"/>
      <c r="V57" s="8"/>
      <c r="W57" s="42"/>
      <c r="X57" s="337"/>
      <c r="Y57" s="9"/>
      <c r="Z57" s="141"/>
      <c r="AA57" s="141"/>
      <c r="AB57" s="141"/>
      <c r="AC57" s="141"/>
      <c r="AD57" s="141"/>
      <c r="AE57" s="141"/>
      <c r="AF57" s="399"/>
      <c r="AG57" s="185"/>
      <c r="AH57" s="185"/>
      <c r="AI57" s="185"/>
      <c r="AJ57" s="185"/>
      <c r="AK57" s="185"/>
      <c r="AL57" s="185"/>
      <c r="AM57" s="185"/>
      <c r="AN57" s="185"/>
      <c r="AO57" s="185"/>
      <c r="AP57" s="185"/>
      <c r="AQ57" s="185"/>
      <c r="AR57" s="185"/>
      <c r="AS57" s="185"/>
      <c r="AT57" s="185"/>
      <c r="AU57" s="185"/>
      <c r="AV57" s="185"/>
    </row>
    <row r="58" spans="1:48" outlineLevel="1">
      <c r="A58" s="11"/>
      <c r="B58" s="11"/>
      <c r="C58" s="11"/>
      <c r="D58" s="11"/>
      <c r="E58" s="11"/>
      <c r="F58" s="39" t="str">
        <f>Asset17</f>
        <v>Other non system assets</v>
      </c>
      <c r="G58" s="315">
        <v>0.7</v>
      </c>
      <c r="H58" s="450">
        <v>0.33585530122773799</v>
      </c>
      <c r="I58" s="450">
        <v>8.4895495322999989E-2</v>
      </c>
      <c r="J58" s="450">
        <v>1.0888254988163675</v>
      </c>
      <c r="K58" s="450">
        <v>0.16062966013500002</v>
      </c>
      <c r="L58" s="450">
        <v>0.55486943000000011</v>
      </c>
      <c r="M58" s="61"/>
      <c r="N58" s="61"/>
      <c r="O58" s="61"/>
      <c r="P58" s="61"/>
      <c r="Q58" s="61"/>
      <c r="R58" s="275"/>
      <c r="S58" s="8"/>
      <c r="T58" s="8"/>
      <c r="U58" s="8"/>
      <c r="V58" s="8"/>
      <c r="W58" s="42"/>
      <c r="X58" s="337"/>
      <c r="Y58" s="9"/>
      <c r="Z58" s="141"/>
      <c r="AA58" s="141"/>
      <c r="AB58" s="141"/>
      <c r="AC58" s="141"/>
      <c r="AD58" s="141"/>
      <c r="AE58" s="141"/>
      <c r="AF58" s="399"/>
      <c r="AG58" s="185"/>
      <c r="AH58" s="185"/>
      <c r="AI58" s="185"/>
      <c r="AJ58" s="185"/>
      <c r="AK58" s="185"/>
      <c r="AL58" s="185"/>
      <c r="AM58" s="185"/>
      <c r="AN58" s="185"/>
      <c r="AO58" s="185"/>
      <c r="AP58" s="185"/>
      <c r="AQ58" s="185"/>
      <c r="AR58" s="185"/>
      <c r="AS58" s="185"/>
      <c r="AT58" s="185"/>
      <c r="AU58" s="185"/>
      <c r="AV58" s="185"/>
    </row>
    <row r="59" spans="1:48" outlineLevel="1">
      <c r="A59" s="11"/>
      <c r="B59" s="11"/>
      <c r="C59" s="11"/>
      <c r="D59" s="11"/>
      <c r="E59" s="11"/>
      <c r="F59" s="39" t="str">
        <f>Asset18</f>
        <v>IT systems</v>
      </c>
      <c r="G59" s="315">
        <v>85.899999999999991</v>
      </c>
      <c r="H59" s="450">
        <v>44.322597436834201</v>
      </c>
      <c r="I59" s="450">
        <v>49.9876961129264</v>
      </c>
      <c r="J59" s="450">
        <v>32.238231489576044</v>
      </c>
      <c r="K59" s="450">
        <v>24.906676623142236</v>
      </c>
      <c r="L59" s="450">
        <v>24.951590285770937</v>
      </c>
      <c r="M59" s="61"/>
      <c r="N59" s="61"/>
      <c r="O59" s="61"/>
      <c r="P59" s="61"/>
      <c r="Q59" s="61"/>
      <c r="R59" s="275"/>
      <c r="S59" s="8"/>
      <c r="T59" s="8"/>
      <c r="U59" s="8"/>
      <c r="V59" s="8"/>
      <c r="W59" s="42"/>
      <c r="X59" s="337"/>
      <c r="Y59" s="9"/>
      <c r="Z59" s="141"/>
      <c r="AA59" s="141"/>
      <c r="AB59" s="141"/>
      <c r="AC59" s="141"/>
      <c r="AD59" s="141"/>
      <c r="AE59" s="141"/>
      <c r="AF59" s="399"/>
      <c r="AG59" s="185"/>
      <c r="AH59" s="185"/>
      <c r="AI59" s="185"/>
      <c r="AJ59" s="185"/>
      <c r="AK59" s="185"/>
      <c r="AL59" s="185"/>
      <c r="AM59" s="185"/>
      <c r="AN59" s="185"/>
      <c r="AO59" s="185"/>
      <c r="AP59" s="185"/>
      <c r="AQ59" s="185"/>
      <c r="AR59" s="185"/>
      <c r="AS59" s="185"/>
      <c r="AT59" s="185"/>
      <c r="AU59" s="185"/>
      <c r="AV59" s="185"/>
    </row>
    <row r="60" spans="1:48" outlineLevel="1">
      <c r="A60" s="11"/>
      <c r="B60" s="11"/>
      <c r="C60" s="11"/>
      <c r="D60" s="11"/>
      <c r="E60" s="11"/>
      <c r="F60" s="39" t="str">
        <f>Asset19</f>
        <v>Motor vehicles</v>
      </c>
      <c r="G60" s="315">
        <v>25.799999999999997</v>
      </c>
      <c r="H60" s="450">
        <v>25.500661048126382</v>
      </c>
      <c r="I60" s="450">
        <v>27.772563694778199</v>
      </c>
      <c r="J60" s="450">
        <v>29.603397228391668</v>
      </c>
      <c r="K60" s="450">
        <v>14.155482739759876</v>
      </c>
      <c r="L60" s="450">
        <v>8.3519238900000001</v>
      </c>
      <c r="M60" s="61"/>
      <c r="N60" s="61"/>
      <c r="O60" s="61"/>
      <c r="P60" s="61"/>
      <c r="Q60" s="61"/>
      <c r="R60" s="275"/>
      <c r="S60" s="8"/>
      <c r="T60" s="8"/>
      <c r="U60" s="8"/>
      <c r="V60" s="8"/>
      <c r="W60" s="42"/>
      <c r="X60" s="337"/>
      <c r="Y60" s="9"/>
      <c r="Z60" s="141"/>
      <c r="AA60" s="141"/>
      <c r="AB60" s="141"/>
      <c r="AC60" s="141"/>
      <c r="AD60" s="141"/>
      <c r="AE60" s="141"/>
      <c r="AF60" s="399"/>
      <c r="AG60" s="185"/>
      <c r="AH60" s="185"/>
      <c r="AI60" s="185"/>
      <c r="AJ60" s="185"/>
      <c r="AK60" s="185"/>
      <c r="AL60" s="185"/>
      <c r="AM60" s="185"/>
      <c r="AN60" s="185"/>
      <c r="AO60" s="185"/>
      <c r="AP60" s="185"/>
      <c r="AQ60" s="185"/>
      <c r="AR60" s="185"/>
      <c r="AS60" s="185"/>
      <c r="AT60" s="185"/>
      <c r="AU60" s="185"/>
      <c r="AV60" s="185"/>
    </row>
    <row r="61" spans="1:48" outlineLevel="1">
      <c r="A61" s="11"/>
      <c r="B61" s="11"/>
      <c r="C61" s="11"/>
      <c r="D61" s="11"/>
      <c r="E61" s="11"/>
      <c r="F61" s="39" t="str">
        <f>Asset20</f>
        <v>Buildings</v>
      </c>
      <c r="G61" s="315">
        <v>55</v>
      </c>
      <c r="H61" s="450">
        <v>62.777201993559125</v>
      </c>
      <c r="I61" s="450">
        <v>59.000986418083798</v>
      </c>
      <c r="J61" s="450">
        <v>29.523516374389207</v>
      </c>
      <c r="K61" s="450">
        <v>17.927694073285</v>
      </c>
      <c r="L61" s="450">
        <v>26.721970884431514</v>
      </c>
      <c r="M61" s="61"/>
      <c r="N61" s="61"/>
      <c r="O61" s="61"/>
      <c r="P61" s="61"/>
      <c r="Q61" s="61"/>
      <c r="R61" s="275"/>
      <c r="S61" s="8"/>
      <c r="T61" s="8"/>
      <c r="U61" s="8"/>
      <c r="V61" s="8"/>
      <c r="W61" s="42"/>
      <c r="X61" s="337"/>
      <c r="Y61" s="9"/>
      <c r="Z61" s="141"/>
      <c r="AA61" s="141"/>
      <c r="AB61" s="141"/>
      <c r="AC61" s="141"/>
      <c r="AD61" s="141"/>
      <c r="AE61" s="141"/>
      <c r="AF61" s="399"/>
      <c r="AG61" s="185"/>
      <c r="AH61" s="185"/>
      <c r="AI61" s="185"/>
      <c r="AJ61" s="185"/>
      <c r="AK61" s="185"/>
      <c r="AL61" s="185"/>
      <c r="AM61" s="185"/>
      <c r="AN61" s="185"/>
      <c r="AO61" s="185"/>
      <c r="AP61" s="185"/>
      <c r="AQ61" s="185"/>
      <c r="AR61" s="185"/>
      <c r="AS61" s="185"/>
      <c r="AT61" s="185"/>
      <c r="AU61" s="185"/>
      <c r="AV61" s="185"/>
    </row>
    <row r="62" spans="1:48" outlineLevel="1">
      <c r="A62" s="11"/>
      <c r="B62" s="11"/>
      <c r="C62" s="11"/>
      <c r="D62" s="11"/>
      <c r="E62" s="11"/>
      <c r="F62" s="39" t="str">
        <f>Asset21</f>
        <v>Equity raising costs</v>
      </c>
      <c r="G62" s="315">
        <v>0</v>
      </c>
      <c r="H62" s="450">
        <f>25.5864116766828*(1+H178)^0.5</f>
        <v>25.818212380082496</v>
      </c>
      <c r="I62" s="450">
        <v>0</v>
      </c>
      <c r="J62" s="450">
        <v>0</v>
      </c>
      <c r="K62" s="450">
        <v>0</v>
      </c>
      <c r="L62" s="450">
        <v>0</v>
      </c>
      <c r="M62" s="61"/>
      <c r="N62" s="61"/>
      <c r="O62" s="61"/>
      <c r="P62" s="61"/>
      <c r="Q62" s="61"/>
      <c r="R62" s="8"/>
      <c r="S62" s="8"/>
      <c r="T62" s="8"/>
      <c r="U62" s="8"/>
      <c r="V62" s="8"/>
      <c r="W62" s="42"/>
      <c r="X62" s="337"/>
      <c r="Y62" s="9"/>
      <c r="Z62" s="141"/>
      <c r="AA62" s="141"/>
      <c r="AB62" s="141"/>
      <c r="AC62" s="141"/>
      <c r="AD62" s="141"/>
      <c r="AE62" s="141"/>
      <c r="AF62" s="399"/>
      <c r="AG62" s="185"/>
      <c r="AH62" s="185"/>
      <c r="AI62" s="185"/>
      <c r="AJ62" s="185"/>
      <c r="AK62" s="185"/>
      <c r="AL62" s="185"/>
      <c r="AM62" s="185"/>
      <c r="AN62" s="185"/>
      <c r="AO62" s="185"/>
      <c r="AP62" s="185"/>
      <c r="AQ62" s="185"/>
      <c r="AR62" s="185"/>
      <c r="AS62" s="185"/>
      <c r="AT62" s="185"/>
      <c r="AU62" s="185"/>
      <c r="AV62" s="185"/>
    </row>
    <row r="63" spans="1:48" outlineLevel="1">
      <c r="A63" s="11"/>
      <c r="B63" s="11"/>
      <c r="C63" s="11"/>
      <c r="D63" s="11"/>
      <c r="E63" s="11"/>
      <c r="F63" s="39">
        <f>Asset22</f>
        <v>0</v>
      </c>
      <c r="G63" s="166"/>
      <c r="H63" s="61"/>
      <c r="I63" s="61"/>
      <c r="J63" s="61"/>
      <c r="K63" s="61"/>
      <c r="L63" s="61"/>
      <c r="M63" s="61"/>
      <c r="N63" s="61"/>
      <c r="O63" s="61"/>
      <c r="P63" s="61"/>
      <c r="Q63" s="61"/>
      <c r="R63" s="8"/>
      <c r="S63" s="8"/>
      <c r="T63" s="8"/>
      <c r="U63" s="8"/>
      <c r="V63" s="8"/>
      <c r="W63" s="42"/>
      <c r="X63" s="337"/>
      <c r="Y63" s="9"/>
      <c r="Z63" s="141"/>
      <c r="AA63" s="141"/>
      <c r="AB63" s="141"/>
      <c r="AC63" s="141"/>
      <c r="AD63" s="141"/>
      <c r="AE63" s="141"/>
      <c r="AF63" s="399"/>
      <c r="AG63" s="185"/>
      <c r="AH63" s="185"/>
      <c r="AI63" s="185"/>
      <c r="AJ63" s="185"/>
      <c r="AK63" s="185"/>
      <c r="AL63" s="185"/>
      <c r="AM63" s="185"/>
      <c r="AN63" s="185"/>
      <c r="AO63" s="185"/>
      <c r="AP63" s="185"/>
      <c r="AQ63" s="185"/>
      <c r="AR63" s="185"/>
      <c r="AS63" s="185"/>
      <c r="AT63" s="185"/>
      <c r="AU63" s="185"/>
      <c r="AV63" s="185"/>
    </row>
    <row r="64" spans="1:48" outlineLevel="1">
      <c r="A64" s="11"/>
      <c r="B64" s="11"/>
      <c r="C64" s="11"/>
      <c r="D64" s="11"/>
      <c r="E64" s="11"/>
      <c r="F64" s="39">
        <f>Asset23</f>
        <v>0</v>
      </c>
      <c r="G64" s="166"/>
      <c r="H64" s="61"/>
      <c r="I64" s="61"/>
      <c r="J64" s="61"/>
      <c r="K64" s="61"/>
      <c r="L64" s="61"/>
      <c r="M64" s="61"/>
      <c r="N64" s="61"/>
      <c r="O64" s="61"/>
      <c r="P64" s="61"/>
      <c r="Q64" s="61"/>
      <c r="R64" s="8"/>
      <c r="S64" s="8"/>
      <c r="T64" s="8"/>
      <c r="U64" s="8"/>
      <c r="V64" s="8"/>
      <c r="W64" s="42"/>
      <c r="X64" s="337"/>
      <c r="Y64" s="9"/>
      <c r="Z64" s="141"/>
      <c r="AA64" s="141"/>
      <c r="AB64" s="141"/>
      <c r="AC64" s="141"/>
      <c r="AD64" s="141"/>
      <c r="AE64" s="141"/>
      <c r="AF64" s="399"/>
      <c r="AG64" s="185"/>
      <c r="AH64" s="185"/>
      <c r="AI64" s="185"/>
      <c r="AJ64" s="185"/>
      <c r="AK64" s="185"/>
      <c r="AL64" s="185"/>
      <c r="AM64" s="185"/>
      <c r="AN64" s="185"/>
      <c r="AO64" s="185"/>
      <c r="AP64" s="185"/>
      <c r="AQ64" s="185"/>
      <c r="AR64" s="185"/>
      <c r="AS64" s="185"/>
      <c r="AT64" s="185"/>
      <c r="AU64" s="185"/>
      <c r="AV64" s="185"/>
    </row>
    <row r="65" spans="1:48" outlineLevel="1">
      <c r="A65" s="11"/>
      <c r="B65" s="11"/>
      <c r="C65" s="11"/>
      <c r="D65" s="11"/>
      <c r="E65" s="11"/>
      <c r="F65" s="39">
        <f>Asset24</f>
        <v>0</v>
      </c>
      <c r="G65" s="166"/>
      <c r="H65" s="61"/>
      <c r="I65" s="61"/>
      <c r="J65" s="61"/>
      <c r="K65" s="61"/>
      <c r="L65" s="61"/>
      <c r="M65" s="61"/>
      <c r="N65" s="61"/>
      <c r="O65" s="61"/>
      <c r="P65" s="61"/>
      <c r="Q65" s="61"/>
      <c r="R65" s="8"/>
      <c r="S65" s="8"/>
      <c r="T65" s="8"/>
      <c r="U65" s="8"/>
      <c r="V65" s="8"/>
      <c r="W65" s="42"/>
      <c r="X65" s="337"/>
      <c r="Y65" s="9"/>
      <c r="Z65" s="141"/>
      <c r="AA65" s="141"/>
      <c r="AB65" s="141"/>
      <c r="AC65" s="141"/>
      <c r="AD65" s="141"/>
      <c r="AE65" s="141"/>
      <c r="AF65" s="399"/>
      <c r="AG65" s="185"/>
      <c r="AH65" s="185"/>
      <c r="AI65" s="185"/>
      <c r="AJ65" s="185"/>
      <c r="AK65" s="185"/>
      <c r="AL65" s="185"/>
      <c r="AM65" s="185"/>
      <c r="AN65" s="185"/>
      <c r="AO65" s="185"/>
      <c r="AP65" s="185"/>
      <c r="AQ65" s="185"/>
      <c r="AR65" s="185"/>
      <c r="AS65" s="185"/>
      <c r="AT65" s="185"/>
      <c r="AU65" s="185"/>
      <c r="AV65" s="185"/>
    </row>
    <row r="66" spans="1:48" outlineLevel="1">
      <c r="A66" s="11"/>
      <c r="B66" s="11"/>
      <c r="C66" s="11"/>
      <c r="D66" s="11"/>
      <c r="E66" s="11"/>
      <c r="F66" s="39">
        <f>Asset25</f>
        <v>0</v>
      </c>
      <c r="G66" s="166"/>
      <c r="H66" s="61"/>
      <c r="I66" s="61"/>
      <c r="J66" s="61"/>
      <c r="K66" s="61"/>
      <c r="L66" s="61"/>
      <c r="M66" s="61"/>
      <c r="N66" s="61"/>
      <c r="O66" s="61"/>
      <c r="P66" s="61"/>
      <c r="Q66" s="61"/>
      <c r="R66" s="8"/>
      <c r="S66" s="8"/>
      <c r="T66" s="8"/>
      <c r="U66" s="8"/>
      <c r="V66" s="8"/>
      <c r="W66" s="42"/>
      <c r="X66" s="337"/>
      <c r="Y66" s="9"/>
      <c r="Z66" s="141"/>
      <c r="AA66" s="141"/>
      <c r="AB66" s="141"/>
      <c r="AC66" s="141"/>
      <c r="AD66" s="141"/>
      <c r="AE66" s="141"/>
      <c r="AF66" s="399"/>
      <c r="AG66" s="185"/>
      <c r="AH66" s="185"/>
      <c r="AI66" s="185"/>
      <c r="AJ66" s="185"/>
      <c r="AK66" s="185"/>
      <c r="AL66" s="185"/>
      <c r="AM66" s="185"/>
      <c r="AN66" s="185"/>
      <c r="AO66" s="185"/>
      <c r="AP66" s="185"/>
      <c r="AQ66" s="185"/>
      <c r="AR66" s="185"/>
      <c r="AS66" s="185"/>
      <c r="AT66" s="185"/>
      <c r="AU66" s="185"/>
      <c r="AV66" s="185"/>
    </row>
    <row r="67" spans="1:48" outlineLevel="1">
      <c r="A67" s="11"/>
      <c r="B67" s="11"/>
      <c r="C67" s="11"/>
      <c r="D67" s="11"/>
      <c r="E67" s="11"/>
      <c r="F67" s="39">
        <f>Asset26</f>
        <v>0</v>
      </c>
      <c r="G67" s="166"/>
      <c r="H67" s="61"/>
      <c r="I67" s="61"/>
      <c r="J67" s="61"/>
      <c r="K67" s="61"/>
      <c r="L67" s="61"/>
      <c r="M67" s="61"/>
      <c r="N67" s="61"/>
      <c r="O67" s="61"/>
      <c r="P67" s="61"/>
      <c r="Q67" s="61"/>
      <c r="R67" s="8"/>
      <c r="S67" s="8"/>
      <c r="T67" s="8"/>
      <c r="U67" s="8"/>
      <c r="V67" s="8"/>
      <c r="W67" s="42"/>
      <c r="X67" s="337"/>
      <c r="Y67" s="9"/>
      <c r="Z67" s="141"/>
      <c r="AA67" s="141"/>
      <c r="AB67" s="141"/>
      <c r="AC67" s="141"/>
      <c r="AD67" s="141"/>
      <c r="AE67" s="141"/>
      <c r="AF67" s="399"/>
      <c r="AG67" s="185"/>
      <c r="AH67" s="185"/>
      <c r="AI67" s="185"/>
      <c r="AJ67" s="185"/>
      <c r="AK67" s="185"/>
      <c r="AL67" s="185"/>
      <c r="AM67" s="185"/>
      <c r="AN67" s="185"/>
      <c r="AO67" s="185"/>
      <c r="AP67" s="185"/>
      <c r="AQ67" s="185"/>
      <c r="AR67" s="185"/>
      <c r="AS67" s="185"/>
      <c r="AT67" s="185"/>
      <c r="AU67" s="185"/>
      <c r="AV67" s="185"/>
    </row>
    <row r="68" spans="1:48" outlineLevel="1">
      <c r="A68" s="11"/>
      <c r="B68" s="11"/>
      <c r="C68" s="11"/>
      <c r="D68" s="11"/>
      <c r="E68" s="11"/>
      <c r="F68" s="39">
        <f>Asset27</f>
        <v>0</v>
      </c>
      <c r="G68" s="166"/>
      <c r="H68" s="61"/>
      <c r="I68" s="61"/>
      <c r="J68" s="61"/>
      <c r="K68" s="61"/>
      <c r="L68" s="61"/>
      <c r="M68" s="61"/>
      <c r="N68" s="61"/>
      <c r="O68" s="61"/>
      <c r="P68" s="61"/>
      <c r="Q68" s="61"/>
      <c r="R68" s="8"/>
      <c r="S68" s="8"/>
      <c r="T68" s="8"/>
      <c r="U68" s="8"/>
      <c r="V68" s="8"/>
      <c r="W68" s="42"/>
      <c r="X68" s="337"/>
      <c r="Y68" s="9"/>
      <c r="Z68" s="141"/>
      <c r="AA68" s="141"/>
      <c r="AB68" s="141"/>
      <c r="AC68" s="141"/>
      <c r="AD68" s="141"/>
      <c r="AE68" s="141"/>
      <c r="AF68" s="399"/>
      <c r="AG68" s="185"/>
      <c r="AH68" s="185"/>
      <c r="AI68" s="185"/>
      <c r="AJ68" s="185"/>
      <c r="AK68" s="185"/>
      <c r="AL68" s="185"/>
      <c r="AM68" s="185"/>
      <c r="AN68" s="185"/>
      <c r="AO68" s="185"/>
      <c r="AP68" s="185"/>
      <c r="AQ68" s="185"/>
      <c r="AR68" s="185"/>
      <c r="AS68" s="185"/>
      <c r="AT68" s="185"/>
      <c r="AU68" s="185"/>
      <c r="AV68" s="185"/>
    </row>
    <row r="69" spans="1:48" outlineLevel="1">
      <c r="A69" s="11"/>
      <c r="B69" s="11"/>
      <c r="C69" s="11"/>
      <c r="D69" s="11"/>
      <c r="E69" s="11"/>
      <c r="F69" s="39">
        <f>Asset28</f>
        <v>0</v>
      </c>
      <c r="G69" s="166"/>
      <c r="H69" s="61"/>
      <c r="I69" s="61"/>
      <c r="J69" s="61"/>
      <c r="K69" s="61"/>
      <c r="L69" s="61"/>
      <c r="M69" s="61"/>
      <c r="N69" s="61"/>
      <c r="O69" s="61"/>
      <c r="P69" s="61"/>
      <c r="Q69" s="61"/>
      <c r="R69" s="8"/>
      <c r="S69" s="8"/>
      <c r="T69" s="8"/>
      <c r="U69" s="8"/>
      <c r="V69" s="8"/>
      <c r="W69" s="42"/>
      <c r="X69" s="337"/>
      <c r="Y69" s="9"/>
      <c r="Z69" s="141"/>
      <c r="AA69" s="141"/>
      <c r="AB69" s="141"/>
      <c r="AC69" s="141"/>
      <c r="AD69" s="141"/>
      <c r="AE69" s="141"/>
      <c r="AF69" s="399"/>
      <c r="AG69" s="185"/>
      <c r="AH69" s="185"/>
      <c r="AI69" s="185"/>
      <c r="AJ69" s="185"/>
      <c r="AK69" s="185"/>
      <c r="AL69" s="185"/>
      <c r="AM69" s="185"/>
      <c r="AN69" s="185"/>
      <c r="AO69" s="185"/>
      <c r="AP69" s="185"/>
      <c r="AQ69" s="185"/>
      <c r="AR69" s="185"/>
      <c r="AS69" s="185"/>
      <c r="AT69" s="185"/>
      <c r="AU69" s="185"/>
      <c r="AV69" s="185"/>
    </row>
    <row r="70" spans="1:48" outlineLevel="1">
      <c r="A70" s="11"/>
      <c r="B70" s="11"/>
      <c r="C70" s="11"/>
      <c r="D70" s="11"/>
      <c r="E70" s="11"/>
      <c r="F70" s="39">
        <f>Asset29</f>
        <v>0</v>
      </c>
      <c r="G70" s="166"/>
      <c r="H70" s="61"/>
      <c r="I70" s="61"/>
      <c r="J70" s="61"/>
      <c r="K70" s="61"/>
      <c r="L70" s="61"/>
      <c r="M70" s="61"/>
      <c r="N70" s="61"/>
      <c r="O70" s="61"/>
      <c r="P70" s="61"/>
      <c r="Q70" s="61"/>
      <c r="R70" s="8"/>
      <c r="S70" s="8"/>
      <c r="T70" s="8"/>
      <c r="U70" s="8"/>
      <c r="V70" s="8"/>
      <c r="W70" s="42"/>
      <c r="X70" s="337"/>
      <c r="Y70" s="9"/>
      <c r="Z70" s="141"/>
      <c r="AA70" s="141"/>
      <c r="AB70" s="141"/>
      <c r="AC70" s="141"/>
      <c r="AD70" s="141"/>
      <c r="AE70" s="141"/>
      <c r="AF70" s="399"/>
      <c r="AG70" s="185"/>
      <c r="AH70" s="185"/>
      <c r="AI70" s="185"/>
      <c r="AJ70" s="185"/>
      <c r="AK70" s="185"/>
      <c r="AL70" s="185"/>
      <c r="AM70" s="185"/>
      <c r="AN70" s="185"/>
      <c r="AO70" s="185"/>
      <c r="AP70" s="185"/>
      <c r="AQ70" s="185"/>
      <c r="AR70" s="185"/>
      <c r="AS70" s="185"/>
      <c r="AT70" s="185"/>
      <c r="AU70" s="185"/>
      <c r="AV70" s="185"/>
    </row>
    <row r="71" spans="1:48">
      <c r="A71" s="11"/>
      <c r="B71" s="11"/>
      <c r="C71" s="11"/>
      <c r="D71" s="11"/>
      <c r="E71" s="11"/>
      <c r="F71" s="39">
        <f>Asset30</f>
        <v>0</v>
      </c>
      <c r="G71" s="166"/>
      <c r="H71" s="61"/>
      <c r="I71" s="61"/>
      <c r="J71" s="61"/>
      <c r="K71" s="61"/>
      <c r="L71" s="61"/>
      <c r="M71" s="61"/>
      <c r="N71" s="61"/>
      <c r="O71" s="61"/>
      <c r="P71" s="61"/>
      <c r="Q71" s="61"/>
      <c r="R71" s="8"/>
      <c r="S71" s="8"/>
      <c r="T71" s="8"/>
      <c r="U71" s="8"/>
      <c r="V71" s="8"/>
      <c r="W71" s="42"/>
      <c r="X71" s="337"/>
      <c r="Y71" s="46"/>
      <c r="Z71" s="141"/>
      <c r="AA71" s="141"/>
      <c r="AB71" s="141"/>
      <c r="AC71" s="141"/>
      <c r="AD71" s="141"/>
      <c r="AE71" s="141"/>
      <c r="AF71" s="399"/>
      <c r="AG71" s="185"/>
      <c r="AH71" s="185"/>
      <c r="AI71" s="185"/>
      <c r="AJ71" s="185"/>
      <c r="AK71" s="185"/>
      <c r="AL71" s="185"/>
      <c r="AM71" s="185"/>
      <c r="AN71" s="185"/>
      <c r="AO71" s="185"/>
      <c r="AP71" s="185"/>
      <c r="AQ71" s="185"/>
      <c r="AR71" s="185"/>
      <c r="AS71" s="185"/>
      <c r="AT71" s="185"/>
      <c r="AU71" s="185"/>
      <c r="AV71" s="185"/>
    </row>
    <row r="72" spans="1:48" ht="21" customHeight="1">
      <c r="A72" s="11"/>
      <c r="B72" s="11"/>
      <c r="C72" s="11"/>
      <c r="D72" s="11"/>
      <c r="E72" s="11"/>
      <c r="F72" s="39" t="s">
        <v>22</v>
      </c>
      <c r="G72" s="451">
        <f>SUM(G42:G71)</f>
        <v>1185.9869213600002</v>
      </c>
      <c r="H72" s="452">
        <f>SUM(H42:H71)</f>
        <v>1127.8980436467748</v>
      </c>
      <c r="I72" s="453">
        <f>SUM(I42:I71)</f>
        <v>1317.2881120800118</v>
      </c>
      <c r="J72" s="452">
        <f>SUM(J42:J71)</f>
        <v>1402.1287687116253</v>
      </c>
      <c r="K72" s="452">
        <f t="shared" ref="K72:Q72" si="3">SUM(K42:K71)</f>
        <v>1081.4340823851151</v>
      </c>
      <c r="L72" s="452">
        <f t="shared" si="3"/>
        <v>754.2182716318182</v>
      </c>
      <c r="M72" s="236">
        <f t="shared" si="3"/>
        <v>0</v>
      </c>
      <c r="N72" s="236">
        <f t="shared" si="3"/>
        <v>0</v>
      </c>
      <c r="O72" s="236">
        <f t="shared" si="3"/>
        <v>0</v>
      </c>
      <c r="P72" s="236">
        <f t="shared" si="3"/>
        <v>0</v>
      </c>
      <c r="Q72" s="236">
        <f t="shared" si="3"/>
        <v>0</v>
      </c>
      <c r="R72" s="37"/>
      <c r="S72" s="37"/>
      <c r="T72" s="37"/>
      <c r="U72" s="37"/>
      <c r="V72" s="37"/>
      <c r="W72" s="37"/>
      <c r="X72" s="337"/>
      <c r="Y72" s="9"/>
      <c r="Z72" s="141"/>
      <c r="AA72" s="141"/>
      <c r="AB72" s="141"/>
      <c r="AC72" s="141"/>
      <c r="AD72" s="141"/>
      <c r="AE72" s="141"/>
      <c r="AF72" s="399"/>
      <c r="AG72" s="185"/>
      <c r="AH72" s="185"/>
      <c r="AI72" s="185"/>
      <c r="AJ72" s="185"/>
      <c r="AK72" s="185"/>
      <c r="AL72" s="185"/>
      <c r="AM72" s="185"/>
      <c r="AN72" s="185"/>
      <c r="AO72" s="185"/>
      <c r="AP72" s="185"/>
      <c r="AQ72" s="185"/>
      <c r="AR72" s="185"/>
      <c r="AS72" s="185"/>
      <c r="AT72" s="185"/>
      <c r="AU72" s="185"/>
      <c r="AV72" s="185"/>
    </row>
    <row r="73" spans="1:48" ht="13.5" customHeight="1">
      <c r="A73" s="9"/>
      <c r="B73" s="9"/>
      <c r="C73" s="9"/>
      <c r="D73" s="9"/>
      <c r="E73" s="9"/>
      <c r="F73" s="9"/>
      <c r="G73" s="36"/>
      <c r="H73" s="36"/>
      <c r="I73" s="36"/>
      <c r="J73" s="36"/>
      <c r="K73" s="36"/>
      <c r="L73" s="36"/>
      <c r="M73" s="36"/>
      <c r="N73" s="9"/>
      <c r="O73" s="9"/>
      <c r="P73" s="9"/>
      <c r="Q73" s="9"/>
      <c r="R73" s="235">
        <f>SUM(G72:Q72)</f>
        <v>6868.9541998153463</v>
      </c>
      <c r="S73" s="9"/>
      <c r="T73" s="9"/>
      <c r="U73" s="9"/>
      <c r="V73" s="9"/>
      <c r="W73" s="9"/>
      <c r="X73" s="337"/>
      <c r="Y73" s="8"/>
      <c r="Z73" s="36"/>
      <c r="AA73" s="36"/>
      <c r="AB73" s="36"/>
      <c r="AC73" s="36"/>
      <c r="AD73" s="36"/>
      <c r="AE73" s="36"/>
      <c r="AF73" s="249"/>
      <c r="AG73" s="185"/>
      <c r="AH73" s="185"/>
      <c r="AI73" s="185"/>
      <c r="AJ73" s="185"/>
      <c r="AK73" s="185"/>
      <c r="AL73" s="185"/>
      <c r="AM73" s="185"/>
      <c r="AN73" s="185"/>
      <c r="AO73" s="185"/>
      <c r="AP73" s="185"/>
      <c r="AQ73" s="185"/>
      <c r="AR73" s="185"/>
      <c r="AS73" s="185"/>
      <c r="AT73" s="185"/>
      <c r="AU73" s="185"/>
      <c r="AV73" s="185"/>
    </row>
    <row r="74" spans="1:48" ht="15.75">
      <c r="A74" s="72"/>
      <c r="B74" s="72"/>
      <c r="C74" s="72"/>
      <c r="D74" s="72"/>
      <c r="E74" s="72"/>
      <c r="F74" s="159" t="s">
        <v>81</v>
      </c>
      <c r="G74" s="159"/>
      <c r="H74" s="159"/>
      <c r="I74" s="159"/>
      <c r="J74" s="159"/>
      <c r="K74" s="75"/>
      <c r="L74" s="75"/>
      <c r="M74" s="73"/>
      <c r="N74" s="73"/>
      <c r="O74" s="73"/>
      <c r="P74" s="73"/>
      <c r="Q74" s="73"/>
      <c r="R74" s="73"/>
      <c r="S74" s="73"/>
      <c r="T74" s="73"/>
      <c r="U74" s="73"/>
      <c r="V74" s="73"/>
      <c r="W74" s="73"/>
      <c r="X74" s="337"/>
      <c r="Y74" s="9"/>
      <c r="Z74" s="9"/>
      <c r="AA74" s="9"/>
      <c r="AB74" s="9"/>
      <c r="AC74" s="9"/>
      <c r="AD74" s="9"/>
      <c r="AE74" s="410"/>
      <c r="AF74" s="415"/>
      <c r="AG74" s="185"/>
      <c r="AH74" s="185"/>
      <c r="AI74" s="185"/>
      <c r="AJ74" s="185"/>
      <c r="AK74" s="185"/>
      <c r="AL74" s="185"/>
      <c r="AM74" s="185"/>
      <c r="AN74" s="185"/>
      <c r="AO74" s="185"/>
      <c r="AP74" s="185"/>
      <c r="AQ74" s="185"/>
      <c r="AR74" s="185"/>
      <c r="AS74" s="185"/>
      <c r="AT74" s="185"/>
      <c r="AU74" s="185"/>
      <c r="AV74" s="185"/>
    </row>
    <row r="75" spans="1:48" outlineLevel="1">
      <c r="A75" s="11"/>
      <c r="B75" s="11"/>
      <c r="C75" s="11"/>
      <c r="D75" s="11"/>
      <c r="E75" s="11"/>
      <c r="F75" s="38" t="s">
        <v>5</v>
      </c>
      <c r="G75" s="313" t="str">
        <f>G41</f>
        <v>2008-09</v>
      </c>
      <c r="H75" s="234" t="str">
        <f t="shared" ref="H75:Q75" si="4">H41</f>
        <v>2009-10</v>
      </c>
      <c r="I75" s="234" t="str">
        <f t="shared" si="4"/>
        <v>2010-11</v>
      </c>
      <c r="J75" s="234" t="str">
        <f t="shared" si="4"/>
        <v>2011-12</v>
      </c>
      <c r="K75" s="234" t="str">
        <f t="shared" si="4"/>
        <v>2012-13</v>
      </c>
      <c r="L75" s="234" t="str">
        <f t="shared" si="4"/>
        <v>2013-14</v>
      </c>
      <c r="M75" s="234" t="str">
        <f t="shared" si="4"/>
        <v>2014-15</v>
      </c>
      <c r="N75" s="234" t="str">
        <f t="shared" si="4"/>
        <v>2015-16</v>
      </c>
      <c r="O75" s="234" t="str">
        <f t="shared" si="4"/>
        <v>2016-17</v>
      </c>
      <c r="P75" s="234" t="str">
        <f t="shared" si="4"/>
        <v>2017-18</v>
      </c>
      <c r="Q75" s="234" t="str">
        <f t="shared" si="4"/>
        <v>2018-19</v>
      </c>
      <c r="R75" s="8"/>
      <c r="S75" s="8"/>
      <c r="T75" s="8"/>
      <c r="U75" s="8"/>
      <c r="V75" s="8"/>
      <c r="W75" s="42"/>
      <c r="X75" s="337"/>
      <c r="Y75" s="9"/>
      <c r="Z75" s="9"/>
      <c r="AA75" s="9"/>
      <c r="AB75" s="9"/>
      <c r="AC75" s="9"/>
      <c r="AD75" s="9"/>
      <c r="AE75" s="410"/>
      <c r="AF75" s="185"/>
      <c r="AG75" s="185"/>
      <c r="AH75" s="185"/>
      <c r="AI75" s="185"/>
      <c r="AJ75" s="185"/>
      <c r="AK75" s="185"/>
      <c r="AL75" s="415"/>
      <c r="AM75" s="415"/>
      <c r="AN75" s="185"/>
      <c r="AO75" s="185"/>
      <c r="AP75" s="185"/>
      <c r="AQ75" s="185"/>
      <c r="AR75" s="185"/>
      <c r="AS75" s="185"/>
      <c r="AT75" s="185"/>
      <c r="AU75" s="185"/>
      <c r="AV75" s="185"/>
    </row>
    <row r="76" spans="1:48" outlineLevel="1">
      <c r="A76" s="11"/>
      <c r="B76" s="11"/>
      <c r="C76" s="11"/>
      <c r="D76" s="11"/>
      <c r="E76" s="11"/>
      <c r="F76" s="39" t="str">
        <f>Asset1</f>
        <v>Sub-transmission lines and cables</v>
      </c>
      <c r="G76" s="454">
        <v>0.105</v>
      </c>
      <c r="H76" s="444">
        <v>0</v>
      </c>
      <c r="I76" s="444"/>
      <c r="J76" s="444"/>
      <c r="K76" s="444"/>
      <c r="L76" s="444"/>
      <c r="M76" s="60"/>
      <c r="N76" s="60"/>
      <c r="O76" s="60"/>
      <c r="P76" s="60"/>
      <c r="Q76" s="60"/>
      <c r="R76" s="8"/>
      <c r="S76" s="8"/>
      <c r="T76" s="8"/>
      <c r="U76" s="8"/>
      <c r="V76" s="8"/>
      <c r="W76" s="42"/>
      <c r="X76" s="337"/>
      <c r="Y76" s="9"/>
      <c r="Z76" s="9"/>
      <c r="AA76" s="9"/>
      <c r="AB76" s="9"/>
      <c r="AC76" s="9"/>
      <c r="AD76" s="9"/>
      <c r="AE76" s="417"/>
      <c r="AF76" s="249"/>
      <c r="AG76" s="249"/>
      <c r="AH76" s="249"/>
      <c r="AI76" s="249"/>
      <c r="AJ76" s="249"/>
      <c r="AK76" s="249"/>
      <c r="AL76" s="249"/>
      <c r="AM76" s="249"/>
      <c r="AN76" s="185"/>
      <c r="AO76" s="185"/>
      <c r="AP76" s="185"/>
      <c r="AQ76" s="185"/>
      <c r="AR76" s="185"/>
      <c r="AS76" s="185"/>
      <c r="AT76" s="185"/>
      <c r="AU76" s="185"/>
      <c r="AV76" s="185"/>
    </row>
    <row r="77" spans="1:48" outlineLevel="1">
      <c r="A77" s="11"/>
      <c r="B77" s="11"/>
      <c r="C77" s="11"/>
      <c r="D77" s="11"/>
      <c r="E77" s="11"/>
      <c r="F77" s="39" t="str">
        <f>Asset2</f>
        <v>Cable tunnel (dx)</v>
      </c>
      <c r="G77" s="455"/>
      <c r="H77" s="450">
        <v>0</v>
      </c>
      <c r="I77" s="450"/>
      <c r="J77" s="450"/>
      <c r="K77" s="450"/>
      <c r="L77" s="450"/>
      <c r="M77" s="61"/>
      <c r="N77" s="61"/>
      <c r="O77" s="61"/>
      <c r="P77" s="61"/>
      <c r="Q77" s="61"/>
      <c r="R77" s="8"/>
      <c r="S77" s="8"/>
      <c r="T77" s="8"/>
      <c r="U77" s="8"/>
      <c r="V77" s="8"/>
      <c r="W77" s="42"/>
      <c r="X77" s="337"/>
      <c r="Y77" s="9"/>
      <c r="Z77" s="9"/>
      <c r="AA77" s="9"/>
      <c r="AB77" s="9"/>
      <c r="AC77" s="9"/>
      <c r="AD77" s="9"/>
      <c r="AE77" s="417"/>
      <c r="AF77" s="249"/>
      <c r="AG77" s="249"/>
      <c r="AH77" s="249"/>
      <c r="AI77" s="249"/>
      <c r="AJ77" s="249"/>
      <c r="AK77" s="249"/>
      <c r="AL77" s="249"/>
      <c r="AM77" s="249"/>
      <c r="AN77" s="185"/>
      <c r="AO77" s="185"/>
      <c r="AP77" s="185"/>
      <c r="AQ77" s="185"/>
      <c r="AR77" s="185"/>
      <c r="AS77" s="185"/>
      <c r="AT77" s="185"/>
      <c r="AU77" s="185"/>
      <c r="AV77" s="185"/>
    </row>
    <row r="78" spans="1:48" outlineLevel="1">
      <c r="A78" s="11"/>
      <c r="B78" s="11"/>
      <c r="C78" s="11"/>
      <c r="D78" s="11"/>
      <c r="E78" s="11"/>
      <c r="F78" s="39" t="str">
        <f>Asset3</f>
        <v>Distribution lines and cables</v>
      </c>
      <c r="G78" s="455">
        <v>0.48456292000000001</v>
      </c>
      <c r="H78" s="450">
        <v>0</v>
      </c>
      <c r="I78" s="450"/>
      <c r="J78" s="450"/>
      <c r="K78" s="450"/>
      <c r="L78" s="450"/>
      <c r="M78" s="61"/>
      <c r="N78" s="61"/>
      <c r="O78" s="61"/>
      <c r="P78" s="61"/>
      <c r="Q78" s="61"/>
      <c r="R78" s="8"/>
      <c r="S78" s="8"/>
      <c r="T78" s="8"/>
      <c r="U78" s="8"/>
      <c r="V78" s="8"/>
      <c r="W78" s="42"/>
      <c r="X78" s="337"/>
      <c r="Y78" s="9"/>
      <c r="Z78" s="9"/>
      <c r="AA78" s="9"/>
      <c r="AB78" s="9"/>
      <c r="AC78" s="9"/>
      <c r="AD78" s="9"/>
      <c r="AE78" s="417"/>
      <c r="AF78" s="249"/>
      <c r="AG78" s="249"/>
      <c r="AH78" s="249"/>
      <c r="AI78" s="249"/>
      <c r="AJ78" s="249"/>
      <c r="AK78" s="249"/>
      <c r="AL78" s="249"/>
      <c r="AM78" s="249"/>
      <c r="AN78" s="185"/>
      <c r="AO78" s="185"/>
      <c r="AP78" s="185"/>
      <c r="AQ78" s="185"/>
      <c r="AR78" s="185"/>
      <c r="AS78" s="185"/>
      <c r="AT78" s="185"/>
      <c r="AU78" s="185"/>
      <c r="AV78" s="185"/>
    </row>
    <row r="79" spans="1:48" outlineLevel="1">
      <c r="A79" s="11"/>
      <c r="B79" s="11"/>
      <c r="C79" s="11"/>
      <c r="D79" s="11"/>
      <c r="E79" s="11"/>
      <c r="F79" s="39" t="str">
        <f>Asset4</f>
        <v>Substations</v>
      </c>
      <c r="G79" s="455"/>
      <c r="H79" s="450">
        <v>0.15289228999999993</v>
      </c>
      <c r="I79" s="450"/>
      <c r="J79" s="450"/>
      <c r="K79" s="450"/>
      <c r="L79" s="450"/>
      <c r="M79" s="61"/>
      <c r="N79" s="61"/>
      <c r="O79" s="61"/>
      <c r="P79" s="61"/>
      <c r="Q79" s="61"/>
      <c r="R79" s="8"/>
      <c r="S79" s="306"/>
      <c r="T79" s="8"/>
      <c r="U79" s="8"/>
      <c r="V79" s="8"/>
      <c r="W79" s="42"/>
      <c r="X79" s="337"/>
      <c r="Y79" s="9"/>
      <c r="Z79" s="9"/>
      <c r="AA79" s="9"/>
      <c r="AB79" s="9"/>
      <c r="AC79" s="9"/>
      <c r="AD79" s="9"/>
      <c r="AE79" s="417"/>
      <c r="AF79" s="249"/>
      <c r="AG79" s="249"/>
      <c r="AH79" s="249"/>
      <c r="AI79" s="249"/>
      <c r="AJ79" s="249"/>
      <c r="AK79" s="249"/>
      <c r="AL79" s="249"/>
      <c r="AM79" s="249"/>
      <c r="AN79" s="185"/>
      <c r="AO79" s="185"/>
      <c r="AP79" s="185"/>
      <c r="AQ79" s="185"/>
      <c r="AR79" s="185"/>
      <c r="AS79" s="185"/>
      <c r="AT79" s="185"/>
      <c r="AU79" s="185"/>
      <c r="AV79" s="185"/>
    </row>
    <row r="80" spans="1:48" outlineLevel="1">
      <c r="A80" s="11"/>
      <c r="B80" s="11"/>
      <c r="C80" s="11"/>
      <c r="D80" s="11"/>
      <c r="E80" s="11"/>
      <c r="F80" s="39" t="str">
        <f>Asset5</f>
        <v>Transformers</v>
      </c>
      <c r="G80" s="455"/>
      <c r="H80" s="450">
        <v>0.81911208000000002</v>
      </c>
      <c r="I80" s="450">
        <v>0.65211693999999998</v>
      </c>
      <c r="J80" s="450">
        <v>1.1993877800000001</v>
      </c>
      <c r="K80" s="450">
        <v>0.45586697999999998</v>
      </c>
      <c r="L80" s="450">
        <v>0</v>
      </c>
      <c r="M80" s="61"/>
      <c r="N80" s="61"/>
      <c r="O80" s="61"/>
      <c r="P80" s="61"/>
      <c r="Q80" s="61"/>
      <c r="R80" s="8"/>
      <c r="S80" s="8"/>
      <c r="T80" s="8"/>
      <c r="U80" s="8"/>
      <c r="V80" s="8"/>
      <c r="W80" s="42"/>
      <c r="X80" s="337"/>
      <c r="Y80" s="9"/>
      <c r="Z80" s="9"/>
      <c r="AA80" s="9"/>
      <c r="AB80" s="9"/>
      <c r="AC80" s="9"/>
      <c r="AD80" s="9"/>
      <c r="AE80" s="417"/>
      <c r="AF80" s="249"/>
      <c r="AG80" s="249"/>
      <c r="AH80" s="249"/>
      <c r="AI80" s="249"/>
      <c r="AJ80" s="249"/>
      <c r="AK80" s="249"/>
      <c r="AL80" s="249"/>
      <c r="AM80" s="249"/>
      <c r="AN80" s="185"/>
      <c r="AO80" s="185"/>
      <c r="AP80" s="185"/>
      <c r="AQ80" s="185"/>
      <c r="AR80" s="185"/>
      <c r="AS80" s="185"/>
      <c r="AT80" s="185"/>
      <c r="AU80" s="185"/>
      <c r="AV80" s="185"/>
    </row>
    <row r="81" spans="1:48" outlineLevel="1">
      <c r="A81" s="11"/>
      <c r="B81" s="11"/>
      <c r="C81" s="11"/>
      <c r="D81" s="11"/>
      <c r="E81" s="11"/>
      <c r="F81" s="39" t="str">
        <f>Asset6</f>
        <v>Low Voltage Lines and Cables</v>
      </c>
      <c r="G81" s="455">
        <v>0.63301052000000002</v>
      </c>
      <c r="H81" s="450">
        <v>0</v>
      </c>
      <c r="I81" s="450"/>
      <c r="J81" s="450"/>
      <c r="K81" s="450"/>
      <c r="L81" s="450"/>
      <c r="M81" s="61"/>
      <c r="N81" s="61"/>
      <c r="O81" s="61"/>
      <c r="P81" s="61"/>
      <c r="Q81" s="61"/>
      <c r="R81" s="8"/>
      <c r="S81" s="8"/>
      <c r="T81" s="8"/>
      <c r="U81" s="8"/>
      <c r="V81" s="8"/>
      <c r="W81" s="42"/>
      <c r="X81" s="337"/>
      <c r="Y81" s="9"/>
      <c r="Z81" s="9"/>
      <c r="AA81" s="9"/>
      <c r="AB81" s="9"/>
      <c r="AC81" s="9"/>
      <c r="AD81" s="9"/>
      <c r="AE81" s="417"/>
      <c r="AF81" s="249"/>
      <c r="AG81" s="249"/>
      <c r="AH81" s="249"/>
      <c r="AI81" s="249"/>
      <c r="AJ81" s="249"/>
      <c r="AK81" s="249"/>
      <c r="AL81" s="249"/>
      <c r="AM81" s="249"/>
      <c r="AN81" s="185"/>
      <c r="AO81" s="185"/>
      <c r="AP81" s="185"/>
      <c r="AQ81" s="185"/>
      <c r="AR81" s="185"/>
      <c r="AS81" s="185"/>
      <c r="AT81" s="185"/>
      <c r="AU81" s="185"/>
      <c r="AV81" s="185"/>
    </row>
    <row r="82" spans="1:48" outlineLevel="1">
      <c r="A82" s="11"/>
      <c r="B82" s="11"/>
      <c r="C82" s="11"/>
      <c r="D82" s="11"/>
      <c r="E82" s="11"/>
      <c r="F82" s="39" t="str">
        <f>Asset7</f>
        <v>Customer Metering and Load Control</v>
      </c>
      <c r="G82" s="455">
        <v>2.112E-2</v>
      </c>
      <c r="H82" s="450">
        <v>0</v>
      </c>
      <c r="I82" s="450"/>
      <c r="J82" s="450"/>
      <c r="K82" s="450"/>
      <c r="L82" s="450"/>
      <c r="M82" s="61"/>
      <c r="N82" s="61"/>
      <c r="O82" s="61"/>
      <c r="P82" s="61"/>
      <c r="Q82" s="61"/>
      <c r="R82" s="8"/>
      <c r="S82" s="8"/>
      <c r="T82" s="8"/>
      <c r="U82" s="8"/>
      <c r="V82" s="8"/>
      <c r="W82" s="42"/>
      <c r="X82" s="337"/>
      <c r="Y82" s="9"/>
      <c r="Z82" s="36"/>
      <c r="AA82" s="9"/>
      <c r="AB82" s="9"/>
      <c r="AC82" s="9"/>
      <c r="AD82" s="9"/>
      <c r="AE82" s="417"/>
      <c r="AF82" s="249"/>
      <c r="AG82" s="249"/>
      <c r="AH82" s="249"/>
      <c r="AI82" s="249"/>
      <c r="AJ82" s="249"/>
      <c r="AK82" s="249"/>
      <c r="AL82" s="249"/>
      <c r="AM82" s="249"/>
      <c r="AN82" s="185"/>
      <c r="AO82" s="185"/>
      <c r="AP82" s="185"/>
      <c r="AQ82" s="185"/>
      <c r="AR82" s="185"/>
      <c r="AS82" s="185"/>
      <c r="AT82" s="185"/>
      <c r="AU82" s="185"/>
      <c r="AV82" s="185"/>
    </row>
    <row r="83" spans="1:48" outlineLevel="1">
      <c r="A83" s="11"/>
      <c r="B83" s="11"/>
      <c r="C83" s="11"/>
      <c r="D83" s="11"/>
      <c r="E83" s="11"/>
      <c r="F83" s="39" t="str">
        <f>Asset8</f>
        <v>Customer Metering (digital)</v>
      </c>
      <c r="G83" s="455"/>
      <c r="H83" s="450">
        <v>0</v>
      </c>
      <c r="I83" s="450"/>
      <c r="J83" s="450"/>
      <c r="K83" s="450"/>
      <c r="L83" s="450"/>
      <c r="M83" s="61"/>
      <c r="N83" s="61"/>
      <c r="O83" s="61"/>
      <c r="P83" s="61"/>
      <c r="Q83" s="61"/>
      <c r="R83" s="8"/>
      <c r="S83" s="8"/>
      <c r="T83" s="8"/>
      <c r="U83" s="8"/>
      <c r="V83" s="8"/>
      <c r="W83" s="42"/>
      <c r="X83" s="337"/>
      <c r="Y83" s="9"/>
      <c r="Z83" s="9"/>
      <c r="AA83" s="9"/>
      <c r="AB83" s="9"/>
      <c r="AC83" s="9"/>
      <c r="AD83" s="9"/>
      <c r="AE83" s="417"/>
      <c r="AF83" s="249"/>
      <c r="AG83" s="249"/>
      <c r="AH83" s="249"/>
      <c r="AI83" s="249"/>
      <c r="AJ83" s="249"/>
      <c r="AK83" s="249"/>
      <c r="AL83" s="249"/>
      <c r="AM83" s="249"/>
      <c r="AN83" s="185"/>
      <c r="AO83" s="185"/>
      <c r="AP83" s="185"/>
      <c r="AQ83" s="185"/>
      <c r="AR83" s="185"/>
      <c r="AS83" s="185"/>
      <c r="AT83" s="185"/>
      <c r="AU83" s="185"/>
      <c r="AV83" s="185"/>
    </row>
    <row r="84" spans="1:48" outlineLevel="1">
      <c r="A84" s="11"/>
      <c r="B84" s="11"/>
      <c r="C84" s="11"/>
      <c r="D84" s="11"/>
      <c r="E84" s="11"/>
      <c r="F84" s="39" t="str">
        <f>Asset9</f>
        <v>Communications (digital) - dx</v>
      </c>
      <c r="G84" s="455"/>
      <c r="H84" s="450">
        <v>0</v>
      </c>
      <c r="I84" s="450"/>
      <c r="J84" s="450"/>
      <c r="K84" s="450"/>
      <c r="L84" s="450"/>
      <c r="M84" s="61"/>
      <c r="N84" s="61"/>
      <c r="O84" s="61"/>
      <c r="P84" s="61"/>
      <c r="Q84" s="61"/>
      <c r="R84" s="8"/>
      <c r="S84" s="8"/>
      <c r="T84" s="8"/>
      <c r="U84" s="8"/>
      <c r="V84" s="8"/>
      <c r="W84" s="42"/>
      <c r="X84" s="337"/>
      <c r="Y84" s="9"/>
      <c r="Z84" s="9"/>
      <c r="AA84" s="9"/>
      <c r="AB84" s="9"/>
      <c r="AC84" s="9"/>
      <c r="AD84" s="9"/>
      <c r="AE84" s="417"/>
      <c r="AF84" s="249"/>
      <c r="AG84" s="249"/>
      <c r="AH84" s="249"/>
      <c r="AI84" s="249"/>
      <c r="AJ84" s="249"/>
      <c r="AK84" s="249"/>
      <c r="AL84" s="249"/>
      <c r="AM84" s="249"/>
      <c r="AN84" s="185"/>
      <c r="AO84" s="185"/>
      <c r="AP84" s="185"/>
      <c r="AQ84" s="185"/>
      <c r="AR84" s="185"/>
      <c r="AS84" s="185"/>
      <c r="AT84" s="185"/>
      <c r="AU84" s="185"/>
      <c r="AV84" s="185"/>
    </row>
    <row r="85" spans="1:48" outlineLevel="1">
      <c r="A85" s="11"/>
      <c r="B85" s="11"/>
      <c r="C85" s="11"/>
      <c r="D85" s="11"/>
      <c r="E85" s="11"/>
      <c r="F85" s="39" t="str">
        <f>Asset10</f>
        <v>Total Communications</v>
      </c>
      <c r="G85" s="455"/>
      <c r="H85" s="450">
        <v>0</v>
      </c>
      <c r="I85" s="450"/>
      <c r="J85" s="450"/>
      <c r="K85" s="450"/>
      <c r="L85" s="450"/>
      <c r="M85" s="61"/>
      <c r="N85" s="61"/>
      <c r="O85" s="61"/>
      <c r="P85" s="61"/>
      <c r="Q85" s="61"/>
      <c r="R85" s="8"/>
      <c r="S85" s="8"/>
      <c r="T85" s="8"/>
      <c r="U85" s="8"/>
      <c r="V85" s="8"/>
      <c r="W85" s="42"/>
      <c r="X85" s="337"/>
      <c r="Y85" s="9"/>
      <c r="Z85" s="9"/>
      <c r="AA85" s="9"/>
      <c r="AB85" s="9"/>
      <c r="AC85" s="9"/>
      <c r="AD85" s="9"/>
      <c r="AE85" s="417"/>
      <c r="AF85" s="249"/>
      <c r="AG85" s="249"/>
      <c r="AH85" s="249"/>
      <c r="AI85" s="249"/>
      <c r="AJ85" s="249"/>
      <c r="AK85" s="249"/>
      <c r="AL85" s="249"/>
      <c r="AM85" s="249"/>
      <c r="AN85" s="185"/>
      <c r="AO85" s="185"/>
      <c r="AP85" s="185"/>
      <c r="AQ85" s="185"/>
      <c r="AR85" s="185"/>
      <c r="AS85" s="185"/>
      <c r="AT85" s="185"/>
      <c r="AU85" s="185"/>
      <c r="AV85" s="185"/>
    </row>
    <row r="86" spans="1:48" outlineLevel="1">
      <c r="A86" s="11"/>
      <c r="B86" s="11"/>
      <c r="C86" s="11"/>
      <c r="D86" s="11"/>
      <c r="E86" s="11"/>
      <c r="F86" s="39" t="str">
        <f>Asset11</f>
        <v>System IT (dx)</v>
      </c>
      <c r="G86" s="455"/>
      <c r="H86" s="450">
        <v>0</v>
      </c>
      <c r="I86" s="450"/>
      <c r="J86" s="450"/>
      <c r="K86" s="450"/>
      <c r="L86" s="450"/>
      <c r="M86" s="61"/>
      <c r="N86" s="61"/>
      <c r="O86" s="61"/>
      <c r="P86" s="61"/>
      <c r="Q86" s="61"/>
      <c r="R86" s="8"/>
      <c r="S86" s="8"/>
      <c r="T86" s="8"/>
      <c r="U86" s="8"/>
      <c r="V86" s="8"/>
      <c r="W86" s="42"/>
      <c r="X86" s="337"/>
      <c r="Y86" s="9"/>
      <c r="Z86" s="9"/>
      <c r="AA86" s="9"/>
      <c r="AB86" s="9"/>
      <c r="AC86" s="9"/>
      <c r="AD86" s="9"/>
      <c r="AE86" s="417"/>
      <c r="AF86" s="249"/>
      <c r="AG86" s="249"/>
      <c r="AH86" s="249"/>
      <c r="AI86" s="249"/>
      <c r="AJ86" s="249"/>
      <c r="AK86" s="249"/>
      <c r="AL86" s="249"/>
      <c r="AM86" s="249"/>
      <c r="AN86" s="185"/>
      <c r="AO86" s="185"/>
      <c r="AP86" s="185"/>
      <c r="AQ86" s="185"/>
      <c r="AR86" s="185"/>
      <c r="AS86" s="185"/>
      <c r="AT86" s="185"/>
      <c r="AU86" s="185"/>
      <c r="AV86" s="185"/>
    </row>
    <row r="87" spans="1:48" outlineLevel="1">
      <c r="A87" s="11"/>
      <c r="B87" s="11"/>
      <c r="C87" s="11"/>
      <c r="D87" s="11"/>
      <c r="E87" s="11"/>
      <c r="F87" s="39" t="str">
        <f>Asset12</f>
        <v>Ancillary substation equipment (dx)</v>
      </c>
      <c r="G87" s="455"/>
      <c r="H87" s="450">
        <v>0</v>
      </c>
      <c r="I87" s="450"/>
      <c r="J87" s="450"/>
      <c r="K87" s="450"/>
      <c r="L87" s="450"/>
      <c r="M87" s="61"/>
      <c r="N87" s="61"/>
      <c r="O87" s="61"/>
      <c r="P87" s="61"/>
      <c r="Q87" s="61"/>
      <c r="R87" s="8"/>
      <c r="S87" s="8"/>
      <c r="T87" s="8"/>
      <c r="U87" s="8"/>
      <c r="V87" s="8"/>
      <c r="W87" s="42"/>
      <c r="X87" s="337"/>
      <c r="Y87" s="9"/>
      <c r="Z87" s="9"/>
      <c r="AA87" s="9"/>
      <c r="AB87" s="9"/>
      <c r="AC87" s="9"/>
      <c r="AD87" s="9"/>
      <c r="AE87" s="417"/>
      <c r="AF87" s="249"/>
      <c r="AG87" s="249"/>
      <c r="AH87" s="249"/>
      <c r="AI87" s="249"/>
      <c r="AJ87" s="249"/>
      <c r="AK87" s="249"/>
      <c r="AL87" s="249"/>
      <c r="AM87" s="249"/>
      <c r="AN87" s="185"/>
      <c r="AO87" s="185"/>
      <c r="AP87" s="185"/>
      <c r="AQ87" s="185"/>
      <c r="AR87" s="185"/>
      <c r="AS87" s="185"/>
      <c r="AT87" s="185"/>
      <c r="AU87" s="185"/>
      <c r="AV87" s="185"/>
    </row>
    <row r="88" spans="1:48" outlineLevel="1">
      <c r="A88" s="11"/>
      <c r="B88" s="11"/>
      <c r="C88" s="11"/>
      <c r="D88" s="11"/>
      <c r="E88" s="11"/>
      <c r="F88" s="39" t="str">
        <f>Asset13</f>
        <v>Land and Easements</v>
      </c>
      <c r="G88" s="455">
        <v>0.44895688</v>
      </c>
      <c r="H88" s="450">
        <v>0</v>
      </c>
      <c r="I88" s="450">
        <v>0.13705557000000002</v>
      </c>
      <c r="J88" s="450">
        <v>2.3999999999999998E-3</v>
      </c>
      <c r="K88" s="450">
        <v>0.27932809000000003</v>
      </c>
      <c r="L88" s="450">
        <v>0.58752923999999995</v>
      </c>
      <c r="M88" s="61"/>
      <c r="N88" s="61"/>
      <c r="O88" s="61"/>
      <c r="P88" s="61"/>
      <c r="Q88" s="61"/>
      <c r="R88" s="8"/>
      <c r="S88" s="8"/>
      <c r="T88" s="8"/>
      <c r="U88" s="8"/>
      <c r="V88" s="8"/>
      <c r="W88" s="42"/>
      <c r="X88" s="337"/>
      <c r="Y88" s="9"/>
      <c r="Z88" s="9"/>
      <c r="AA88" s="9"/>
      <c r="AB88" s="9"/>
      <c r="AC88" s="9"/>
      <c r="AD88" s="9"/>
      <c r="AE88" s="417"/>
      <c r="AF88" s="249"/>
      <c r="AG88" s="249"/>
      <c r="AH88" s="249"/>
      <c r="AI88" s="249"/>
      <c r="AJ88" s="249"/>
      <c r="AK88" s="249"/>
      <c r="AL88" s="249"/>
      <c r="AM88" s="249"/>
      <c r="AN88" s="185"/>
      <c r="AO88" s="185"/>
      <c r="AP88" s="185"/>
      <c r="AQ88" s="185"/>
      <c r="AR88" s="185"/>
      <c r="AS88" s="185"/>
      <c r="AT88" s="185"/>
      <c r="AU88" s="185"/>
      <c r="AV88" s="185"/>
    </row>
    <row r="89" spans="1:48" outlineLevel="1">
      <c r="A89" s="11"/>
      <c r="B89" s="11"/>
      <c r="C89" s="11"/>
      <c r="D89" s="11"/>
      <c r="E89" s="11"/>
      <c r="F89" s="39" t="str">
        <f>Asset14</f>
        <v>Emergency Spares (Major Plant, Excludes Inventory)</v>
      </c>
      <c r="G89" s="455"/>
      <c r="H89" s="450">
        <v>0</v>
      </c>
      <c r="I89" s="450"/>
      <c r="J89" s="450"/>
      <c r="K89" s="450"/>
      <c r="L89" s="450"/>
      <c r="M89" s="61"/>
      <c r="N89" s="61"/>
      <c r="O89" s="61"/>
      <c r="P89" s="61"/>
      <c r="Q89" s="61"/>
      <c r="R89" s="8"/>
      <c r="S89" s="8"/>
      <c r="T89" s="8"/>
      <c r="U89" s="8"/>
      <c r="V89" s="8"/>
      <c r="W89" s="42"/>
      <c r="X89" s="337"/>
      <c r="Y89" s="9"/>
      <c r="Z89" s="9"/>
      <c r="AA89" s="9"/>
      <c r="AB89" s="9"/>
      <c r="AC89" s="9"/>
      <c r="AD89" s="9"/>
      <c r="AE89" s="417"/>
      <c r="AF89" s="249"/>
      <c r="AG89" s="249"/>
      <c r="AH89" s="249"/>
      <c r="AI89" s="249"/>
      <c r="AJ89" s="249"/>
      <c r="AK89" s="249"/>
      <c r="AL89" s="249"/>
      <c r="AM89" s="249"/>
      <c r="AN89" s="185"/>
      <c r="AO89" s="185"/>
      <c r="AP89" s="185"/>
      <c r="AQ89" s="185"/>
      <c r="AR89" s="185"/>
      <c r="AS89" s="185"/>
      <c r="AT89" s="185"/>
      <c r="AU89" s="185"/>
      <c r="AV89" s="185"/>
    </row>
    <row r="90" spans="1:48" outlineLevel="1">
      <c r="A90" s="11"/>
      <c r="B90" s="11"/>
      <c r="C90" s="11"/>
      <c r="D90" s="11"/>
      <c r="E90" s="11"/>
      <c r="F90" s="39" t="str">
        <f>Asset15</f>
        <v>Furniture, fittings, plant and equipment</v>
      </c>
      <c r="G90" s="455">
        <v>5.3695900965600007E-2</v>
      </c>
      <c r="H90" s="450">
        <v>0</v>
      </c>
      <c r="I90" s="450">
        <v>3.1602464419680003E-2</v>
      </c>
      <c r="J90" s="450"/>
      <c r="K90" s="450"/>
      <c r="L90" s="450"/>
      <c r="M90" s="61"/>
      <c r="N90" s="61"/>
      <c r="O90" s="61"/>
      <c r="P90" s="61"/>
      <c r="Q90" s="61"/>
      <c r="R90" s="8"/>
      <c r="S90" s="8"/>
      <c r="T90" s="8"/>
      <c r="U90" s="8"/>
      <c r="V90" s="8"/>
      <c r="W90" s="42"/>
      <c r="X90" s="337"/>
      <c r="Y90" s="9"/>
      <c r="Z90" s="9"/>
      <c r="AA90" s="9"/>
      <c r="AB90" s="9"/>
      <c r="AC90" s="9"/>
      <c r="AD90" s="9"/>
      <c r="AE90" s="417"/>
      <c r="AF90" s="249"/>
      <c r="AG90" s="249"/>
      <c r="AH90" s="249"/>
      <c r="AI90" s="249"/>
      <c r="AJ90" s="249"/>
      <c r="AK90" s="249"/>
      <c r="AL90" s="249"/>
      <c r="AM90" s="249"/>
      <c r="AN90" s="185"/>
      <c r="AO90" s="185"/>
      <c r="AP90" s="185"/>
      <c r="AQ90" s="185"/>
      <c r="AR90" s="185"/>
      <c r="AS90" s="185"/>
      <c r="AT90" s="185"/>
      <c r="AU90" s="185"/>
      <c r="AV90" s="185"/>
    </row>
    <row r="91" spans="1:48" outlineLevel="1">
      <c r="A91" s="11"/>
      <c r="B91" s="11"/>
      <c r="C91" s="11"/>
      <c r="D91" s="11"/>
      <c r="E91" s="11"/>
      <c r="F91" s="39" t="str">
        <f>Asset16</f>
        <v>Land (non-system)</v>
      </c>
      <c r="G91" s="455"/>
      <c r="H91" s="450">
        <v>0</v>
      </c>
      <c r="I91" s="450"/>
      <c r="J91" s="450">
        <v>0.13075619803695476</v>
      </c>
      <c r="K91" s="450">
        <v>0.11098722201000327</v>
      </c>
      <c r="L91" s="450">
        <v>54.060259815880087</v>
      </c>
      <c r="M91" s="61"/>
      <c r="N91" s="61"/>
      <c r="O91" s="61"/>
      <c r="P91" s="61"/>
      <c r="Q91" s="61"/>
      <c r="R91" s="8"/>
      <c r="S91" s="8"/>
      <c r="T91" s="8"/>
      <c r="U91" s="8"/>
      <c r="V91" s="8"/>
      <c r="W91" s="42"/>
      <c r="X91" s="337"/>
      <c r="Y91" s="9"/>
      <c r="Z91" s="9"/>
      <c r="AA91" s="9"/>
      <c r="AB91" s="9"/>
      <c r="AC91" s="9"/>
      <c r="AD91" s="9"/>
      <c r="AE91" s="417"/>
      <c r="AF91" s="249"/>
      <c r="AG91" s="249"/>
      <c r="AH91" s="249"/>
      <c r="AI91" s="249"/>
      <c r="AJ91" s="249"/>
      <c r="AK91" s="249"/>
      <c r="AL91" s="249"/>
      <c r="AM91" s="249"/>
      <c r="AN91" s="185"/>
      <c r="AO91" s="185"/>
      <c r="AP91" s="185"/>
      <c r="AQ91" s="185"/>
      <c r="AR91" s="185"/>
      <c r="AS91" s="185"/>
      <c r="AT91" s="185"/>
      <c r="AU91" s="185"/>
      <c r="AV91" s="185"/>
    </row>
    <row r="92" spans="1:48" outlineLevel="1">
      <c r="A92" s="11"/>
      <c r="B92" s="11"/>
      <c r="C92" s="11"/>
      <c r="D92" s="11"/>
      <c r="E92" s="11"/>
      <c r="F92" s="39" t="str">
        <f>Asset17</f>
        <v>Other non system assets</v>
      </c>
      <c r="G92" s="455"/>
      <c r="H92" s="450">
        <v>0</v>
      </c>
      <c r="I92" s="450"/>
      <c r="J92" s="450"/>
      <c r="K92" s="450"/>
      <c r="L92" s="450"/>
      <c r="M92" s="61"/>
      <c r="N92" s="61"/>
      <c r="O92" s="61"/>
      <c r="P92" s="61"/>
      <c r="Q92" s="61"/>
      <c r="R92" s="8"/>
      <c r="S92" s="8"/>
      <c r="T92" s="8"/>
      <c r="U92" s="8"/>
      <c r="V92" s="8"/>
      <c r="W92" s="42"/>
      <c r="X92" s="337"/>
      <c r="Y92" s="9"/>
      <c r="Z92" s="9"/>
      <c r="AA92" s="9"/>
      <c r="AB92" s="9"/>
      <c r="AC92" s="9"/>
      <c r="AD92" s="9"/>
      <c r="AE92" s="417"/>
      <c r="AF92" s="249"/>
      <c r="AG92" s="249"/>
      <c r="AH92" s="249"/>
      <c r="AI92" s="249"/>
      <c r="AJ92" s="249"/>
      <c r="AK92" s="249"/>
      <c r="AL92" s="249"/>
      <c r="AM92" s="249"/>
      <c r="AN92" s="185"/>
      <c r="AO92" s="185"/>
      <c r="AP92" s="185"/>
      <c r="AQ92" s="185"/>
      <c r="AR92" s="185"/>
      <c r="AS92" s="185"/>
      <c r="AT92" s="185"/>
      <c r="AU92" s="185"/>
      <c r="AV92" s="185"/>
    </row>
    <row r="93" spans="1:48" outlineLevel="1">
      <c r="A93" s="11"/>
      <c r="B93" s="11"/>
      <c r="C93" s="11"/>
      <c r="D93" s="11"/>
      <c r="E93" s="11"/>
      <c r="F93" s="39" t="str">
        <f>Asset18</f>
        <v>IT systems</v>
      </c>
      <c r="G93" s="455">
        <v>0.66149999999999998</v>
      </c>
      <c r="H93" s="450">
        <v>0</v>
      </c>
      <c r="I93" s="450">
        <v>4.4413513653999998E-3</v>
      </c>
      <c r="J93" s="450"/>
      <c r="K93" s="450"/>
      <c r="L93" s="450"/>
      <c r="M93" s="61"/>
      <c r="N93" s="61"/>
      <c r="O93" s="61"/>
      <c r="P93" s="61"/>
      <c r="Q93" s="61"/>
      <c r="R93" s="8"/>
      <c r="S93" s="8"/>
      <c r="T93" s="8"/>
      <c r="U93" s="8"/>
      <c r="V93" s="8"/>
      <c r="W93" s="42"/>
      <c r="X93" s="337"/>
      <c r="Y93" s="9"/>
      <c r="Z93" s="9"/>
      <c r="AA93" s="9"/>
      <c r="AB93" s="9"/>
      <c r="AC93" s="9"/>
      <c r="AD93" s="9"/>
      <c r="AE93" s="417"/>
      <c r="AF93" s="249"/>
      <c r="AG93" s="249"/>
      <c r="AH93" s="249"/>
      <c r="AI93" s="249"/>
      <c r="AJ93" s="249"/>
      <c r="AK93" s="249"/>
      <c r="AL93" s="249"/>
      <c r="AM93" s="249"/>
      <c r="AN93" s="185"/>
      <c r="AO93" s="185"/>
      <c r="AP93" s="185"/>
      <c r="AQ93" s="185"/>
      <c r="AR93" s="185"/>
      <c r="AS93" s="185"/>
      <c r="AT93" s="185"/>
      <c r="AU93" s="185"/>
      <c r="AV93" s="185"/>
    </row>
    <row r="94" spans="1:48" outlineLevel="1">
      <c r="A94" s="11"/>
      <c r="B94" s="11"/>
      <c r="C94" s="11"/>
      <c r="D94" s="11"/>
      <c r="E94" s="11"/>
      <c r="F94" s="39" t="str">
        <f>Asset19</f>
        <v>Motor vehicles</v>
      </c>
      <c r="G94" s="455">
        <v>2.9291657687333998</v>
      </c>
      <c r="H94" s="450">
        <v>2.4570741574450001</v>
      </c>
      <c r="I94" s="450">
        <v>3.1541812272233098</v>
      </c>
      <c r="J94" s="450">
        <v>2.7069727136507034</v>
      </c>
      <c r="K94" s="450">
        <v>2.7498125106607003</v>
      </c>
      <c r="L94" s="450">
        <v>1.5259245853435843</v>
      </c>
      <c r="M94" s="61"/>
      <c r="N94" s="61"/>
      <c r="O94" s="61"/>
      <c r="P94" s="61"/>
      <c r="Q94" s="61"/>
      <c r="R94" s="8"/>
      <c r="S94" s="8"/>
      <c r="T94" s="8"/>
      <c r="U94" s="8"/>
      <c r="V94" s="8"/>
      <c r="W94" s="42"/>
      <c r="X94" s="337"/>
      <c r="Y94" s="9"/>
      <c r="Z94" s="36"/>
      <c r="AA94" s="9"/>
      <c r="AB94" s="9"/>
      <c r="AC94" s="9"/>
      <c r="AD94" s="9"/>
      <c r="AE94" s="417"/>
      <c r="AF94" s="249"/>
      <c r="AG94" s="249"/>
      <c r="AH94" s="249"/>
      <c r="AI94" s="249"/>
      <c r="AJ94" s="249"/>
      <c r="AK94" s="249"/>
      <c r="AL94" s="249"/>
      <c r="AM94" s="249"/>
      <c r="AN94" s="185"/>
      <c r="AO94" s="185"/>
      <c r="AP94" s="185"/>
      <c r="AQ94" s="185"/>
      <c r="AR94" s="185"/>
      <c r="AS94" s="185"/>
      <c r="AT94" s="185"/>
      <c r="AU94" s="185"/>
      <c r="AV94" s="185"/>
    </row>
    <row r="95" spans="1:48" outlineLevel="1">
      <c r="A95" s="11"/>
      <c r="B95" s="11"/>
      <c r="C95" s="11"/>
      <c r="D95" s="11"/>
      <c r="E95" s="11"/>
      <c r="F95" s="39" t="str">
        <f>Asset20</f>
        <v>Buildings</v>
      </c>
      <c r="G95" s="455">
        <v>0</v>
      </c>
      <c r="H95" s="450">
        <v>0</v>
      </c>
      <c r="I95" s="450"/>
      <c r="J95" s="450"/>
      <c r="K95" s="450"/>
      <c r="L95" s="450">
        <v>63.847602653630922</v>
      </c>
      <c r="M95" s="61"/>
      <c r="N95" s="61"/>
      <c r="O95" s="61"/>
      <c r="P95" s="61"/>
      <c r="Q95" s="61"/>
      <c r="R95" s="8"/>
      <c r="S95" s="8"/>
      <c r="T95" s="8"/>
      <c r="U95" s="8"/>
      <c r="V95" s="8"/>
      <c r="W95" s="42"/>
      <c r="X95" s="337"/>
      <c r="Y95" s="9"/>
      <c r="Z95" s="9"/>
      <c r="AA95" s="9"/>
      <c r="AB95" s="9"/>
      <c r="AC95" s="9"/>
      <c r="AD95" s="9"/>
      <c r="AE95" s="417"/>
      <c r="AF95" s="249"/>
      <c r="AG95" s="249"/>
      <c r="AH95" s="249"/>
      <c r="AI95" s="249"/>
      <c r="AJ95" s="249"/>
      <c r="AK95" s="249"/>
      <c r="AL95" s="249"/>
      <c r="AM95" s="249"/>
      <c r="AN95" s="185"/>
      <c r="AO95" s="185"/>
      <c r="AP95" s="185"/>
      <c r="AQ95" s="185"/>
      <c r="AR95" s="185"/>
      <c r="AS95" s="185"/>
      <c r="AT95" s="185"/>
      <c r="AU95" s="185"/>
      <c r="AV95" s="185"/>
    </row>
    <row r="96" spans="1:48" outlineLevel="1">
      <c r="A96" s="11"/>
      <c r="B96" s="11"/>
      <c r="C96" s="11"/>
      <c r="D96" s="11"/>
      <c r="E96" s="11"/>
      <c r="F96" s="39" t="str">
        <f>Asset21</f>
        <v>Equity raising costs</v>
      </c>
      <c r="G96" s="455">
        <v>0</v>
      </c>
      <c r="H96" s="450">
        <v>0</v>
      </c>
      <c r="I96" s="450">
        <v>0</v>
      </c>
      <c r="J96" s="450">
        <v>0</v>
      </c>
      <c r="K96" s="450">
        <v>0</v>
      </c>
      <c r="L96" s="450">
        <v>0</v>
      </c>
      <c r="M96" s="61"/>
      <c r="N96" s="61"/>
      <c r="O96" s="61"/>
      <c r="P96" s="61"/>
      <c r="Q96" s="61"/>
      <c r="R96" s="8"/>
      <c r="S96" s="8"/>
      <c r="T96" s="8"/>
      <c r="U96" s="8"/>
      <c r="V96" s="8"/>
      <c r="W96" s="42"/>
      <c r="X96" s="337"/>
      <c r="Y96" s="9"/>
      <c r="Z96" s="9"/>
      <c r="AA96" s="9"/>
      <c r="AB96" s="9"/>
      <c r="AC96" s="9"/>
      <c r="AD96" s="9"/>
      <c r="AE96" s="417"/>
      <c r="AF96" s="249"/>
      <c r="AG96" s="249"/>
      <c r="AH96" s="249"/>
      <c r="AI96" s="249"/>
      <c r="AJ96" s="249"/>
      <c r="AK96" s="249"/>
      <c r="AL96" s="249"/>
      <c r="AM96" s="249"/>
      <c r="AN96" s="185"/>
      <c r="AO96" s="185"/>
      <c r="AP96" s="185"/>
      <c r="AQ96" s="185"/>
      <c r="AR96" s="185"/>
      <c r="AS96" s="185"/>
      <c r="AT96" s="185"/>
      <c r="AU96" s="185"/>
      <c r="AV96" s="185"/>
    </row>
    <row r="97" spans="1:48" outlineLevel="1">
      <c r="A97" s="11"/>
      <c r="B97" s="11"/>
      <c r="C97" s="11"/>
      <c r="D97" s="11"/>
      <c r="E97" s="11"/>
      <c r="F97" s="39">
        <f>Asset22</f>
        <v>0</v>
      </c>
      <c r="G97" s="166"/>
      <c r="H97" s="61"/>
      <c r="I97" s="61"/>
      <c r="J97" s="61"/>
      <c r="K97" s="61"/>
      <c r="L97" s="61"/>
      <c r="M97" s="61"/>
      <c r="N97" s="61"/>
      <c r="O97" s="61"/>
      <c r="P97" s="61"/>
      <c r="Q97" s="61"/>
      <c r="R97" s="8"/>
      <c r="S97" s="8"/>
      <c r="T97" s="8"/>
      <c r="U97" s="8"/>
      <c r="V97" s="8"/>
      <c r="W97" s="42"/>
      <c r="X97" s="337"/>
      <c r="Y97" s="9"/>
      <c r="Z97" s="9"/>
      <c r="AA97" s="9"/>
      <c r="AB97" s="9"/>
      <c r="AC97" s="9"/>
      <c r="AD97" s="9"/>
      <c r="AE97" s="410"/>
      <c r="AF97" s="185"/>
      <c r="AG97" s="185"/>
      <c r="AH97" s="185"/>
      <c r="AI97" s="185"/>
      <c r="AJ97" s="185"/>
      <c r="AK97" s="185"/>
      <c r="AL97" s="249"/>
      <c r="AM97" s="185"/>
      <c r="AN97" s="185"/>
      <c r="AO97" s="185"/>
      <c r="AP97" s="185"/>
      <c r="AQ97" s="185"/>
      <c r="AR97" s="185"/>
      <c r="AS97" s="185"/>
      <c r="AT97" s="185"/>
      <c r="AU97" s="185"/>
      <c r="AV97" s="185"/>
    </row>
    <row r="98" spans="1:48" outlineLevel="1">
      <c r="A98" s="11"/>
      <c r="B98" s="11"/>
      <c r="C98" s="11"/>
      <c r="D98" s="11"/>
      <c r="E98" s="11"/>
      <c r="F98" s="39">
        <f>Asset23</f>
        <v>0</v>
      </c>
      <c r="G98" s="166"/>
      <c r="H98" s="61"/>
      <c r="I98" s="61"/>
      <c r="J98" s="61"/>
      <c r="K98" s="61"/>
      <c r="L98" s="61"/>
      <c r="M98" s="61"/>
      <c r="N98" s="61"/>
      <c r="O98" s="61"/>
      <c r="P98" s="61"/>
      <c r="Q98" s="61"/>
      <c r="R98" s="8"/>
      <c r="S98" s="8"/>
      <c r="T98" s="8"/>
      <c r="U98" s="8"/>
      <c r="V98" s="8"/>
      <c r="W98" s="42"/>
      <c r="X98" s="337"/>
      <c r="Y98" s="9"/>
      <c r="Z98" s="9"/>
      <c r="AA98" s="9"/>
      <c r="AB98" s="9"/>
      <c r="AC98" s="9"/>
      <c r="AD98" s="9"/>
      <c r="AE98" s="410"/>
      <c r="AF98" s="415"/>
      <c r="AG98" s="185"/>
      <c r="AH98" s="185"/>
      <c r="AI98" s="185"/>
      <c r="AJ98" s="185"/>
      <c r="AK98" s="185"/>
      <c r="AL98" s="249"/>
      <c r="AM98" s="185"/>
      <c r="AN98" s="185"/>
      <c r="AO98" s="185"/>
      <c r="AP98" s="185"/>
      <c r="AQ98" s="185"/>
      <c r="AR98" s="185"/>
      <c r="AS98" s="185"/>
      <c r="AT98" s="185"/>
      <c r="AU98" s="185"/>
      <c r="AV98" s="185"/>
    </row>
    <row r="99" spans="1:48" outlineLevel="1">
      <c r="A99" s="11"/>
      <c r="B99" s="11"/>
      <c r="C99" s="11"/>
      <c r="D99" s="11"/>
      <c r="E99" s="11"/>
      <c r="F99" s="39">
        <f>Asset24</f>
        <v>0</v>
      </c>
      <c r="G99" s="166"/>
      <c r="H99" s="61"/>
      <c r="I99" s="61"/>
      <c r="J99" s="61"/>
      <c r="K99" s="61"/>
      <c r="L99" s="61"/>
      <c r="M99" s="61"/>
      <c r="N99" s="61"/>
      <c r="O99" s="61"/>
      <c r="P99" s="61"/>
      <c r="Q99" s="61"/>
      <c r="R99" s="8"/>
      <c r="S99" s="8"/>
      <c r="T99" s="8"/>
      <c r="U99" s="8"/>
      <c r="V99" s="8"/>
      <c r="W99" s="42"/>
      <c r="X99" s="337"/>
      <c r="Y99" s="9"/>
      <c r="Z99" s="9"/>
      <c r="AA99" s="9"/>
      <c r="AB99" s="9"/>
      <c r="AC99" s="9"/>
      <c r="AD99" s="9"/>
      <c r="AE99" s="410"/>
      <c r="AF99" s="185"/>
      <c r="AG99" s="185"/>
      <c r="AH99" s="185"/>
      <c r="AI99" s="185"/>
      <c r="AJ99" s="185"/>
      <c r="AK99" s="185"/>
      <c r="AL99" s="185"/>
      <c r="AM99" s="185"/>
      <c r="AN99" s="185"/>
      <c r="AO99" s="185"/>
      <c r="AP99" s="185"/>
      <c r="AQ99" s="185"/>
      <c r="AR99" s="185"/>
      <c r="AS99" s="185"/>
      <c r="AT99" s="185"/>
      <c r="AU99" s="185"/>
      <c r="AV99" s="185"/>
    </row>
    <row r="100" spans="1:48" outlineLevel="1">
      <c r="A100" s="11"/>
      <c r="B100" s="11"/>
      <c r="C100" s="11"/>
      <c r="D100" s="11"/>
      <c r="E100" s="11"/>
      <c r="F100" s="39">
        <f>Asset25</f>
        <v>0</v>
      </c>
      <c r="G100" s="166"/>
      <c r="H100" s="61"/>
      <c r="I100" s="61"/>
      <c r="J100" s="61"/>
      <c r="K100" s="61"/>
      <c r="L100" s="61"/>
      <c r="M100" s="61"/>
      <c r="N100" s="61"/>
      <c r="O100" s="61"/>
      <c r="P100" s="61"/>
      <c r="Q100" s="61"/>
      <c r="R100" s="8"/>
      <c r="S100" s="8"/>
      <c r="T100" s="8"/>
      <c r="U100" s="8"/>
      <c r="V100" s="8"/>
      <c r="W100" s="42"/>
      <c r="X100" s="337"/>
      <c r="Y100" s="9"/>
      <c r="Z100" s="9"/>
      <c r="AA100" s="9"/>
      <c r="AB100" s="9"/>
      <c r="AC100" s="9"/>
      <c r="AD100" s="9"/>
      <c r="AE100" s="410"/>
      <c r="AF100" s="185"/>
      <c r="AG100" s="185"/>
      <c r="AH100" s="185"/>
      <c r="AI100" s="185"/>
      <c r="AJ100" s="185"/>
      <c r="AK100" s="185"/>
      <c r="AL100" s="185"/>
      <c r="AM100" s="185"/>
      <c r="AN100" s="185"/>
      <c r="AO100" s="185"/>
      <c r="AP100" s="185"/>
      <c r="AQ100" s="185"/>
      <c r="AR100" s="185"/>
      <c r="AS100" s="185"/>
      <c r="AT100" s="185"/>
      <c r="AU100" s="185"/>
      <c r="AV100" s="185"/>
    </row>
    <row r="101" spans="1:48" outlineLevel="1">
      <c r="A101" s="11"/>
      <c r="B101" s="11"/>
      <c r="C101" s="11"/>
      <c r="D101" s="11"/>
      <c r="E101" s="11"/>
      <c r="F101" s="39">
        <f>Asset26</f>
        <v>0</v>
      </c>
      <c r="G101" s="166"/>
      <c r="H101" s="61"/>
      <c r="I101" s="61"/>
      <c r="J101" s="61"/>
      <c r="K101" s="61"/>
      <c r="L101" s="61"/>
      <c r="M101" s="61"/>
      <c r="N101" s="61"/>
      <c r="O101" s="61"/>
      <c r="P101" s="61"/>
      <c r="Q101" s="61"/>
      <c r="R101" s="8"/>
      <c r="S101" s="8"/>
      <c r="T101" s="8"/>
      <c r="U101" s="8"/>
      <c r="V101" s="8"/>
      <c r="W101" s="42"/>
      <c r="X101" s="337"/>
      <c r="Y101" s="9"/>
      <c r="Z101" s="9"/>
      <c r="AA101" s="9"/>
      <c r="AB101" s="9"/>
      <c r="AC101" s="9"/>
      <c r="AD101" s="9"/>
      <c r="AE101" s="410"/>
      <c r="AF101" s="185"/>
      <c r="AG101" s="185"/>
      <c r="AH101" s="185"/>
      <c r="AI101" s="185"/>
      <c r="AJ101" s="185"/>
      <c r="AK101" s="185"/>
      <c r="AL101" s="185"/>
      <c r="AM101" s="185"/>
      <c r="AN101" s="185"/>
      <c r="AO101" s="185"/>
      <c r="AP101" s="185"/>
      <c r="AQ101" s="185"/>
      <c r="AR101" s="185"/>
      <c r="AS101" s="185"/>
      <c r="AT101" s="185"/>
      <c r="AU101" s="185"/>
      <c r="AV101" s="185"/>
    </row>
    <row r="102" spans="1:48" outlineLevel="1">
      <c r="A102" s="11"/>
      <c r="B102" s="11"/>
      <c r="C102" s="11"/>
      <c r="D102" s="11"/>
      <c r="E102" s="11"/>
      <c r="F102" s="39">
        <f>Asset27</f>
        <v>0</v>
      </c>
      <c r="G102" s="166"/>
      <c r="H102" s="61"/>
      <c r="I102" s="61"/>
      <c r="J102" s="61"/>
      <c r="K102" s="61"/>
      <c r="L102" s="61"/>
      <c r="M102" s="61"/>
      <c r="N102" s="61"/>
      <c r="O102" s="61"/>
      <c r="P102" s="61"/>
      <c r="Q102" s="61"/>
      <c r="R102" s="8"/>
      <c r="S102" s="8"/>
      <c r="T102" s="8"/>
      <c r="U102" s="8"/>
      <c r="V102" s="8"/>
      <c r="W102" s="42"/>
      <c r="X102" s="337"/>
      <c r="Y102" s="9"/>
      <c r="Z102" s="9"/>
      <c r="AA102" s="9"/>
      <c r="AB102" s="9"/>
      <c r="AC102" s="9"/>
      <c r="AD102" s="9"/>
      <c r="AE102" s="410"/>
      <c r="AF102" s="415"/>
      <c r="AG102" s="415"/>
      <c r="AH102" s="185"/>
      <c r="AI102" s="185"/>
      <c r="AJ102" s="185"/>
      <c r="AK102" s="185"/>
      <c r="AL102" s="185"/>
      <c r="AM102" s="185"/>
      <c r="AN102" s="249"/>
      <c r="AO102" s="185"/>
      <c r="AP102" s="185"/>
      <c r="AQ102" s="185"/>
      <c r="AR102" s="185"/>
      <c r="AS102" s="185"/>
      <c r="AT102" s="185"/>
      <c r="AU102" s="185"/>
      <c r="AV102" s="185"/>
    </row>
    <row r="103" spans="1:48" outlineLevel="1">
      <c r="A103" s="11"/>
      <c r="B103" s="11"/>
      <c r="C103" s="11"/>
      <c r="D103" s="11"/>
      <c r="E103" s="11"/>
      <c r="F103" s="39">
        <f>Asset28</f>
        <v>0</v>
      </c>
      <c r="G103" s="166"/>
      <c r="H103" s="61"/>
      <c r="I103" s="61"/>
      <c r="J103" s="61"/>
      <c r="K103" s="61"/>
      <c r="L103" s="61"/>
      <c r="M103" s="61"/>
      <c r="N103" s="61"/>
      <c r="O103" s="61"/>
      <c r="P103" s="61"/>
      <c r="Q103" s="61"/>
      <c r="R103" s="8"/>
      <c r="S103" s="8"/>
      <c r="T103" s="8"/>
      <c r="U103" s="8"/>
      <c r="V103" s="8"/>
      <c r="W103" s="42"/>
      <c r="X103" s="337"/>
      <c r="Y103" s="9"/>
      <c r="Z103" s="9"/>
      <c r="AA103" s="9"/>
      <c r="AB103" s="9"/>
      <c r="AC103" s="9"/>
      <c r="AD103" s="9"/>
      <c r="AE103" s="410"/>
      <c r="AF103" s="185"/>
      <c r="AG103" s="415"/>
      <c r="AH103" s="185"/>
      <c r="AI103" s="185"/>
      <c r="AJ103" s="185"/>
      <c r="AK103" s="185"/>
      <c r="AL103" s="416"/>
      <c r="AM103" s="185"/>
      <c r="AN103" s="249"/>
      <c r="AO103" s="185"/>
      <c r="AP103" s="185"/>
      <c r="AQ103" s="185"/>
      <c r="AR103" s="185"/>
      <c r="AS103" s="185"/>
      <c r="AT103" s="185"/>
      <c r="AU103" s="185"/>
      <c r="AV103" s="185"/>
    </row>
    <row r="104" spans="1:48" outlineLevel="1">
      <c r="A104" s="11"/>
      <c r="B104" s="11"/>
      <c r="C104" s="11"/>
      <c r="D104" s="11"/>
      <c r="E104" s="11"/>
      <c r="F104" s="39">
        <f>Asset29</f>
        <v>0</v>
      </c>
      <c r="G104" s="166"/>
      <c r="H104" s="61"/>
      <c r="I104" s="61"/>
      <c r="J104" s="61"/>
      <c r="K104" s="61"/>
      <c r="L104" s="61"/>
      <c r="M104" s="61"/>
      <c r="N104" s="61"/>
      <c r="O104" s="61"/>
      <c r="P104" s="61"/>
      <c r="Q104" s="61"/>
      <c r="R104" s="8"/>
      <c r="S104" s="8"/>
      <c r="T104" s="8"/>
      <c r="U104" s="8"/>
      <c r="V104" s="8"/>
      <c r="W104" s="42"/>
      <c r="X104" s="337"/>
      <c r="Y104" s="9"/>
      <c r="Z104" s="9"/>
      <c r="AA104" s="9"/>
      <c r="AB104" s="9"/>
      <c r="AC104" s="9"/>
      <c r="AD104" s="9"/>
      <c r="AE104" s="410"/>
      <c r="AF104" s="185"/>
      <c r="AG104" s="185"/>
      <c r="AH104" s="185"/>
      <c r="AI104" s="185"/>
      <c r="AJ104" s="185"/>
      <c r="AK104" s="185"/>
      <c r="AL104" s="185"/>
      <c r="AM104" s="185"/>
      <c r="AN104" s="185"/>
      <c r="AO104" s="185"/>
      <c r="AP104" s="185"/>
      <c r="AQ104" s="185"/>
      <c r="AR104" s="185"/>
      <c r="AS104" s="185"/>
      <c r="AT104" s="185"/>
      <c r="AU104" s="185"/>
      <c r="AV104" s="185"/>
    </row>
    <row r="105" spans="1:48">
      <c r="A105" s="11"/>
      <c r="B105" s="11"/>
      <c r="C105" s="11"/>
      <c r="D105" s="11"/>
      <c r="E105" s="11"/>
      <c r="F105" s="39">
        <f>Asset30</f>
        <v>0</v>
      </c>
      <c r="G105" s="166"/>
      <c r="H105" s="61"/>
      <c r="I105" s="61"/>
      <c r="J105" s="61"/>
      <c r="K105" s="61"/>
      <c r="L105" s="61"/>
      <c r="M105" s="61"/>
      <c r="N105" s="61"/>
      <c r="O105" s="61"/>
      <c r="P105" s="61"/>
      <c r="Q105" s="61"/>
      <c r="R105" s="8"/>
      <c r="S105" s="8"/>
      <c r="T105" s="8"/>
      <c r="U105" s="8"/>
      <c r="V105" s="8"/>
      <c r="W105" s="42"/>
      <c r="X105" s="337"/>
      <c r="Y105" s="46"/>
      <c r="Z105" s="8"/>
      <c r="AA105" s="8"/>
      <c r="AB105" s="42"/>
      <c r="AC105" s="9"/>
      <c r="AD105" s="9"/>
      <c r="AE105" s="410"/>
      <c r="AF105" s="185"/>
      <c r="AG105" s="185"/>
      <c r="AH105" s="185"/>
      <c r="AI105" s="185"/>
      <c r="AJ105" s="185"/>
      <c r="AK105" s="185"/>
      <c r="AL105" s="185"/>
      <c r="AM105" s="185"/>
      <c r="AN105" s="185"/>
      <c r="AO105" s="185"/>
      <c r="AP105" s="185"/>
      <c r="AQ105" s="185"/>
      <c r="AR105" s="185"/>
      <c r="AS105" s="185"/>
      <c r="AT105" s="185"/>
      <c r="AU105" s="185"/>
      <c r="AV105" s="185"/>
    </row>
    <row r="106" spans="1:48" ht="20.25" customHeight="1">
      <c r="A106" s="11"/>
      <c r="B106" s="11"/>
      <c r="C106" s="11"/>
      <c r="D106" s="11"/>
      <c r="E106" s="11"/>
      <c r="F106" s="39" t="s">
        <v>22</v>
      </c>
      <c r="G106" s="451">
        <f t="shared" ref="G106:Q106" si="5">SUM(G76:G105)</f>
        <v>5.3370119896990005</v>
      </c>
      <c r="H106" s="452">
        <f t="shared" si="5"/>
        <v>3.4290785274450002</v>
      </c>
      <c r="I106" s="453">
        <f t="shared" si="5"/>
        <v>3.9793975530083898</v>
      </c>
      <c r="J106" s="452">
        <f t="shared" si="5"/>
        <v>4.0395166916876581</v>
      </c>
      <c r="K106" s="452">
        <f>SUM(K76:K105)</f>
        <v>3.5959948026707034</v>
      </c>
      <c r="L106" s="452">
        <f t="shared" si="5"/>
        <v>120.02131629485459</v>
      </c>
      <c r="M106" s="236">
        <f t="shared" si="5"/>
        <v>0</v>
      </c>
      <c r="N106" s="236">
        <f t="shared" si="5"/>
        <v>0</v>
      </c>
      <c r="O106" s="236">
        <f t="shared" si="5"/>
        <v>0</v>
      </c>
      <c r="P106" s="236">
        <f t="shared" si="5"/>
        <v>0</v>
      </c>
      <c r="Q106" s="236">
        <f t="shared" si="5"/>
        <v>0</v>
      </c>
      <c r="R106" s="37"/>
      <c r="S106" s="37"/>
      <c r="T106" s="37"/>
      <c r="U106" s="37"/>
      <c r="V106" s="37"/>
      <c r="W106" s="37"/>
      <c r="X106" s="337"/>
      <c r="Y106" s="9"/>
      <c r="Z106" s="9"/>
      <c r="AA106" s="9"/>
      <c r="AB106" s="18"/>
      <c r="AC106" s="9"/>
      <c r="AD106" s="9"/>
      <c r="AE106" s="410"/>
      <c r="AF106" s="185"/>
      <c r="AG106" s="185"/>
      <c r="AH106" s="185"/>
      <c r="AI106" s="185"/>
      <c r="AJ106" s="185"/>
      <c r="AK106" s="185"/>
      <c r="AL106" s="185"/>
      <c r="AM106" s="185"/>
      <c r="AN106" s="185"/>
      <c r="AO106" s="185"/>
      <c r="AP106" s="185"/>
      <c r="AQ106" s="185"/>
      <c r="AR106" s="185"/>
      <c r="AS106" s="185"/>
      <c r="AT106" s="185"/>
      <c r="AU106" s="185"/>
      <c r="AV106" s="185"/>
    </row>
    <row r="107" spans="1:48" ht="13.5" customHeight="1">
      <c r="A107" s="11"/>
      <c r="B107" s="11"/>
      <c r="C107" s="11"/>
      <c r="D107" s="11"/>
      <c r="F107" s="9"/>
      <c r="G107" s="36"/>
      <c r="H107" s="36"/>
      <c r="I107" s="36"/>
      <c r="J107" s="36"/>
      <c r="K107" s="36"/>
      <c r="L107" s="36"/>
      <c r="M107" s="9"/>
      <c r="N107" s="9"/>
      <c r="O107" s="9"/>
      <c r="P107" s="9"/>
      <c r="Q107" s="9"/>
      <c r="R107" s="235">
        <f>SUM(G106:Q106)</f>
        <v>140.40231585936533</v>
      </c>
      <c r="S107" s="9"/>
      <c r="T107" s="9"/>
      <c r="U107" s="9"/>
      <c r="V107" s="9"/>
      <c r="W107" s="9"/>
      <c r="X107" s="337"/>
      <c r="Y107" s="8"/>
      <c r="Z107" s="8"/>
      <c r="AA107" s="8"/>
      <c r="AB107" s="8"/>
      <c r="AC107" s="42"/>
      <c r="AD107" s="9"/>
      <c r="AE107" s="9"/>
      <c r="AF107" s="185"/>
      <c r="AG107" s="185"/>
      <c r="AH107" s="185"/>
      <c r="AI107" s="185"/>
      <c r="AJ107" s="185"/>
      <c r="AK107" s="185"/>
      <c r="AL107" s="185"/>
      <c r="AM107" s="185"/>
      <c r="AN107" s="185"/>
      <c r="AO107" s="185"/>
      <c r="AP107" s="185"/>
      <c r="AQ107" s="185"/>
      <c r="AR107" s="185"/>
      <c r="AS107" s="185"/>
      <c r="AT107" s="185"/>
      <c r="AU107" s="185"/>
      <c r="AV107" s="185"/>
    </row>
    <row r="108" spans="1:48" ht="15.75">
      <c r="A108" s="72"/>
      <c r="B108" s="72"/>
      <c r="C108" s="72"/>
      <c r="D108" s="72"/>
      <c r="E108" s="72"/>
      <c r="F108" s="159" t="s">
        <v>89</v>
      </c>
      <c r="G108" s="159"/>
      <c r="H108" s="159"/>
      <c r="I108" s="159"/>
      <c r="J108" s="159"/>
      <c r="K108" s="75"/>
      <c r="L108" s="75"/>
      <c r="M108" s="73"/>
      <c r="N108" s="73"/>
      <c r="O108" s="73"/>
      <c r="P108" s="73"/>
      <c r="Q108" s="73"/>
      <c r="R108" s="73"/>
      <c r="S108" s="73"/>
      <c r="T108" s="73"/>
      <c r="U108" s="73"/>
      <c r="V108" s="73"/>
      <c r="W108" s="73"/>
      <c r="X108" s="337"/>
      <c r="Y108" s="9"/>
      <c r="Z108" s="400"/>
      <c r="AA108" s="8"/>
      <c r="AB108" s="8"/>
      <c r="AC108" s="8"/>
      <c r="AD108" s="11"/>
      <c r="AE108" s="11"/>
      <c r="AF108" s="185"/>
      <c r="AG108" s="185"/>
      <c r="AH108" s="185"/>
      <c r="AI108" s="185"/>
      <c r="AJ108" s="185"/>
      <c r="AK108" s="185"/>
      <c r="AL108" s="185"/>
      <c r="AM108" s="185"/>
      <c r="AN108" s="185"/>
      <c r="AO108" s="185"/>
      <c r="AP108" s="185"/>
      <c r="AQ108" s="185"/>
      <c r="AR108" s="185"/>
      <c r="AS108" s="185"/>
      <c r="AT108" s="185"/>
      <c r="AU108" s="185"/>
      <c r="AV108" s="185"/>
    </row>
    <row r="109" spans="1:48" outlineLevel="1">
      <c r="A109" s="11"/>
      <c r="B109" s="11"/>
      <c r="C109" s="11"/>
      <c r="D109" s="11"/>
      <c r="E109" s="11"/>
      <c r="F109" s="38" t="s">
        <v>5</v>
      </c>
      <c r="G109" s="325" t="str">
        <f>G75</f>
        <v>2008-09</v>
      </c>
      <c r="H109" s="234" t="str">
        <f t="shared" ref="H109:Q109" si="6">H75</f>
        <v>2009-10</v>
      </c>
      <c r="I109" s="234" t="str">
        <f t="shared" si="6"/>
        <v>2010-11</v>
      </c>
      <c r="J109" s="234" t="str">
        <f t="shared" si="6"/>
        <v>2011-12</v>
      </c>
      <c r="K109" s="234" t="str">
        <f t="shared" si="6"/>
        <v>2012-13</v>
      </c>
      <c r="L109" s="234" t="str">
        <f t="shared" si="6"/>
        <v>2013-14</v>
      </c>
      <c r="M109" s="234" t="str">
        <f t="shared" si="6"/>
        <v>2014-15</v>
      </c>
      <c r="N109" s="234" t="str">
        <f t="shared" si="6"/>
        <v>2015-16</v>
      </c>
      <c r="O109" s="234" t="str">
        <f t="shared" si="6"/>
        <v>2016-17</v>
      </c>
      <c r="P109" s="234" t="str">
        <f t="shared" si="6"/>
        <v>2017-18</v>
      </c>
      <c r="Q109" s="234" t="str">
        <f t="shared" si="6"/>
        <v>2018-19</v>
      </c>
      <c r="R109" s="8"/>
      <c r="S109" s="8"/>
      <c r="T109" s="8"/>
      <c r="U109" s="8"/>
      <c r="V109" s="8"/>
      <c r="W109" s="42"/>
      <c r="X109" s="337"/>
      <c r="Y109" s="9"/>
      <c r="Z109" s="411"/>
      <c r="AA109" s="411"/>
      <c r="AB109" s="411"/>
      <c r="AC109" s="411"/>
      <c r="AD109" s="411"/>
      <c r="AE109" s="411"/>
      <c r="AF109" s="185"/>
      <c r="AG109" s="185"/>
      <c r="AH109" s="185"/>
      <c r="AI109" s="185"/>
      <c r="AJ109" s="185"/>
      <c r="AK109" s="185"/>
      <c r="AL109" s="185"/>
      <c r="AM109" s="185"/>
      <c r="AN109" s="185"/>
      <c r="AO109" s="185"/>
      <c r="AP109" s="185"/>
      <c r="AQ109" s="185"/>
      <c r="AR109" s="185"/>
      <c r="AS109" s="185"/>
      <c r="AT109" s="185"/>
      <c r="AU109" s="185"/>
      <c r="AV109" s="185"/>
    </row>
    <row r="110" spans="1:48" outlineLevel="1">
      <c r="A110" s="11"/>
      <c r="B110" s="11"/>
      <c r="C110" s="11"/>
      <c r="D110" s="11"/>
      <c r="E110" s="11"/>
      <c r="F110" s="39" t="str">
        <f>Asset1</f>
        <v>Sub-transmission lines and cables</v>
      </c>
      <c r="G110" s="315">
        <v>0</v>
      </c>
      <c r="H110" s="444">
        <v>2.5090759999999999</v>
      </c>
      <c r="I110" s="444">
        <v>0</v>
      </c>
      <c r="J110" s="444">
        <v>0</v>
      </c>
      <c r="K110" s="444">
        <v>1.548659E-2</v>
      </c>
      <c r="L110" s="444"/>
      <c r="M110" s="60"/>
      <c r="N110" s="60"/>
      <c r="O110" s="60"/>
      <c r="P110" s="60"/>
      <c r="Q110" s="60"/>
      <c r="R110" s="8"/>
      <c r="S110" s="401"/>
      <c r="T110" s="401"/>
      <c r="U110" s="401"/>
      <c r="V110" s="401"/>
      <c r="W110" s="401"/>
      <c r="X110" s="401"/>
      <c r="Y110" s="9"/>
      <c r="Z110" s="412"/>
      <c r="AA110" s="412"/>
      <c r="AB110" s="412"/>
      <c r="AC110" s="412"/>
      <c r="AD110" s="412"/>
      <c r="AE110" s="412"/>
      <c r="AF110" s="185"/>
      <c r="AG110" s="185"/>
      <c r="AH110" s="185"/>
      <c r="AI110" s="185"/>
      <c r="AJ110" s="185"/>
      <c r="AK110" s="185"/>
      <c r="AL110" s="185"/>
      <c r="AM110" s="185"/>
      <c r="AN110" s="185"/>
      <c r="AO110" s="185"/>
      <c r="AP110" s="185"/>
      <c r="AQ110" s="185"/>
      <c r="AR110" s="185"/>
      <c r="AS110" s="185"/>
      <c r="AT110" s="185"/>
      <c r="AU110" s="185"/>
      <c r="AV110" s="185"/>
    </row>
    <row r="111" spans="1:48" outlineLevel="1">
      <c r="A111" s="11"/>
      <c r="B111" s="11"/>
      <c r="C111" s="11"/>
      <c r="D111" s="11"/>
      <c r="E111" s="11"/>
      <c r="F111" s="39" t="str">
        <f>Asset2</f>
        <v>Cable tunnel (dx)</v>
      </c>
      <c r="G111" s="315">
        <v>0</v>
      </c>
      <c r="H111" s="450">
        <v>0</v>
      </c>
      <c r="I111" s="450">
        <v>0</v>
      </c>
      <c r="J111" s="450">
        <v>0</v>
      </c>
      <c r="K111" s="450">
        <v>0</v>
      </c>
      <c r="L111" s="450"/>
      <c r="M111" s="61"/>
      <c r="N111" s="61"/>
      <c r="O111" s="61"/>
      <c r="P111" s="61"/>
      <c r="Q111" s="61"/>
      <c r="R111" s="8"/>
      <c r="S111" s="401"/>
      <c r="T111" s="401"/>
      <c r="U111" s="401"/>
      <c r="V111" s="401"/>
      <c r="W111" s="401"/>
      <c r="X111" s="401"/>
      <c r="Y111" s="9"/>
      <c r="Z111" s="412"/>
      <c r="AA111" s="412"/>
      <c r="AB111" s="412"/>
      <c r="AC111" s="412"/>
      <c r="AD111" s="412"/>
      <c r="AE111" s="412"/>
      <c r="AF111" s="185"/>
      <c r="AG111" s="185"/>
      <c r="AH111" s="185"/>
      <c r="AI111" s="185"/>
      <c r="AJ111" s="185"/>
      <c r="AK111" s="185"/>
      <c r="AL111" s="185"/>
      <c r="AM111" s="185"/>
      <c r="AN111" s="185"/>
      <c r="AO111" s="185"/>
      <c r="AP111" s="185"/>
      <c r="AQ111" s="185"/>
      <c r="AR111" s="185"/>
      <c r="AS111" s="185"/>
      <c r="AT111" s="185"/>
      <c r="AU111" s="185"/>
      <c r="AV111" s="185"/>
    </row>
    <row r="112" spans="1:48" outlineLevel="1">
      <c r="A112" s="11"/>
      <c r="B112" s="11"/>
      <c r="C112" s="11"/>
      <c r="D112" s="11"/>
      <c r="E112" s="11"/>
      <c r="F112" s="39" t="str">
        <f>Asset3</f>
        <v>Distribution lines and cables</v>
      </c>
      <c r="G112" s="315">
        <v>17.743252959999996</v>
      </c>
      <c r="H112" s="450">
        <v>9.9850860699999995</v>
      </c>
      <c r="I112" s="450">
        <v>13.06808013</v>
      </c>
      <c r="J112" s="450">
        <v>10.399506480000001</v>
      </c>
      <c r="K112" s="450">
        <v>13.78394945</v>
      </c>
      <c r="L112" s="450">
        <v>17.487068780000001</v>
      </c>
      <c r="M112" s="61"/>
      <c r="N112" s="61"/>
      <c r="O112" s="61"/>
      <c r="P112" s="61"/>
      <c r="Q112" s="61"/>
      <c r="R112" s="8"/>
      <c r="S112" s="401"/>
      <c r="T112" s="401"/>
      <c r="U112" s="401"/>
      <c r="V112" s="401"/>
      <c r="W112" s="401"/>
      <c r="X112" s="401"/>
      <c r="Y112" s="9"/>
      <c r="Z112" s="412"/>
      <c r="AA112" s="412"/>
      <c r="AB112" s="412"/>
      <c r="AC112" s="412"/>
      <c r="AD112" s="412"/>
      <c r="AE112" s="412"/>
      <c r="AF112" s="185"/>
      <c r="AG112" s="185"/>
      <c r="AH112" s="185"/>
      <c r="AI112" s="185"/>
      <c r="AJ112" s="185"/>
      <c r="AK112" s="185"/>
      <c r="AL112" s="185"/>
      <c r="AM112" s="185"/>
      <c r="AN112" s="185"/>
      <c r="AO112" s="185"/>
      <c r="AP112" s="185"/>
      <c r="AQ112" s="185"/>
      <c r="AR112" s="185"/>
      <c r="AS112" s="185"/>
      <c r="AT112" s="185"/>
      <c r="AU112" s="185"/>
      <c r="AV112" s="185"/>
    </row>
    <row r="113" spans="1:48" outlineLevel="1">
      <c r="A113" s="11"/>
      <c r="B113" s="11"/>
      <c r="C113" s="11"/>
      <c r="D113" s="11"/>
      <c r="E113" s="11"/>
      <c r="F113" s="39" t="str">
        <f>Asset4</f>
        <v>Substations</v>
      </c>
      <c r="G113" s="315">
        <v>3.63801248</v>
      </c>
      <c r="H113" s="450">
        <v>4.2954452500000002</v>
      </c>
      <c r="I113" s="450">
        <v>7.2878497800000002</v>
      </c>
      <c r="J113" s="450">
        <v>5.39781171</v>
      </c>
      <c r="K113" s="450">
        <v>16.653133239999999</v>
      </c>
      <c r="L113" s="450">
        <v>5.3998861799999993</v>
      </c>
      <c r="M113" s="61"/>
      <c r="N113" s="61"/>
      <c r="O113" s="61"/>
      <c r="P113" s="61"/>
      <c r="Q113" s="61"/>
      <c r="R113" s="8"/>
      <c r="S113" s="401"/>
      <c r="T113" s="401"/>
      <c r="U113" s="401"/>
      <c r="V113" s="401"/>
      <c r="W113" s="401"/>
      <c r="X113" s="401"/>
      <c r="Y113" s="9"/>
      <c r="Z113" s="412"/>
      <c r="AA113" s="412"/>
      <c r="AB113" s="412"/>
      <c r="AC113" s="412"/>
      <c r="AD113" s="412"/>
      <c r="AE113" s="412"/>
      <c r="AF113" s="185"/>
      <c r="AG113" s="185"/>
      <c r="AH113" s="185"/>
      <c r="AI113" s="185"/>
      <c r="AJ113" s="185"/>
      <c r="AK113" s="185"/>
      <c r="AL113" s="185"/>
      <c r="AM113" s="185"/>
      <c r="AN113" s="185"/>
      <c r="AO113" s="185"/>
      <c r="AP113" s="185"/>
      <c r="AQ113" s="185"/>
      <c r="AR113" s="185"/>
      <c r="AS113" s="185"/>
      <c r="AT113" s="185"/>
      <c r="AU113" s="185"/>
      <c r="AV113" s="185"/>
    </row>
    <row r="114" spans="1:48" outlineLevel="1">
      <c r="A114" s="11"/>
      <c r="B114" s="11"/>
      <c r="C114" s="11"/>
      <c r="D114" s="11"/>
      <c r="E114" s="11"/>
      <c r="F114" s="39" t="str">
        <f>Asset5</f>
        <v>Transformers</v>
      </c>
      <c r="G114" s="315">
        <v>0.13307054999999998</v>
      </c>
      <c r="H114" s="450">
        <v>8.532840999999998E-2</v>
      </c>
      <c r="I114" s="450">
        <v>2.297569E-2</v>
      </c>
      <c r="J114" s="450">
        <v>0</v>
      </c>
      <c r="K114" s="450">
        <v>0</v>
      </c>
      <c r="L114" s="450">
        <v>1.0109999999999999E-2</v>
      </c>
      <c r="M114" s="61"/>
      <c r="N114" s="61"/>
      <c r="O114" s="61"/>
      <c r="P114" s="61"/>
      <c r="Q114" s="61"/>
      <c r="R114" s="8"/>
      <c r="S114" s="401"/>
      <c r="T114" s="401"/>
      <c r="U114" s="401"/>
      <c r="V114" s="401"/>
      <c r="W114" s="401"/>
      <c r="X114" s="401"/>
      <c r="Y114" s="9"/>
      <c r="Z114" s="412"/>
      <c r="AA114" s="412"/>
      <c r="AB114" s="412"/>
      <c r="AC114" s="412"/>
      <c r="AD114" s="412"/>
      <c r="AE114" s="412"/>
      <c r="AF114" s="185"/>
      <c r="AG114" s="185"/>
      <c r="AH114" s="185"/>
      <c r="AI114" s="185"/>
      <c r="AJ114" s="185"/>
      <c r="AK114" s="185"/>
      <c r="AL114" s="185"/>
      <c r="AM114" s="185"/>
      <c r="AN114" s="185"/>
      <c r="AO114" s="185"/>
      <c r="AP114" s="185"/>
      <c r="AQ114" s="185"/>
      <c r="AR114" s="185"/>
      <c r="AS114" s="185"/>
      <c r="AT114" s="185"/>
      <c r="AU114" s="185"/>
      <c r="AV114" s="185"/>
    </row>
    <row r="115" spans="1:48" outlineLevel="1">
      <c r="A115" s="11"/>
      <c r="B115" s="11"/>
      <c r="C115" s="11"/>
      <c r="D115" s="11"/>
      <c r="E115" s="11"/>
      <c r="F115" s="39" t="str">
        <f>Asset6</f>
        <v>Low Voltage Lines and Cables</v>
      </c>
      <c r="G115" s="315">
        <v>26.772585370000002</v>
      </c>
      <c r="H115" s="450">
        <v>27.061173399999998</v>
      </c>
      <c r="I115" s="450">
        <v>30.108154429999999</v>
      </c>
      <c r="J115" s="450">
        <v>34.230336940000001</v>
      </c>
      <c r="K115" s="450">
        <v>32.236164850000002</v>
      </c>
      <c r="L115" s="450">
        <v>32.045137580000002</v>
      </c>
      <c r="M115" s="61"/>
      <c r="N115" s="61"/>
      <c r="O115" s="61"/>
      <c r="P115" s="61"/>
      <c r="Q115" s="61"/>
      <c r="R115" s="8"/>
      <c r="S115" s="401"/>
      <c r="T115" s="401"/>
      <c r="U115" s="401"/>
      <c r="V115" s="401"/>
      <c r="W115" s="401"/>
      <c r="X115" s="401"/>
      <c r="Y115" s="9"/>
      <c r="Z115" s="412"/>
      <c r="AA115" s="412"/>
      <c r="AB115" s="412"/>
      <c r="AC115" s="412"/>
      <c r="AD115" s="412"/>
      <c r="AE115" s="412"/>
      <c r="AF115" s="185"/>
      <c r="AG115" s="185"/>
      <c r="AH115" s="185"/>
      <c r="AI115" s="185"/>
      <c r="AJ115" s="185"/>
      <c r="AK115" s="185"/>
      <c r="AL115" s="185"/>
      <c r="AM115" s="185"/>
      <c r="AN115" s="185"/>
      <c r="AO115" s="185"/>
      <c r="AP115" s="185"/>
      <c r="AQ115" s="185"/>
      <c r="AR115" s="185"/>
      <c r="AS115" s="185"/>
      <c r="AT115" s="185"/>
      <c r="AU115" s="185"/>
      <c r="AV115" s="185"/>
    </row>
    <row r="116" spans="1:48" outlineLevel="1">
      <c r="A116" s="11"/>
      <c r="B116" s="11"/>
      <c r="C116" s="11"/>
      <c r="D116" s="11"/>
      <c r="E116" s="11"/>
      <c r="F116" s="39" t="str">
        <f>Asset7</f>
        <v>Customer Metering and Load Control</v>
      </c>
      <c r="G116" s="315">
        <v>0</v>
      </c>
      <c r="H116" s="450">
        <v>0</v>
      </c>
      <c r="I116" s="450">
        <v>0</v>
      </c>
      <c r="J116" s="450">
        <v>0</v>
      </c>
      <c r="K116" s="450">
        <v>0</v>
      </c>
      <c r="L116" s="450"/>
      <c r="M116" s="61"/>
      <c r="N116" s="61"/>
      <c r="O116" s="61"/>
      <c r="P116" s="61"/>
      <c r="Q116" s="61"/>
      <c r="R116" s="8"/>
      <c r="S116" s="401"/>
      <c r="T116" s="401"/>
      <c r="U116" s="401"/>
      <c r="V116" s="401"/>
      <c r="W116" s="401"/>
      <c r="X116" s="401"/>
      <c r="Y116" s="9"/>
      <c r="Z116" s="412"/>
      <c r="AA116" s="412"/>
      <c r="AB116" s="412"/>
      <c r="AC116" s="412"/>
      <c r="AD116" s="412"/>
      <c r="AE116" s="412"/>
      <c r="AF116" s="185"/>
      <c r="AG116" s="185"/>
      <c r="AH116" s="185"/>
      <c r="AI116" s="185"/>
      <c r="AJ116" s="185"/>
      <c r="AK116" s="185"/>
      <c r="AL116" s="185"/>
      <c r="AM116" s="185"/>
      <c r="AN116" s="185"/>
      <c r="AO116" s="185"/>
      <c r="AP116" s="185"/>
      <c r="AQ116" s="185"/>
      <c r="AR116" s="185"/>
      <c r="AS116" s="185"/>
      <c r="AT116" s="185"/>
      <c r="AU116" s="185"/>
      <c r="AV116" s="185"/>
    </row>
    <row r="117" spans="1:48" outlineLevel="1">
      <c r="A117" s="11"/>
      <c r="B117" s="11"/>
      <c r="C117" s="11"/>
      <c r="D117" s="11"/>
      <c r="E117" s="11"/>
      <c r="F117" s="39" t="str">
        <f>Asset8</f>
        <v>Customer Metering (digital)</v>
      </c>
      <c r="G117" s="315">
        <v>0</v>
      </c>
      <c r="H117" s="450">
        <v>0.115</v>
      </c>
      <c r="I117" s="450">
        <v>0.24573225000000001</v>
      </c>
      <c r="J117" s="450">
        <v>2.3574850999999999</v>
      </c>
      <c r="K117" s="450">
        <v>2.5415188799999999</v>
      </c>
      <c r="L117" s="450">
        <v>0.53948211999999995</v>
      </c>
      <c r="M117" s="61"/>
      <c r="N117" s="61"/>
      <c r="O117" s="61"/>
      <c r="P117" s="61"/>
      <c r="Q117" s="61"/>
      <c r="R117" s="8"/>
      <c r="S117" s="401"/>
      <c r="T117" s="401"/>
      <c r="U117" s="401"/>
      <c r="V117" s="401"/>
      <c r="W117" s="401"/>
      <c r="X117" s="401"/>
      <c r="Y117" s="9"/>
      <c r="Z117" s="412"/>
      <c r="AA117" s="412"/>
      <c r="AB117" s="412"/>
      <c r="AC117" s="412"/>
      <c r="AD117" s="412"/>
      <c r="AE117" s="412"/>
      <c r="AF117" s="185"/>
      <c r="AG117" s="185"/>
      <c r="AH117" s="185"/>
      <c r="AI117" s="185"/>
      <c r="AJ117" s="185"/>
      <c r="AK117" s="185"/>
      <c r="AL117" s="185"/>
      <c r="AM117" s="185"/>
      <c r="AN117" s="185"/>
      <c r="AO117" s="185"/>
      <c r="AP117" s="185"/>
      <c r="AQ117" s="185"/>
      <c r="AR117" s="185"/>
      <c r="AS117" s="185"/>
      <c r="AT117" s="185"/>
      <c r="AU117" s="185"/>
      <c r="AV117" s="185"/>
    </row>
    <row r="118" spans="1:48" outlineLevel="1">
      <c r="A118" s="11"/>
      <c r="B118" s="11"/>
      <c r="C118" s="11"/>
      <c r="D118" s="11"/>
      <c r="E118" s="11"/>
      <c r="F118" s="39" t="str">
        <f>Asset9</f>
        <v>Communications (digital) - dx</v>
      </c>
      <c r="G118" s="315">
        <v>0</v>
      </c>
      <c r="H118" s="450">
        <v>0.441</v>
      </c>
      <c r="I118" s="450">
        <v>0</v>
      </c>
      <c r="J118" s="450">
        <v>0</v>
      </c>
      <c r="K118" s="450">
        <v>4.3761378400000002</v>
      </c>
      <c r="L118" s="450">
        <v>0.90794923999999999</v>
      </c>
      <c r="M118" s="61"/>
      <c r="N118" s="61"/>
      <c r="O118" s="61"/>
      <c r="P118" s="61"/>
      <c r="Q118" s="61"/>
      <c r="R118" s="8"/>
      <c r="S118" s="401"/>
      <c r="T118" s="401"/>
      <c r="U118" s="401"/>
      <c r="V118" s="401"/>
      <c r="W118" s="401"/>
      <c r="X118" s="401"/>
      <c r="Y118" s="9"/>
      <c r="Z118" s="412"/>
      <c r="AA118" s="412"/>
      <c r="AB118" s="412"/>
      <c r="AC118" s="412"/>
      <c r="AD118" s="412"/>
      <c r="AE118" s="412"/>
      <c r="AF118" s="185"/>
      <c r="AG118" s="185"/>
      <c r="AH118" s="185"/>
      <c r="AI118" s="185"/>
      <c r="AJ118" s="185"/>
      <c r="AK118" s="185"/>
      <c r="AL118" s="185"/>
      <c r="AM118" s="185"/>
      <c r="AN118" s="185"/>
      <c r="AO118" s="185"/>
      <c r="AP118" s="185"/>
      <c r="AQ118" s="185"/>
      <c r="AR118" s="185"/>
      <c r="AS118" s="185"/>
      <c r="AT118" s="185"/>
      <c r="AU118" s="185"/>
      <c r="AV118" s="185"/>
    </row>
    <row r="119" spans="1:48" outlineLevel="1">
      <c r="A119" s="11"/>
      <c r="B119" s="11"/>
      <c r="C119" s="11"/>
      <c r="D119" s="11"/>
      <c r="E119" s="11"/>
      <c r="F119" s="39" t="str">
        <f>Asset10</f>
        <v>Total Communications</v>
      </c>
      <c r="G119" s="315">
        <v>0</v>
      </c>
      <c r="H119" s="450">
        <v>0</v>
      </c>
      <c r="I119" s="450">
        <v>0</v>
      </c>
      <c r="J119" s="450">
        <v>0</v>
      </c>
      <c r="K119" s="450">
        <v>0</v>
      </c>
      <c r="L119" s="450"/>
      <c r="M119" s="61"/>
      <c r="N119" s="61"/>
      <c r="O119" s="61"/>
      <c r="P119" s="61"/>
      <c r="Q119" s="61"/>
      <c r="R119" s="8"/>
      <c r="S119" s="401"/>
      <c r="T119" s="401"/>
      <c r="U119" s="401"/>
      <c r="V119" s="401"/>
      <c r="W119" s="401"/>
      <c r="X119" s="401"/>
      <c r="Y119" s="9"/>
      <c r="Z119" s="412"/>
      <c r="AA119" s="412"/>
      <c r="AB119" s="412"/>
      <c r="AC119" s="412"/>
      <c r="AD119" s="412"/>
      <c r="AE119" s="412"/>
      <c r="AF119" s="185"/>
      <c r="AG119" s="185"/>
      <c r="AH119" s="185"/>
      <c r="AI119" s="185"/>
      <c r="AJ119" s="185"/>
      <c r="AK119" s="185"/>
      <c r="AL119" s="185"/>
      <c r="AM119" s="185"/>
      <c r="AN119" s="185"/>
      <c r="AO119" s="185"/>
      <c r="AP119" s="185"/>
      <c r="AQ119" s="185"/>
      <c r="AR119" s="185"/>
      <c r="AS119" s="185"/>
      <c r="AT119" s="185"/>
      <c r="AU119" s="185"/>
      <c r="AV119" s="185"/>
    </row>
    <row r="120" spans="1:48" outlineLevel="1">
      <c r="A120" s="11"/>
      <c r="B120" s="11"/>
      <c r="C120" s="11"/>
      <c r="D120" s="11"/>
      <c r="E120" s="11"/>
      <c r="F120" s="39" t="str">
        <f>Asset11</f>
        <v>System IT (dx)</v>
      </c>
      <c r="G120" s="315">
        <v>0</v>
      </c>
      <c r="H120" s="450">
        <v>0</v>
      </c>
      <c r="I120" s="450">
        <v>3.3634298300000003</v>
      </c>
      <c r="J120" s="450">
        <v>25.497228360000001</v>
      </c>
      <c r="K120" s="450">
        <v>4.4653613300000004</v>
      </c>
      <c r="L120" s="450">
        <v>0.5753205400000001</v>
      </c>
      <c r="M120" s="61"/>
      <c r="N120" s="61"/>
      <c r="O120" s="61"/>
      <c r="P120" s="61"/>
      <c r="Q120" s="61"/>
      <c r="R120" s="8"/>
      <c r="S120" s="401"/>
      <c r="T120" s="401"/>
      <c r="U120" s="401"/>
      <c r="V120" s="401"/>
      <c r="W120" s="401"/>
      <c r="X120" s="401"/>
      <c r="Y120" s="9"/>
      <c r="Z120" s="412"/>
      <c r="AA120" s="412"/>
      <c r="AB120" s="412"/>
      <c r="AC120" s="412"/>
      <c r="AD120" s="412"/>
      <c r="AE120" s="412"/>
      <c r="AF120" s="185"/>
      <c r="AG120" s="185"/>
      <c r="AH120" s="185"/>
      <c r="AI120" s="185"/>
      <c r="AJ120" s="185"/>
      <c r="AK120" s="185"/>
      <c r="AL120" s="185"/>
      <c r="AM120" s="185"/>
      <c r="AN120" s="185"/>
      <c r="AO120" s="185"/>
      <c r="AP120" s="185"/>
      <c r="AQ120" s="185"/>
      <c r="AR120" s="185"/>
      <c r="AS120" s="185"/>
      <c r="AT120" s="185"/>
      <c r="AU120" s="185"/>
      <c r="AV120" s="185"/>
    </row>
    <row r="121" spans="1:48" outlineLevel="1">
      <c r="A121" s="11"/>
      <c r="B121" s="11"/>
      <c r="C121" s="11"/>
      <c r="D121" s="11"/>
      <c r="E121" s="11"/>
      <c r="F121" s="39" t="str">
        <f>Asset12</f>
        <v>Ancillary substation equipment (dx)</v>
      </c>
      <c r="G121" s="315">
        <v>0</v>
      </c>
      <c r="H121" s="450">
        <v>0</v>
      </c>
      <c r="I121" s="450">
        <v>0</v>
      </c>
      <c r="J121" s="450">
        <v>0</v>
      </c>
      <c r="K121" s="450">
        <v>0</v>
      </c>
      <c r="L121" s="450">
        <v>0</v>
      </c>
      <c r="M121" s="61"/>
      <c r="N121" s="61"/>
      <c r="O121" s="61"/>
      <c r="P121" s="61"/>
      <c r="Q121" s="61"/>
      <c r="R121" s="8"/>
      <c r="S121" s="401"/>
      <c r="T121" s="401"/>
      <c r="U121" s="401"/>
      <c r="V121" s="401"/>
      <c r="W121" s="401"/>
      <c r="X121" s="401"/>
      <c r="Y121" s="9"/>
      <c r="Z121" s="412"/>
      <c r="AA121" s="412"/>
      <c r="AB121" s="412"/>
      <c r="AC121" s="412"/>
      <c r="AD121" s="412"/>
      <c r="AE121" s="412"/>
      <c r="AF121" s="185"/>
      <c r="AG121" s="185"/>
      <c r="AH121" s="185"/>
      <c r="AI121" s="185"/>
      <c r="AJ121" s="185"/>
      <c r="AK121" s="185"/>
      <c r="AL121" s="185"/>
      <c r="AM121" s="185"/>
      <c r="AN121" s="185"/>
      <c r="AO121" s="185"/>
      <c r="AP121" s="185"/>
      <c r="AQ121" s="185"/>
      <c r="AR121" s="185"/>
      <c r="AS121" s="185"/>
      <c r="AT121" s="185"/>
      <c r="AU121" s="185"/>
      <c r="AV121" s="185"/>
    </row>
    <row r="122" spans="1:48" outlineLevel="1">
      <c r="A122" s="11"/>
      <c r="B122" s="11"/>
      <c r="C122" s="11"/>
      <c r="D122" s="11"/>
      <c r="E122" s="11"/>
      <c r="F122" s="39" t="str">
        <f>Asset13</f>
        <v>Land and Easements</v>
      </c>
      <c r="G122" s="315">
        <v>0</v>
      </c>
      <c r="H122" s="450">
        <v>0</v>
      </c>
      <c r="I122" s="450">
        <v>0</v>
      </c>
      <c r="J122" s="450">
        <v>0</v>
      </c>
      <c r="K122" s="450">
        <v>0</v>
      </c>
      <c r="L122" s="450">
        <v>0</v>
      </c>
      <c r="M122" s="61"/>
      <c r="N122" s="61"/>
      <c r="O122" s="61"/>
      <c r="P122" s="61"/>
      <c r="Q122" s="61"/>
      <c r="R122" s="8"/>
      <c r="S122" s="401"/>
      <c r="T122" s="401"/>
      <c r="U122" s="401"/>
      <c r="V122" s="401"/>
      <c r="W122" s="401"/>
      <c r="X122" s="401"/>
      <c r="Y122" s="9"/>
      <c r="Z122" s="412"/>
      <c r="AA122" s="412"/>
      <c r="AB122" s="412"/>
      <c r="AC122" s="412"/>
      <c r="AD122" s="412"/>
      <c r="AE122" s="412"/>
      <c r="AF122" s="185"/>
      <c r="AG122" s="185"/>
      <c r="AH122" s="185"/>
      <c r="AI122" s="185"/>
      <c r="AJ122" s="185"/>
      <c r="AK122" s="185"/>
      <c r="AL122" s="185"/>
      <c r="AM122" s="185"/>
      <c r="AN122" s="185"/>
      <c r="AO122" s="185"/>
      <c r="AP122" s="185"/>
      <c r="AQ122" s="185"/>
      <c r="AR122" s="185"/>
      <c r="AS122" s="185"/>
      <c r="AT122" s="185"/>
      <c r="AU122" s="185"/>
      <c r="AV122" s="185"/>
    </row>
    <row r="123" spans="1:48" outlineLevel="1">
      <c r="A123" s="11"/>
      <c r="B123" s="11"/>
      <c r="C123" s="11"/>
      <c r="D123" s="11"/>
      <c r="E123" s="11"/>
      <c r="F123" s="39" t="str">
        <f>Asset14</f>
        <v>Emergency Spares (Major Plant, Excludes Inventory)</v>
      </c>
      <c r="G123" s="315">
        <v>0</v>
      </c>
      <c r="H123" s="450">
        <v>0</v>
      </c>
      <c r="I123" s="450">
        <v>0</v>
      </c>
      <c r="J123" s="450">
        <v>0</v>
      </c>
      <c r="K123" s="450">
        <v>0</v>
      </c>
      <c r="L123" s="450">
        <v>0</v>
      </c>
      <c r="M123" s="61"/>
      <c r="N123" s="61"/>
      <c r="O123" s="61"/>
      <c r="P123" s="61"/>
      <c r="Q123" s="61"/>
      <c r="R123" s="8"/>
      <c r="S123" s="401"/>
      <c r="T123" s="401"/>
      <c r="U123" s="401"/>
      <c r="V123" s="401"/>
      <c r="W123" s="401"/>
      <c r="X123" s="401"/>
      <c r="Y123" s="9"/>
      <c r="Z123" s="412"/>
      <c r="AA123" s="412"/>
      <c r="AB123" s="412"/>
      <c r="AC123" s="412"/>
      <c r="AD123" s="412"/>
      <c r="AE123" s="412"/>
      <c r="AF123" s="185"/>
      <c r="AG123" s="185"/>
      <c r="AH123" s="185"/>
      <c r="AI123" s="185"/>
      <c r="AJ123" s="185"/>
      <c r="AK123" s="185"/>
      <c r="AL123" s="185"/>
      <c r="AM123" s="185"/>
      <c r="AN123" s="185"/>
      <c r="AO123" s="185"/>
      <c r="AP123" s="185"/>
      <c r="AQ123" s="185"/>
      <c r="AR123" s="185"/>
      <c r="AS123" s="185"/>
      <c r="AT123" s="185"/>
      <c r="AU123" s="185"/>
      <c r="AV123" s="185"/>
    </row>
    <row r="124" spans="1:48" outlineLevel="1">
      <c r="A124" s="11"/>
      <c r="B124" s="11"/>
      <c r="C124" s="11"/>
      <c r="D124" s="11"/>
      <c r="E124" s="11"/>
      <c r="F124" s="39" t="str">
        <f>Asset15</f>
        <v>Furniture, fittings, plant and equipment</v>
      </c>
      <c r="G124" s="315">
        <v>0</v>
      </c>
      <c r="H124" s="450">
        <v>0</v>
      </c>
      <c r="I124" s="450">
        <v>0</v>
      </c>
      <c r="J124" s="450">
        <v>0</v>
      </c>
      <c r="K124" s="450">
        <v>0</v>
      </c>
      <c r="L124" s="450">
        <v>0</v>
      </c>
      <c r="M124" s="61"/>
      <c r="N124" s="61"/>
      <c r="O124" s="61"/>
      <c r="P124" s="61"/>
      <c r="Q124" s="61"/>
      <c r="R124" s="8"/>
      <c r="S124" s="401"/>
      <c r="T124" s="401"/>
      <c r="U124" s="401"/>
      <c r="V124" s="401"/>
      <c r="W124" s="401"/>
      <c r="X124" s="401"/>
      <c r="Y124" s="9"/>
      <c r="Z124" s="412"/>
      <c r="AA124" s="412"/>
      <c r="AB124" s="412"/>
      <c r="AC124" s="412"/>
      <c r="AD124" s="412"/>
      <c r="AE124" s="412"/>
      <c r="AF124" s="185"/>
      <c r="AG124" s="185"/>
      <c r="AH124" s="185"/>
      <c r="AI124" s="185"/>
      <c r="AJ124" s="185"/>
      <c r="AK124" s="185"/>
      <c r="AL124" s="185"/>
      <c r="AM124" s="185"/>
      <c r="AN124" s="185"/>
      <c r="AO124" s="185"/>
      <c r="AP124" s="185"/>
      <c r="AQ124" s="185"/>
      <c r="AR124" s="185"/>
      <c r="AS124" s="185"/>
      <c r="AT124" s="185"/>
      <c r="AU124" s="185"/>
      <c r="AV124" s="185"/>
    </row>
    <row r="125" spans="1:48" outlineLevel="1">
      <c r="A125" s="11"/>
      <c r="B125" s="11"/>
      <c r="C125" s="11"/>
      <c r="D125" s="11"/>
      <c r="E125" s="11"/>
      <c r="F125" s="39" t="str">
        <f>Asset16</f>
        <v>Land (non-system)</v>
      </c>
      <c r="G125" s="315">
        <v>0</v>
      </c>
      <c r="H125" s="314">
        <v>0</v>
      </c>
      <c r="I125" s="314">
        <v>0</v>
      </c>
      <c r="J125" s="314">
        <v>0</v>
      </c>
      <c r="K125" s="314">
        <v>0</v>
      </c>
      <c r="L125" s="314">
        <v>0</v>
      </c>
      <c r="M125" s="61"/>
      <c r="N125" s="61"/>
      <c r="O125" s="61"/>
      <c r="P125" s="61"/>
      <c r="Q125" s="61"/>
      <c r="R125" s="8"/>
      <c r="S125" s="401"/>
      <c r="T125" s="401"/>
      <c r="U125" s="401"/>
      <c r="V125" s="401"/>
      <c r="W125" s="401"/>
      <c r="X125" s="401"/>
      <c r="Y125" s="9"/>
      <c r="Z125" s="412"/>
      <c r="AA125" s="412"/>
      <c r="AB125" s="412"/>
      <c r="AC125" s="412"/>
      <c r="AD125" s="412"/>
      <c r="AE125" s="412"/>
      <c r="AF125" s="185"/>
      <c r="AG125" s="185"/>
      <c r="AH125" s="185"/>
      <c r="AI125" s="185"/>
      <c r="AJ125" s="185"/>
      <c r="AK125" s="185"/>
      <c r="AL125" s="185"/>
      <c r="AM125" s="185"/>
      <c r="AN125" s="185"/>
      <c r="AO125" s="185"/>
      <c r="AP125" s="185"/>
      <c r="AQ125" s="185"/>
      <c r="AR125" s="185"/>
      <c r="AS125" s="185"/>
      <c r="AT125" s="185"/>
      <c r="AU125" s="185"/>
      <c r="AV125" s="185"/>
    </row>
    <row r="126" spans="1:48" outlineLevel="1">
      <c r="A126" s="11"/>
      <c r="B126" s="11"/>
      <c r="C126" s="11"/>
      <c r="D126" s="11"/>
      <c r="E126" s="11"/>
      <c r="F126" s="39" t="str">
        <f>Asset17</f>
        <v>Other non system assets</v>
      </c>
      <c r="G126" s="315">
        <v>0</v>
      </c>
      <c r="H126" s="314">
        <v>0</v>
      </c>
      <c r="I126" s="314">
        <v>0</v>
      </c>
      <c r="J126" s="314">
        <v>0</v>
      </c>
      <c r="K126" s="314">
        <v>0</v>
      </c>
      <c r="L126" s="314">
        <v>0</v>
      </c>
      <c r="M126" s="61"/>
      <c r="N126" s="61"/>
      <c r="O126" s="61"/>
      <c r="P126" s="61"/>
      <c r="Q126" s="61"/>
      <c r="R126" s="8"/>
      <c r="S126" s="401"/>
      <c r="T126" s="401"/>
      <c r="U126" s="401"/>
      <c r="V126" s="401"/>
      <c r="W126" s="401"/>
      <c r="X126" s="401"/>
      <c r="Y126" s="9"/>
      <c r="Z126" s="412"/>
      <c r="AA126" s="412"/>
      <c r="AB126" s="412"/>
      <c r="AC126" s="412"/>
      <c r="AD126" s="412"/>
      <c r="AE126" s="412"/>
      <c r="AF126" s="185"/>
      <c r="AG126" s="185"/>
      <c r="AH126" s="185"/>
      <c r="AI126" s="185"/>
      <c r="AJ126" s="185"/>
      <c r="AK126" s="185"/>
      <c r="AL126" s="185"/>
      <c r="AM126" s="185"/>
      <c r="AN126" s="185"/>
      <c r="AO126" s="185"/>
      <c r="AP126" s="185"/>
      <c r="AQ126" s="185"/>
      <c r="AR126" s="185"/>
      <c r="AS126" s="185"/>
      <c r="AT126" s="185"/>
      <c r="AU126" s="185"/>
      <c r="AV126" s="185"/>
    </row>
    <row r="127" spans="1:48" outlineLevel="1">
      <c r="A127" s="11"/>
      <c r="B127" s="11"/>
      <c r="C127" s="11"/>
      <c r="D127" s="11"/>
      <c r="E127" s="11"/>
      <c r="F127" s="39" t="str">
        <f>Asset18</f>
        <v>IT systems</v>
      </c>
      <c r="G127" s="315">
        <v>0</v>
      </c>
      <c r="H127" s="314">
        <v>0</v>
      </c>
      <c r="I127" s="314">
        <v>0</v>
      </c>
      <c r="J127" s="314">
        <v>0</v>
      </c>
      <c r="K127" s="314">
        <v>0</v>
      </c>
      <c r="L127" s="314">
        <v>0</v>
      </c>
      <c r="M127" s="61"/>
      <c r="N127" s="61"/>
      <c r="O127" s="61"/>
      <c r="P127" s="61"/>
      <c r="Q127" s="61"/>
      <c r="R127" s="8"/>
      <c r="S127" s="401"/>
      <c r="T127" s="401"/>
      <c r="U127" s="401"/>
      <c r="V127" s="401"/>
      <c r="W127" s="401"/>
      <c r="X127" s="401"/>
      <c r="Y127" s="9"/>
      <c r="Z127" s="412"/>
      <c r="AA127" s="412"/>
      <c r="AB127" s="412"/>
      <c r="AC127" s="412"/>
      <c r="AD127" s="412"/>
      <c r="AE127" s="412"/>
      <c r="AF127" s="185"/>
      <c r="AG127" s="185"/>
      <c r="AH127" s="185"/>
      <c r="AI127" s="185"/>
      <c r="AJ127" s="185"/>
      <c r="AK127" s="185"/>
      <c r="AL127" s="185"/>
      <c r="AM127" s="185"/>
      <c r="AN127" s="185"/>
      <c r="AO127" s="185"/>
      <c r="AP127" s="185"/>
      <c r="AQ127" s="185"/>
      <c r="AR127" s="185"/>
      <c r="AS127" s="185"/>
      <c r="AT127" s="185"/>
      <c r="AU127" s="185"/>
      <c r="AV127" s="185"/>
    </row>
    <row r="128" spans="1:48" outlineLevel="1">
      <c r="A128" s="11"/>
      <c r="B128" s="11"/>
      <c r="C128" s="11"/>
      <c r="D128" s="11"/>
      <c r="E128" s="11"/>
      <c r="F128" s="39" t="str">
        <f>Asset19</f>
        <v>Motor vehicles</v>
      </c>
      <c r="G128" s="315">
        <v>0</v>
      </c>
      <c r="H128" s="314">
        <v>0</v>
      </c>
      <c r="I128" s="314">
        <v>0</v>
      </c>
      <c r="J128" s="314">
        <v>0</v>
      </c>
      <c r="K128" s="314">
        <v>0</v>
      </c>
      <c r="L128" s="314">
        <v>0</v>
      </c>
      <c r="M128" s="61"/>
      <c r="N128" s="61"/>
      <c r="O128" s="61"/>
      <c r="P128" s="61"/>
      <c r="Q128" s="61"/>
      <c r="R128" s="8"/>
      <c r="S128" s="401"/>
      <c r="T128" s="401"/>
      <c r="U128" s="401"/>
      <c r="V128" s="401"/>
      <c r="W128" s="401"/>
      <c r="X128" s="401"/>
      <c r="Y128" s="9"/>
      <c r="Z128" s="412"/>
      <c r="AA128" s="412"/>
      <c r="AB128" s="412"/>
      <c r="AC128" s="412"/>
      <c r="AD128" s="412"/>
      <c r="AE128" s="412"/>
      <c r="AF128" s="185"/>
      <c r="AG128" s="185"/>
      <c r="AH128" s="185"/>
      <c r="AI128" s="185"/>
      <c r="AJ128" s="185"/>
      <c r="AK128" s="185"/>
      <c r="AL128" s="185"/>
      <c r="AM128" s="185"/>
      <c r="AN128" s="185"/>
      <c r="AO128" s="185"/>
      <c r="AP128" s="185"/>
      <c r="AQ128" s="185"/>
      <c r="AR128" s="185"/>
      <c r="AS128" s="185"/>
      <c r="AT128" s="185"/>
      <c r="AU128" s="185"/>
      <c r="AV128" s="185"/>
    </row>
    <row r="129" spans="1:48" outlineLevel="1">
      <c r="A129" s="11"/>
      <c r="B129" s="11"/>
      <c r="C129" s="11"/>
      <c r="D129" s="11"/>
      <c r="E129" s="11"/>
      <c r="F129" s="39" t="str">
        <f>Asset20</f>
        <v>Buildings</v>
      </c>
      <c r="G129" s="315">
        <v>0</v>
      </c>
      <c r="H129" s="314">
        <v>0</v>
      </c>
      <c r="I129" s="314">
        <v>17.617650000000001</v>
      </c>
      <c r="J129" s="314">
        <v>0</v>
      </c>
      <c r="K129" s="314">
        <v>0</v>
      </c>
      <c r="L129" s="314">
        <v>0</v>
      </c>
      <c r="M129" s="61"/>
      <c r="N129" s="61"/>
      <c r="O129" s="61"/>
      <c r="P129" s="61"/>
      <c r="Q129" s="61"/>
      <c r="R129" s="8"/>
      <c r="S129" s="401"/>
      <c r="T129" s="401"/>
      <c r="U129" s="401"/>
      <c r="V129" s="401"/>
      <c r="W129" s="401"/>
      <c r="X129" s="401"/>
      <c r="Y129" s="9"/>
      <c r="Z129" s="412"/>
      <c r="AA129" s="412"/>
      <c r="AB129" s="412"/>
      <c r="AC129" s="412"/>
      <c r="AD129" s="412"/>
      <c r="AE129" s="412"/>
      <c r="AF129" s="185"/>
      <c r="AG129" s="185"/>
      <c r="AH129" s="185"/>
      <c r="AI129" s="185"/>
      <c r="AJ129" s="185"/>
      <c r="AK129" s="185"/>
      <c r="AL129" s="185"/>
      <c r="AM129" s="185"/>
      <c r="AN129" s="185"/>
      <c r="AO129" s="185"/>
      <c r="AP129" s="185"/>
      <c r="AQ129" s="185"/>
      <c r="AR129" s="185"/>
      <c r="AS129" s="185"/>
      <c r="AT129" s="185"/>
      <c r="AU129" s="185"/>
      <c r="AV129" s="185"/>
    </row>
    <row r="130" spans="1:48" outlineLevel="1">
      <c r="A130" s="11"/>
      <c r="B130" s="11"/>
      <c r="C130" s="11"/>
      <c r="D130" s="11"/>
      <c r="E130" s="11"/>
      <c r="F130" s="39" t="str">
        <f>Asset21</f>
        <v>Equity raising costs</v>
      </c>
      <c r="G130" s="315">
        <v>0</v>
      </c>
      <c r="H130" s="314">
        <v>0</v>
      </c>
      <c r="I130" s="314">
        <v>0</v>
      </c>
      <c r="J130" s="314">
        <v>0</v>
      </c>
      <c r="K130" s="314">
        <v>0</v>
      </c>
      <c r="L130" s="314">
        <v>0</v>
      </c>
      <c r="M130" s="61"/>
      <c r="N130" s="61"/>
      <c r="O130" s="61"/>
      <c r="P130" s="61"/>
      <c r="Q130" s="61"/>
      <c r="R130" s="8"/>
      <c r="S130" s="401"/>
      <c r="T130" s="401"/>
      <c r="U130" s="401"/>
      <c r="V130" s="401"/>
      <c r="W130" s="401"/>
      <c r="X130" s="401"/>
      <c r="Y130" s="9"/>
      <c r="Z130" s="412"/>
      <c r="AA130" s="412"/>
      <c r="AB130" s="412"/>
      <c r="AC130" s="412"/>
      <c r="AD130" s="412"/>
      <c r="AE130" s="412"/>
      <c r="AF130" s="185"/>
      <c r="AG130" s="185"/>
      <c r="AH130" s="185"/>
      <c r="AI130" s="185"/>
      <c r="AJ130" s="185"/>
      <c r="AK130" s="185"/>
      <c r="AL130" s="185"/>
      <c r="AM130" s="185"/>
      <c r="AN130" s="185"/>
      <c r="AO130" s="185"/>
      <c r="AP130" s="185"/>
      <c r="AQ130" s="185"/>
      <c r="AR130" s="185"/>
      <c r="AS130" s="185"/>
      <c r="AT130" s="185"/>
      <c r="AU130" s="185"/>
      <c r="AV130" s="185"/>
    </row>
    <row r="131" spans="1:48" outlineLevel="1">
      <c r="A131" s="11"/>
      <c r="B131" s="11"/>
      <c r="C131" s="11"/>
      <c r="D131" s="11"/>
      <c r="E131" s="11"/>
      <c r="F131" s="39">
        <f>Asset22</f>
        <v>0</v>
      </c>
      <c r="G131" s="166"/>
      <c r="H131" s="61"/>
      <c r="I131" s="61"/>
      <c r="J131" s="61"/>
      <c r="K131" s="61"/>
      <c r="L131" s="61"/>
      <c r="M131" s="61"/>
      <c r="N131" s="61"/>
      <c r="O131" s="61"/>
      <c r="P131" s="61"/>
      <c r="Q131" s="61"/>
      <c r="R131" s="8"/>
      <c r="S131" s="401"/>
      <c r="T131" s="401"/>
      <c r="U131" s="401"/>
      <c r="V131" s="401"/>
      <c r="W131" s="401"/>
      <c r="X131" s="401"/>
      <c r="Y131" s="9"/>
      <c r="Z131" s="412"/>
      <c r="AA131" s="412"/>
      <c r="AB131" s="412"/>
      <c r="AC131" s="412"/>
      <c r="AD131" s="412"/>
      <c r="AE131" s="412"/>
      <c r="AF131" s="185"/>
      <c r="AG131" s="185"/>
      <c r="AH131" s="185"/>
      <c r="AI131" s="185"/>
      <c r="AJ131" s="185"/>
      <c r="AK131" s="185"/>
      <c r="AL131" s="185"/>
      <c r="AM131" s="185"/>
      <c r="AN131" s="185"/>
      <c r="AO131" s="185"/>
      <c r="AP131" s="185"/>
      <c r="AQ131" s="185"/>
      <c r="AR131" s="185"/>
      <c r="AS131" s="185"/>
      <c r="AT131" s="185"/>
      <c r="AU131" s="185"/>
      <c r="AV131" s="185"/>
    </row>
    <row r="132" spans="1:48" outlineLevel="1">
      <c r="A132" s="11"/>
      <c r="B132" s="11"/>
      <c r="C132" s="11"/>
      <c r="D132" s="11"/>
      <c r="E132" s="11"/>
      <c r="F132" s="39">
        <f>Asset23</f>
        <v>0</v>
      </c>
      <c r="G132" s="166"/>
      <c r="H132" s="61"/>
      <c r="I132" s="61"/>
      <c r="J132" s="61"/>
      <c r="K132" s="61"/>
      <c r="L132" s="61"/>
      <c r="M132" s="61"/>
      <c r="N132" s="61"/>
      <c r="O132" s="61"/>
      <c r="P132" s="61"/>
      <c r="Q132" s="61"/>
      <c r="R132" s="8"/>
      <c r="S132" s="8"/>
      <c r="T132" s="8"/>
      <c r="U132" s="8"/>
      <c r="V132" s="8"/>
      <c r="W132" s="42"/>
      <c r="X132" s="337"/>
      <c r="Y132" s="9"/>
      <c r="Z132" s="412"/>
      <c r="AA132" s="412"/>
      <c r="AB132" s="412"/>
      <c r="AC132" s="412"/>
      <c r="AD132" s="412"/>
      <c r="AE132" s="412"/>
      <c r="AF132" s="185"/>
      <c r="AG132" s="185"/>
      <c r="AH132" s="185"/>
      <c r="AI132" s="185"/>
      <c r="AJ132" s="185"/>
      <c r="AK132" s="185"/>
      <c r="AL132" s="185"/>
      <c r="AM132" s="185"/>
      <c r="AN132" s="185"/>
      <c r="AO132" s="185"/>
      <c r="AP132" s="185"/>
      <c r="AQ132" s="185"/>
      <c r="AR132" s="185"/>
      <c r="AS132" s="185"/>
      <c r="AT132" s="185"/>
      <c r="AU132" s="185"/>
      <c r="AV132" s="185"/>
    </row>
    <row r="133" spans="1:48" outlineLevel="1">
      <c r="A133" s="11"/>
      <c r="B133" s="11"/>
      <c r="C133" s="11"/>
      <c r="D133" s="11"/>
      <c r="E133" s="11"/>
      <c r="F133" s="39">
        <f>Asset24</f>
        <v>0</v>
      </c>
      <c r="G133" s="166"/>
      <c r="H133" s="61"/>
      <c r="I133" s="61"/>
      <c r="J133" s="61"/>
      <c r="K133" s="61"/>
      <c r="L133" s="61"/>
      <c r="M133" s="61"/>
      <c r="N133" s="61"/>
      <c r="O133" s="61"/>
      <c r="P133" s="61"/>
      <c r="Q133" s="61"/>
      <c r="R133" s="8"/>
      <c r="S133" s="8"/>
      <c r="T133" s="8"/>
      <c r="U133" s="8"/>
      <c r="V133" s="8"/>
      <c r="W133" s="42"/>
      <c r="X133" s="337"/>
      <c r="Y133" s="9"/>
      <c r="Z133" s="412"/>
      <c r="AA133" s="412"/>
      <c r="AB133" s="412"/>
      <c r="AC133" s="412"/>
      <c r="AD133" s="412"/>
      <c r="AE133" s="412"/>
      <c r="AF133" s="185"/>
      <c r="AG133" s="185"/>
      <c r="AH133" s="185"/>
      <c r="AI133" s="185"/>
      <c r="AJ133" s="185"/>
      <c r="AK133" s="185"/>
      <c r="AL133" s="185"/>
      <c r="AM133" s="185"/>
      <c r="AN133" s="185"/>
      <c r="AO133" s="185"/>
      <c r="AP133" s="185"/>
      <c r="AQ133" s="185"/>
      <c r="AR133" s="185"/>
      <c r="AS133" s="185"/>
      <c r="AT133" s="185"/>
      <c r="AU133" s="185"/>
      <c r="AV133" s="185"/>
    </row>
    <row r="134" spans="1:48" outlineLevel="1">
      <c r="A134" s="11"/>
      <c r="B134" s="11"/>
      <c r="C134" s="11"/>
      <c r="D134" s="11"/>
      <c r="E134" s="11"/>
      <c r="F134" s="39">
        <f>Asset25</f>
        <v>0</v>
      </c>
      <c r="G134" s="166"/>
      <c r="H134" s="61"/>
      <c r="I134" s="61"/>
      <c r="J134" s="61"/>
      <c r="K134" s="61"/>
      <c r="L134" s="61"/>
      <c r="M134" s="61"/>
      <c r="N134" s="61"/>
      <c r="O134" s="61"/>
      <c r="P134" s="61"/>
      <c r="Q134" s="61"/>
      <c r="R134" s="8"/>
      <c r="S134" s="8"/>
      <c r="T134" s="8"/>
      <c r="U134" s="8"/>
      <c r="V134" s="8"/>
      <c r="W134" s="42"/>
      <c r="X134" s="337"/>
      <c r="Y134" s="9"/>
      <c r="Z134" s="412"/>
      <c r="AA134" s="412"/>
      <c r="AB134" s="412"/>
      <c r="AC134" s="412"/>
      <c r="AD134" s="412"/>
      <c r="AE134" s="412"/>
      <c r="AF134" s="185"/>
      <c r="AG134" s="185"/>
      <c r="AH134" s="185"/>
      <c r="AI134" s="185"/>
      <c r="AJ134" s="185"/>
      <c r="AK134" s="185"/>
      <c r="AL134" s="185"/>
      <c r="AM134" s="185"/>
      <c r="AN134" s="185"/>
      <c r="AO134" s="185"/>
      <c r="AP134" s="185"/>
      <c r="AQ134" s="185"/>
      <c r="AR134" s="185"/>
      <c r="AS134" s="185"/>
      <c r="AT134" s="185"/>
      <c r="AU134" s="185"/>
      <c r="AV134" s="185"/>
    </row>
    <row r="135" spans="1:48" outlineLevel="1">
      <c r="A135" s="11"/>
      <c r="B135" s="11"/>
      <c r="C135" s="11"/>
      <c r="D135" s="11"/>
      <c r="E135" s="11"/>
      <c r="F135" s="39">
        <f>Asset26</f>
        <v>0</v>
      </c>
      <c r="G135" s="166"/>
      <c r="H135" s="61"/>
      <c r="I135" s="61"/>
      <c r="J135" s="61"/>
      <c r="K135" s="61"/>
      <c r="L135" s="61"/>
      <c r="M135" s="61"/>
      <c r="N135" s="61"/>
      <c r="O135" s="61"/>
      <c r="P135" s="61"/>
      <c r="Q135" s="61"/>
      <c r="R135" s="8"/>
      <c r="S135" s="8"/>
      <c r="T135" s="8"/>
      <c r="U135" s="8"/>
      <c r="V135" s="8"/>
      <c r="W135" s="42"/>
      <c r="X135" s="337"/>
      <c r="Y135" s="9"/>
      <c r="Z135" s="412"/>
      <c r="AA135" s="412"/>
      <c r="AB135" s="412"/>
      <c r="AC135" s="412"/>
      <c r="AD135" s="412"/>
      <c r="AE135" s="412"/>
      <c r="AF135" s="185"/>
      <c r="AG135" s="185"/>
      <c r="AH135" s="185"/>
      <c r="AI135" s="185"/>
      <c r="AJ135" s="185"/>
      <c r="AK135" s="185"/>
      <c r="AL135" s="185"/>
      <c r="AM135" s="185"/>
      <c r="AN135" s="185"/>
      <c r="AO135" s="185"/>
      <c r="AP135" s="185"/>
      <c r="AQ135" s="185"/>
      <c r="AR135" s="185"/>
      <c r="AS135" s="185"/>
      <c r="AT135" s="185"/>
      <c r="AU135" s="185"/>
      <c r="AV135" s="185"/>
    </row>
    <row r="136" spans="1:48" outlineLevel="1">
      <c r="A136" s="11"/>
      <c r="B136" s="11"/>
      <c r="C136" s="11"/>
      <c r="D136" s="11"/>
      <c r="E136" s="11"/>
      <c r="F136" s="39">
        <f>Asset27</f>
        <v>0</v>
      </c>
      <c r="G136" s="166"/>
      <c r="H136" s="61"/>
      <c r="I136" s="61"/>
      <c r="J136" s="61"/>
      <c r="K136" s="61"/>
      <c r="L136" s="61"/>
      <c r="M136" s="61"/>
      <c r="N136" s="61"/>
      <c r="O136" s="61"/>
      <c r="P136" s="61"/>
      <c r="Q136" s="61"/>
      <c r="R136" s="8"/>
      <c r="S136" s="8"/>
      <c r="T136" s="8"/>
      <c r="U136" s="8"/>
      <c r="V136" s="8"/>
      <c r="W136" s="42"/>
      <c r="X136" s="337"/>
      <c r="Y136" s="9"/>
      <c r="Z136" s="412"/>
      <c r="AA136" s="412"/>
      <c r="AB136" s="412"/>
      <c r="AC136" s="412"/>
      <c r="AD136" s="412"/>
      <c r="AE136" s="412"/>
      <c r="AF136" s="185"/>
      <c r="AG136" s="185"/>
      <c r="AH136" s="185"/>
      <c r="AI136" s="185"/>
      <c r="AJ136" s="185"/>
      <c r="AK136" s="185"/>
      <c r="AL136" s="185"/>
      <c r="AM136" s="185"/>
      <c r="AN136" s="185"/>
      <c r="AO136" s="185"/>
      <c r="AP136" s="185"/>
      <c r="AQ136" s="185"/>
      <c r="AR136" s="185"/>
      <c r="AS136" s="185"/>
      <c r="AT136" s="185"/>
      <c r="AU136" s="185"/>
      <c r="AV136" s="185"/>
    </row>
    <row r="137" spans="1:48" outlineLevel="1">
      <c r="A137" s="11"/>
      <c r="B137" s="11"/>
      <c r="C137" s="11"/>
      <c r="D137" s="11"/>
      <c r="E137" s="11"/>
      <c r="F137" s="39">
        <f>Asset28</f>
        <v>0</v>
      </c>
      <c r="G137" s="166"/>
      <c r="H137" s="61"/>
      <c r="I137" s="61"/>
      <c r="J137" s="61"/>
      <c r="K137" s="61"/>
      <c r="L137" s="61"/>
      <c r="M137" s="61"/>
      <c r="N137" s="61"/>
      <c r="O137" s="61"/>
      <c r="P137" s="61"/>
      <c r="Q137" s="61"/>
      <c r="R137" s="8"/>
      <c r="S137" s="8"/>
      <c r="T137" s="8"/>
      <c r="U137" s="8"/>
      <c r="V137" s="8"/>
      <c r="W137" s="42"/>
      <c r="X137" s="337"/>
      <c r="Y137" s="9"/>
      <c r="Z137" s="412"/>
      <c r="AA137" s="412"/>
      <c r="AB137" s="412"/>
      <c r="AC137" s="412"/>
      <c r="AD137" s="412"/>
      <c r="AE137" s="412"/>
      <c r="AF137" s="185"/>
      <c r="AG137" s="185"/>
      <c r="AH137" s="185"/>
      <c r="AI137" s="185"/>
      <c r="AJ137" s="185"/>
      <c r="AK137" s="185"/>
      <c r="AL137" s="185"/>
      <c r="AM137" s="185"/>
      <c r="AN137" s="185"/>
      <c r="AO137" s="185"/>
      <c r="AP137" s="185"/>
      <c r="AQ137" s="185"/>
      <c r="AR137" s="185"/>
      <c r="AS137" s="185"/>
      <c r="AT137" s="185"/>
      <c r="AU137" s="185"/>
      <c r="AV137" s="185"/>
    </row>
    <row r="138" spans="1:48" outlineLevel="1">
      <c r="A138" s="11"/>
      <c r="B138" s="11"/>
      <c r="C138" s="11"/>
      <c r="D138" s="11"/>
      <c r="E138" s="11"/>
      <c r="F138" s="39">
        <f>Asset29</f>
        <v>0</v>
      </c>
      <c r="G138" s="166"/>
      <c r="H138" s="61"/>
      <c r="I138" s="61"/>
      <c r="J138" s="61"/>
      <c r="K138" s="61"/>
      <c r="L138" s="61"/>
      <c r="M138" s="61"/>
      <c r="N138" s="61"/>
      <c r="O138" s="61"/>
      <c r="P138" s="61"/>
      <c r="Q138" s="61"/>
      <c r="R138" s="8"/>
      <c r="S138" s="8"/>
      <c r="T138" s="8"/>
      <c r="U138" s="8"/>
      <c r="V138" s="8"/>
      <c r="W138" s="42"/>
      <c r="X138" s="337"/>
      <c r="Y138" s="9"/>
      <c r="Z138" s="412"/>
      <c r="AA138" s="412"/>
      <c r="AB138" s="412"/>
      <c r="AC138" s="412"/>
      <c r="AD138" s="412"/>
      <c r="AE138" s="412"/>
      <c r="AF138" s="185"/>
      <c r="AG138" s="185"/>
      <c r="AH138" s="185"/>
      <c r="AI138" s="185"/>
      <c r="AJ138" s="185"/>
      <c r="AK138" s="185"/>
      <c r="AL138" s="185"/>
      <c r="AM138" s="185"/>
      <c r="AN138" s="185"/>
      <c r="AO138" s="185"/>
      <c r="AP138" s="185"/>
      <c r="AQ138" s="185"/>
      <c r="AR138" s="185"/>
      <c r="AS138" s="185"/>
      <c r="AT138" s="185"/>
      <c r="AU138" s="185"/>
      <c r="AV138" s="185"/>
    </row>
    <row r="139" spans="1:48">
      <c r="A139" s="11"/>
      <c r="B139" s="11"/>
      <c r="C139" s="11"/>
      <c r="D139" s="11"/>
      <c r="E139" s="11"/>
      <c r="F139" s="39">
        <f>Asset30</f>
        <v>0</v>
      </c>
      <c r="G139" s="166"/>
      <c r="H139" s="61"/>
      <c r="I139" s="61"/>
      <c r="J139" s="61"/>
      <c r="K139" s="61"/>
      <c r="L139" s="61"/>
      <c r="M139" s="61"/>
      <c r="N139" s="61"/>
      <c r="O139" s="61"/>
      <c r="P139" s="61"/>
      <c r="Q139" s="61"/>
      <c r="R139" s="8"/>
      <c r="S139" s="8"/>
      <c r="T139" s="8"/>
      <c r="U139" s="8"/>
      <c r="V139" s="8"/>
      <c r="W139" s="42"/>
      <c r="X139" s="337"/>
      <c r="Y139" s="46"/>
      <c r="Z139" s="412"/>
      <c r="AA139" s="412"/>
      <c r="AB139" s="412"/>
      <c r="AC139" s="412"/>
      <c r="AD139" s="412"/>
      <c r="AE139" s="412"/>
      <c r="AF139" s="185"/>
      <c r="AG139" s="185"/>
      <c r="AH139" s="185"/>
      <c r="AI139" s="185"/>
      <c r="AJ139" s="185"/>
      <c r="AK139" s="185"/>
      <c r="AL139" s="185"/>
      <c r="AM139" s="185"/>
      <c r="AN139" s="185"/>
      <c r="AO139" s="185"/>
      <c r="AP139" s="185"/>
      <c r="AQ139" s="185"/>
      <c r="AR139" s="185"/>
      <c r="AS139" s="185"/>
      <c r="AT139" s="185"/>
      <c r="AU139" s="185"/>
      <c r="AV139" s="185"/>
    </row>
    <row r="140" spans="1:48" ht="20.25" customHeight="1">
      <c r="A140" s="11"/>
      <c r="B140" s="11"/>
      <c r="C140" s="11"/>
      <c r="D140" s="11"/>
      <c r="E140" s="11"/>
      <c r="F140" s="39" t="s">
        <v>22</v>
      </c>
      <c r="G140" s="451">
        <f t="shared" ref="G140:Q140" si="7">SUM(G110:G139)</f>
        <v>48.286921359999994</v>
      </c>
      <c r="H140" s="451">
        <f t="shared" si="7"/>
        <v>44.492109130000003</v>
      </c>
      <c r="I140" s="451">
        <f t="shared" si="7"/>
        <v>71.713872109999997</v>
      </c>
      <c r="J140" s="451">
        <f t="shared" si="7"/>
        <v>77.882368589999999</v>
      </c>
      <c r="K140" s="451">
        <f t="shared" si="7"/>
        <v>74.071752180000004</v>
      </c>
      <c r="L140" s="451">
        <f t="shared" si="7"/>
        <v>56.964954440000007</v>
      </c>
      <c r="M140" s="236">
        <f t="shared" si="7"/>
        <v>0</v>
      </c>
      <c r="N140" s="236">
        <f t="shared" si="7"/>
        <v>0</v>
      </c>
      <c r="O140" s="236">
        <f t="shared" si="7"/>
        <v>0</v>
      </c>
      <c r="P140" s="236">
        <f t="shared" si="7"/>
        <v>0</v>
      </c>
      <c r="Q140" s="236">
        <f t="shared" si="7"/>
        <v>0</v>
      </c>
      <c r="R140" s="37"/>
      <c r="S140" s="37"/>
      <c r="T140" s="37"/>
      <c r="U140" s="37"/>
      <c r="V140" s="37"/>
      <c r="W140" s="37"/>
      <c r="X140" s="337"/>
      <c r="Y140" s="9"/>
      <c r="Z140" s="412"/>
      <c r="AA140" s="412"/>
      <c r="AB140" s="412"/>
      <c r="AC140" s="412"/>
      <c r="AD140" s="412"/>
      <c r="AE140" s="412"/>
      <c r="AF140" s="185"/>
      <c r="AG140" s="185"/>
      <c r="AH140" s="185"/>
      <c r="AI140" s="185"/>
      <c r="AJ140" s="185"/>
      <c r="AK140" s="185"/>
      <c r="AL140" s="185"/>
      <c r="AM140" s="185"/>
      <c r="AN140" s="185"/>
      <c r="AO140" s="185"/>
      <c r="AP140" s="185"/>
      <c r="AQ140" s="185"/>
      <c r="AR140" s="185"/>
      <c r="AS140" s="185"/>
      <c r="AT140" s="185"/>
      <c r="AU140" s="185"/>
      <c r="AV140" s="185"/>
    </row>
    <row r="141" spans="1:48" ht="13.5" customHeight="1">
      <c r="A141" s="11"/>
      <c r="B141" s="11"/>
      <c r="C141" s="11"/>
      <c r="D141" s="11"/>
      <c r="F141" s="9"/>
      <c r="G141" s="36"/>
      <c r="H141" s="36"/>
      <c r="I141" s="36"/>
      <c r="J141" s="36"/>
      <c r="K141" s="36"/>
      <c r="L141" s="36"/>
      <c r="M141" s="9"/>
      <c r="N141" s="9"/>
      <c r="O141" s="9"/>
      <c r="P141" s="9"/>
      <c r="Q141" s="9"/>
      <c r="R141" s="235">
        <f>SUM(G140:Q140)</f>
        <v>373.41197781</v>
      </c>
      <c r="S141" s="9"/>
      <c r="T141" s="9"/>
      <c r="U141" s="9"/>
      <c r="V141" s="9"/>
      <c r="W141" s="9"/>
      <c r="X141" s="337"/>
      <c r="Y141" s="8"/>
      <c r="Z141" s="9"/>
      <c r="AA141" s="9"/>
      <c r="AB141" s="18"/>
      <c r="AC141" s="9"/>
      <c r="AD141" s="9"/>
      <c r="AE141" s="9"/>
      <c r="AF141" s="185"/>
      <c r="AG141" s="185"/>
      <c r="AH141" s="185"/>
      <c r="AI141" s="185"/>
      <c r="AJ141" s="185"/>
      <c r="AK141" s="185"/>
      <c r="AL141" s="185"/>
      <c r="AM141" s="185"/>
      <c r="AN141" s="185"/>
      <c r="AO141" s="185"/>
      <c r="AP141" s="185"/>
      <c r="AQ141" s="185"/>
      <c r="AR141" s="185"/>
      <c r="AS141" s="185"/>
      <c r="AT141" s="185"/>
      <c r="AU141" s="185"/>
      <c r="AV141" s="185"/>
    </row>
    <row r="142" spans="1:48" ht="15.75">
      <c r="A142" s="72"/>
      <c r="B142" s="72"/>
      <c r="C142" s="72"/>
      <c r="D142" s="72"/>
      <c r="E142" s="72"/>
      <c r="F142" s="159" t="str">
        <f>"Actual Net Capital Expenditure – As Incurred ($m Real "&amp;CONCATENATE(LEFT(V7, 4)-1 &amp;"-" &amp;IF(V7&gt;"2009-10",,"0") &amp;RIGHT(V7,2)-1)&amp;")"</f>
        <v>Actual Net Capital Expenditure – As Incurred ($m Real 2008-09)</v>
      </c>
      <c r="G142" s="159"/>
      <c r="H142" s="159"/>
      <c r="I142" s="159"/>
      <c r="J142" s="159"/>
      <c r="K142" s="75"/>
      <c r="L142" s="75"/>
      <c r="M142" s="73"/>
      <c r="N142" s="73"/>
      <c r="O142" s="73"/>
      <c r="P142" s="73"/>
      <c r="Q142" s="73"/>
      <c r="R142" s="73"/>
      <c r="S142" s="73"/>
      <c r="T142" s="73"/>
      <c r="U142" s="73"/>
      <c r="V142" s="73"/>
      <c r="W142" s="73"/>
      <c r="X142" s="337"/>
      <c r="Y142" s="9"/>
      <c r="Z142" s="8"/>
      <c r="AA142" s="8"/>
      <c r="AB142" s="8"/>
      <c r="AC142" s="42"/>
      <c r="AD142" s="9"/>
      <c r="AE142" s="9"/>
      <c r="AF142" s="185"/>
      <c r="AG142" s="185"/>
      <c r="AH142" s="185"/>
      <c r="AI142" s="185"/>
      <c r="AJ142" s="185"/>
      <c r="AK142" s="185"/>
      <c r="AL142" s="185"/>
      <c r="AM142" s="185"/>
      <c r="AN142" s="185"/>
      <c r="AO142" s="185"/>
      <c r="AP142" s="185"/>
      <c r="AQ142" s="185"/>
      <c r="AR142" s="185"/>
      <c r="AS142" s="185"/>
      <c r="AT142" s="185"/>
      <c r="AU142" s="185"/>
      <c r="AV142" s="185"/>
    </row>
    <row r="143" spans="1:48" outlineLevel="1">
      <c r="A143" s="11"/>
      <c r="B143" s="11"/>
      <c r="C143" s="11"/>
      <c r="D143" s="11"/>
      <c r="E143" s="11"/>
      <c r="F143" s="38" t="s">
        <v>5</v>
      </c>
      <c r="G143" s="234" t="str">
        <f>G41</f>
        <v>2008-09</v>
      </c>
      <c r="H143" s="234" t="str">
        <f t="shared" ref="H143:Q143" si="8">H41</f>
        <v>2009-10</v>
      </c>
      <c r="I143" s="234" t="str">
        <f t="shared" si="8"/>
        <v>2010-11</v>
      </c>
      <c r="J143" s="234" t="str">
        <f t="shared" si="8"/>
        <v>2011-12</v>
      </c>
      <c r="K143" s="234" t="str">
        <f t="shared" si="8"/>
        <v>2012-13</v>
      </c>
      <c r="L143" s="234" t="str">
        <f t="shared" si="8"/>
        <v>2013-14</v>
      </c>
      <c r="M143" s="234" t="str">
        <f t="shared" si="8"/>
        <v>2014-15</v>
      </c>
      <c r="N143" s="234" t="str">
        <f t="shared" si="8"/>
        <v>2015-16</v>
      </c>
      <c r="O143" s="234" t="str">
        <f t="shared" si="8"/>
        <v>2016-17</v>
      </c>
      <c r="P143" s="234" t="str">
        <f t="shared" si="8"/>
        <v>2017-18</v>
      </c>
      <c r="Q143" s="234" t="str">
        <f t="shared" si="8"/>
        <v>2018-19</v>
      </c>
      <c r="R143" s="8"/>
      <c r="S143" s="8"/>
      <c r="T143" s="8"/>
      <c r="U143" s="8"/>
      <c r="V143" s="8"/>
      <c r="W143" s="42"/>
      <c r="X143" s="337"/>
      <c r="Y143" s="9"/>
      <c r="Z143" s="9"/>
      <c r="AA143" s="9"/>
      <c r="AB143" s="9"/>
      <c r="AC143" s="9"/>
      <c r="AD143" s="9"/>
      <c r="AE143" s="9"/>
      <c r="AF143" s="185"/>
      <c r="AG143" s="185"/>
      <c r="AH143" s="185"/>
      <c r="AI143" s="185"/>
      <c r="AJ143" s="185"/>
      <c r="AK143" s="185"/>
      <c r="AL143" s="185"/>
      <c r="AM143" s="185"/>
      <c r="AN143" s="185"/>
      <c r="AO143" s="185"/>
      <c r="AP143" s="185"/>
      <c r="AQ143" s="185"/>
      <c r="AR143" s="185"/>
      <c r="AS143" s="185"/>
      <c r="AT143" s="185"/>
      <c r="AU143" s="185"/>
      <c r="AV143" s="185"/>
    </row>
    <row r="144" spans="1:48" outlineLevel="1">
      <c r="A144" s="11"/>
      <c r="B144" s="11"/>
      <c r="C144" s="11"/>
      <c r="D144" s="11"/>
      <c r="E144" s="11"/>
      <c r="F144" s="39" t="str">
        <f>Asset1</f>
        <v>Sub-transmission lines and cables</v>
      </c>
      <c r="G144" s="172">
        <f t="shared" ref="G144:Q144" si="9">(G42-G76-G110)/G$179</f>
        <v>162.595</v>
      </c>
      <c r="H144" s="171">
        <f t="shared" si="9"/>
        <v>108.40956568116928</v>
      </c>
      <c r="I144" s="171">
        <f t="shared" si="9"/>
        <v>111.21856261763976</v>
      </c>
      <c r="J144" s="171">
        <f t="shared" si="9"/>
        <v>115.04496554295278</v>
      </c>
      <c r="K144" s="171">
        <f>(K42-K76-K110)/K$179</f>
        <v>85.119862317174679</v>
      </c>
      <c r="L144" s="171">
        <f t="shared" si="9"/>
        <v>46.887481761131568</v>
      </c>
      <c r="M144" s="171">
        <f t="shared" si="9"/>
        <v>0</v>
      </c>
      <c r="N144" s="171">
        <f t="shared" si="9"/>
        <v>0</v>
      </c>
      <c r="O144" s="171">
        <f t="shared" si="9"/>
        <v>0</v>
      </c>
      <c r="P144" s="171">
        <f t="shared" si="9"/>
        <v>0</v>
      </c>
      <c r="Q144" s="171">
        <f t="shared" si="9"/>
        <v>0</v>
      </c>
      <c r="R144" s="8"/>
      <c r="S144" s="8"/>
      <c r="T144" s="8"/>
      <c r="U144" s="8"/>
      <c r="V144" s="8"/>
      <c r="W144" s="42"/>
      <c r="X144" s="337"/>
      <c r="Y144" s="9"/>
      <c r="Z144" s="9"/>
      <c r="AA144" s="9"/>
      <c r="AB144" s="9"/>
      <c r="AC144" s="9"/>
      <c r="AD144" s="9"/>
      <c r="AE144" s="9"/>
      <c r="AF144" s="185"/>
      <c r="AG144" s="185"/>
      <c r="AH144" s="185"/>
      <c r="AI144" s="185"/>
      <c r="AJ144" s="185"/>
      <c r="AK144" s="185"/>
      <c r="AL144" s="185"/>
      <c r="AM144" s="185"/>
      <c r="AN144" s="185"/>
      <c r="AO144" s="185"/>
      <c r="AP144" s="185"/>
      <c r="AQ144" s="185"/>
      <c r="AR144" s="185"/>
      <c r="AS144" s="185"/>
      <c r="AT144" s="185"/>
      <c r="AU144" s="185"/>
      <c r="AV144" s="185"/>
    </row>
    <row r="145" spans="1:48" outlineLevel="1">
      <c r="A145" s="11"/>
      <c r="B145" s="11"/>
      <c r="C145" s="11"/>
      <c r="D145" s="11"/>
      <c r="E145" s="11"/>
      <c r="F145" s="39" t="str">
        <f>Asset2</f>
        <v>Cable tunnel (dx)</v>
      </c>
      <c r="G145" s="173">
        <f t="shared" ref="G145:Q145" si="10">(G43-G77-G111)/G$179</f>
        <v>0</v>
      </c>
      <c r="H145" s="287">
        <f t="shared" si="10"/>
        <v>0.99547538781131528</v>
      </c>
      <c r="I145" s="90">
        <f t="shared" si="10"/>
        <v>0.22429414813943099</v>
      </c>
      <c r="J145" s="90">
        <f t="shared" si="10"/>
        <v>3.6426335657589806E-2</v>
      </c>
      <c r="K145" s="90">
        <f t="shared" si="10"/>
        <v>50.380817389560107</v>
      </c>
      <c r="L145" s="90">
        <f t="shared" si="10"/>
        <v>38.719212555880091</v>
      </c>
      <c r="M145" s="90">
        <f t="shared" si="10"/>
        <v>0</v>
      </c>
      <c r="N145" s="90">
        <f t="shared" si="10"/>
        <v>0</v>
      </c>
      <c r="O145" s="90">
        <f t="shared" si="10"/>
        <v>0</v>
      </c>
      <c r="P145" s="90">
        <f t="shared" si="10"/>
        <v>0</v>
      </c>
      <c r="Q145" s="90">
        <f t="shared" si="10"/>
        <v>0</v>
      </c>
      <c r="R145" s="8"/>
      <c r="S145" s="8"/>
      <c r="T145" s="8"/>
      <c r="U145" s="8"/>
      <c r="V145" s="8"/>
      <c r="W145" s="42"/>
      <c r="X145" s="337"/>
      <c r="Y145" s="9"/>
      <c r="Z145" s="9"/>
      <c r="AA145" s="9"/>
      <c r="AB145" s="9"/>
      <c r="AC145" s="9"/>
      <c r="AD145" s="9"/>
      <c r="AE145" s="9"/>
      <c r="AF145" s="185"/>
      <c r="AG145" s="185"/>
      <c r="AH145" s="185"/>
      <c r="AI145" s="185"/>
      <c r="AJ145" s="185"/>
      <c r="AK145" s="185"/>
      <c r="AL145" s="185"/>
      <c r="AM145" s="185"/>
      <c r="AN145" s="185"/>
      <c r="AO145" s="185"/>
      <c r="AP145" s="185"/>
      <c r="AQ145" s="185"/>
      <c r="AR145" s="185"/>
      <c r="AS145" s="185"/>
      <c r="AT145" s="185"/>
      <c r="AU145" s="185"/>
      <c r="AV145" s="185"/>
    </row>
    <row r="146" spans="1:48" outlineLevel="1">
      <c r="A146" s="11"/>
      <c r="B146" s="11"/>
      <c r="C146" s="11"/>
      <c r="D146" s="11"/>
      <c r="E146" s="11"/>
      <c r="F146" s="39" t="str">
        <f>Asset3</f>
        <v>Distribution lines and cables</v>
      </c>
      <c r="G146" s="173">
        <f t="shared" ref="G146:Q146" si="11">(G44-G78-G112)/G$179</f>
        <v>175.71543708000002</v>
      </c>
      <c r="H146" s="90">
        <f t="shared" si="11"/>
        <v>167.25638816882847</v>
      </c>
      <c r="I146" s="90">
        <f t="shared" si="11"/>
        <v>261.56293351420413</v>
      </c>
      <c r="J146" s="90">
        <f>(J44-J78-J112)/J$179</f>
        <v>272.89331350691629</v>
      </c>
      <c r="K146" s="90">
        <f t="shared" si="11"/>
        <v>232.97462751517978</v>
      </c>
      <c r="L146" s="90">
        <f t="shared" si="11"/>
        <v>152.90985432133624</v>
      </c>
      <c r="M146" s="90">
        <f t="shared" si="11"/>
        <v>0</v>
      </c>
      <c r="N146" s="90">
        <f t="shared" si="11"/>
        <v>0</v>
      </c>
      <c r="O146" s="90">
        <f t="shared" si="11"/>
        <v>0</v>
      </c>
      <c r="P146" s="90">
        <f t="shared" si="11"/>
        <v>0</v>
      </c>
      <c r="Q146" s="90">
        <f t="shared" si="11"/>
        <v>0</v>
      </c>
      <c r="R146" s="8"/>
      <c r="S146" s="8"/>
      <c r="T146" s="8"/>
      <c r="U146" s="8"/>
      <c r="V146" s="8"/>
      <c r="W146" s="42"/>
      <c r="X146" s="337"/>
      <c r="Y146" s="9"/>
      <c r="Z146" s="9"/>
      <c r="AA146" s="9"/>
      <c r="AB146" s="9"/>
      <c r="AC146" s="9"/>
      <c r="AD146" s="9"/>
      <c r="AE146" s="9"/>
      <c r="AF146" s="185"/>
      <c r="AG146" s="185"/>
      <c r="AH146" s="185"/>
      <c r="AI146" s="185"/>
      <c r="AJ146" s="185"/>
      <c r="AK146" s="185"/>
      <c r="AL146" s="185"/>
      <c r="AM146" s="185"/>
      <c r="AN146" s="185"/>
      <c r="AO146" s="185"/>
      <c r="AP146" s="185"/>
      <c r="AQ146" s="185"/>
      <c r="AR146" s="185"/>
      <c r="AS146" s="185"/>
      <c r="AT146" s="185"/>
      <c r="AU146" s="185"/>
      <c r="AV146" s="185"/>
    </row>
    <row r="147" spans="1:48" outlineLevel="1">
      <c r="A147" s="11"/>
      <c r="B147" s="11"/>
      <c r="C147" s="11"/>
      <c r="D147" s="11"/>
      <c r="E147" s="11"/>
      <c r="F147" s="135" t="str">
        <f>Asset4</f>
        <v>Substations</v>
      </c>
      <c r="G147" s="173">
        <f t="shared" ref="G147:Q147" si="12">(G45-G79-G113)/G$179</f>
        <v>282.39999999999998</v>
      </c>
      <c r="H147" s="90">
        <f t="shared" si="12"/>
        <v>284.92688522624172</v>
      </c>
      <c r="I147" s="90">
        <f t="shared" si="12"/>
        <v>316.03787293981503</v>
      </c>
      <c r="J147" s="90">
        <f t="shared" si="12"/>
        <v>377.27169975594398</v>
      </c>
      <c r="K147" s="90">
        <f t="shared" si="12"/>
        <v>230.90387027133005</v>
      </c>
      <c r="L147" s="90">
        <f t="shared" si="12"/>
        <v>143.63701266059007</v>
      </c>
      <c r="M147" s="90">
        <f t="shared" si="12"/>
        <v>0</v>
      </c>
      <c r="N147" s="90">
        <f t="shared" si="12"/>
        <v>0</v>
      </c>
      <c r="O147" s="90">
        <f t="shared" si="12"/>
        <v>0</v>
      </c>
      <c r="P147" s="90">
        <f t="shared" si="12"/>
        <v>0</v>
      </c>
      <c r="Q147" s="90">
        <f t="shared" si="12"/>
        <v>0</v>
      </c>
      <c r="R147" s="8"/>
      <c r="S147" s="8"/>
      <c r="T147" s="8"/>
      <c r="U147" s="8"/>
      <c r="V147" s="8"/>
      <c r="W147" s="42"/>
      <c r="X147" s="337"/>
      <c r="Y147" s="9"/>
      <c r="Z147" s="9"/>
      <c r="AA147" s="9"/>
      <c r="AB147" s="9"/>
      <c r="AC147" s="9"/>
      <c r="AD147" s="9"/>
      <c r="AE147" s="9"/>
      <c r="AF147" s="185"/>
      <c r="AG147" s="185"/>
      <c r="AH147" s="185"/>
      <c r="AI147" s="185"/>
      <c r="AJ147" s="185"/>
      <c r="AK147" s="185"/>
      <c r="AL147" s="185"/>
      <c r="AM147" s="185"/>
      <c r="AN147" s="185"/>
      <c r="AO147" s="185"/>
      <c r="AP147" s="185"/>
      <c r="AQ147" s="185"/>
      <c r="AR147" s="185"/>
      <c r="AS147" s="185"/>
      <c r="AT147" s="185"/>
      <c r="AU147" s="185"/>
      <c r="AV147" s="185"/>
    </row>
    <row r="148" spans="1:48" outlineLevel="1">
      <c r="A148" s="11"/>
      <c r="B148" s="11"/>
      <c r="C148" s="11"/>
      <c r="D148" s="11"/>
      <c r="E148" s="11"/>
      <c r="F148" s="135" t="str">
        <f>Asset5</f>
        <v>Transformers</v>
      </c>
      <c r="G148" s="173">
        <f t="shared" ref="G148:Q148" si="13">(G46-G80-G114)/G$179</f>
        <v>53.8</v>
      </c>
      <c r="H148" s="90">
        <f t="shared" si="13"/>
        <v>54.139047486158837</v>
      </c>
      <c r="I148" s="90">
        <f t="shared" si="13"/>
        <v>73.086487984609647</v>
      </c>
      <c r="J148" s="90">
        <f t="shared" si="13"/>
        <v>47.906272971450235</v>
      </c>
      <c r="K148" s="90">
        <f t="shared" si="13"/>
        <v>35.709866104297205</v>
      </c>
      <c r="L148" s="90">
        <f t="shared" si="13"/>
        <v>26.797652862008928</v>
      </c>
      <c r="M148" s="90">
        <f t="shared" si="13"/>
        <v>0</v>
      </c>
      <c r="N148" s="90">
        <f t="shared" si="13"/>
        <v>0</v>
      </c>
      <c r="O148" s="90">
        <f t="shared" si="13"/>
        <v>0</v>
      </c>
      <c r="P148" s="90">
        <f t="shared" si="13"/>
        <v>0</v>
      </c>
      <c r="Q148" s="90">
        <f t="shared" si="13"/>
        <v>0</v>
      </c>
      <c r="R148" s="8"/>
      <c r="S148" s="8"/>
      <c r="T148" s="8"/>
      <c r="U148" s="8"/>
      <c r="V148" s="8"/>
      <c r="W148" s="42"/>
      <c r="X148" s="337"/>
      <c r="Y148" s="9"/>
      <c r="Z148" s="9"/>
      <c r="AA148" s="9"/>
      <c r="AB148" s="9"/>
      <c r="AC148" s="9"/>
      <c r="AD148" s="9"/>
      <c r="AE148" s="9"/>
      <c r="AF148" s="185"/>
      <c r="AG148" s="185"/>
      <c r="AH148" s="185"/>
      <c r="AI148" s="185"/>
      <c r="AJ148" s="185"/>
      <c r="AK148" s="185"/>
      <c r="AL148" s="185"/>
      <c r="AM148" s="185"/>
      <c r="AN148" s="185"/>
      <c r="AO148" s="185"/>
      <c r="AP148" s="185"/>
      <c r="AQ148" s="185"/>
      <c r="AR148" s="185"/>
      <c r="AS148" s="185"/>
      <c r="AT148" s="185"/>
      <c r="AU148" s="185"/>
      <c r="AV148" s="185"/>
    </row>
    <row r="149" spans="1:48" outlineLevel="1">
      <c r="A149" s="11"/>
      <c r="B149" s="11"/>
      <c r="C149" s="11"/>
      <c r="D149" s="11"/>
      <c r="E149" s="11"/>
      <c r="F149" s="135" t="str">
        <f>Asset6</f>
        <v>Low Voltage Lines and Cables</v>
      </c>
      <c r="G149" s="173">
        <f t="shared" ref="G149:Q149" si="14">(G47-G81-G115)/G$179</f>
        <v>109.96698948000002</v>
      </c>
      <c r="H149" s="90">
        <f t="shared" si="14"/>
        <v>115.22395907467542</v>
      </c>
      <c r="I149" s="90">
        <f t="shared" si="14"/>
        <v>139.15909906176671</v>
      </c>
      <c r="J149" s="90">
        <f t="shared" si="14"/>
        <v>167.35796207035071</v>
      </c>
      <c r="K149" s="90">
        <f t="shared" si="14"/>
        <v>127.25619894260089</v>
      </c>
      <c r="L149" s="90">
        <f t="shared" si="14"/>
        <v>106.75401488095939</v>
      </c>
      <c r="M149" s="90">
        <f t="shared" si="14"/>
        <v>0</v>
      </c>
      <c r="N149" s="90">
        <f t="shared" si="14"/>
        <v>0</v>
      </c>
      <c r="O149" s="90">
        <f t="shared" si="14"/>
        <v>0</v>
      </c>
      <c r="P149" s="90">
        <f t="shared" si="14"/>
        <v>0</v>
      </c>
      <c r="Q149" s="90">
        <f t="shared" si="14"/>
        <v>0</v>
      </c>
      <c r="R149" s="8"/>
      <c r="S149" s="8"/>
      <c r="T149" s="8"/>
      <c r="U149" s="8"/>
      <c r="V149" s="8"/>
      <c r="W149" s="42"/>
      <c r="X149" s="337"/>
      <c r="Y149" s="9"/>
      <c r="Z149" s="9"/>
      <c r="AA149" s="9"/>
      <c r="AB149" s="9"/>
      <c r="AC149" s="9"/>
      <c r="AD149" s="9"/>
      <c r="AE149" s="9"/>
      <c r="AF149" s="185"/>
      <c r="AG149" s="185"/>
      <c r="AH149" s="185"/>
      <c r="AI149" s="185"/>
      <c r="AJ149" s="185"/>
      <c r="AK149" s="185"/>
      <c r="AL149" s="185"/>
      <c r="AM149" s="185"/>
      <c r="AN149" s="185"/>
      <c r="AO149" s="185"/>
      <c r="AP149" s="185"/>
      <c r="AQ149" s="185"/>
      <c r="AR149" s="185"/>
      <c r="AS149" s="185"/>
      <c r="AT149" s="185"/>
      <c r="AU149" s="185"/>
      <c r="AV149" s="185"/>
    </row>
    <row r="150" spans="1:48" outlineLevel="1">
      <c r="A150" s="11"/>
      <c r="B150" s="11"/>
      <c r="C150" s="11"/>
      <c r="D150" s="11"/>
      <c r="E150" s="11"/>
      <c r="F150" s="135" t="str">
        <f>Asset7</f>
        <v>Customer Metering and Load Control</v>
      </c>
      <c r="G150" s="173">
        <f t="shared" ref="G150:Q150" si="15">(G48-G82-G116)/G$179</f>
        <v>23.878879999999999</v>
      </c>
      <c r="H150" s="90">
        <f t="shared" si="15"/>
        <v>0.40687169659639022</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337"/>
      <c r="Y150" s="9"/>
      <c r="Z150" s="9"/>
      <c r="AA150" s="9"/>
      <c r="AB150" s="9"/>
      <c r="AC150" s="9"/>
      <c r="AD150" s="9"/>
      <c r="AE150" s="9"/>
      <c r="AF150" s="185"/>
      <c r="AG150" s="185"/>
      <c r="AH150" s="185"/>
      <c r="AI150" s="185"/>
      <c r="AJ150" s="185"/>
      <c r="AK150" s="185"/>
      <c r="AL150" s="185"/>
      <c r="AM150" s="185"/>
      <c r="AN150" s="185"/>
      <c r="AO150" s="185"/>
      <c r="AP150" s="185"/>
      <c r="AQ150" s="185"/>
      <c r="AR150" s="185"/>
      <c r="AS150" s="185"/>
      <c r="AT150" s="185"/>
      <c r="AU150" s="185"/>
      <c r="AV150" s="185"/>
    </row>
    <row r="151" spans="1:48" outlineLevel="1">
      <c r="A151" s="11"/>
      <c r="B151" s="11"/>
      <c r="C151" s="11"/>
      <c r="D151" s="11"/>
      <c r="E151" s="11"/>
      <c r="F151" s="135" t="str">
        <f>Asset8</f>
        <v>Customer Metering (digital)</v>
      </c>
      <c r="G151" s="173">
        <f t="shared" ref="G151:Q151" si="16">(G49-G83-G117)/G$179</f>
        <v>0</v>
      </c>
      <c r="H151" s="90">
        <f t="shared" si="16"/>
        <v>21.489546027210682</v>
      </c>
      <c r="I151" s="90">
        <f t="shared" si="16"/>
        <v>27.885197683348732</v>
      </c>
      <c r="J151" s="90">
        <f t="shared" si="16"/>
        <v>19.972637522989565</v>
      </c>
      <c r="K151" s="90">
        <f t="shared" si="16"/>
        <v>14.388866805121891</v>
      </c>
      <c r="L151" s="90">
        <f t="shared" si="16"/>
        <v>14.868802045353778</v>
      </c>
      <c r="M151" s="90">
        <f t="shared" si="16"/>
        <v>0</v>
      </c>
      <c r="N151" s="90">
        <f t="shared" si="16"/>
        <v>0</v>
      </c>
      <c r="O151" s="90">
        <f t="shared" si="16"/>
        <v>0</v>
      </c>
      <c r="P151" s="90">
        <f t="shared" si="16"/>
        <v>0</v>
      </c>
      <c r="Q151" s="90">
        <f t="shared" si="16"/>
        <v>0</v>
      </c>
      <c r="R151" s="8"/>
      <c r="S151" s="8"/>
      <c r="T151" s="8"/>
      <c r="U151" s="8"/>
      <c r="V151" s="8"/>
      <c r="W151" s="42"/>
      <c r="X151" s="337"/>
      <c r="Y151" s="9"/>
      <c r="Z151" s="9"/>
      <c r="AA151" s="9"/>
      <c r="AB151" s="9"/>
      <c r="AC151" s="9"/>
      <c r="AD151" s="9"/>
      <c r="AE151" s="9"/>
      <c r="AF151" s="185"/>
      <c r="AG151" s="185"/>
      <c r="AH151" s="185"/>
      <c r="AI151" s="185"/>
      <c r="AJ151" s="185"/>
      <c r="AK151" s="185"/>
      <c r="AL151" s="185"/>
      <c r="AM151" s="185"/>
      <c r="AN151" s="185"/>
      <c r="AO151" s="185"/>
      <c r="AP151" s="185"/>
      <c r="AQ151" s="185"/>
      <c r="AR151" s="185"/>
      <c r="AS151" s="185"/>
      <c r="AT151" s="185"/>
      <c r="AU151" s="185"/>
      <c r="AV151" s="185"/>
    </row>
    <row r="152" spans="1:48" outlineLevel="1">
      <c r="A152" s="11"/>
      <c r="B152" s="11"/>
      <c r="C152" s="11"/>
      <c r="D152" s="11"/>
      <c r="E152" s="11"/>
      <c r="F152" s="135" t="str">
        <f>Asset9</f>
        <v>Communications (digital) - dx</v>
      </c>
      <c r="G152" s="173">
        <f t="shared" ref="G152:Q152" si="17">(G50-G84-G118)/G$179</f>
        <v>0</v>
      </c>
      <c r="H152" s="90">
        <f t="shared" si="17"/>
        <v>20.377846898454649</v>
      </c>
      <c r="I152" s="90">
        <f t="shared" si="17"/>
        <v>1.0919655112885449</v>
      </c>
      <c r="J152" s="90">
        <f t="shared" si="17"/>
        <v>0.95118072200405568</v>
      </c>
      <c r="K152" s="90">
        <f t="shared" si="17"/>
        <v>-2.8387070427318575</v>
      </c>
      <c r="L152" s="90">
        <f t="shared" si="17"/>
        <v>0.32849762761174706</v>
      </c>
      <c r="M152" s="90">
        <f t="shared" si="17"/>
        <v>0</v>
      </c>
      <c r="N152" s="90">
        <f t="shared" si="17"/>
        <v>0</v>
      </c>
      <c r="O152" s="90">
        <f t="shared" si="17"/>
        <v>0</v>
      </c>
      <c r="P152" s="90">
        <f t="shared" si="17"/>
        <v>0</v>
      </c>
      <c r="Q152" s="90">
        <f t="shared" si="17"/>
        <v>0</v>
      </c>
      <c r="R152" s="8"/>
      <c r="S152" s="8"/>
      <c r="T152" s="8"/>
      <c r="U152" s="8"/>
      <c r="V152" s="8"/>
      <c r="W152" s="42"/>
      <c r="X152" s="337"/>
      <c r="Y152" s="9"/>
      <c r="Z152" s="9"/>
      <c r="AA152" s="9"/>
      <c r="AB152" s="9"/>
      <c r="AC152" s="9"/>
      <c r="AD152" s="9"/>
      <c r="AE152" s="9"/>
      <c r="AF152" s="185"/>
      <c r="AG152" s="185"/>
      <c r="AH152" s="185"/>
      <c r="AI152" s="185"/>
      <c r="AJ152" s="185"/>
      <c r="AK152" s="185"/>
      <c r="AL152" s="185"/>
      <c r="AM152" s="185"/>
      <c r="AN152" s="185"/>
      <c r="AO152" s="185"/>
      <c r="AP152" s="185"/>
      <c r="AQ152" s="185"/>
      <c r="AR152" s="185"/>
      <c r="AS152" s="185"/>
      <c r="AT152" s="185"/>
      <c r="AU152" s="185"/>
      <c r="AV152" s="185"/>
    </row>
    <row r="153" spans="1:48" outlineLevel="1">
      <c r="A153" s="11"/>
      <c r="B153" s="11"/>
      <c r="C153" s="11"/>
      <c r="D153" s="11"/>
      <c r="E153" s="11"/>
      <c r="F153" s="135" t="str">
        <f>Asset10</f>
        <v>Total Communications</v>
      </c>
      <c r="G153" s="173">
        <f t="shared" ref="G153:Q153" si="18">(G51-G85-G119)/G$179</f>
        <v>37.599999999999994</v>
      </c>
      <c r="H153" s="90">
        <f t="shared" si="18"/>
        <v>2.0821422845715158</v>
      </c>
      <c r="I153" s="90">
        <f t="shared" si="18"/>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337"/>
      <c r="Y153" s="9"/>
      <c r="Z153" s="9"/>
      <c r="AA153" s="9"/>
      <c r="AB153" s="9"/>
      <c r="AC153" s="9"/>
      <c r="AD153" s="9"/>
      <c r="AE153" s="9"/>
      <c r="AF153" s="185"/>
      <c r="AG153" s="185"/>
      <c r="AH153" s="185"/>
      <c r="AI153" s="185"/>
      <c r="AJ153" s="185"/>
      <c r="AK153" s="185"/>
      <c r="AL153" s="185"/>
      <c r="AM153" s="185"/>
      <c r="AN153" s="185"/>
      <c r="AO153" s="185"/>
      <c r="AP153" s="185"/>
      <c r="AQ153" s="185"/>
      <c r="AR153" s="185"/>
      <c r="AS153" s="185"/>
      <c r="AT153" s="185"/>
      <c r="AU153" s="185"/>
      <c r="AV153" s="185"/>
    </row>
    <row r="154" spans="1:48" outlineLevel="1">
      <c r="A154" s="11"/>
      <c r="B154" s="11"/>
      <c r="C154" s="11"/>
      <c r="D154" s="11"/>
      <c r="E154" s="11"/>
      <c r="F154" s="135" t="str">
        <f>Asset11</f>
        <v>System IT (dx)</v>
      </c>
      <c r="G154" s="173">
        <f t="shared" ref="G154:Q154" si="19">(G52-G86-G120)/G$179</f>
        <v>0</v>
      </c>
      <c r="H154" s="90">
        <f t="shared" si="19"/>
        <v>27.694324583426525</v>
      </c>
      <c r="I154" s="90">
        <f t="shared" si="19"/>
        <v>94.967216027394642</v>
      </c>
      <c r="J154" s="90">
        <f t="shared" si="19"/>
        <v>83.906975546533047</v>
      </c>
      <c r="K154" s="90">
        <f t="shared" si="19"/>
        <v>46.426629223016761</v>
      </c>
      <c r="L154" s="90">
        <f t="shared" si="19"/>
        <v>8.0954983655065451</v>
      </c>
      <c r="M154" s="90">
        <f t="shared" si="19"/>
        <v>0</v>
      </c>
      <c r="N154" s="90">
        <f t="shared" si="19"/>
        <v>0</v>
      </c>
      <c r="O154" s="90">
        <f t="shared" si="19"/>
        <v>0</v>
      </c>
      <c r="P154" s="90">
        <f t="shared" si="19"/>
        <v>0</v>
      </c>
      <c r="Q154" s="90">
        <f t="shared" si="19"/>
        <v>0</v>
      </c>
      <c r="R154" s="8"/>
      <c r="S154" s="8"/>
      <c r="T154" s="8"/>
      <c r="U154" s="8"/>
      <c r="V154" s="8"/>
      <c r="W154" s="42"/>
      <c r="X154" s="337"/>
      <c r="Y154" s="9"/>
      <c r="Z154" s="9"/>
      <c r="AA154" s="9"/>
      <c r="AB154" s="9"/>
      <c r="AC154" s="9"/>
      <c r="AD154" s="9"/>
      <c r="AE154" s="9"/>
      <c r="AF154" s="185"/>
      <c r="AG154" s="185"/>
      <c r="AH154" s="185"/>
      <c r="AI154" s="185"/>
      <c r="AJ154" s="185"/>
      <c r="AK154" s="185"/>
      <c r="AL154" s="185"/>
      <c r="AM154" s="185"/>
      <c r="AN154" s="185"/>
      <c r="AO154" s="185"/>
      <c r="AP154" s="185"/>
      <c r="AQ154" s="185"/>
      <c r="AR154" s="185"/>
      <c r="AS154" s="185"/>
      <c r="AT154" s="185"/>
      <c r="AU154" s="185"/>
      <c r="AV154" s="185"/>
    </row>
    <row r="155" spans="1:48" outlineLevel="1">
      <c r="A155" s="11"/>
      <c r="B155" s="11"/>
      <c r="C155" s="11"/>
      <c r="D155" s="11"/>
      <c r="E155" s="11"/>
      <c r="F155" s="135" t="str">
        <f>Asset12</f>
        <v>Ancillary substation equipment (dx)</v>
      </c>
      <c r="G155" s="173">
        <f t="shared" ref="G155:Q155" si="20">(G53-G87-G121)/G$179</f>
        <v>0</v>
      </c>
      <c r="H155" s="90">
        <f t="shared" si="20"/>
        <v>25.861275215948979</v>
      </c>
      <c r="I155" s="90">
        <f t="shared" si="20"/>
        <v>6.5662409365572865</v>
      </c>
      <c r="J155" s="90">
        <f t="shared" si="20"/>
        <v>13.268496191717174</v>
      </c>
      <c r="K155" s="90">
        <f t="shared" si="20"/>
        <v>7.8110551140652342</v>
      </c>
      <c r="L155" s="90">
        <f t="shared" si="20"/>
        <v>4.5544028915929786</v>
      </c>
      <c r="M155" s="90">
        <f t="shared" si="20"/>
        <v>0</v>
      </c>
      <c r="N155" s="90">
        <f t="shared" si="20"/>
        <v>0</v>
      </c>
      <c r="O155" s="90">
        <f t="shared" si="20"/>
        <v>0</v>
      </c>
      <c r="P155" s="90">
        <f t="shared" si="20"/>
        <v>0</v>
      </c>
      <c r="Q155" s="90">
        <f t="shared" si="20"/>
        <v>0</v>
      </c>
      <c r="R155" s="8"/>
      <c r="S155" s="8"/>
      <c r="T155" s="8"/>
      <c r="U155" s="8"/>
      <c r="V155" s="8"/>
      <c r="W155" s="42"/>
      <c r="X155" s="337"/>
      <c r="Y155" s="9"/>
      <c r="Z155" s="9"/>
      <c r="AA155" s="9"/>
      <c r="AB155" s="9"/>
      <c r="AC155" s="9"/>
      <c r="AD155" s="9"/>
      <c r="AE155" s="9"/>
      <c r="AF155" s="185"/>
      <c r="AG155" s="185"/>
      <c r="AH155" s="185"/>
      <c r="AI155" s="185"/>
      <c r="AJ155" s="185"/>
      <c r="AK155" s="185"/>
      <c r="AL155" s="185"/>
      <c r="AM155" s="185"/>
      <c r="AN155" s="185"/>
      <c r="AO155" s="185"/>
      <c r="AP155" s="185"/>
      <c r="AQ155" s="185"/>
      <c r="AR155" s="185"/>
      <c r="AS155" s="185"/>
      <c r="AT155" s="185"/>
      <c r="AU155" s="185"/>
      <c r="AV155" s="185"/>
    </row>
    <row r="156" spans="1:48" outlineLevel="1">
      <c r="A156" s="11"/>
      <c r="B156" s="11"/>
      <c r="C156" s="11"/>
      <c r="D156" s="11"/>
      <c r="E156" s="11"/>
      <c r="F156" s="135" t="str">
        <f>Asset13</f>
        <v>Land and Easements</v>
      </c>
      <c r="G156" s="173">
        <f t="shared" ref="G156:Q156" si="21">(G54-G88-G122)/G$179</f>
        <v>106.25104311999999</v>
      </c>
      <c r="H156" s="90">
        <f t="shared" si="21"/>
        <v>31.664353200445941</v>
      </c>
      <c r="I156" s="90">
        <f t="shared" si="21"/>
        <v>15.474492142273206</v>
      </c>
      <c r="J156" s="90">
        <f t="shared" si="21"/>
        <v>13.930936346575896</v>
      </c>
      <c r="K156" s="90">
        <f t="shared" si="21"/>
        <v>8.5450393941649772</v>
      </c>
      <c r="L156" s="90">
        <f t="shared" si="21"/>
        <v>6.3553550750172647</v>
      </c>
      <c r="M156" s="90">
        <f t="shared" si="21"/>
        <v>0</v>
      </c>
      <c r="N156" s="90">
        <f t="shared" si="21"/>
        <v>0</v>
      </c>
      <c r="O156" s="90">
        <f t="shared" si="21"/>
        <v>0</v>
      </c>
      <c r="P156" s="90">
        <f t="shared" si="21"/>
        <v>0</v>
      </c>
      <c r="Q156" s="90">
        <f t="shared" si="21"/>
        <v>0</v>
      </c>
      <c r="R156" s="8"/>
      <c r="S156" s="8"/>
      <c r="T156" s="8"/>
      <c r="U156" s="8"/>
      <c r="V156" s="8"/>
      <c r="W156" s="42"/>
      <c r="X156" s="337"/>
      <c r="Y156" s="9"/>
      <c r="Z156" s="9"/>
      <c r="AA156" s="9"/>
      <c r="AB156" s="9"/>
      <c r="AC156" s="9"/>
      <c r="AD156" s="9"/>
      <c r="AE156" s="9"/>
      <c r="AF156" s="185"/>
      <c r="AG156" s="185"/>
      <c r="AH156" s="185"/>
      <c r="AI156" s="185"/>
      <c r="AJ156" s="185"/>
      <c r="AK156" s="185"/>
      <c r="AL156" s="185"/>
      <c r="AM156" s="185"/>
      <c r="AN156" s="185"/>
      <c r="AO156" s="185"/>
      <c r="AP156" s="185"/>
      <c r="AQ156" s="185"/>
      <c r="AR156" s="185"/>
      <c r="AS156" s="185"/>
      <c r="AT156" s="185"/>
      <c r="AU156" s="185"/>
      <c r="AV156" s="185"/>
    </row>
    <row r="157" spans="1:48" outlineLevel="1">
      <c r="A157" s="11"/>
      <c r="B157" s="11"/>
      <c r="C157" s="11"/>
      <c r="D157" s="11"/>
      <c r="E157" s="11"/>
      <c r="F157" s="135" t="str">
        <f>Asset14</f>
        <v>Emergency Spares (Major Plant, Excludes Inventory)</v>
      </c>
      <c r="G157" s="173">
        <f t="shared" ref="G157:Q157" si="22">(G55-G89-G123)/G$179</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337"/>
      <c r="Y157" s="9"/>
      <c r="Z157" s="9"/>
      <c r="AA157" s="9"/>
      <c r="AB157" s="9"/>
      <c r="AC157" s="9"/>
      <c r="AD157" s="9"/>
      <c r="AE157" s="9"/>
      <c r="AF157" s="185"/>
      <c r="AG157" s="185"/>
      <c r="AH157" s="185"/>
      <c r="AI157" s="185"/>
      <c r="AJ157" s="185"/>
      <c r="AK157" s="185"/>
      <c r="AL157" s="185"/>
      <c r="AM157" s="185"/>
      <c r="AN157" s="185"/>
      <c r="AO157" s="185"/>
      <c r="AP157" s="185"/>
      <c r="AQ157" s="185"/>
      <c r="AR157" s="185"/>
      <c r="AS157" s="185"/>
      <c r="AT157" s="185"/>
      <c r="AU157" s="185"/>
      <c r="AV157" s="185"/>
    </row>
    <row r="158" spans="1:48" outlineLevel="1">
      <c r="A158" s="11"/>
      <c r="B158" s="11"/>
      <c r="C158" s="11"/>
      <c r="D158" s="11"/>
      <c r="E158" s="11"/>
      <c r="F158" s="135" t="str">
        <f>Asset15</f>
        <v>Furniture, fittings, plant and equipment</v>
      </c>
      <c r="G158" s="173">
        <f t="shared" ref="G158:Q158" si="23">(G56-G90-G124)/G$179</f>
        <v>5.1463040990344</v>
      </c>
      <c r="H158" s="90">
        <f t="shared" si="23"/>
        <v>6.774643545408165</v>
      </c>
      <c r="I158" s="90">
        <f t="shared" si="23"/>
        <v>6.2012078161254003</v>
      </c>
      <c r="J158" s="90">
        <f t="shared" si="23"/>
        <v>6.2139445599661833</v>
      </c>
      <c r="K158" s="90">
        <f t="shared" si="23"/>
        <v>3.7244359697358673</v>
      </c>
      <c r="L158" s="90">
        <f t="shared" si="23"/>
        <v>3.3497574170978073</v>
      </c>
      <c r="M158" s="90">
        <f t="shared" si="23"/>
        <v>0</v>
      </c>
      <c r="N158" s="90">
        <f t="shared" si="23"/>
        <v>0</v>
      </c>
      <c r="O158" s="90">
        <f t="shared" si="23"/>
        <v>0</v>
      </c>
      <c r="P158" s="90">
        <f t="shared" si="23"/>
        <v>0</v>
      </c>
      <c r="Q158" s="90">
        <f t="shared" si="23"/>
        <v>0</v>
      </c>
      <c r="R158" s="8"/>
      <c r="S158" s="8"/>
      <c r="T158" s="8"/>
      <c r="U158" s="8"/>
      <c r="V158" s="8"/>
      <c r="W158" s="42"/>
      <c r="X158" s="337"/>
      <c r="Y158" s="9"/>
      <c r="Z158" s="9"/>
      <c r="AA158" s="9"/>
      <c r="AB158" s="9"/>
      <c r="AC158" s="9"/>
      <c r="AD158" s="9"/>
      <c r="AE158" s="9"/>
      <c r="AF158" s="185"/>
      <c r="AG158" s="185"/>
      <c r="AH158" s="185"/>
      <c r="AI158" s="185"/>
      <c r="AJ158" s="185"/>
      <c r="AK158" s="185"/>
      <c r="AL158" s="185"/>
      <c r="AM158" s="185"/>
      <c r="AN158" s="185"/>
      <c r="AO158" s="185"/>
      <c r="AP158" s="185"/>
      <c r="AQ158" s="185"/>
      <c r="AR158" s="185"/>
      <c r="AS158" s="185"/>
      <c r="AT158" s="185"/>
      <c r="AU158" s="185"/>
      <c r="AV158" s="185"/>
    </row>
    <row r="159" spans="1:48" outlineLevel="1">
      <c r="A159" s="11"/>
      <c r="B159" s="11"/>
      <c r="C159" s="11"/>
      <c r="D159" s="11"/>
      <c r="E159" s="11"/>
      <c r="F159" s="135" t="str">
        <f>Asset16</f>
        <v>Land (non-system)</v>
      </c>
      <c r="G159" s="173">
        <f t="shared" ref="G159:Q159" si="24">(G57-G91-G125)/G$179</f>
        <v>11.2</v>
      </c>
      <c r="H159" s="90">
        <f t="shared" si="24"/>
        <v>17.849573256029124</v>
      </c>
      <c r="I159" s="90">
        <f t="shared" si="24"/>
        <v>5.8223264063756908</v>
      </c>
      <c r="J159" s="90">
        <f t="shared" si="24"/>
        <v>7.2656925364672089</v>
      </c>
      <c r="K159" s="90">
        <f>(K57-K91-K125)/K$179</f>
        <v>-9.8237218921154501E-2</v>
      </c>
      <c r="L159" s="90">
        <f t="shared" si="24"/>
        <v>-47.018211354342753</v>
      </c>
      <c r="M159" s="90">
        <f t="shared" si="24"/>
        <v>0</v>
      </c>
      <c r="N159" s="90">
        <f t="shared" si="24"/>
        <v>0</v>
      </c>
      <c r="O159" s="90">
        <f t="shared" si="24"/>
        <v>0</v>
      </c>
      <c r="P159" s="90">
        <f t="shared" si="24"/>
        <v>0</v>
      </c>
      <c r="Q159" s="90">
        <f t="shared" si="24"/>
        <v>0</v>
      </c>
      <c r="R159" s="8"/>
      <c r="S159" s="8"/>
      <c r="T159" s="8"/>
      <c r="U159" s="8"/>
      <c r="V159" s="8"/>
      <c r="W159" s="42"/>
      <c r="X159" s="337"/>
      <c r="Y159" s="9"/>
      <c r="Z159" s="9"/>
      <c r="AA159" s="9"/>
      <c r="AB159" s="9"/>
      <c r="AC159" s="9"/>
      <c r="AD159" s="9"/>
      <c r="AE159" s="9"/>
      <c r="AF159" s="185"/>
      <c r="AG159" s="185"/>
      <c r="AH159" s="185"/>
      <c r="AI159" s="185"/>
      <c r="AJ159" s="185"/>
      <c r="AK159" s="185"/>
      <c r="AL159" s="185"/>
      <c r="AM159" s="185"/>
      <c r="AN159" s="185"/>
      <c r="AO159" s="185"/>
      <c r="AP159" s="185"/>
      <c r="AQ159" s="185"/>
      <c r="AR159" s="185"/>
      <c r="AS159" s="185"/>
      <c r="AT159" s="185"/>
      <c r="AU159" s="185"/>
      <c r="AV159" s="185"/>
    </row>
    <row r="160" spans="1:48" outlineLevel="1">
      <c r="A160" s="11"/>
      <c r="B160" s="11"/>
      <c r="C160" s="11"/>
      <c r="D160" s="11"/>
      <c r="E160" s="11"/>
      <c r="F160" s="135" t="str">
        <f>Asset17</f>
        <v>Other non system assets</v>
      </c>
      <c r="G160" s="173">
        <f t="shared" ref="G160:Q160" si="25">(G58-G92-G126)/G$179</f>
        <v>0.7</v>
      </c>
      <c r="H160" s="90">
        <f t="shared" si="25"/>
        <v>0.32184647249459264</v>
      </c>
      <c r="I160" s="90">
        <f t="shared" si="25"/>
        <v>7.9900154841458973E-2</v>
      </c>
      <c r="J160" s="90">
        <f t="shared" si="25"/>
        <v>0.99640780728879041</v>
      </c>
      <c r="K160" s="90">
        <f t="shared" si="25"/>
        <v>0.14217682722512331</v>
      </c>
      <c r="L160" s="90">
        <f t="shared" si="25"/>
        <v>0.48261955292576342</v>
      </c>
      <c r="M160" s="90">
        <f t="shared" si="25"/>
        <v>0</v>
      </c>
      <c r="N160" s="90">
        <f t="shared" si="25"/>
        <v>0</v>
      </c>
      <c r="O160" s="90">
        <f t="shared" si="25"/>
        <v>0</v>
      </c>
      <c r="P160" s="90">
        <f t="shared" si="25"/>
        <v>0</v>
      </c>
      <c r="Q160" s="90">
        <f t="shared" si="25"/>
        <v>0</v>
      </c>
      <c r="R160" s="8"/>
      <c r="S160" s="8"/>
      <c r="T160" s="8"/>
      <c r="U160" s="8"/>
      <c r="V160" s="8"/>
      <c r="W160" s="42"/>
      <c r="X160" s="337"/>
      <c r="Y160" s="9"/>
      <c r="Z160" s="9"/>
      <c r="AA160" s="9"/>
      <c r="AB160" s="9"/>
      <c r="AC160" s="9"/>
      <c r="AD160" s="9"/>
      <c r="AE160" s="9"/>
      <c r="AF160" s="185"/>
      <c r="AG160" s="185"/>
      <c r="AH160" s="185"/>
      <c r="AI160" s="185"/>
      <c r="AJ160" s="185"/>
      <c r="AK160" s="185"/>
      <c r="AL160" s="185"/>
      <c r="AM160" s="185"/>
      <c r="AN160" s="185"/>
      <c r="AO160" s="185"/>
      <c r="AP160" s="185"/>
      <c r="AQ160" s="185"/>
      <c r="AR160" s="185"/>
      <c r="AS160" s="185"/>
      <c r="AT160" s="185"/>
      <c r="AU160" s="185"/>
      <c r="AV160" s="185"/>
    </row>
    <row r="161" spans="1:48" outlineLevel="1">
      <c r="A161" s="11"/>
      <c r="B161" s="11"/>
      <c r="C161" s="11"/>
      <c r="D161" s="11"/>
      <c r="E161" s="11"/>
      <c r="F161" s="135" t="str">
        <f>Asset18</f>
        <v>IT systems</v>
      </c>
      <c r="G161" s="173">
        <f t="shared" ref="G161:Q161" si="26">(G59-G93-G127)/G$179</f>
        <v>85.238499999999988</v>
      </c>
      <c r="H161" s="90">
        <f t="shared" si="26"/>
        <v>42.473861763373051</v>
      </c>
      <c r="I161" s="90">
        <f t="shared" si="26"/>
        <v>47.042187335549301</v>
      </c>
      <c r="J161" s="90">
        <f t="shared" si="26"/>
        <v>29.50190419338665</v>
      </c>
      <c r="K161" s="90">
        <f t="shared" si="26"/>
        <v>22.045444508967872</v>
      </c>
      <c r="L161" s="90">
        <f t="shared" si="26"/>
        <v>21.702628938317236</v>
      </c>
      <c r="M161" s="90">
        <f t="shared" si="26"/>
        <v>0</v>
      </c>
      <c r="N161" s="90">
        <f t="shared" si="26"/>
        <v>0</v>
      </c>
      <c r="O161" s="90">
        <f t="shared" si="26"/>
        <v>0</v>
      </c>
      <c r="P161" s="90">
        <f t="shared" si="26"/>
        <v>0</v>
      </c>
      <c r="Q161" s="90">
        <f t="shared" si="26"/>
        <v>0</v>
      </c>
      <c r="R161" s="8"/>
      <c r="S161" s="8"/>
      <c r="T161" s="8"/>
      <c r="U161" s="8"/>
      <c r="V161" s="8"/>
      <c r="W161" s="42"/>
      <c r="X161" s="337"/>
      <c r="Y161" s="9"/>
      <c r="Z161" s="9"/>
      <c r="AA161" s="9"/>
      <c r="AB161" s="9"/>
      <c r="AC161" s="9"/>
      <c r="AD161" s="9"/>
      <c r="AE161" s="9"/>
      <c r="AF161" s="185"/>
      <c r="AG161" s="185"/>
      <c r="AH161" s="185"/>
      <c r="AI161" s="185"/>
      <c r="AJ161" s="185"/>
      <c r="AK161" s="185"/>
      <c r="AL161" s="185"/>
      <c r="AM161" s="185"/>
      <c r="AN161" s="185"/>
      <c r="AO161" s="185"/>
      <c r="AP161" s="185"/>
      <c r="AQ161" s="185"/>
      <c r="AR161" s="185"/>
      <c r="AS161" s="185"/>
      <c r="AT161" s="185"/>
      <c r="AU161" s="185"/>
      <c r="AV161" s="185"/>
    </row>
    <row r="162" spans="1:48" outlineLevel="1">
      <c r="A162" s="11"/>
      <c r="B162" s="11"/>
      <c r="C162" s="11"/>
      <c r="D162" s="11"/>
      <c r="E162" s="11"/>
      <c r="F162" s="135" t="str">
        <f>Asset19</f>
        <v>Motor vehicles</v>
      </c>
      <c r="G162" s="173">
        <f t="shared" ref="G162:Q162" si="27">(G60-G94-G128)/G$179</f>
        <v>22.870834231266599</v>
      </c>
      <c r="H162" s="90">
        <f t="shared" si="27"/>
        <v>22.082418015368575</v>
      </c>
      <c r="I162" s="90">
        <f t="shared" si="27"/>
        <v>23.169810878893465</v>
      </c>
      <c r="J162" s="90">
        <f t="shared" si="27"/>
        <v>24.613500881247596</v>
      </c>
      <c r="K162" s="90">
        <f t="shared" si="27"/>
        <v>10.095408308692717</v>
      </c>
      <c r="L162" s="90">
        <f t="shared" si="27"/>
        <v>5.9371818928371143</v>
      </c>
      <c r="M162" s="90">
        <f t="shared" si="27"/>
        <v>0</v>
      </c>
      <c r="N162" s="90">
        <f t="shared" si="27"/>
        <v>0</v>
      </c>
      <c r="O162" s="90">
        <f t="shared" si="27"/>
        <v>0</v>
      </c>
      <c r="P162" s="90">
        <f t="shared" si="27"/>
        <v>0</v>
      </c>
      <c r="Q162" s="90">
        <f t="shared" si="27"/>
        <v>0</v>
      </c>
      <c r="R162" s="8"/>
      <c r="S162" s="8"/>
      <c r="T162" s="8"/>
      <c r="U162" s="8"/>
      <c r="V162" s="8"/>
      <c r="W162" s="42"/>
      <c r="X162" s="337"/>
      <c r="Y162" s="9"/>
      <c r="Z162" s="9"/>
      <c r="AA162" s="9"/>
      <c r="AB162" s="9"/>
      <c r="AC162" s="9"/>
      <c r="AD162" s="9"/>
      <c r="AE162" s="9"/>
      <c r="AF162" s="185"/>
      <c r="AG162" s="185"/>
      <c r="AH162" s="185"/>
      <c r="AI162" s="185"/>
      <c r="AJ162" s="185"/>
      <c r="AK162" s="185"/>
      <c r="AL162" s="185"/>
      <c r="AM162" s="185"/>
      <c r="AN162" s="185"/>
      <c r="AO162" s="185"/>
      <c r="AP162" s="185"/>
      <c r="AQ162" s="185"/>
      <c r="AR162" s="185"/>
      <c r="AS162" s="185"/>
      <c r="AT162" s="185"/>
      <c r="AU162" s="185"/>
      <c r="AV162" s="185"/>
    </row>
    <row r="163" spans="1:48" outlineLevel="1">
      <c r="A163" s="11"/>
      <c r="B163" s="11"/>
      <c r="C163" s="11"/>
      <c r="D163" s="11"/>
      <c r="E163" s="11"/>
      <c r="F163" s="135" t="str">
        <f>Asset20</f>
        <v>Buildings</v>
      </c>
      <c r="G163" s="173">
        <f t="shared" ref="G163:Q163" si="28">(G61-G95-G129)/G$179</f>
        <v>55</v>
      </c>
      <c r="H163" s="90">
        <f t="shared" si="28"/>
        <v>60.158708053284791</v>
      </c>
      <c r="I163" s="90">
        <f t="shared" si="28"/>
        <v>38.948297257478551</v>
      </c>
      <c r="J163" s="90">
        <f t="shared" si="28"/>
        <v>27.017609567408893</v>
      </c>
      <c r="K163" s="90">
        <f t="shared" si="28"/>
        <v>15.868194333849068</v>
      </c>
      <c r="L163" s="90">
        <f t="shared" si="28"/>
        <v>-32.291481270715408</v>
      </c>
      <c r="M163" s="90">
        <f t="shared" si="28"/>
        <v>0</v>
      </c>
      <c r="N163" s="90">
        <f t="shared" si="28"/>
        <v>0</v>
      </c>
      <c r="O163" s="90">
        <f t="shared" si="28"/>
        <v>0</v>
      </c>
      <c r="P163" s="90">
        <f t="shared" si="28"/>
        <v>0</v>
      </c>
      <c r="Q163" s="90">
        <f t="shared" si="28"/>
        <v>0</v>
      </c>
      <c r="R163" s="8"/>
      <c r="S163" s="8"/>
      <c r="T163" s="8"/>
      <c r="U163" s="8"/>
      <c r="V163" s="8"/>
      <c r="W163" s="42"/>
      <c r="X163" s="337"/>
      <c r="Y163" s="9"/>
      <c r="Z163" s="9"/>
      <c r="AA163" s="9"/>
      <c r="AB163" s="9"/>
      <c r="AC163" s="9"/>
      <c r="AD163" s="9"/>
      <c r="AE163" s="9"/>
      <c r="AF163" s="185"/>
      <c r="AG163" s="185"/>
      <c r="AH163" s="185"/>
      <c r="AI163" s="185"/>
      <c r="AJ163" s="185"/>
      <c r="AK163" s="185"/>
      <c r="AL163" s="185"/>
      <c r="AM163" s="185"/>
      <c r="AN163" s="185"/>
      <c r="AO163" s="185"/>
      <c r="AP163" s="185"/>
      <c r="AQ163" s="185"/>
      <c r="AR163" s="185"/>
      <c r="AS163" s="185"/>
      <c r="AT163" s="185"/>
      <c r="AU163" s="185"/>
      <c r="AV163" s="185"/>
    </row>
    <row r="164" spans="1:48" outlineLevel="1">
      <c r="A164" s="11"/>
      <c r="B164" s="11"/>
      <c r="C164" s="11"/>
      <c r="D164" s="11"/>
      <c r="E164" s="11"/>
      <c r="F164" s="39" t="str">
        <f>Asset21</f>
        <v>Equity raising costs</v>
      </c>
      <c r="G164" s="173">
        <f t="shared" ref="G164:Q164" si="29">(G62-G96-G130)/G$179</f>
        <v>0</v>
      </c>
      <c r="H164" s="90">
        <f t="shared" si="29"/>
        <v>24.741311363167185</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337"/>
      <c r="Y164" s="9"/>
      <c r="Z164" s="9"/>
      <c r="AA164" s="9"/>
      <c r="AB164" s="9"/>
      <c r="AC164" s="9"/>
      <c r="AD164" s="9"/>
      <c r="AE164" s="9"/>
      <c r="AF164" s="185"/>
      <c r="AG164" s="185"/>
      <c r="AH164" s="185"/>
      <c r="AI164" s="185"/>
      <c r="AJ164" s="185"/>
      <c r="AK164" s="185"/>
      <c r="AL164" s="185"/>
      <c r="AM164" s="185"/>
      <c r="AN164" s="185"/>
      <c r="AO164" s="185"/>
      <c r="AP164" s="185"/>
      <c r="AQ164" s="185"/>
      <c r="AR164" s="185"/>
      <c r="AS164" s="185"/>
      <c r="AT164" s="185"/>
      <c r="AU164" s="185"/>
      <c r="AV164" s="185"/>
    </row>
    <row r="165" spans="1:48" outlineLevel="1">
      <c r="A165" s="11"/>
      <c r="B165" s="11"/>
      <c r="C165" s="11"/>
      <c r="D165" s="11"/>
      <c r="E165" s="11"/>
      <c r="F165" s="39">
        <f>Asset22</f>
        <v>0</v>
      </c>
      <c r="G165" s="173">
        <f t="shared" ref="G165:Q165" si="30">(G63-G97-G131)/G$179</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337"/>
      <c r="Y165" s="9"/>
      <c r="Z165" s="9"/>
      <c r="AA165" s="9"/>
      <c r="AB165" s="9"/>
      <c r="AC165" s="9"/>
      <c r="AD165" s="9"/>
      <c r="AE165" s="9"/>
      <c r="AF165" s="185"/>
      <c r="AG165" s="185"/>
      <c r="AH165" s="185"/>
      <c r="AI165" s="185"/>
      <c r="AJ165" s="185"/>
      <c r="AK165" s="185"/>
      <c r="AL165" s="185"/>
      <c r="AM165" s="185"/>
      <c r="AN165" s="185"/>
      <c r="AO165" s="185"/>
      <c r="AP165" s="185"/>
      <c r="AQ165" s="185"/>
      <c r="AR165" s="185"/>
      <c r="AS165" s="185"/>
      <c r="AT165" s="185"/>
      <c r="AU165" s="185"/>
      <c r="AV165" s="185"/>
    </row>
    <row r="166" spans="1:48" outlineLevel="1">
      <c r="A166" s="11"/>
      <c r="B166" s="11"/>
      <c r="C166" s="11"/>
      <c r="D166" s="11"/>
      <c r="E166" s="11"/>
      <c r="F166" s="39">
        <f>Asset23</f>
        <v>0</v>
      </c>
      <c r="G166" s="173">
        <f t="shared" ref="G166:Q166" si="31">(G64-G98-G132)/G$179</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337"/>
      <c r="Y166" s="9"/>
      <c r="Z166" s="9"/>
      <c r="AA166" s="9"/>
      <c r="AB166" s="9"/>
      <c r="AC166" s="9"/>
      <c r="AD166" s="9"/>
      <c r="AE166" s="9"/>
      <c r="AF166" s="185"/>
      <c r="AG166" s="185"/>
      <c r="AH166" s="185"/>
      <c r="AI166" s="185"/>
      <c r="AJ166" s="185"/>
      <c r="AK166" s="185"/>
      <c r="AL166" s="185"/>
      <c r="AM166" s="185"/>
      <c r="AN166" s="185"/>
      <c r="AO166" s="185"/>
      <c r="AP166" s="185"/>
      <c r="AQ166" s="185"/>
      <c r="AR166" s="185"/>
      <c r="AS166" s="185"/>
      <c r="AT166" s="185"/>
      <c r="AU166" s="185"/>
      <c r="AV166" s="185"/>
    </row>
    <row r="167" spans="1:48" outlineLevel="1">
      <c r="A167" s="11"/>
      <c r="B167" s="11"/>
      <c r="C167" s="11"/>
      <c r="D167" s="11"/>
      <c r="E167" s="11"/>
      <c r="F167" s="39">
        <f>Asset24</f>
        <v>0</v>
      </c>
      <c r="G167" s="173">
        <f t="shared" ref="G167:Q167" si="32">(G65-G99-G133)/G$179</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337"/>
      <c r="Y167" s="9"/>
      <c r="Z167" s="9"/>
      <c r="AA167" s="9"/>
      <c r="AB167" s="9"/>
      <c r="AC167" s="9"/>
      <c r="AD167" s="9"/>
      <c r="AE167" s="9"/>
      <c r="AF167" s="185"/>
      <c r="AG167" s="185"/>
      <c r="AH167" s="185"/>
      <c r="AI167" s="185"/>
      <c r="AJ167" s="185"/>
      <c r="AK167" s="185"/>
      <c r="AL167" s="185"/>
      <c r="AM167" s="185"/>
      <c r="AN167" s="185"/>
      <c r="AO167" s="185"/>
      <c r="AP167" s="185"/>
      <c r="AQ167" s="185"/>
      <c r="AR167" s="185"/>
      <c r="AS167" s="185"/>
      <c r="AT167" s="185"/>
      <c r="AU167" s="185"/>
      <c r="AV167" s="185"/>
    </row>
    <row r="168" spans="1:48" outlineLevel="1">
      <c r="A168" s="11"/>
      <c r="B168" s="11"/>
      <c r="C168" s="11"/>
      <c r="D168" s="11"/>
      <c r="E168" s="11"/>
      <c r="F168" s="39">
        <f>Asset25</f>
        <v>0</v>
      </c>
      <c r="G168" s="173">
        <f t="shared" ref="G168:Q168" si="33">(G66-G100-G134)/G$179</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337"/>
      <c r="Y168" s="9"/>
      <c r="Z168" s="9"/>
      <c r="AA168" s="9"/>
      <c r="AB168" s="9"/>
      <c r="AC168" s="9"/>
      <c r="AD168" s="9"/>
      <c r="AE168" s="9"/>
      <c r="AF168" s="185"/>
      <c r="AG168" s="185"/>
      <c r="AH168" s="185"/>
      <c r="AI168" s="185"/>
      <c r="AJ168" s="185"/>
      <c r="AK168" s="185"/>
      <c r="AL168" s="185"/>
      <c r="AM168" s="185"/>
      <c r="AN168" s="185"/>
      <c r="AO168" s="185"/>
      <c r="AP168" s="185"/>
      <c r="AQ168" s="185"/>
      <c r="AR168" s="185"/>
      <c r="AS168" s="185"/>
      <c r="AT168" s="185"/>
      <c r="AU168" s="185"/>
      <c r="AV168" s="185"/>
    </row>
    <row r="169" spans="1:48" outlineLevel="1">
      <c r="A169" s="11"/>
      <c r="B169" s="11"/>
      <c r="C169" s="11"/>
      <c r="D169" s="11"/>
      <c r="E169" s="11"/>
      <c r="F169" s="39">
        <f>Asset26</f>
        <v>0</v>
      </c>
      <c r="G169" s="173">
        <f t="shared" ref="G169:Q169" si="34">(G67-G101-G135)/G$179</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337"/>
      <c r="Y169" s="9"/>
      <c r="Z169" s="9"/>
      <c r="AA169" s="9"/>
      <c r="AB169" s="9"/>
      <c r="AC169" s="9"/>
      <c r="AD169" s="9"/>
      <c r="AE169" s="9"/>
      <c r="AF169" s="185"/>
      <c r="AG169" s="185"/>
      <c r="AH169" s="185"/>
      <c r="AI169" s="185"/>
      <c r="AJ169" s="185"/>
      <c r="AK169" s="185"/>
      <c r="AL169" s="185"/>
      <c r="AM169" s="185"/>
      <c r="AN169" s="185"/>
      <c r="AO169" s="185"/>
      <c r="AP169" s="185"/>
      <c r="AQ169" s="185"/>
      <c r="AR169" s="185"/>
      <c r="AS169" s="185"/>
      <c r="AT169" s="185"/>
      <c r="AU169" s="185"/>
      <c r="AV169" s="185"/>
    </row>
    <row r="170" spans="1:48" outlineLevel="1">
      <c r="A170" s="11"/>
      <c r="B170" s="11"/>
      <c r="C170" s="11"/>
      <c r="D170" s="11"/>
      <c r="E170" s="11"/>
      <c r="F170" s="39">
        <f>Asset27</f>
        <v>0</v>
      </c>
      <c r="G170" s="173">
        <f t="shared" ref="G170:Q170" si="35">(G68-G102-G136)/G$179</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337"/>
      <c r="Y170" s="9"/>
      <c r="Z170" s="9"/>
      <c r="AA170" s="9"/>
      <c r="AB170" s="9"/>
      <c r="AC170" s="9"/>
      <c r="AD170" s="9"/>
      <c r="AE170" s="9"/>
      <c r="AF170" s="185"/>
      <c r="AG170" s="185"/>
      <c r="AH170" s="185"/>
      <c r="AI170" s="185"/>
      <c r="AJ170" s="185"/>
      <c r="AK170" s="185"/>
      <c r="AL170" s="185"/>
      <c r="AM170" s="185"/>
      <c r="AN170" s="185"/>
      <c r="AO170" s="185"/>
      <c r="AP170" s="185"/>
      <c r="AQ170" s="185"/>
      <c r="AR170" s="185"/>
      <c r="AS170" s="185"/>
      <c r="AT170" s="185"/>
      <c r="AU170" s="185"/>
      <c r="AV170" s="185"/>
    </row>
    <row r="171" spans="1:48" outlineLevel="1">
      <c r="A171" s="11"/>
      <c r="B171" s="11"/>
      <c r="C171" s="11"/>
      <c r="D171" s="11"/>
      <c r="E171" s="11"/>
      <c r="F171" s="39">
        <f>Asset28</f>
        <v>0</v>
      </c>
      <c r="G171" s="173">
        <f t="shared" ref="G171:Q171" si="36">(G69-G103-G137)/G$179</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337"/>
      <c r="Y171" s="9"/>
      <c r="Z171" s="9"/>
      <c r="AA171" s="9"/>
      <c r="AB171" s="9"/>
      <c r="AC171" s="9"/>
      <c r="AD171" s="9"/>
      <c r="AE171" s="9"/>
      <c r="AF171" s="185"/>
      <c r="AG171" s="185"/>
      <c r="AH171" s="185"/>
      <c r="AI171" s="185"/>
      <c r="AJ171" s="185"/>
      <c r="AK171" s="185"/>
      <c r="AL171" s="185"/>
      <c r="AM171" s="185"/>
      <c r="AN171" s="185"/>
      <c r="AO171" s="185"/>
      <c r="AP171" s="185"/>
      <c r="AQ171" s="185"/>
      <c r="AR171" s="185"/>
      <c r="AS171" s="185"/>
      <c r="AT171" s="185"/>
      <c r="AU171" s="185"/>
      <c r="AV171" s="185"/>
    </row>
    <row r="172" spans="1:48" outlineLevel="1">
      <c r="A172" s="11"/>
      <c r="B172" s="11"/>
      <c r="C172" s="11"/>
      <c r="D172" s="11"/>
      <c r="E172" s="11"/>
      <c r="F172" s="39">
        <f>Asset29</f>
        <v>0</v>
      </c>
      <c r="G172" s="173">
        <f t="shared" ref="G172:Q172" si="37">(G70-G104-G138)/G$179</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337"/>
      <c r="Y172" s="9"/>
      <c r="Z172" s="9"/>
      <c r="AA172" s="9"/>
      <c r="AB172" s="9"/>
      <c r="AC172" s="9"/>
      <c r="AD172" s="9"/>
      <c r="AE172" s="9"/>
      <c r="AF172" s="185"/>
      <c r="AG172" s="185"/>
      <c r="AH172" s="185"/>
      <c r="AI172" s="185"/>
      <c r="AJ172" s="185"/>
      <c r="AK172" s="185"/>
      <c r="AL172" s="185"/>
      <c r="AM172" s="185"/>
      <c r="AN172" s="185"/>
      <c r="AO172" s="185"/>
      <c r="AP172" s="185"/>
      <c r="AQ172" s="185"/>
      <c r="AR172" s="185"/>
      <c r="AS172" s="185"/>
      <c r="AT172" s="185"/>
      <c r="AU172" s="185"/>
      <c r="AV172" s="185"/>
    </row>
    <row r="173" spans="1:48">
      <c r="A173" s="11"/>
      <c r="B173" s="11"/>
      <c r="C173" s="11"/>
      <c r="D173" s="11"/>
      <c r="E173" s="11"/>
      <c r="F173" s="39">
        <f>Asset30</f>
        <v>0</v>
      </c>
      <c r="G173" s="173">
        <f t="shared" ref="G173:Q173" si="38">(G71-G105-G139)/G$179</f>
        <v>0</v>
      </c>
      <c r="H173" s="90">
        <f t="shared" si="38"/>
        <v>0</v>
      </c>
      <c r="I173" s="90">
        <f t="shared" si="38"/>
        <v>0</v>
      </c>
      <c r="J173" s="90">
        <f t="shared" si="38"/>
        <v>0</v>
      </c>
      <c r="K173" s="90">
        <f t="shared" si="38"/>
        <v>0</v>
      </c>
      <c r="L173" s="90">
        <f t="shared" si="38"/>
        <v>0</v>
      </c>
      <c r="M173" s="90">
        <f t="shared" si="38"/>
        <v>0</v>
      </c>
      <c r="N173" s="90">
        <f t="shared" si="38"/>
        <v>0</v>
      </c>
      <c r="O173" s="90">
        <f t="shared" si="38"/>
        <v>0</v>
      </c>
      <c r="P173" s="90">
        <f t="shared" si="38"/>
        <v>0</v>
      </c>
      <c r="Q173" s="90">
        <f t="shared" si="38"/>
        <v>0</v>
      </c>
      <c r="R173" s="8"/>
      <c r="S173" s="8"/>
      <c r="T173" s="8"/>
      <c r="U173" s="8"/>
      <c r="V173" s="8"/>
      <c r="W173" s="42"/>
      <c r="X173" s="337"/>
      <c r="Y173" s="87"/>
      <c r="Z173" s="9"/>
      <c r="AA173" s="9"/>
      <c r="AB173" s="9"/>
      <c r="AC173" s="9"/>
      <c r="AD173" s="9"/>
      <c r="AE173" s="9"/>
      <c r="AF173" s="185"/>
      <c r="AG173" s="185"/>
      <c r="AH173" s="185"/>
      <c r="AI173" s="185"/>
      <c r="AJ173" s="185"/>
      <c r="AK173" s="185"/>
      <c r="AL173" s="185"/>
      <c r="AM173" s="185"/>
      <c r="AN173" s="185"/>
      <c r="AO173" s="185"/>
      <c r="AP173" s="185"/>
      <c r="AQ173" s="185"/>
      <c r="AR173" s="185"/>
      <c r="AS173" s="185"/>
      <c r="AT173" s="185"/>
      <c r="AU173" s="185"/>
      <c r="AV173" s="185"/>
    </row>
    <row r="174" spans="1:48" ht="21" customHeight="1">
      <c r="A174" s="11"/>
      <c r="B174" s="11"/>
      <c r="C174" s="11"/>
      <c r="D174" s="11"/>
      <c r="E174" s="11"/>
      <c r="F174" s="39" t="s">
        <v>22</v>
      </c>
      <c r="G174" s="236">
        <f t="shared" ref="G174:Q174" si="39">SUM(G144:G173)</f>
        <v>1132.362988010301</v>
      </c>
      <c r="H174" s="236">
        <f t="shared" si="39"/>
        <v>1034.9300434006655</v>
      </c>
      <c r="I174" s="236">
        <f t="shared" si="39"/>
        <v>1168.5380924163007</v>
      </c>
      <c r="J174" s="236">
        <f t="shared" si="39"/>
        <v>1208.1499260588566</v>
      </c>
      <c r="K174" s="236">
        <f t="shared" si="39"/>
        <v>888.45554876332949</v>
      </c>
      <c r="L174" s="236">
        <f t="shared" si="39"/>
        <v>502.0702802231084</v>
      </c>
      <c r="M174" s="236">
        <f t="shared" si="39"/>
        <v>0</v>
      </c>
      <c r="N174" s="236">
        <f t="shared" si="39"/>
        <v>0</v>
      </c>
      <c r="O174" s="236">
        <f t="shared" si="39"/>
        <v>0</v>
      </c>
      <c r="P174" s="236">
        <f t="shared" si="39"/>
        <v>0</v>
      </c>
      <c r="Q174" s="236">
        <f t="shared" si="39"/>
        <v>0</v>
      </c>
      <c r="R174" s="37"/>
      <c r="S174" s="37"/>
      <c r="T174" s="37"/>
      <c r="U174" s="37"/>
      <c r="V174" s="37"/>
      <c r="W174" s="37"/>
      <c r="X174" s="337"/>
      <c r="Y174" s="37"/>
      <c r="Z174" s="401"/>
      <c r="AA174" s="401"/>
      <c r="AB174" s="401"/>
      <c r="AC174" s="401"/>
      <c r="AD174" s="401"/>
      <c r="AE174" s="401"/>
      <c r="AF174" s="185"/>
      <c r="AG174" s="185"/>
      <c r="AH174" s="185"/>
      <c r="AI174" s="185"/>
      <c r="AJ174" s="185"/>
      <c r="AK174" s="185"/>
      <c r="AL174" s="185"/>
      <c r="AM174" s="185"/>
      <c r="AN174" s="185"/>
      <c r="AO174" s="185"/>
      <c r="AP174" s="185"/>
      <c r="AQ174" s="185"/>
      <c r="AR174" s="185"/>
      <c r="AS174" s="185"/>
      <c r="AT174" s="185"/>
      <c r="AU174" s="185"/>
      <c r="AV174" s="185"/>
    </row>
    <row r="175" spans="1:48" ht="14.25" customHeight="1">
      <c r="A175" s="11"/>
      <c r="B175" s="11"/>
      <c r="C175" s="11"/>
      <c r="D175" s="11"/>
      <c r="E175" s="11"/>
      <c r="F175" s="39"/>
      <c r="G175" s="59">
        <f>G174*G179</f>
        <v>1132.362988010301</v>
      </c>
      <c r="H175" s="59">
        <f t="shared" ref="H175:L175" si="40">H174*H179</f>
        <v>1079.9768559893298</v>
      </c>
      <c r="I175" s="59">
        <f t="shared" si="40"/>
        <v>1241.5948424170031</v>
      </c>
      <c r="J175" s="59">
        <f t="shared" si="40"/>
        <v>1320.2068834299378</v>
      </c>
      <c r="K175" s="59">
        <f t="shared" si="40"/>
        <v>1003.7663354024446</v>
      </c>
      <c r="L175" s="59">
        <f t="shared" si="40"/>
        <v>577.23200089696365</v>
      </c>
      <c r="M175" s="59"/>
      <c r="N175" s="37"/>
      <c r="O175" s="37"/>
      <c r="P175" s="37"/>
      <c r="Q175" s="37"/>
      <c r="R175" s="235">
        <f>SUM(G174:Q174)</f>
        <v>5934.5068788725621</v>
      </c>
      <c r="S175" s="37"/>
      <c r="T175" s="37"/>
      <c r="U175" s="37"/>
      <c r="V175" s="37"/>
      <c r="W175" s="37"/>
      <c r="X175" s="337"/>
      <c r="Y175" s="9"/>
      <c r="Z175" s="8"/>
      <c r="AA175" s="8"/>
      <c r="AB175" s="42"/>
      <c r="AC175" s="9"/>
      <c r="AD175" s="9"/>
      <c r="AE175" s="9"/>
      <c r="AF175" s="185"/>
      <c r="AG175" s="185"/>
      <c r="AH175" s="185"/>
      <c r="AI175" s="185"/>
      <c r="AJ175" s="185"/>
      <c r="AK175" s="185"/>
      <c r="AL175" s="185"/>
      <c r="AM175" s="185"/>
      <c r="AN175" s="185"/>
      <c r="AO175" s="185"/>
      <c r="AP175" s="185"/>
      <c r="AQ175" s="185"/>
      <c r="AR175" s="185"/>
      <c r="AS175" s="185"/>
      <c r="AT175" s="185"/>
      <c r="AU175" s="185"/>
      <c r="AV175" s="185"/>
    </row>
    <row r="176" spans="1:48" ht="14.25" customHeight="1">
      <c r="A176" s="76"/>
      <c r="B176" s="76"/>
      <c r="C176" s="76"/>
      <c r="D176" s="76"/>
      <c r="E176" s="76"/>
      <c r="F176" s="96" t="s">
        <v>27</v>
      </c>
      <c r="G176" s="96"/>
      <c r="H176" s="96"/>
      <c r="I176" s="96"/>
      <c r="J176" s="77"/>
      <c r="K176" s="78"/>
      <c r="L176" s="78"/>
      <c r="M176" s="78"/>
      <c r="N176" s="78"/>
      <c r="O176" s="78"/>
      <c r="P176" s="78"/>
      <c r="Q176" s="78"/>
      <c r="R176" s="78"/>
      <c r="S176" s="78"/>
      <c r="T176" s="78"/>
      <c r="U176" s="78"/>
      <c r="V176" s="78"/>
      <c r="W176" s="78"/>
      <c r="X176" s="337"/>
      <c r="Y176" s="9"/>
      <c r="Z176" s="9"/>
      <c r="AA176" s="9"/>
      <c r="AB176" s="43"/>
      <c r="AC176" s="9"/>
      <c r="AD176" s="9"/>
      <c r="AE176" s="9"/>
      <c r="AF176" s="185"/>
      <c r="AJ176" s="185"/>
      <c r="AK176" s="185"/>
      <c r="AL176" s="185"/>
      <c r="AM176" s="185"/>
      <c r="AN176" s="185"/>
      <c r="AO176" s="185"/>
      <c r="AP176" s="185"/>
      <c r="AQ176" s="185"/>
      <c r="AR176" s="185"/>
      <c r="AS176" s="185"/>
      <c r="AT176" s="185"/>
      <c r="AU176" s="185"/>
      <c r="AV176" s="185"/>
    </row>
    <row r="177" spans="1:48" ht="12.75" customHeight="1">
      <c r="A177" s="11"/>
      <c r="B177" s="11"/>
      <c r="C177" s="11"/>
      <c r="D177" s="11"/>
      <c r="E177" s="11"/>
      <c r="F177" s="14"/>
      <c r="G177" s="143" t="str">
        <f>G41</f>
        <v>2008-09</v>
      </c>
      <c r="H177" s="143" t="str">
        <f t="shared" ref="H177:Q177" si="41">H41</f>
        <v>2009-10</v>
      </c>
      <c r="I177" s="143" t="str">
        <f t="shared" si="41"/>
        <v>2010-11</v>
      </c>
      <c r="J177" s="143" t="str">
        <f t="shared" si="41"/>
        <v>2011-12</v>
      </c>
      <c r="K177" s="143" t="str">
        <f t="shared" si="41"/>
        <v>2012-13</v>
      </c>
      <c r="L177" s="143" t="str">
        <f t="shared" si="41"/>
        <v>2013-14</v>
      </c>
      <c r="M177" s="143" t="str">
        <f t="shared" si="41"/>
        <v>2014-15</v>
      </c>
      <c r="N177" s="143" t="str">
        <f t="shared" si="41"/>
        <v>2015-16</v>
      </c>
      <c r="O177" s="143" t="str">
        <f t="shared" si="41"/>
        <v>2016-17</v>
      </c>
      <c r="P177" s="143" t="str">
        <f t="shared" si="41"/>
        <v>2017-18</v>
      </c>
      <c r="Q177" s="143" t="str">
        <f t="shared" si="41"/>
        <v>2018-19</v>
      </c>
      <c r="R177" s="12"/>
      <c r="S177" s="12"/>
      <c r="T177" s="12"/>
      <c r="U177" s="12"/>
      <c r="V177" s="12"/>
      <c r="W177" s="12"/>
      <c r="X177" s="337"/>
      <c r="Y177" s="13"/>
      <c r="Z177" s="9"/>
      <c r="AA177" s="9"/>
      <c r="AB177" s="9"/>
      <c r="AC177" s="9"/>
      <c r="AD177" s="9"/>
      <c r="AE177" s="9"/>
      <c r="AF177" s="185"/>
      <c r="AJ177" s="185"/>
      <c r="AK177" s="185"/>
      <c r="AL177" s="185"/>
      <c r="AM177" s="185"/>
      <c r="AN177" s="185"/>
      <c r="AO177" s="185"/>
      <c r="AP177" s="185"/>
      <c r="AQ177" s="185"/>
      <c r="AR177" s="185"/>
      <c r="AS177" s="185"/>
      <c r="AT177" s="185"/>
      <c r="AU177" s="185"/>
      <c r="AV177" s="185"/>
    </row>
    <row r="178" spans="1:48" ht="13.5" customHeight="1">
      <c r="A178" s="11"/>
      <c r="B178" s="11"/>
      <c r="C178" s="11"/>
      <c r="D178" s="11"/>
      <c r="E178" s="11"/>
      <c r="F178" s="94" t="s">
        <v>37</v>
      </c>
      <c r="G178" s="316">
        <v>4.3526432415321059E-2</v>
      </c>
      <c r="H178" s="318">
        <v>1.8201122402548231E-2</v>
      </c>
      <c r="I178" s="336">
        <v>2.845225681513508E-2</v>
      </c>
      <c r="J178" s="336">
        <v>3.3893395133255844E-2</v>
      </c>
      <c r="K178" s="336">
        <v>1.76278015613196E-2</v>
      </c>
      <c r="L178" s="336">
        <v>2.4498886414253906E-2</v>
      </c>
      <c r="M178" s="281"/>
      <c r="N178" s="281"/>
      <c r="O178" s="281"/>
      <c r="P178" s="281"/>
      <c r="Q178" s="281"/>
      <c r="R178" s="13"/>
      <c r="S178" s="13"/>
      <c r="T178" s="13"/>
      <c r="U178" s="13"/>
      <c r="V178" s="13"/>
      <c r="W178" s="13"/>
      <c r="X178" s="337"/>
      <c r="Y178" s="13"/>
      <c r="Z178" s="13"/>
      <c r="AA178" s="8"/>
      <c r="AB178" s="9"/>
      <c r="AC178" s="9"/>
      <c r="AD178" s="9"/>
      <c r="AE178" s="9"/>
      <c r="AF178" s="185"/>
      <c r="AJ178" s="185"/>
      <c r="AK178" s="185"/>
      <c r="AL178" s="185"/>
      <c r="AM178" s="185"/>
      <c r="AN178" s="185"/>
      <c r="AO178" s="185"/>
      <c r="AP178" s="185"/>
      <c r="AQ178" s="185"/>
      <c r="AR178" s="185"/>
      <c r="AS178" s="185"/>
      <c r="AT178" s="185"/>
      <c r="AU178" s="185"/>
      <c r="AV178" s="185"/>
    </row>
    <row r="179" spans="1:48" ht="13.5" customHeight="1">
      <c r="A179" s="11"/>
      <c r="B179" s="11"/>
      <c r="C179" s="11"/>
      <c r="D179" s="11"/>
      <c r="E179" s="11"/>
      <c r="F179" s="94" t="s">
        <v>73</v>
      </c>
      <c r="G179" s="233">
        <v>1</v>
      </c>
      <c r="H179" s="91">
        <f>G179*(1+G178)</f>
        <v>1.0435264324153211</v>
      </c>
      <c r="I179" s="91">
        <f t="shared" ref="I179:Q179" si="42">H179*(1+H178)</f>
        <v>1.0625197847420067</v>
      </c>
      <c r="J179" s="91">
        <f t="shared" si="42"/>
        <v>1.0927508705286484</v>
      </c>
      <c r="K179" s="91">
        <f t="shared" si="42"/>
        <v>1.1297879075656851</v>
      </c>
      <c r="L179" s="91">
        <f>K179*(1+K178)</f>
        <v>1.1497035846066315</v>
      </c>
      <c r="M179" s="91">
        <f t="shared" si="42"/>
        <v>1.1778700421359698</v>
      </c>
      <c r="N179" s="91">
        <f t="shared" si="42"/>
        <v>1.1778700421359698</v>
      </c>
      <c r="O179" s="91">
        <f t="shared" si="42"/>
        <v>1.1778700421359698</v>
      </c>
      <c r="P179" s="91">
        <f t="shared" si="42"/>
        <v>1.1778700421359698</v>
      </c>
      <c r="Q179" s="91">
        <f t="shared" si="42"/>
        <v>1.1778700421359698</v>
      </c>
      <c r="R179" s="13"/>
      <c r="S179" s="13"/>
      <c r="T179" s="13"/>
      <c r="U179" s="13"/>
      <c r="V179" s="13"/>
      <c r="W179" s="13"/>
      <c r="X179" s="337"/>
      <c r="Y179" s="13"/>
      <c r="Z179" s="13"/>
      <c r="AA179" s="8"/>
      <c r="AB179" s="9"/>
      <c r="AC179" s="9"/>
      <c r="AD179" s="9"/>
      <c r="AE179" s="9"/>
      <c r="AF179" s="185"/>
      <c r="AJ179" s="185"/>
      <c r="AK179" s="185"/>
      <c r="AL179" s="185"/>
      <c r="AM179" s="185"/>
      <c r="AN179" s="185"/>
      <c r="AO179" s="185"/>
      <c r="AP179" s="185"/>
      <c r="AQ179" s="185"/>
      <c r="AR179" s="185"/>
      <c r="AS179" s="185"/>
      <c r="AT179" s="185"/>
      <c r="AU179" s="185"/>
      <c r="AV179" s="185"/>
    </row>
    <row r="180" spans="1:48" ht="12.75" customHeight="1">
      <c r="A180" s="11"/>
      <c r="B180" s="11"/>
      <c r="C180" s="11"/>
      <c r="D180" s="11"/>
      <c r="E180" s="11"/>
      <c r="F180" s="94" t="s">
        <v>40</v>
      </c>
      <c r="G180" s="317">
        <v>2.5000000000000001E-2</v>
      </c>
      <c r="H180" s="318">
        <v>2.4748502983200193E-2</v>
      </c>
      <c r="I180" s="48">
        <f>H180</f>
        <v>2.4748502983200193E-2</v>
      </c>
      <c r="J180" s="48">
        <f t="shared" ref="J180:Q180" si="43">I180</f>
        <v>2.4748502983200193E-2</v>
      </c>
      <c r="K180" s="48">
        <f t="shared" si="43"/>
        <v>2.4748502983200193E-2</v>
      </c>
      <c r="L180" s="48">
        <f t="shared" si="43"/>
        <v>2.4748502983200193E-2</v>
      </c>
      <c r="M180" s="48">
        <f t="shared" si="43"/>
        <v>2.4748502983200193E-2</v>
      </c>
      <c r="N180" s="48">
        <f t="shared" si="43"/>
        <v>2.4748502983200193E-2</v>
      </c>
      <c r="O180" s="48">
        <f t="shared" si="43"/>
        <v>2.4748502983200193E-2</v>
      </c>
      <c r="P180" s="48">
        <f t="shared" si="43"/>
        <v>2.4748502983200193E-2</v>
      </c>
      <c r="Q180" s="48">
        <f t="shared" si="43"/>
        <v>2.4748502983200193E-2</v>
      </c>
      <c r="R180" s="13"/>
      <c r="S180" s="13"/>
      <c r="T180" s="13"/>
      <c r="U180" s="13"/>
      <c r="V180" s="13"/>
      <c r="W180" s="13"/>
      <c r="X180" s="337"/>
      <c r="Y180" s="13"/>
      <c r="Z180" s="13"/>
      <c r="AA180" s="8"/>
      <c r="AB180" s="9"/>
      <c r="AC180" s="9"/>
      <c r="AD180" s="9"/>
      <c r="AE180" s="9"/>
      <c r="AF180" s="185"/>
      <c r="AJ180" s="185"/>
      <c r="AK180" s="185"/>
      <c r="AL180" s="185"/>
      <c r="AM180" s="185"/>
      <c r="AN180" s="185"/>
      <c r="AO180" s="185"/>
      <c r="AP180" s="185"/>
      <c r="AQ180" s="185"/>
      <c r="AR180" s="185"/>
      <c r="AS180" s="185"/>
      <c r="AT180" s="185"/>
      <c r="AU180" s="185"/>
      <c r="AV180" s="185"/>
    </row>
    <row r="181" spans="1:48" ht="14.25" customHeight="1">
      <c r="A181" s="11"/>
      <c r="B181" s="11"/>
      <c r="C181" s="11"/>
      <c r="D181" s="11"/>
      <c r="E181" s="11"/>
      <c r="F181" s="94" t="s">
        <v>39</v>
      </c>
      <c r="G181" s="233">
        <v>1</v>
      </c>
      <c r="H181" s="91">
        <f>G181*(1+H180)</f>
        <v>1.0247485029832002</v>
      </c>
      <c r="I181" s="91">
        <f t="shared" ref="I181:Q181" si="44">H181*(1+I180)</f>
        <v>1.0501094943663098</v>
      </c>
      <c r="J181" s="91">
        <f t="shared" si="44"/>
        <v>1.0760981323203214</v>
      </c>
      <c r="K181" s="91">
        <f t="shared" si="44"/>
        <v>1.102729950158267</v>
      </c>
      <c r="L181" s="91">
        <f t="shared" si="44"/>
        <v>1.1300208656194231</v>
      </c>
      <c r="M181" s="91">
        <f t="shared" si="44"/>
        <v>1.1579871903832839</v>
      </c>
      <c r="N181" s="91">
        <f t="shared" si="44"/>
        <v>1.1866456398189922</v>
      </c>
      <c r="O181" s="91">
        <f t="shared" si="44"/>
        <v>1.216013342976054</v>
      </c>
      <c r="P181" s="91">
        <f t="shared" si="44"/>
        <v>1.2461078528223082</v>
      </c>
      <c r="Q181" s="91">
        <f t="shared" si="44"/>
        <v>1.2769471567352704</v>
      </c>
      <c r="R181" s="13"/>
      <c r="S181" s="13"/>
      <c r="T181" s="13"/>
      <c r="U181" s="13"/>
      <c r="V181" s="13"/>
      <c r="W181" s="13"/>
      <c r="X181" s="337"/>
      <c r="Y181" s="13"/>
      <c r="Z181" s="13"/>
      <c r="AA181" s="8"/>
      <c r="AB181" s="9"/>
      <c r="AC181" s="9"/>
      <c r="AD181" s="9"/>
      <c r="AE181" s="9"/>
      <c r="AF181" s="185"/>
      <c r="AJ181" s="185"/>
      <c r="AK181" s="185"/>
      <c r="AL181" s="185"/>
      <c r="AM181" s="185"/>
      <c r="AN181" s="185"/>
      <c r="AO181" s="185"/>
      <c r="AP181" s="185"/>
      <c r="AQ181" s="185"/>
      <c r="AR181" s="185"/>
      <c r="AS181" s="185"/>
      <c r="AT181" s="185"/>
      <c r="AU181" s="185"/>
      <c r="AV181" s="185"/>
    </row>
    <row r="182" spans="1:48" ht="14.25" customHeight="1">
      <c r="A182" s="11"/>
      <c r="B182" s="11"/>
      <c r="C182" s="11"/>
      <c r="D182" s="11"/>
      <c r="E182" s="11"/>
      <c r="F182" s="11"/>
      <c r="G182" s="92"/>
      <c r="H182" s="92"/>
      <c r="I182" s="92"/>
      <c r="J182" s="92"/>
      <c r="K182" s="92"/>
      <c r="L182" s="92"/>
      <c r="M182" s="9"/>
      <c r="N182" s="13"/>
      <c r="O182" s="13"/>
      <c r="P182" s="13"/>
      <c r="Q182" s="13"/>
      <c r="R182" s="13"/>
      <c r="S182" s="13"/>
      <c r="T182" s="13"/>
      <c r="U182" s="13"/>
      <c r="V182" s="13"/>
      <c r="W182" s="13"/>
      <c r="X182" s="337"/>
      <c r="Y182" s="13"/>
      <c r="Z182" s="13"/>
      <c r="AA182" s="8"/>
      <c r="AB182" s="9"/>
      <c r="AC182" s="9"/>
      <c r="AD182" s="9"/>
      <c r="AE182" s="9"/>
      <c r="AF182" s="185"/>
      <c r="AJ182" s="185"/>
      <c r="AK182" s="185"/>
      <c r="AL182" s="185"/>
      <c r="AM182" s="185"/>
      <c r="AN182" s="185"/>
      <c r="AO182" s="185"/>
      <c r="AP182" s="185"/>
      <c r="AQ182" s="185"/>
      <c r="AR182" s="185"/>
      <c r="AS182" s="185"/>
      <c r="AT182" s="185"/>
      <c r="AU182" s="185"/>
      <c r="AV182" s="185"/>
    </row>
    <row r="183" spans="1:48">
      <c r="A183" s="11"/>
      <c r="B183" s="11"/>
      <c r="C183" s="11"/>
      <c r="D183" s="11"/>
      <c r="E183" s="11"/>
      <c r="F183" s="95" t="s">
        <v>86</v>
      </c>
      <c r="G183" s="316">
        <v>9.6749999999999892E-2</v>
      </c>
      <c r="H183" s="319">
        <v>0.1002139557020811</v>
      </c>
      <c r="I183" s="93">
        <f>H183</f>
        <v>0.1002139557020811</v>
      </c>
      <c r="J183" s="93">
        <f t="shared" ref="J183:Q183" si="45">I183</f>
        <v>0.1002139557020811</v>
      </c>
      <c r="K183" s="93">
        <f t="shared" si="45"/>
        <v>0.1002139557020811</v>
      </c>
      <c r="L183" s="93">
        <f t="shared" si="45"/>
        <v>0.1002139557020811</v>
      </c>
      <c r="M183" s="93">
        <f t="shared" si="45"/>
        <v>0.1002139557020811</v>
      </c>
      <c r="N183" s="93">
        <f t="shared" si="45"/>
        <v>0.1002139557020811</v>
      </c>
      <c r="O183" s="93">
        <f t="shared" si="45"/>
        <v>0.1002139557020811</v>
      </c>
      <c r="P183" s="93">
        <f t="shared" si="45"/>
        <v>0.1002139557020811</v>
      </c>
      <c r="Q183" s="93">
        <f t="shared" si="45"/>
        <v>0.1002139557020811</v>
      </c>
      <c r="R183" s="13"/>
      <c r="S183" s="13"/>
      <c r="T183" s="13"/>
      <c r="U183" s="13"/>
      <c r="V183" s="13"/>
      <c r="W183" s="13"/>
      <c r="X183" s="337"/>
      <c r="Y183" s="9"/>
      <c r="Z183" s="13"/>
      <c r="AA183" s="8"/>
      <c r="AB183" s="9"/>
      <c r="AC183" s="9"/>
      <c r="AD183" s="9"/>
      <c r="AE183" s="9"/>
      <c r="AF183" s="185"/>
      <c r="AJ183" s="185"/>
      <c r="AK183" s="185"/>
      <c r="AL183" s="185"/>
      <c r="AM183" s="185"/>
      <c r="AN183" s="185"/>
      <c r="AO183" s="185"/>
      <c r="AP183" s="185"/>
      <c r="AQ183" s="185"/>
      <c r="AR183" s="185"/>
      <c r="AS183" s="185"/>
      <c r="AT183" s="185"/>
      <c r="AU183" s="185"/>
      <c r="AV183" s="185"/>
    </row>
    <row r="184" spans="1:48" ht="24" customHeight="1">
      <c r="A184" s="11"/>
      <c r="B184" s="11"/>
      <c r="C184" s="11"/>
      <c r="D184" s="11"/>
      <c r="E184" s="11"/>
      <c r="F184" s="94" t="s">
        <v>87</v>
      </c>
      <c r="G184" s="189">
        <f>(1+G183)/(1+G180)-1</f>
        <v>7.0000000000000062E-2</v>
      </c>
      <c r="H184" s="40">
        <f>(1+H183)/(1+H180)-1</f>
        <v>7.3642901159835183E-2</v>
      </c>
      <c r="I184" s="40">
        <f>H184</f>
        <v>7.3642901159835183E-2</v>
      </c>
      <c r="J184" s="40">
        <f t="shared" ref="J184:Q184" si="46">I184</f>
        <v>7.3642901159835183E-2</v>
      </c>
      <c r="K184" s="40">
        <f t="shared" si="46"/>
        <v>7.3642901159835183E-2</v>
      </c>
      <c r="L184" s="40">
        <f t="shared" si="46"/>
        <v>7.3642901159835183E-2</v>
      </c>
      <c r="M184" s="40">
        <f>L184</f>
        <v>7.3642901159835183E-2</v>
      </c>
      <c r="N184" s="40">
        <f t="shared" si="46"/>
        <v>7.3642901159835183E-2</v>
      </c>
      <c r="O184" s="40">
        <f t="shared" si="46"/>
        <v>7.3642901159835183E-2</v>
      </c>
      <c r="P184" s="40">
        <f t="shared" si="46"/>
        <v>7.3642901159835183E-2</v>
      </c>
      <c r="Q184" s="40">
        <f t="shared" si="46"/>
        <v>7.3642901159835183E-2</v>
      </c>
      <c r="R184" s="9"/>
      <c r="S184" s="9"/>
      <c r="T184" s="9"/>
      <c r="U184" s="9"/>
      <c r="V184" s="9"/>
      <c r="W184" s="9"/>
      <c r="X184" s="337"/>
      <c r="Y184" s="9"/>
      <c r="Z184" s="9"/>
      <c r="AA184" s="18"/>
      <c r="AB184" s="9"/>
      <c r="AC184" s="9"/>
      <c r="AD184" s="9"/>
      <c r="AE184" s="9"/>
      <c r="AF184" s="185"/>
      <c r="AJ184" s="185"/>
      <c r="AK184" s="185"/>
      <c r="AL184" s="185"/>
      <c r="AM184" s="185"/>
      <c r="AN184" s="185"/>
      <c r="AO184" s="185"/>
      <c r="AP184" s="185"/>
      <c r="AQ184" s="185"/>
      <c r="AR184" s="185"/>
      <c r="AS184" s="185"/>
      <c r="AT184" s="185"/>
      <c r="AU184" s="185"/>
      <c r="AV184" s="185"/>
    </row>
    <row r="185" spans="1:48" ht="25.5">
      <c r="A185" s="11"/>
      <c r="B185" s="11"/>
      <c r="C185" s="11"/>
      <c r="D185" s="11"/>
      <c r="E185" s="11"/>
      <c r="F185" s="158" t="s">
        <v>88</v>
      </c>
      <c r="G185" s="189">
        <f t="shared" ref="G185:L185" si="47">(1+G184)*(1+G178)-1</f>
        <v>0.11657328268439371</v>
      </c>
      <c r="H185" s="40">
        <f t="shared" si="47"/>
        <v>9.3184407020472371E-2</v>
      </c>
      <c r="I185" s="40">
        <f t="shared" si="47"/>
        <v>0.1041904647113816</v>
      </c>
      <c r="J185" s="40">
        <f t="shared" si="47"/>
        <v>0.11003230424086063</v>
      </c>
      <c r="K185" s="40">
        <f t="shared" si="47"/>
        <v>9.2568865169200265E-2</v>
      </c>
      <c r="L185" s="40">
        <f t="shared" si="47"/>
        <v>9.9945956644819978E-2</v>
      </c>
      <c r="M185" s="40">
        <f>IF(M178=0, 0, (1+M184)*(1+M178)-1)</f>
        <v>0</v>
      </c>
      <c r="N185" s="40">
        <f>IF(N178=0, 0, (1+N184)*(1+N178)-1)</f>
        <v>0</v>
      </c>
      <c r="O185" s="40">
        <f>IF(O178=0, 0, (1+O184)*(1+O178)-1)</f>
        <v>0</v>
      </c>
      <c r="P185" s="40">
        <f>IF(P178=0, 0, (1+P184)*(1+P178)-1)</f>
        <v>0</v>
      </c>
      <c r="Q185" s="40">
        <f>IF(Q178=0, 0, (1+Q184)*(1+Q178)-1)</f>
        <v>0</v>
      </c>
      <c r="R185" s="9"/>
      <c r="S185" s="9"/>
      <c r="T185" s="9"/>
      <c r="U185" s="9"/>
      <c r="V185" s="9"/>
      <c r="W185" s="9"/>
      <c r="X185" s="9"/>
      <c r="Y185" s="9"/>
      <c r="Z185" s="9"/>
      <c r="AA185" s="18"/>
      <c r="AB185" s="9"/>
      <c r="AC185" s="9"/>
      <c r="AD185" s="9"/>
      <c r="AE185" s="9"/>
      <c r="AF185" s="185"/>
      <c r="AJ185" s="185"/>
      <c r="AK185" s="185"/>
      <c r="AL185" s="185"/>
      <c r="AM185" s="185"/>
      <c r="AN185" s="185"/>
      <c r="AO185" s="185"/>
      <c r="AP185" s="185"/>
      <c r="AQ185" s="185"/>
      <c r="AR185" s="185"/>
      <c r="AS185" s="185"/>
      <c r="AT185" s="185"/>
      <c r="AU185" s="185"/>
      <c r="AV185" s="185"/>
    </row>
    <row r="186" spans="1:48" s="9" customFormat="1" ht="22.5" customHeight="1">
      <c r="A186" s="11"/>
      <c r="B186" s="11"/>
      <c r="C186" s="11"/>
      <c r="D186" s="11"/>
      <c r="E186" s="11"/>
      <c r="F186" s="94"/>
      <c r="G186" s="94"/>
      <c r="H186" s="142"/>
      <c r="I186" s="142"/>
      <c r="J186" s="142"/>
      <c r="K186" s="142"/>
      <c r="L186" s="142"/>
      <c r="M186" s="142"/>
      <c r="N186" s="11"/>
      <c r="O186" s="11"/>
      <c r="P186" s="11"/>
      <c r="Q186" s="11"/>
      <c r="R186" s="11"/>
      <c r="S186" s="11"/>
      <c r="T186" s="11"/>
      <c r="U186" s="11"/>
      <c r="AB186" s="18"/>
      <c r="AF186" s="185"/>
      <c r="AJ186" s="185"/>
      <c r="AK186" s="185"/>
      <c r="AL186" s="185"/>
      <c r="AM186" s="185"/>
      <c r="AN186" s="185"/>
      <c r="AO186" s="185"/>
      <c r="AP186" s="185"/>
      <c r="AQ186" s="185"/>
      <c r="AR186" s="185"/>
      <c r="AS186" s="185"/>
      <c r="AT186" s="185"/>
      <c r="AU186" s="185"/>
      <c r="AV186" s="185"/>
    </row>
    <row r="187" spans="1:48">
      <c r="A187" s="11"/>
      <c r="B187" s="11"/>
      <c r="C187" s="11"/>
      <c r="D187" s="11"/>
      <c r="E187" s="11"/>
      <c r="F187" s="9"/>
      <c r="G187" s="9"/>
      <c r="H187" s="17"/>
      <c r="I187" s="19"/>
      <c r="J187" s="9"/>
      <c r="K187" s="9"/>
      <c r="L187" s="9"/>
      <c r="M187" s="9"/>
      <c r="N187" s="9"/>
      <c r="O187" s="9"/>
      <c r="P187" s="9"/>
      <c r="Q187" s="9"/>
      <c r="R187" s="9"/>
      <c r="S187" s="9"/>
      <c r="T187" s="9"/>
      <c r="U187" s="9"/>
      <c r="V187" s="9"/>
      <c r="W187" s="9"/>
      <c r="Z187" s="9"/>
      <c r="AA187" s="9"/>
      <c r="AB187" s="18"/>
      <c r="AC187" s="9"/>
      <c r="AD187" s="9"/>
      <c r="AE187" s="9"/>
    </row>
    <row r="188" spans="1:48">
      <c r="J188" s="267"/>
    </row>
    <row r="189" spans="1:48">
      <c r="G189" s="267"/>
    </row>
    <row r="193" spans="7:12">
      <c r="G193" s="427"/>
      <c r="H193" s="427"/>
      <c r="I193" s="427"/>
      <c r="J193" s="427"/>
      <c r="K193" s="427"/>
      <c r="L193" s="427"/>
    </row>
    <row r="197" spans="7:12">
      <c r="G197" s="427"/>
      <c r="H197" s="427"/>
    </row>
    <row r="201" spans="7:12">
      <c r="G201" s="427"/>
      <c r="H201" s="427"/>
    </row>
  </sheetData>
  <mergeCells count="35">
    <mergeCell ref="G2:H2"/>
    <mergeCell ref="G6:I6"/>
    <mergeCell ref="G25:I25"/>
    <mergeCell ref="G12:I12"/>
    <mergeCell ref="G11:I11"/>
    <mergeCell ref="G7:I7"/>
    <mergeCell ref="G8:I8"/>
    <mergeCell ref="G9:I9"/>
    <mergeCell ref="G10:I10"/>
    <mergeCell ref="G13:I13"/>
    <mergeCell ref="G14:I14"/>
    <mergeCell ref="G15:I15"/>
    <mergeCell ref="G16:I16"/>
    <mergeCell ref="G22:I22"/>
    <mergeCell ref="G17:I17"/>
    <mergeCell ref="G18:I18"/>
    <mergeCell ref="G19:I19"/>
    <mergeCell ref="G20:I20"/>
    <mergeCell ref="G21:I21"/>
    <mergeCell ref="AC5:AC6"/>
    <mergeCell ref="G29:I29"/>
    <mergeCell ref="Q6:R6"/>
    <mergeCell ref="G28:I28"/>
    <mergeCell ref="G30:I30"/>
    <mergeCell ref="G31:I31"/>
    <mergeCell ref="G23:I23"/>
    <mergeCell ref="G24:I24"/>
    <mergeCell ref="G26:I26"/>
    <mergeCell ref="G27:I27"/>
    <mergeCell ref="G36:I36"/>
    <mergeCell ref="G37:I37"/>
    <mergeCell ref="G32:I32"/>
    <mergeCell ref="G33:I33"/>
    <mergeCell ref="G34:I34"/>
    <mergeCell ref="G35:I35"/>
  </mergeCells>
  <phoneticPr fontId="0" type="noConversion"/>
  <dataValidations count="1">
    <dataValidation type="custom" showInputMessage="1" showErrorMessage="1" error="Invalid input, please try again." sqref="U21:U26 T7:U20 T21:T27 K28:L28 K7:L26 T28:U28">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80:L180 M180:Q180"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799"/>
  <sheetViews>
    <sheetView zoomScale="85" zoomScaleNormal="85" workbookViewId="0"/>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2" width="10.28515625" bestFit="1" customWidth="1"/>
    <col min="13" max="13" width="10" bestFit="1" customWidth="1"/>
    <col min="14" max="61" width="9.5703125" bestFit="1" customWidth="1"/>
  </cols>
  <sheetData>
    <row r="1" spans="1:256">
      <c r="A1" s="9"/>
      <c r="B1" s="9"/>
      <c r="C1" s="9"/>
      <c r="D1" s="9"/>
      <c r="E1" s="9"/>
      <c r="F1" s="50"/>
      <c r="G1" s="50"/>
      <c r="H1" s="248"/>
      <c r="I1" s="50"/>
      <c r="J1" s="50"/>
      <c r="K1" s="50"/>
      <c r="L1" s="50"/>
      <c r="M1" s="50"/>
      <c r="N1" s="50"/>
      <c r="O1" s="50"/>
      <c r="P1" s="50"/>
      <c r="Q1" s="50"/>
      <c r="R1" s="50"/>
      <c r="S1" s="50"/>
      <c r="T1" s="50"/>
      <c r="U1" s="50"/>
      <c r="V1" s="50"/>
      <c r="W1" s="50"/>
      <c r="X1" s="50"/>
      <c r="Y1" s="50"/>
      <c r="Z1" s="50"/>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14"/>
      <c r="BK1" s="214"/>
    </row>
    <row r="2" spans="1:256" ht="15.75">
      <c r="A2" s="9"/>
      <c r="B2" s="55" t="s">
        <v>75</v>
      </c>
      <c r="C2" s="9"/>
      <c r="D2" s="9"/>
      <c r="E2" s="9"/>
      <c r="F2" s="9"/>
      <c r="G2" s="9"/>
      <c r="H2" s="9"/>
      <c r="I2" s="9"/>
      <c r="J2" s="9"/>
      <c r="K2" s="9"/>
      <c r="L2" s="9"/>
      <c r="M2" s="9"/>
      <c r="N2" s="9"/>
      <c r="O2" s="9"/>
      <c r="P2" s="9"/>
      <c r="Q2" s="9"/>
      <c r="R2" s="11"/>
      <c r="S2" s="11"/>
      <c r="T2" s="11"/>
      <c r="U2" s="11"/>
      <c r="V2" s="11"/>
      <c r="W2" s="11"/>
      <c r="X2" s="11"/>
      <c r="Y2" s="11"/>
      <c r="Z2" s="11"/>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19"/>
      <c r="BK3" s="219"/>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4" t="str">
        <f>CONCATENATE(LEFT(G4, 4)-1 &amp;"-" &amp;IF(G4&gt;"2009-10",,"0") &amp;RIGHT(G4,2)-1)</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50"/>
      <c r="T4" s="16"/>
      <c r="U4" s="16"/>
      <c r="V4" s="16"/>
      <c r="W4" s="16"/>
      <c r="X4" s="16"/>
      <c r="Y4" s="16"/>
      <c r="Z4" s="1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14"/>
      <c r="BK4" s="21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14"/>
      <c r="BK5" s="21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364">
        <v>2.3323615160349753E-2</v>
      </c>
      <c r="G6" s="189">
        <f>Input!G178</f>
        <v>4.3526432415321059E-2</v>
      </c>
      <c r="H6" s="19"/>
      <c r="I6" s="19"/>
      <c r="J6" s="19"/>
      <c r="K6" s="19"/>
      <c r="L6" s="19"/>
      <c r="M6" s="19"/>
      <c r="N6" s="19"/>
      <c r="O6" s="19"/>
      <c r="P6" s="19"/>
      <c r="Q6" s="19"/>
      <c r="R6" s="40"/>
      <c r="S6" s="50"/>
      <c r="T6" s="40"/>
      <c r="U6" s="40"/>
      <c r="V6" s="40"/>
      <c r="W6" s="40"/>
      <c r="X6" s="40"/>
      <c r="Y6" s="40"/>
      <c r="Z6" s="40"/>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14"/>
      <c r="BK6" s="214"/>
    </row>
    <row r="7" spans="1:256">
      <c r="A7" s="9"/>
      <c r="B7" s="94" t="s">
        <v>82</v>
      </c>
      <c r="C7" s="9"/>
      <c r="D7" s="9"/>
      <c r="E7" s="9"/>
      <c r="F7" s="9"/>
      <c r="G7" s="189"/>
      <c r="H7" s="229">
        <f>vanilla1</f>
        <v>9.3184407020472371E-2</v>
      </c>
      <c r="I7" s="93">
        <f>vanilla2</f>
        <v>0.1041904647113816</v>
      </c>
      <c r="J7" s="93">
        <f>vanilla3</f>
        <v>0.11003230424086063</v>
      </c>
      <c r="K7" s="93">
        <f>vanilla4</f>
        <v>9.2568865169200265E-2</v>
      </c>
      <c r="L7" s="93">
        <f>vanilla5</f>
        <v>9.9945956644819978E-2</v>
      </c>
      <c r="M7" s="93">
        <f>vanilla6</f>
        <v>0</v>
      </c>
      <c r="N7" s="93">
        <f>vanilla7</f>
        <v>0</v>
      </c>
      <c r="O7" s="93">
        <f>vanilla8</f>
        <v>0</v>
      </c>
      <c r="P7" s="93">
        <f>vanilla9</f>
        <v>0</v>
      </c>
      <c r="Q7" s="93">
        <f>vanilla10</f>
        <v>0</v>
      </c>
      <c r="R7" s="93"/>
      <c r="S7" s="50"/>
      <c r="T7" s="137"/>
      <c r="U7" s="137"/>
      <c r="V7" s="137"/>
      <c r="W7" s="137"/>
      <c r="X7" s="137"/>
      <c r="Y7" s="137"/>
      <c r="Z7" s="137"/>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14"/>
      <c r="BK7" s="214"/>
    </row>
    <row r="8" spans="1:256">
      <c r="A8" s="9"/>
      <c r="B8" s="94"/>
      <c r="C8" s="9"/>
      <c r="D8" s="9"/>
      <c r="E8" s="9"/>
      <c r="F8" s="9"/>
      <c r="G8" s="142"/>
      <c r="H8" s="142"/>
      <c r="I8" s="142"/>
      <c r="J8" s="142"/>
      <c r="K8" s="142"/>
      <c r="L8" s="142"/>
      <c r="M8" s="136"/>
      <c r="N8" s="136"/>
      <c r="O8" s="136"/>
      <c r="P8" s="136"/>
      <c r="Q8" s="136"/>
      <c r="R8" s="137"/>
      <c r="S8" s="11"/>
      <c r="T8" s="137"/>
      <c r="U8" s="137"/>
      <c r="V8" s="137"/>
      <c r="W8" s="137"/>
      <c r="X8" s="137"/>
      <c r="Y8" s="137"/>
      <c r="Z8" s="137"/>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14"/>
      <c r="BK8" s="214"/>
    </row>
    <row r="9" spans="1:256">
      <c r="A9" s="79"/>
      <c r="B9" s="79" t="s">
        <v>42</v>
      </c>
      <c r="C9" s="107"/>
      <c r="D9" s="107"/>
      <c r="E9" s="107"/>
      <c r="F9" s="107"/>
      <c r="G9" s="107"/>
      <c r="H9" s="72"/>
      <c r="I9" s="72"/>
      <c r="J9" s="72"/>
      <c r="K9" s="72"/>
      <c r="L9" s="72"/>
      <c r="M9" s="72"/>
      <c r="N9" s="72"/>
      <c r="O9" s="72"/>
      <c r="P9" s="72"/>
      <c r="Q9" s="72"/>
      <c r="R9" s="72"/>
      <c r="S9" s="50"/>
      <c r="T9" s="137"/>
      <c r="U9" s="137"/>
      <c r="V9" s="137"/>
      <c r="W9" s="137"/>
      <c r="X9" s="137"/>
      <c r="Y9" s="137"/>
      <c r="Z9" s="137"/>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14"/>
      <c r="BK9" s="214"/>
    </row>
    <row r="10" spans="1:256">
      <c r="A10" s="16"/>
      <c r="B10" s="16"/>
      <c r="C10" s="121"/>
      <c r="D10" s="121"/>
      <c r="E10" s="121"/>
      <c r="F10" s="121"/>
      <c r="G10" s="121"/>
      <c r="H10" s="11"/>
      <c r="I10" s="11"/>
      <c r="J10" s="11"/>
      <c r="K10" s="11"/>
      <c r="L10" s="11"/>
      <c r="M10" s="11"/>
      <c r="N10" s="11"/>
      <c r="O10" s="11"/>
      <c r="P10" s="11"/>
      <c r="Q10" s="11"/>
      <c r="R10" s="137"/>
      <c r="S10" s="50"/>
      <c r="T10" s="137"/>
      <c r="U10" s="137"/>
      <c r="V10" s="137"/>
      <c r="W10" s="137"/>
      <c r="X10" s="137"/>
      <c r="Y10" s="137"/>
      <c r="Z10" s="137"/>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14"/>
      <c r="BK10" s="214"/>
    </row>
    <row r="11" spans="1:256">
      <c r="A11" s="9"/>
      <c r="B11" s="44" t="s">
        <v>78</v>
      </c>
      <c r="C11" s="9"/>
      <c r="D11" s="9"/>
      <c r="E11" s="9"/>
      <c r="F11" s="9"/>
      <c r="G11" s="190">
        <f>SUM(G12:G41)</f>
        <v>934.27028086116718</v>
      </c>
      <c r="H11" s="142"/>
      <c r="I11" s="142"/>
      <c r="J11" s="142"/>
      <c r="K11" s="142"/>
      <c r="L11" s="142"/>
      <c r="M11" s="136"/>
      <c r="N11" s="136"/>
      <c r="O11" s="136"/>
      <c r="P11" s="136"/>
      <c r="Q11" s="136"/>
      <c r="R11" s="137"/>
      <c r="S11" s="11"/>
      <c r="T11" s="137"/>
      <c r="U11" s="137"/>
      <c r="V11" s="137"/>
      <c r="W11" s="137"/>
      <c r="X11" s="137"/>
      <c r="Y11" s="137"/>
      <c r="Z11" s="137"/>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14"/>
      <c r="BK11" s="214"/>
    </row>
    <row r="12" spans="1:256" ht="12.75" hidden="1" customHeight="1" outlineLevel="1">
      <c r="A12" s="9"/>
      <c r="B12" s="9"/>
      <c r="C12" s="128" t="str">
        <f>Asset1</f>
        <v>Sub-transmission lines and cables</v>
      </c>
      <c r="D12" s="9"/>
      <c r="E12" s="9"/>
      <c r="F12" s="9"/>
      <c r="G12" s="191">
        <f>Input!M7</f>
        <v>0</v>
      </c>
      <c r="H12" s="142"/>
      <c r="I12" s="142"/>
      <c r="J12" s="142"/>
      <c r="K12" s="142"/>
      <c r="L12" s="142"/>
      <c r="M12" s="136"/>
      <c r="N12" s="136"/>
      <c r="O12" s="136"/>
      <c r="P12" s="136"/>
      <c r="Q12" s="136"/>
      <c r="R12" s="137"/>
      <c r="S12" s="50"/>
      <c r="T12" s="137"/>
      <c r="U12" s="137"/>
      <c r="V12" s="137"/>
      <c r="W12" s="137"/>
      <c r="X12" s="137"/>
      <c r="Y12" s="137"/>
      <c r="Z12" s="137"/>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14"/>
      <c r="BK12" s="214"/>
    </row>
    <row r="13" spans="1:256" ht="12.75" hidden="1" customHeight="1" outlineLevel="1">
      <c r="A13" s="9"/>
      <c r="B13" s="44"/>
      <c r="C13" s="128" t="str">
        <f>Asset2</f>
        <v>Cable tunnel (dx)</v>
      </c>
      <c r="D13" s="9"/>
      <c r="E13" s="9"/>
      <c r="F13" s="139"/>
      <c r="G13" s="191">
        <f>Input!M8</f>
        <v>29.58704874813581</v>
      </c>
      <c r="H13" s="142"/>
      <c r="I13" s="142"/>
      <c r="J13" s="142"/>
      <c r="K13" s="142"/>
      <c r="L13" s="142"/>
      <c r="M13" s="136"/>
      <c r="N13" s="136"/>
      <c r="O13" s="136"/>
      <c r="P13" s="136"/>
      <c r="Q13" s="136"/>
      <c r="R13" s="137"/>
      <c r="S13" s="50"/>
      <c r="T13" s="137"/>
      <c r="U13" s="137"/>
      <c r="V13" s="137"/>
      <c r="W13" s="137"/>
      <c r="X13" s="137"/>
      <c r="Y13" s="137"/>
      <c r="Z13" s="137"/>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14"/>
      <c r="BK13" s="214"/>
    </row>
    <row r="14" spans="1:256" ht="12.75" hidden="1" customHeight="1" outlineLevel="1">
      <c r="A14" s="9"/>
      <c r="B14" s="44"/>
      <c r="C14" s="128" t="str">
        <f>Asset3</f>
        <v>Distribution lines and cables</v>
      </c>
      <c r="D14" s="9"/>
      <c r="E14" s="9"/>
      <c r="F14" s="139"/>
      <c r="G14" s="191">
        <f>Input!M9</f>
        <v>189.88115007143207</v>
      </c>
      <c r="H14" s="142"/>
      <c r="I14" s="142"/>
      <c r="J14" s="142"/>
      <c r="K14" s="142"/>
      <c r="L14" s="142"/>
      <c r="M14" s="136"/>
      <c r="N14" s="136"/>
      <c r="O14" s="136"/>
      <c r="P14" s="136"/>
      <c r="Q14" s="136"/>
      <c r="R14" s="137"/>
      <c r="S14" s="11"/>
      <c r="T14" s="137"/>
      <c r="U14" s="137"/>
      <c r="V14" s="137"/>
      <c r="W14" s="137"/>
      <c r="X14" s="137"/>
      <c r="Y14" s="137"/>
      <c r="Z14" s="137"/>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14"/>
      <c r="BK14" s="214"/>
    </row>
    <row r="15" spans="1:256" ht="12.75" hidden="1" customHeight="1" outlineLevel="1">
      <c r="A15" s="9"/>
      <c r="B15" s="44"/>
      <c r="C15" s="128" t="str">
        <f>Asset4</f>
        <v>Substations</v>
      </c>
      <c r="D15" s="9"/>
      <c r="E15" s="9"/>
      <c r="F15" s="139"/>
      <c r="G15" s="191">
        <f>Input!M10</f>
        <v>329.36725338549758</v>
      </c>
      <c r="H15" s="142"/>
      <c r="I15" s="142"/>
      <c r="J15" s="142"/>
      <c r="K15" s="142"/>
      <c r="L15" s="142"/>
      <c r="M15" s="136"/>
      <c r="N15" s="136"/>
      <c r="O15" s="136"/>
      <c r="P15" s="136"/>
      <c r="Q15" s="136"/>
      <c r="R15" s="137"/>
      <c r="S15" s="50"/>
      <c r="T15" s="137"/>
      <c r="U15" s="137"/>
      <c r="V15" s="137"/>
      <c r="W15" s="137"/>
      <c r="X15" s="137"/>
      <c r="Y15" s="137"/>
      <c r="Z15" s="137"/>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14"/>
      <c r="BK15" s="214"/>
    </row>
    <row r="16" spans="1:256" ht="12.75" hidden="1" customHeight="1" outlineLevel="1">
      <c r="A16" s="9"/>
      <c r="B16" s="44"/>
      <c r="C16" s="128" t="str">
        <f>Asset5</f>
        <v>Transformers</v>
      </c>
      <c r="D16" s="9"/>
      <c r="E16" s="9"/>
      <c r="F16" s="168"/>
      <c r="G16" s="191">
        <f>Input!M11</f>
        <v>62.449806464815232</v>
      </c>
      <c r="H16" s="142"/>
      <c r="I16" s="142"/>
      <c r="J16" s="142"/>
      <c r="K16" s="142"/>
      <c r="L16" s="142"/>
      <c r="M16" s="136"/>
      <c r="N16" s="136"/>
      <c r="O16" s="136"/>
      <c r="P16" s="136"/>
      <c r="Q16" s="136"/>
      <c r="R16" s="137"/>
      <c r="S16" s="50"/>
      <c r="T16" s="137"/>
      <c r="U16" s="137"/>
      <c r="V16" s="137"/>
      <c r="W16" s="137"/>
      <c r="X16" s="137"/>
      <c r="Y16" s="137"/>
      <c r="Z16" s="137"/>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14"/>
      <c r="BK16" s="214"/>
    </row>
    <row r="17" spans="1:63" ht="12.75" hidden="1" customHeight="1" outlineLevel="1">
      <c r="A17" s="9"/>
      <c r="B17" s="44"/>
      <c r="C17" s="128" t="str">
        <f>Asset6</f>
        <v>Low Voltage Lines and Cables</v>
      </c>
      <c r="D17" s="9"/>
      <c r="E17" s="9"/>
      <c r="F17" s="139"/>
      <c r="G17" s="191">
        <f>Input!M12</f>
        <v>42.267212497336871</v>
      </c>
      <c r="H17" s="142"/>
      <c r="I17" s="142"/>
      <c r="J17" s="142"/>
      <c r="K17" s="142"/>
      <c r="L17" s="142"/>
      <c r="M17" s="136"/>
      <c r="N17" s="136"/>
      <c r="O17" s="136"/>
      <c r="P17" s="136"/>
      <c r="Q17" s="136"/>
      <c r="R17" s="137"/>
      <c r="S17" s="11"/>
      <c r="T17" s="137"/>
      <c r="U17" s="137"/>
      <c r="V17" s="137"/>
      <c r="W17" s="137"/>
      <c r="X17" s="137"/>
      <c r="Y17" s="137"/>
      <c r="Z17" s="137"/>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14"/>
      <c r="BK17" s="214"/>
    </row>
    <row r="18" spans="1:63" ht="12.75" hidden="1" customHeight="1" outlineLevel="1">
      <c r="A18" s="9"/>
      <c r="B18" s="44"/>
      <c r="C18" s="128" t="str">
        <f>Asset7</f>
        <v>Customer Metering and Load Control</v>
      </c>
      <c r="D18" s="9"/>
      <c r="E18" s="9"/>
      <c r="F18" s="139"/>
      <c r="G18" s="191">
        <f>Input!M13</f>
        <v>45.225917372150448</v>
      </c>
      <c r="H18" s="142"/>
      <c r="I18" s="142"/>
      <c r="J18" s="142"/>
      <c r="K18" s="142"/>
      <c r="L18" s="142"/>
      <c r="M18" s="136"/>
      <c r="N18" s="136"/>
      <c r="O18" s="136"/>
      <c r="P18" s="136"/>
      <c r="Q18" s="136"/>
      <c r="R18" s="137"/>
      <c r="S18" s="50"/>
      <c r="T18" s="137"/>
      <c r="U18" s="137"/>
      <c r="V18" s="137"/>
      <c r="W18" s="137"/>
      <c r="X18" s="137"/>
      <c r="Y18" s="137"/>
      <c r="Z18" s="137"/>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14"/>
      <c r="BK18" s="214"/>
    </row>
    <row r="19" spans="1:63" ht="12.75" hidden="1" customHeight="1" outlineLevel="1">
      <c r="A19" s="9"/>
      <c r="B19" s="44"/>
      <c r="C19" s="128" t="str">
        <f>Asset8</f>
        <v>Customer Metering (digital)</v>
      </c>
      <c r="D19" s="9"/>
      <c r="E19" s="9"/>
      <c r="F19" s="139"/>
      <c r="G19" s="191">
        <f>Input!M14</f>
        <v>0</v>
      </c>
      <c r="H19" s="142"/>
      <c r="I19" s="142"/>
      <c r="J19" s="142"/>
      <c r="K19" s="142"/>
      <c r="L19" s="142"/>
      <c r="M19" s="136"/>
      <c r="N19" s="136"/>
      <c r="O19" s="136"/>
      <c r="P19" s="136"/>
      <c r="Q19" s="136"/>
      <c r="R19" s="137"/>
      <c r="S19" s="50"/>
      <c r="T19" s="137"/>
      <c r="U19" s="137"/>
      <c r="V19" s="137"/>
      <c r="W19" s="137"/>
      <c r="X19" s="137"/>
      <c r="Y19" s="137"/>
      <c r="Z19" s="137"/>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14"/>
      <c r="BK19" s="214"/>
    </row>
    <row r="20" spans="1:63" ht="12.75" hidden="1" customHeight="1" outlineLevel="1">
      <c r="A20" s="9"/>
      <c r="B20" s="44"/>
      <c r="C20" s="128" t="str">
        <f>Asset9</f>
        <v>Communications (digital) - dx</v>
      </c>
      <c r="D20" s="9"/>
      <c r="E20" s="9"/>
      <c r="F20" s="139"/>
      <c r="G20" s="191">
        <f>Input!M15</f>
        <v>0</v>
      </c>
      <c r="H20" s="142"/>
      <c r="I20" s="142"/>
      <c r="J20" s="142"/>
      <c r="K20" s="142"/>
      <c r="L20" s="142"/>
      <c r="M20" s="136"/>
      <c r="N20" s="136"/>
      <c r="O20" s="136"/>
      <c r="P20" s="136"/>
      <c r="Q20" s="136"/>
      <c r="R20" s="137"/>
      <c r="S20" s="11"/>
      <c r="T20" s="137"/>
      <c r="U20" s="137"/>
      <c r="V20" s="137"/>
      <c r="W20" s="137"/>
      <c r="X20" s="137"/>
      <c r="Y20" s="137"/>
      <c r="Z20" s="137"/>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14"/>
      <c r="BK20" s="214"/>
    </row>
    <row r="21" spans="1:63" ht="12.75" hidden="1" customHeight="1" outlineLevel="1">
      <c r="A21" s="9"/>
      <c r="B21" s="44"/>
      <c r="C21" s="128" t="str">
        <f>Asset10</f>
        <v>Total Communications</v>
      </c>
      <c r="D21" s="9"/>
      <c r="E21" s="9"/>
      <c r="F21" s="139"/>
      <c r="G21" s="191">
        <f>Input!M16</f>
        <v>23.035630811048595</v>
      </c>
      <c r="H21" s="142"/>
      <c r="I21" s="142"/>
      <c r="J21" s="142"/>
      <c r="K21" s="142"/>
      <c r="L21" s="142"/>
      <c r="M21" s="136"/>
      <c r="N21" s="136"/>
      <c r="O21" s="136"/>
      <c r="P21" s="136"/>
      <c r="Q21" s="136"/>
      <c r="R21" s="137"/>
      <c r="S21" s="50"/>
      <c r="T21" s="137"/>
      <c r="U21" s="137"/>
      <c r="V21" s="137"/>
      <c r="W21" s="137"/>
      <c r="X21" s="137"/>
      <c r="Y21" s="137"/>
      <c r="Z21" s="137"/>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14"/>
      <c r="BK21" s="214"/>
    </row>
    <row r="22" spans="1:63" ht="12.75" hidden="1" customHeight="1" outlineLevel="1">
      <c r="A22" s="9"/>
      <c r="B22" s="44"/>
      <c r="C22" s="128" t="str">
        <f>Asset11</f>
        <v>System IT (dx)</v>
      </c>
      <c r="D22" s="9"/>
      <c r="E22" s="9"/>
      <c r="F22" s="139"/>
      <c r="G22" s="191">
        <f>Input!M17</f>
        <v>0</v>
      </c>
      <c r="H22" s="142"/>
      <c r="I22" s="142"/>
      <c r="J22" s="142"/>
      <c r="K22" s="142"/>
      <c r="L22" s="142"/>
      <c r="M22" s="136"/>
      <c r="N22" s="136"/>
      <c r="O22" s="136"/>
      <c r="P22" s="136"/>
      <c r="Q22" s="136"/>
      <c r="R22" s="137"/>
      <c r="S22" s="50"/>
      <c r="T22" s="137"/>
      <c r="U22" s="137"/>
      <c r="V22" s="137"/>
      <c r="W22" s="137"/>
      <c r="X22" s="137"/>
      <c r="Y22" s="137"/>
      <c r="Z22" s="137"/>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14"/>
      <c r="BK22" s="214"/>
    </row>
    <row r="23" spans="1:63" ht="12.75" hidden="1" customHeight="1" outlineLevel="1">
      <c r="A23" s="9"/>
      <c r="B23" s="44"/>
      <c r="C23" s="128" t="str">
        <f>Asset12</f>
        <v>Ancillary substation equipment (dx)</v>
      </c>
      <c r="D23" s="9"/>
      <c r="E23" s="9"/>
      <c r="F23" s="139"/>
      <c r="G23" s="191">
        <f>Input!M18</f>
        <v>0</v>
      </c>
      <c r="H23" s="142"/>
      <c r="I23" s="142"/>
      <c r="J23" s="142"/>
      <c r="K23" s="142"/>
      <c r="L23" s="142"/>
      <c r="M23" s="136"/>
      <c r="N23" s="136"/>
      <c r="O23" s="136"/>
      <c r="P23" s="136"/>
      <c r="Q23" s="136"/>
      <c r="R23" s="137"/>
      <c r="S23" s="11"/>
      <c r="T23" s="137"/>
      <c r="U23" s="137"/>
      <c r="V23" s="137"/>
      <c r="W23" s="137"/>
      <c r="X23" s="137"/>
      <c r="Y23" s="137"/>
      <c r="Z23" s="137"/>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14"/>
      <c r="BK23" s="214"/>
    </row>
    <row r="24" spans="1:63" ht="12.75" hidden="1" customHeight="1" outlineLevel="1">
      <c r="A24" s="9"/>
      <c r="B24" s="44"/>
      <c r="C24" s="128" t="str">
        <f>Asset13</f>
        <v>Land and Easements</v>
      </c>
      <c r="D24" s="9"/>
      <c r="E24" s="9"/>
      <c r="F24" s="139"/>
      <c r="G24" s="191">
        <f>Input!M19</f>
        <v>41.421868247390137</v>
      </c>
      <c r="H24" s="142"/>
      <c r="I24" s="142"/>
      <c r="J24" s="142"/>
      <c r="K24" s="142"/>
      <c r="L24" s="142"/>
      <c r="M24" s="136"/>
      <c r="N24" s="136"/>
      <c r="O24" s="136"/>
      <c r="P24" s="136"/>
      <c r="Q24" s="136"/>
      <c r="R24" s="137"/>
      <c r="S24" s="50"/>
      <c r="T24" s="137"/>
      <c r="U24" s="137"/>
      <c r="V24" s="137"/>
      <c r="W24" s="137"/>
      <c r="X24" s="137"/>
      <c r="Y24" s="137"/>
      <c r="Z24" s="137"/>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14"/>
      <c r="BK24" s="214"/>
    </row>
    <row r="25" spans="1:63" ht="12.75" hidden="1" customHeight="1" outlineLevel="1">
      <c r="A25" s="9"/>
      <c r="B25" s="44"/>
      <c r="C25" s="128" t="str">
        <f>Asset14</f>
        <v>Emergency Spares (Major Plant, Excludes Inventory)</v>
      </c>
      <c r="D25" s="9"/>
      <c r="E25" s="9"/>
      <c r="F25" s="139"/>
      <c r="G25" s="191">
        <f>Input!M20</f>
        <v>0</v>
      </c>
      <c r="H25" s="142"/>
      <c r="I25" s="142"/>
      <c r="J25" s="142"/>
      <c r="K25" s="142"/>
      <c r="L25" s="142"/>
      <c r="M25" s="136"/>
      <c r="N25" s="136"/>
      <c r="O25" s="136"/>
      <c r="P25" s="136"/>
      <c r="Q25" s="136"/>
      <c r="R25" s="137"/>
      <c r="S25" s="50"/>
      <c r="T25" s="137"/>
      <c r="U25" s="137"/>
      <c r="V25" s="137"/>
      <c r="W25" s="137"/>
      <c r="X25" s="137"/>
      <c r="Y25" s="137"/>
      <c r="Z25" s="137"/>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14"/>
      <c r="BK25" s="214"/>
    </row>
    <row r="26" spans="1:63" ht="12.75" hidden="1" customHeight="1" outlineLevel="1">
      <c r="A26" s="9"/>
      <c r="B26" s="44"/>
      <c r="C26" s="128" t="str">
        <f>Asset15</f>
        <v>Furniture, fittings, plant and equipment</v>
      </c>
      <c r="D26" s="9"/>
      <c r="E26" s="9"/>
      <c r="F26" s="139"/>
      <c r="G26" s="191">
        <f>Input!M21</f>
        <v>5.3811924881171107</v>
      </c>
      <c r="H26" s="142"/>
      <c r="I26" s="142"/>
      <c r="J26" s="142"/>
      <c r="K26" s="142"/>
      <c r="L26" s="142"/>
      <c r="M26" s="136"/>
      <c r="N26" s="136"/>
      <c r="O26" s="136"/>
      <c r="P26" s="136"/>
      <c r="Q26" s="136"/>
      <c r="R26" s="137"/>
      <c r="S26" s="11"/>
      <c r="T26" s="137"/>
      <c r="U26" s="137"/>
      <c r="V26" s="137"/>
      <c r="W26" s="137"/>
      <c r="X26" s="137"/>
      <c r="Y26" s="137"/>
      <c r="Z26" s="137"/>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14"/>
      <c r="BK26" s="214"/>
    </row>
    <row r="27" spans="1:63" ht="12.75" hidden="1" customHeight="1" outlineLevel="1">
      <c r="A27" s="9"/>
      <c r="B27" s="44"/>
      <c r="C27" s="128" t="str">
        <f>Asset16</f>
        <v>Land (non-system)</v>
      </c>
      <c r="D27" s="9"/>
      <c r="E27" s="9"/>
      <c r="F27" s="139"/>
      <c r="G27" s="191">
        <f>Input!M22</f>
        <v>24.640226043635298</v>
      </c>
      <c r="H27" s="142"/>
      <c r="I27" s="142"/>
      <c r="J27" s="142"/>
      <c r="K27" s="142"/>
      <c r="L27" s="142"/>
      <c r="M27" s="136"/>
      <c r="N27" s="136"/>
      <c r="O27" s="136"/>
      <c r="P27" s="136"/>
      <c r="Q27" s="136"/>
      <c r="R27" s="137"/>
      <c r="S27" s="50"/>
      <c r="T27" s="137"/>
      <c r="U27" s="137"/>
      <c r="V27" s="137"/>
      <c r="W27" s="137"/>
      <c r="X27" s="137"/>
      <c r="Y27" s="137"/>
      <c r="Z27" s="137"/>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14"/>
      <c r="BK27" s="214"/>
    </row>
    <row r="28" spans="1:63" ht="12.75" hidden="1" customHeight="1" outlineLevel="1">
      <c r="A28" s="9"/>
      <c r="B28" s="44"/>
      <c r="C28" s="128" t="str">
        <f>Asset17</f>
        <v>Other non system assets</v>
      </c>
      <c r="D28" s="9"/>
      <c r="E28" s="9"/>
      <c r="F28" s="139"/>
      <c r="G28" s="191">
        <f>Input!M23</f>
        <v>0</v>
      </c>
      <c r="H28" s="142"/>
      <c r="I28" s="142"/>
      <c r="J28" s="142"/>
      <c r="K28" s="142"/>
      <c r="L28" s="142"/>
      <c r="M28" s="136"/>
      <c r="N28" s="136"/>
      <c r="O28" s="136"/>
      <c r="P28" s="136"/>
      <c r="Q28" s="136"/>
      <c r="R28" s="137"/>
      <c r="S28" s="50"/>
      <c r="T28" s="137"/>
      <c r="U28" s="137"/>
      <c r="V28" s="137"/>
      <c r="W28" s="137"/>
      <c r="X28" s="137"/>
      <c r="Y28" s="137"/>
      <c r="Z28" s="137"/>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14"/>
      <c r="BK28" s="214"/>
    </row>
    <row r="29" spans="1:63" ht="12.75" hidden="1" customHeight="1" outlineLevel="1">
      <c r="A29" s="9"/>
      <c r="B29" s="44"/>
      <c r="C29" s="128" t="str">
        <f>Asset18</f>
        <v>IT systems</v>
      </c>
      <c r="D29" s="9"/>
      <c r="E29" s="9"/>
      <c r="F29" s="139"/>
      <c r="G29" s="191">
        <f>Input!M24</f>
        <v>61.480877112247526</v>
      </c>
      <c r="H29" s="142"/>
      <c r="I29" s="142"/>
      <c r="J29" s="142"/>
      <c r="K29" s="142"/>
      <c r="L29" s="142"/>
      <c r="M29" s="136"/>
      <c r="N29" s="136"/>
      <c r="O29" s="136"/>
      <c r="P29" s="136"/>
      <c r="Q29" s="136"/>
      <c r="R29" s="137"/>
      <c r="S29" s="11"/>
      <c r="T29" s="137"/>
      <c r="U29" s="137"/>
      <c r="V29" s="137"/>
      <c r="W29" s="137"/>
      <c r="X29" s="137"/>
      <c r="Y29" s="137"/>
      <c r="Z29" s="137"/>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14"/>
      <c r="BK29" s="214"/>
    </row>
    <row r="30" spans="1:63" ht="12.75" hidden="1" customHeight="1" outlineLevel="1">
      <c r="A30" s="9"/>
      <c r="B30" s="44"/>
      <c r="C30" s="128" t="str">
        <f>Asset19</f>
        <v>Motor vehicles</v>
      </c>
      <c r="D30" s="9"/>
      <c r="E30" s="9"/>
      <c r="F30" s="139"/>
      <c r="G30" s="191">
        <f>Input!M25</f>
        <v>22.631020279422213</v>
      </c>
      <c r="H30" s="142"/>
      <c r="I30" s="142"/>
      <c r="J30" s="142"/>
      <c r="K30" s="142"/>
      <c r="L30" s="142"/>
      <c r="M30" s="136"/>
      <c r="N30" s="136"/>
      <c r="O30" s="136"/>
      <c r="P30" s="136"/>
      <c r="Q30" s="136"/>
      <c r="R30" s="137"/>
      <c r="S30" s="50"/>
      <c r="T30" s="137"/>
      <c r="U30" s="137"/>
      <c r="V30" s="137"/>
      <c r="W30" s="137"/>
      <c r="X30" s="137"/>
      <c r="Y30" s="137"/>
      <c r="Z30" s="137"/>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14"/>
      <c r="BK30" s="214"/>
    </row>
    <row r="31" spans="1:63" ht="12.75" hidden="1" customHeight="1" outlineLevel="1">
      <c r="A31" s="9"/>
      <c r="B31" s="44"/>
      <c r="C31" s="128" t="str">
        <f>Asset20</f>
        <v>Buildings</v>
      </c>
      <c r="D31" s="9"/>
      <c r="E31" s="9"/>
      <c r="F31" s="139"/>
      <c r="G31" s="191">
        <f>Input!M26</f>
        <v>56.901077339938503</v>
      </c>
      <c r="H31" s="142"/>
      <c r="I31" s="142"/>
      <c r="J31" s="142"/>
      <c r="K31" s="142"/>
      <c r="L31" s="142"/>
      <c r="M31" s="136"/>
      <c r="N31" s="136"/>
      <c r="O31" s="136"/>
      <c r="P31" s="136"/>
      <c r="Q31" s="136"/>
      <c r="R31" s="137"/>
      <c r="S31" s="50"/>
      <c r="T31" s="137"/>
      <c r="U31" s="137"/>
      <c r="V31" s="137"/>
      <c r="W31" s="137"/>
      <c r="X31" s="137"/>
      <c r="Y31" s="137"/>
      <c r="Z31" s="137"/>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14"/>
      <c r="BK31" s="214"/>
    </row>
    <row r="32" spans="1:63" ht="12.75" hidden="1" customHeight="1" outlineLevel="1">
      <c r="A32" s="9"/>
      <c r="B32" s="44"/>
      <c r="C32" s="128" t="str">
        <f>Asset21</f>
        <v>Equity raising costs</v>
      </c>
      <c r="D32" s="9"/>
      <c r="E32" s="9"/>
      <c r="F32" s="139"/>
      <c r="G32" s="191">
        <f>Input!M27</f>
        <v>0</v>
      </c>
      <c r="H32" s="142"/>
      <c r="I32" s="142"/>
      <c r="J32" s="142"/>
      <c r="K32" s="142"/>
      <c r="L32" s="142"/>
      <c r="M32" s="136"/>
      <c r="N32" s="136"/>
      <c r="O32" s="136"/>
      <c r="P32" s="136"/>
      <c r="Q32" s="136"/>
      <c r="R32" s="137"/>
      <c r="S32" s="50"/>
      <c r="T32" s="137"/>
      <c r="U32" s="137"/>
      <c r="V32" s="137"/>
      <c r="W32" s="137"/>
      <c r="X32" s="137"/>
      <c r="Y32" s="137"/>
      <c r="Z32" s="137"/>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14"/>
      <c r="BK32" s="214"/>
    </row>
    <row r="33" spans="1:63" ht="12.75" hidden="1" customHeight="1" outlineLevel="1">
      <c r="A33" s="9"/>
      <c r="B33" s="44"/>
      <c r="C33" s="128">
        <f>Asset22</f>
        <v>0</v>
      </c>
      <c r="D33" s="9"/>
      <c r="E33" s="9"/>
      <c r="F33" s="139"/>
      <c r="G33" s="191">
        <f>Input!M29</f>
        <v>0</v>
      </c>
      <c r="H33" s="142"/>
      <c r="I33" s="142"/>
      <c r="J33" s="142"/>
      <c r="K33" s="142"/>
      <c r="L33" s="142"/>
      <c r="M33" s="136"/>
      <c r="N33" s="136"/>
      <c r="O33" s="136"/>
      <c r="P33" s="136"/>
      <c r="Q33" s="136"/>
      <c r="R33" s="137"/>
      <c r="S33" s="50"/>
      <c r="T33" s="137"/>
      <c r="U33" s="137"/>
      <c r="V33" s="137"/>
      <c r="W33" s="137"/>
      <c r="X33" s="137"/>
      <c r="Y33" s="137"/>
      <c r="Z33" s="137"/>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14"/>
      <c r="BK33" s="214"/>
    </row>
    <row r="34" spans="1:63" ht="12.75" hidden="1" customHeight="1" outlineLevel="1">
      <c r="A34" s="9"/>
      <c r="B34" s="44"/>
      <c r="C34" s="128">
        <f>Asset23</f>
        <v>0</v>
      </c>
      <c r="D34" s="9"/>
      <c r="E34" s="9"/>
      <c r="F34" s="139"/>
      <c r="G34" s="191">
        <f>Input!M30</f>
        <v>0</v>
      </c>
      <c r="H34" s="142"/>
      <c r="I34" s="142"/>
      <c r="J34" s="142"/>
      <c r="K34" s="142"/>
      <c r="L34" s="142"/>
      <c r="M34" s="136"/>
      <c r="N34" s="136"/>
      <c r="O34" s="136"/>
      <c r="P34" s="136"/>
      <c r="Q34" s="136"/>
      <c r="R34" s="137"/>
      <c r="S34" s="50"/>
      <c r="T34" s="137"/>
      <c r="U34" s="137"/>
      <c r="V34" s="137"/>
      <c r="W34" s="137"/>
      <c r="X34" s="137"/>
      <c r="Y34" s="137"/>
      <c r="Z34" s="137"/>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14"/>
      <c r="BK34" s="214"/>
    </row>
    <row r="35" spans="1:63" ht="12.75" hidden="1" customHeight="1" outlineLevel="1">
      <c r="A35" s="9"/>
      <c r="B35" s="44"/>
      <c r="C35" s="128">
        <f>Asset24</f>
        <v>0</v>
      </c>
      <c r="D35" s="9"/>
      <c r="E35" s="9"/>
      <c r="F35" s="139"/>
      <c r="G35" s="191">
        <f>Input!M31</f>
        <v>0</v>
      </c>
      <c r="H35" s="142"/>
      <c r="I35" s="142"/>
      <c r="J35" s="142"/>
      <c r="K35" s="142"/>
      <c r="L35" s="142"/>
      <c r="M35" s="136"/>
      <c r="N35" s="136"/>
      <c r="O35" s="136"/>
      <c r="P35" s="136"/>
      <c r="Q35" s="136"/>
      <c r="R35" s="137"/>
      <c r="S35" s="50"/>
      <c r="T35" s="137"/>
      <c r="U35" s="137"/>
      <c r="V35" s="137"/>
      <c r="W35" s="137"/>
      <c r="X35" s="137"/>
      <c r="Y35" s="137"/>
      <c r="Z35" s="137"/>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14"/>
      <c r="BK35" s="214"/>
    </row>
    <row r="36" spans="1:63" ht="12.75" hidden="1" customHeight="1" outlineLevel="1">
      <c r="A36" s="9"/>
      <c r="B36" s="44"/>
      <c r="C36" s="128">
        <f>Asset25</f>
        <v>0</v>
      </c>
      <c r="D36" s="9"/>
      <c r="E36" s="9"/>
      <c r="F36" s="139"/>
      <c r="G36" s="191">
        <f>Input!M32</f>
        <v>0</v>
      </c>
      <c r="H36" s="142"/>
      <c r="I36" s="142"/>
      <c r="J36" s="142"/>
      <c r="K36" s="142"/>
      <c r="L36" s="142"/>
      <c r="M36" s="136"/>
      <c r="N36" s="136"/>
      <c r="O36" s="136"/>
      <c r="P36" s="136"/>
      <c r="Q36" s="136"/>
      <c r="R36" s="137"/>
      <c r="S36" s="50"/>
      <c r="T36" s="137"/>
      <c r="U36" s="137"/>
      <c r="V36" s="137"/>
      <c r="W36" s="137"/>
      <c r="X36" s="137"/>
      <c r="Y36" s="137"/>
      <c r="Z36" s="137"/>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14"/>
      <c r="BK36" s="214"/>
    </row>
    <row r="37" spans="1:63" ht="12.75" hidden="1" customHeight="1" outlineLevel="1">
      <c r="A37" s="9"/>
      <c r="B37" s="44"/>
      <c r="C37" s="128">
        <f>Asset26</f>
        <v>0</v>
      </c>
      <c r="D37" s="9"/>
      <c r="E37" s="9"/>
      <c r="F37" s="139"/>
      <c r="G37" s="191">
        <f>Input!M33</f>
        <v>0</v>
      </c>
      <c r="H37" s="142"/>
      <c r="I37" s="142"/>
      <c r="J37" s="142"/>
      <c r="K37" s="142"/>
      <c r="L37" s="142"/>
      <c r="M37" s="136"/>
      <c r="N37" s="136"/>
      <c r="O37" s="136"/>
      <c r="P37" s="136"/>
      <c r="Q37" s="136"/>
      <c r="R37" s="137"/>
      <c r="S37" s="50"/>
      <c r="T37" s="137"/>
      <c r="U37" s="137"/>
      <c r="V37" s="137"/>
      <c r="W37" s="137"/>
      <c r="X37" s="137"/>
      <c r="Y37" s="137"/>
      <c r="Z37" s="137"/>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14"/>
      <c r="BK37" s="214"/>
    </row>
    <row r="38" spans="1:63" ht="12.75" hidden="1" customHeight="1" outlineLevel="1">
      <c r="A38" s="9"/>
      <c r="B38" s="44"/>
      <c r="C38" s="128">
        <f>Asset27</f>
        <v>0</v>
      </c>
      <c r="D38" s="9"/>
      <c r="E38" s="9"/>
      <c r="F38" s="139"/>
      <c r="G38" s="191">
        <f>Input!M34</f>
        <v>0</v>
      </c>
      <c r="H38" s="142"/>
      <c r="I38" s="142"/>
      <c r="J38" s="142"/>
      <c r="K38" s="142"/>
      <c r="L38" s="142"/>
      <c r="M38" s="136"/>
      <c r="N38" s="136"/>
      <c r="O38" s="136"/>
      <c r="P38" s="136"/>
      <c r="Q38" s="136"/>
      <c r="R38" s="137"/>
      <c r="S38" s="50"/>
      <c r="T38" s="137"/>
      <c r="U38" s="137"/>
      <c r="V38" s="137"/>
      <c r="W38" s="137"/>
      <c r="X38" s="137"/>
      <c r="Y38" s="137"/>
      <c r="Z38" s="137"/>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14"/>
      <c r="BK38" s="214"/>
    </row>
    <row r="39" spans="1:63" ht="12.75" hidden="1" customHeight="1" outlineLevel="1">
      <c r="A39" s="9"/>
      <c r="B39" s="44"/>
      <c r="C39" s="128">
        <f>Asset28</f>
        <v>0</v>
      </c>
      <c r="D39" s="9"/>
      <c r="E39" s="9"/>
      <c r="F39" s="139"/>
      <c r="G39" s="191">
        <f>Input!M35</f>
        <v>0</v>
      </c>
      <c r="H39" s="142"/>
      <c r="I39" s="142"/>
      <c r="J39" s="142"/>
      <c r="K39" s="142"/>
      <c r="L39" s="142"/>
      <c r="M39" s="136"/>
      <c r="N39" s="136"/>
      <c r="O39" s="136"/>
      <c r="P39" s="136"/>
      <c r="Q39" s="136"/>
      <c r="R39" s="137"/>
      <c r="S39" s="50"/>
      <c r="T39" s="137"/>
      <c r="U39" s="137"/>
      <c r="V39" s="137"/>
      <c r="W39" s="137"/>
      <c r="X39" s="137"/>
      <c r="Y39" s="137"/>
      <c r="Z39" s="137"/>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14"/>
      <c r="BK39" s="214"/>
    </row>
    <row r="40" spans="1:63" ht="12.75" hidden="1" customHeight="1" outlineLevel="1">
      <c r="A40" s="9"/>
      <c r="B40" s="44"/>
      <c r="C40" s="128">
        <f>Asset29</f>
        <v>0</v>
      </c>
      <c r="D40" s="9"/>
      <c r="E40" s="9"/>
      <c r="F40" s="139"/>
      <c r="G40" s="191">
        <f>Input!M36</f>
        <v>0</v>
      </c>
      <c r="H40" s="142"/>
      <c r="I40" s="142"/>
      <c r="J40" s="142"/>
      <c r="K40" s="142"/>
      <c r="L40" s="142"/>
      <c r="M40" s="136"/>
      <c r="N40" s="136"/>
      <c r="O40" s="136"/>
      <c r="P40" s="136"/>
      <c r="Q40" s="136"/>
      <c r="R40" s="137"/>
      <c r="S40" s="50"/>
      <c r="T40" s="137"/>
      <c r="U40" s="137"/>
      <c r="V40" s="137"/>
      <c r="W40" s="137"/>
      <c r="X40" s="137"/>
      <c r="Y40" s="137"/>
      <c r="Z40" s="137"/>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14"/>
      <c r="BK40" s="214"/>
    </row>
    <row r="41" spans="1:63" ht="12.75" hidden="1" customHeight="1" outlineLevel="1">
      <c r="A41" s="9"/>
      <c r="B41" s="44"/>
      <c r="C41" s="128">
        <f>Asset30</f>
        <v>0</v>
      </c>
      <c r="D41" s="9"/>
      <c r="E41" s="9"/>
      <c r="F41" s="139"/>
      <c r="G41" s="191">
        <f>Input!M37</f>
        <v>0</v>
      </c>
      <c r="H41" s="142"/>
      <c r="I41" s="142"/>
      <c r="J41" s="142"/>
      <c r="K41" s="142"/>
      <c r="L41" s="142"/>
      <c r="M41" s="136"/>
      <c r="N41" s="136"/>
      <c r="O41" s="136"/>
      <c r="P41" s="136"/>
      <c r="Q41" s="136"/>
      <c r="R41" s="137"/>
      <c r="S41" s="50"/>
      <c r="T41" s="137"/>
      <c r="U41" s="137"/>
      <c r="V41" s="137"/>
      <c r="W41" s="137"/>
      <c r="X41" s="137"/>
      <c r="Y41" s="137"/>
      <c r="Z41" s="137"/>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14"/>
      <c r="BK41" s="214"/>
    </row>
    <row r="42" spans="1:63" collapsed="1">
      <c r="A42" s="9"/>
      <c r="B42" s="44"/>
      <c r="C42" s="128"/>
      <c r="D42" s="9"/>
      <c r="E42" s="9"/>
      <c r="F42" s="139"/>
      <c r="G42" s="191"/>
      <c r="H42" s="142"/>
      <c r="I42" s="142"/>
      <c r="J42" s="142"/>
      <c r="K42" s="142"/>
      <c r="L42" s="142"/>
      <c r="M42" s="136"/>
      <c r="N42" s="136"/>
      <c r="O42" s="136"/>
      <c r="P42" s="136"/>
      <c r="Q42" s="136"/>
      <c r="R42" s="137"/>
      <c r="S42" s="11"/>
      <c r="T42" s="137"/>
      <c r="U42" s="137"/>
      <c r="V42" s="137"/>
      <c r="W42" s="137"/>
      <c r="X42" s="137"/>
      <c r="Y42" s="137"/>
      <c r="Z42" s="137"/>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14"/>
      <c r="BK42" s="214"/>
    </row>
    <row r="43" spans="1:63">
      <c r="A43" s="9"/>
      <c r="B43" s="44" t="s">
        <v>36</v>
      </c>
      <c r="C43" s="9"/>
      <c r="D43" s="9"/>
      <c r="E43" s="9"/>
      <c r="F43" s="9"/>
      <c r="G43" s="190">
        <f>SUM(G44:G73)</f>
        <v>1196.5456759587676</v>
      </c>
      <c r="H43" s="138"/>
      <c r="I43" s="138"/>
      <c r="J43" s="138"/>
      <c r="K43" s="138"/>
      <c r="L43" s="138"/>
      <c r="M43" s="138"/>
      <c r="N43" s="136"/>
      <c r="O43" s="136"/>
      <c r="P43" s="136"/>
      <c r="Q43" s="136"/>
      <c r="R43" s="137"/>
      <c r="S43" s="137"/>
      <c r="T43" s="137"/>
      <c r="U43" s="137"/>
      <c r="V43" s="137"/>
      <c r="W43" s="137"/>
      <c r="X43" s="137"/>
      <c r="Y43" s="137"/>
      <c r="Z43" s="137"/>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14"/>
      <c r="BK43" s="214"/>
    </row>
    <row r="44" spans="1:63" hidden="1" outlineLevel="1">
      <c r="A44" s="9"/>
      <c r="B44" s="9"/>
      <c r="C44" s="128" t="str">
        <f>Asset1</f>
        <v>Sub-transmission lines and cables</v>
      </c>
      <c r="D44" s="9"/>
      <c r="E44" s="9"/>
      <c r="F44" s="9"/>
      <c r="G44" s="408">
        <f>Input!G144*(1+previous_vanilla)^0.5</f>
        <v>171.81093540011219</v>
      </c>
      <c r="H44" s="109"/>
      <c r="I44" s="109"/>
      <c r="J44" s="109"/>
      <c r="K44" s="109"/>
      <c r="L44" s="109"/>
      <c r="M44" s="109"/>
      <c r="N44" s="9"/>
      <c r="O44" s="9"/>
      <c r="P44" s="9"/>
      <c r="Q44" s="9"/>
      <c r="R44" s="9"/>
      <c r="S44" s="9"/>
      <c r="T44" s="9"/>
      <c r="U44" s="9"/>
      <c r="V44" s="9"/>
      <c r="W44" s="9"/>
      <c r="X44" s="9"/>
      <c r="Y44" s="9"/>
      <c r="Z44" s="9"/>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row>
    <row r="45" spans="1:63" hidden="1" outlineLevel="1">
      <c r="A45" s="9"/>
      <c r="B45" s="44"/>
      <c r="C45" s="128" t="str">
        <f>Asset2</f>
        <v>Cable tunnel (dx)</v>
      </c>
      <c r="D45" s="9"/>
      <c r="E45" s="9"/>
      <c r="F45" s="139"/>
      <c r="G45" s="191">
        <f>Input!G145*(1+previous_vanilla)^0.5</f>
        <v>0</v>
      </c>
      <c r="H45" s="109"/>
      <c r="I45" s="109"/>
      <c r="J45" s="109"/>
      <c r="K45" s="109"/>
      <c r="L45" s="109"/>
      <c r="M45" s="109"/>
      <c r="N45" s="28"/>
      <c r="O45" s="28"/>
      <c r="P45" s="28"/>
      <c r="Q45" s="28"/>
      <c r="R45" s="99"/>
      <c r="S45" s="99"/>
      <c r="T45" s="99"/>
      <c r="U45" s="99"/>
      <c r="V45" s="99"/>
      <c r="W45" s="99"/>
      <c r="X45" s="99"/>
      <c r="Y45" s="99"/>
      <c r="Z45" s="99"/>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14"/>
      <c r="BK45" s="214"/>
    </row>
    <row r="46" spans="1:63" hidden="1" outlineLevel="1">
      <c r="A46" s="9"/>
      <c r="B46" s="44"/>
      <c r="C46" s="128" t="str">
        <f>Asset3</f>
        <v>Distribution lines and cables</v>
      </c>
      <c r="D46" s="9"/>
      <c r="E46" s="9"/>
      <c r="F46" s="139"/>
      <c r="G46" s="191">
        <f>Input!G146*(1+previous_vanilla)^0.5</f>
        <v>185.67504295306966</v>
      </c>
      <c r="H46" s="109"/>
      <c r="I46" s="109"/>
      <c r="J46" s="109"/>
      <c r="K46" s="109"/>
      <c r="L46" s="109"/>
      <c r="M46" s="109"/>
      <c r="N46" s="28"/>
      <c r="O46" s="28"/>
      <c r="P46" s="28"/>
      <c r="Q46" s="28"/>
      <c r="R46" s="99"/>
      <c r="S46" s="99"/>
      <c r="T46" s="99"/>
      <c r="U46" s="99"/>
      <c r="V46" s="99"/>
      <c r="W46" s="99"/>
      <c r="X46" s="99"/>
      <c r="Y46" s="99"/>
      <c r="Z46" s="99"/>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14"/>
      <c r="BK46" s="214"/>
    </row>
    <row r="47" spans="1:63" hidden="1" outlineLevel="1">
      <c r="A47" s="9"/>
      <c r="B47" s="44"/>
      <c r="C47" s="128" t="str">
        <f>Asset4</f>
        <v>Substations</v>
      </c>
      <c r="D47" s="9"/>
      <c r="E47" s="9"/>
      <c r="F47" s="139"/>
      <c r="G47" s="191">
        <f>Input!G147*(1+previous_vanilla)^0.5</f>
        <v>298.40652023119827</v>
      </c>
      <c r="H47" s="109"/>
      <c r="I47" s="109"/>
      <c r="J47" s="109"/>
      <c r="K47" s="109"/>
      <c r="L47" s="109"/>
      <c r="M47" s="109"/>
      <c r="N47" s="28"/>
      <c r="O47" s="28"/>
      <c r="P47" s="28"/>
      <c r="Q47" s="28"/>
      <c r="R47" s="99"/>
      <c r="S47" s="99"/>
      <c r="T47" s="99"/>
      <c r="U47" s="99"/>
      <c r="V47" s="99"/>
      <c r="W47" s="99"/>
      <c r="X47" s="99"/>
      <c r="Y47" s="99"/>
      <c r="Z47" s="99"/>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14"/>
      <c r="BK47" s="214"/>
    </row>
    <row r="48" spans="1:63" hidden="1" outlineLevel="1">
      <c r="A48" s="9"/>
      <c r="B48" s="44"/>
      <c r="C48" s="128" t="str">
        <f>Asset5</f>
        <v>Transformers</v>
      </c>
      <c r="D48" s="9"/>
      <c r="E48" s="9"/>
      <c r="F48" s="139"/>
      <c r="G48" s="191">
        <f>Input!G148*(1+previous_vanilla)^0.5</f>
        <v>56.849400808918084</v>
      </c>
      <c r="H48" s="109"/>
      <c r="I48" s="109"/>
      <c r="J48" s="109"/>
      <c r="K48" s="109"/>
      <c r="L48" s="109"/>
      <c r="M48" s="109"/>
      <c r="N48" s="28"/>
      <c r="O48" s="28"/>
      <c r="P48" s="28"/>
      <c r="Q48" s="28"/>
      <c r="R48" s="99"/>
      <c r="S48" s="99"/>
      <c r="T48" s="99"/>
      <c r="U48" s="99"/>
      <c r="V48" s="99"/>
      <c r="W48" s="99"/>
      <c r="X48" s="99"/>
      <c r="Y48" s="99"/>
      <c r="Z48" s="99"/>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14"/>
      <c r="BK48" s="214"/>
    </row>
    <row r="49" spans="1:63" hidden="1" outlineLevel="1">
      <c r="A49" s="9"/>
      <c r="B49" s="44"/>
      <c r="C49" s="128" t="str">
        <f>Asset6</f>
        <v>Low Voltage Lines and Cables</v>
      </c>
      <c r="D49" s="9"/>
      <c r="E49" s="9"/>
      <c r="F49" s="139"/>
      <c r="G49" s="191">
        <f>Input!G149*(1+previous_vanilla)^0.5</f>
        <v>116.19995280108921</v>
      </c>
      <c r="H49" s="109"/>
      <c r="I49" s="109"/>
      <c r="J49" s="109"/>
      <c r="K49" s="109"/>
      <c r="L49" s="109"/>
      <c r="M49" s="109"/>
      <c r="N49" s="28"/>
      <c r="O49" s="28"/>
      <c r="P49" s="28"/>
      <c r="Q49" s="28"/>
      <c r="R49" s="99"/>
      <c r="S49" s="99"/>
      <c r="T49" s="99"/>
      <c r="U49" s="99"/>
      <c r="V49" s="99"/>
      <c r="W49" s="99"/>
      <c r="X49" s="99"/>
      <c r="Y49" s="99"/>
      <c r="Z49" s="99"/>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14"/>
      <c r="BK49" s="214"/>
    </row>
    <row r="50" spans="1:63" hidden="1" outlineLevel="1">
      <c r="A50" s="9"/>
      <c r="B50" s="44"/>
      <c r="C50" s="128" t="str">
        <f>Asset7</f>
        <v>Customer Metering and Load Control</v>
      </c>
      <c r="D50" s="9"/>
      <c r="E50" s="9"/>
      <c r="F50" s="139"/>
      <c r="G50" s="191">
        <f>Input!G150*(1+previous_vanilla)^0.5</f>
        <v>25.232342378960183</v>
      </c>
      <c r="H50" s="109"/>
      <c r="I50" s="109"/>
      <c r="J50" s="109"/>
      <c r="K50" s="109"/>
      <c r="L50" s="109"/>
      <c r="M50" s="109"/>
      <c r="N50" s="28"/>
      <c r="O50" s="28"/>
      <c r="P50" s="28"/>
      <c r="Q50" s="28"/>
      <c r="R50" s="99"/>
      <c r="S50" s="99"/>
      <c r="T50" s="99"/>
      <c r="U50" s="99"/>
      <c r="V50" s="99"/>
      <c r="W50" s="99"/>
      <c r="X50" s="99"/>
      <c r="Y50" s="99"/>
      <c r="Z50" s="99"/>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14"/>
      <c r="BK50" s="214"/>
    </row>
    <row r="51" spans="1:63" hidden="1" outlineLevel="1">
      <c r="A51" s="9"/>
      <c r="B51" s="44"/>
      <c r="C51" s="128" t="str">
        <f>Asset8</f>
        <v>Customer Metering (digital)</v>
      </c>
      <c r="D51" s="9"/>
      <c r="E51" s="9"/>
      <c r="F51" s="139"/>
      <c r="G51" s="191">
        <f>Input!G151*(1+previous_vanilla)^0.5</f>
        <v>0</v>
      </c>
      <c r="H51" s="109"/>
      <c r="I51" s="109"/>
      <c r="J51" s="109"/>
      <c r="K51" s="109"/>
      <c r="L51" s="109"/>
      <c r="M51" s="109"/>
      <c r="N51" s="28"/>
      <c r="O51" s="28"/>
      <c r="P51" s="28"/>
      <c r="Q51" s="28"/>
      <c r="R51" s="99"/>
      <c r="S51" s="99"/>
      <c r="T51" s="99"/>
      <c r="U51" s="99"/>
      <c r="V51" s="99"/>
      <c r="W51" s="99"/>
      <c r="X51" s="99"/>
      <c r="Y51" s="99"/>
      <c r="Z51" s="99"/>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14"/>
      <c r="BK51" s="214"/>
    </row>
    <row r="52" spans="1:63" hidden="1" outlineLevel="1">
      <c r="A52" s="9"/>
      <c r="B52" s="44"/>
      <c r="C52" s="128" t="str">
        <f>Asset9</f>
        <v>Communications (digital) - dx</v>
      </c>
      <c r="D52" s="9"/>
      <c r="E52" s="9"/>
      <c r="F52" s="139"/>
      <c r="G52" s="191">
        <f>Input!G152*(1+previous_vanilla)^0.5</f>
        <v>0</v>
      </c>
      <c r="H52" s="109"/>
      <c r="I52" s="109"/>
      <c r="J52" s="109"/>
      <c r="K52" s="109"/>
      <c r="L52" s="109"/>
      <c r="M52" s="109"/>
      <c r="N52" s="28"/>
      <c r="O52" s="28"/>
      <c r="P52" s="28"/>
      <c r="Q52" s="28"/>
      <c r="R52" s="99"/>
      <c r="S52" s="99"/>
      <c r="T52" s="99"/>
      <c r="U52" s="99"/>
      <c r="V52" s="99"/>
      <c r="W52" s="99"/>
      <c r="X52" s="99"/>
      <c r="Y52" s="99"/>
      <c r="Z52" s="99"/>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14"/>
      <c r="BK52" s="214"/>
    </row>
    <row r="53" spans="1:63" hidden="1" outlineLevel="1">
      <c r="A53" s="9"/>
      <c r="B53" s="44"/>
      <c r="C53" s="128" t="str">
        <f>Asset10</f>
        <v>Total Communications</v>
      </c>
      <c r="D53" s="9"/>
      <c r="E53" s="9"/>
      <c r="F53" s="139"/>
      <c r="G53" s="191">
        <f>Input!G153*(1+previous_vanilla)^0.5</f>
        <v>39.731179747496647</v>
      </c>
      <c r="H53" s="109"/>
      <c r="I53" s="109"/>
      <c r="J53" s="109"/>
      <c r="K53" s="109"/>
      <c r="L53" s="109"/>
      <c r="M53" s="109"/>
      <c r="N53" s="28"/>
      <c r="O53" s="28"/>
      <c r="P53" s="28"/>
      <c r="Q53" s="28"/>
      <c r="R53" s="99"/>
      <c r="S53" s="99"/>
      <c r="T53" s="99"/>
      <c r="U53" s="99"/>
      <c r="V53" s="99"/>
      <c r="W53" s="99"/>
      <c r="X53" s="99"/>
      <c r="Y53" s="99"/>
      <c r="Z53" s="99"/>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14"/>
      <c r="BK53" s="214"/>
    </row>
    <row r="54" spans="1:63" hidden="1" outlineLevel="1">
      <c r="A54" s="9"/>
      <c r="B54" s="44"/>
      <c r="C54" s="128" t="str">
        <f>Asset11</f>
        <v>System IT (dx)</v>
      </c>
      <c r="D54" s="9"/>
      <c r="E54" s="9"/>
      <c r="F54" s="139"/>
      <c r="G54" s="191">
        <f>Input!G154*(1+previous_vanilla)^0.5</f>
        <v>0</v>
      </c>
      <c r="H54" s="109"/>
      <c r="I54" s="109"/>
      <c r="J54" s="109"/>
      <c r="K54" s="109"/>
      <c r="L54" s="109"/>
      <c r="M54" s="109"/>
      <c r="N54" s="28"/>
      <c r="O54" s="28"/>
      <c r="P54" s="28"/>
      <c r="Q54" s="28"/>
      <c r="R54" s="99"/>
      <c r="S54" s="99"/>
      <c r="T54" s="99"/>
      <c r="U54" s="99"/>
      <c r="V54" s="99"/>
      <c r="W54" s="99"/>
      <c r="X54" s="99"/>
      <c r="Y54" s="99"/>
      <c r="Z54" s="99"/>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14"/>
      <c r="BK54" s="214"/>
    </row>
    <row r="55" spans="1:63" hidden="1" outlineLevel="1">
      <c r="A55" s="9"/>
      <c r="B55" s="44"/>
      <c r="C55" s="128" t="str">
        <f>Asset12</f>
        <v>Ancillary substation equipment (dx)</v>
      </c>
      <c r="D55" s="9"/>
      <c r="E55" s="9"/>
      <c r="F55" s="139"/>
      <c r="G55" s="191">
        <f>Input!G155*(1+previous_vanilla)^0.5</f>
        <v>0</v>
      </c>
      <c r="H55" s="109"/>
      <c r="I55" s="109"/>
      <c r="J55" s="109"/>
      <c r="K55" s="109"/>
      <c r="L55" s="109"/>
      <c r="M55" s="109"/>
      <c r="N55" s="28"/>
      <c r="O55" s="28"/>
      <c r="P55" s="28"/>
      <c r="Q55" s="28"/>
      <c r="R55" s="99"/>
      <c r="S55" s="99"/>
      <c r="T55" s="99"/>
      <c r="U55" s="99"/>
      <c r="V55" s="99"/>
      <c r="W55" s="99"/>
      <c r="X55" s="99"/>
      <c r="Y55" s="99"/>
      <c r="Z55" s="99"/>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14"/>
      <c r="BK55" s="214"/>
    </row>
    <row r="56" spans="1:63" hidden="1" outlineLevel="1">
      <c r="A56" s="9"/>
      <c r="B56" s="44"/>
      <c r="C56" s="128" t="str">
        <f>Asset13</f>
        <v>Land and Easements</v>
      </c>
      <c r="D56" s="9"/>
      <c r="E56" s="9"/>
      <c r="F56" s="139"/>
      <c r="G56" s="191">
        <f>Input!G156*(1+previous_vanilla)^0.5</f>
        <v>112.27338544041855</v>
      </c>
      <c r="H56" s="109"/>
      <c r="I56" s="109"/>
      <c r="J56" s="109"/>
      <c r="K56" s="109"/>
      <c r="L56" s="109"/>
      <c r="M56" s="109"/>
      <c r="N56" s="28"/>
      <c r="O56" s="28"/>
      <c r="P56" s="28"/>
      <c r="Q56" s="28"/>
      <c r="R56" s="99"/>
      <c r="S56" s="99"/>
      <c r="T56" s="99"/>
      <c r="U56" s="99"/>
      <c r="V56" s="99"/>
      <c r="W56" s="99"/>
      <c r="X56" s="99"/>
      <c r="Y56" s="99"/>
      <c r="Z56" s="99"/>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14"/>
      <c r="BK56" s="214"/>
    </row>
    <row r="57" spans="1:63" hidden="1" outlineLevel="1">
      <c r="A57" s="9"/>
      <c r="B57" s="44"/>
      <c r="C57" s="128" t="str">
        <f>Asset14</f>
        <v>Emergency Spares (Major Plant, Excludes Inventory)</v>
      </c>
      <c r="D57" s="9"/>
      <c r="E57" s="9"/>
      <c r="F57" s="139"/>
      <c r="G57" s="191">
        <f>Input!G157*(1+previous_vanilla)^0.5</f>
        <v>0</v>
      </c>
      <c r="H57" s="109"/>
      <c r="I57" s="109"/>
      <c r="J57" s="109"/>
      <c r="K57" s="109"/>
      <c r="L57" s="109"/>
      <c r="M57" s="109"/>
      <c r="N57" s="28"/>
      <c r="O57" s="28"/>
      <c r="P57" s="28"/>
      <c r="Q57" s="28"/>
      <c r="R57" s="99"/>
      <c r="S57" s="99"/>
      <c r="T57" s="99"/>
      <c r="U57" s="99"/>
      <c r="V57" s="99"/>
      <c r="W57" s="99"/>
      <c r="X57" s="99"/>
      <c r="Y57" s="99"/>
      <c r="Z57" s="99"/>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14"/>
      <c r="BK57" s="214"/>
    </row>
    <row r="58" spans="1:63" hidden="1" outlineLevel="1">
      <c r="A58" s="9"/>
      <c r="B58" s="44"/>
      <c r="C58" s="128" t="str">
        <f>Asset15</f>
        <v>Furniture, fittings, plant and equipment</v>
      </c>
      <c r="D58" s="9"/>
      <c r="E58" s="9"/>
      <c r="F58" s="139"/>
      <c r="G58" s="191">
        <f>Input!G158*(1+previous_vanilla)^0.5</f>
        <v>5.4379982232450681</v>
      </c>
      <c r="H58" s="109"/>
      <c r="I58" s="109"/>
      <c r="J58" s="109"/>
      <c r="K58" s="109"/>
      <c r="L58" s="109"/>
      <c r="M58" s="109"/>
      <c r="N58" s="28"/>
      <c r="O58" s="28"/>
      <c r="P58" s="28"/>
      <c r="Q58" s="28"/>
      <c r="R58" s="99"/>
      <c r="S58" s="99"/>
      <c r="T58" s="99"/>
      <c r="U58" s="99"/>
      <c r="V58" s="99"/>
      <c r="W58" s="99"/>
      <c r="X58" s="99"/>
      <c r="Y58" s="99"/>
      <c r="Z58" s="99"/>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14"/>
      <c r="BK58" s="214"/>
    </row>
    <row r="59" spans="1:63" hidden="1" outlineLevel="1">
      <c r="A59" s="9"/>
      <c r="B59" s="44"/>
      <c r="C59" s="128" t="str">
        <f>Asset16</f>
        <v>Land (non-system)</v>
      </c>
      <c r="D59" s="9"/>
      <c r="E59" s="9"/>
      <c r="F59" s="139"/>
      <c r="G59" s="191">
        <f>Input!G159*(1+previous_vanilla)^0.5</f>
        <v>11.834819499254321</v>
      </c>
      <c r="H59" s="109"/>
      <c r="I59" s="109"/>
      <c r="J59" s="109"/>
      <c r="K59" s="109"/>
      <c r="L59" s="109"/>
      <c r="M59" s="109"/>
      <c r="N59" s="28"/>
      <c r="O59" s="28"/>
      <c r="P59" s="28"/>
      <c r="Q59" s="28"/>
      <c r="R59" s="99"/>
      <c r="S59" s="99"/>
      <c r="T59" s="99"/>
      <c r="U59" s="99"/>
      <c r="V59" s="99"/>
      <c r="W59" s="99"/>
      <c r="X59" s="99"/>
      <c r="Y59" s="99"/>
      <c r="Z59" s="99"/>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14"/>
      <c r="BK59" s="214"/>
    </row>
    <row r="60" spans="1:63" hidden="1" outlineLevel="1">
      <c r="A60" s="9"/>
      <c r="B60" s="44"/>
      <c r="C60" s="128" t="str">
        <f>Asset17</f>
        <v>Other non system assets</v>
      </c>
      <c r="D60" s="9"/>
      <c r="E60" s="9"/>
      <c r="F60" s="139"/>
      <c r="G60" s="191">
        <f>Input!G160*(1+previous_vanilla)^0.5</f>
        <v>0.73967621870339506</v>
      </c>
      <c r="H60" s="109"/>
      <c r="I60" s="109"/>
      <c r="J60" s="109"/>
      <c r="K60" s="109"/>
      <c r="L60" s="109"/>
      <c r="M60" s="109"/>
      <c r="N60" s="28"/>
      <c r="O60" s="28"/>
      <c r="P60" s="28"/>
      <c r="Q60" s="28"/>
      <c r="R60" s="99"/>
      <c r="S60" s="99"/>
      <c r="T60" s="99"/>
      <c r="U60" s="99"/>
      <c r="V60" s="99"/>
      <c r="W60" s="99"/>
      <c r="X60" s="99"/>
      <c r="Y60" s="99"/>
      <c r="Z60" s="99"/>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14"/>
      <c r="BK60" s="214"/>
    </row>
    <row r="61" spans="1:63" hidden="1" outlineLevel="1">
      <c r="A61" s="9"/>
      <c r="B61" s="44"/>
      <c r="C61" s="128" t="str">
        <f>Asset18</f>
        <v>IT systems</v>
      </c>
      <c r="D61" s="9"/>
      <c r="E61" s="9"/>
      <c r="F61" s="139"/>
      <c r="G61" s="191">
        <f>Input!G161*(1+previous_vanilla)^0.5</f>
        <v>90.069844811356191</v>
      </c>
      <c r="H61" s="109"/>
      <c r="I61" s="109"/>
      <c r="J61" s="109"/>
      <c r="K61" s="109"/>
      <c r="L61" s="109"/>
      <c r="M61" s="109"/>
      <c r="N61" s="28"/>
      <c r="O61" s="28"/>
      <c r="P61" s="28"/>
      <c r="Q61" s="28"/>
      <c r="R61" s="99"/>
      <c r="S61" s="99"/>
      <c r="T61" s="99"/>
      <c r="U61" s="99"/>
      <c r="V61" s="99"/>
      <c r="W61" s="99"/>
      <c r="X61" s="99"/>
      <c r="Y61" s="99"/>
      <c r="Z61" s="99"/>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14"/>
      <c r="BK61" s="214"/>
    </row>
    <row r="62" spans="1:63" hidden="1" outlineLevel="1">
      <c r="A62" s="9"/>
      <c r="B62" s="44"/>
      <c r="C62" s="128" t="str">
        <f>Asset19</f>
        <v>Motor vehicles</v>
      </c>
      <c r="D62" s="9"/>
      <c r="E62" s="9"/>
      <c r="F62" s="139"/>
      <c r="G62" s="191">
        <f>Input!G162*(1+previous_vanilla)^0.5</f>
        <v>24.167160261107785</v>
      </c>
      <c r="H62" s="109"/>
      <c r="I62" s="109"/>
      <c r="J62" s="109"/>
      <c r="K62" s="109"/>
      <c r="L62" s="109"/>
      <c r="M62" s="109"/>
      <c r="N62" s="28"/>
      <c r="O62" s="28"/>
      <c r="P62" s="28"/>
      <c r="Q62" s="28"/>
      <c r="R62" s="99"/>
      <c r="S62" s="99"/>
      <c r="T62" s="99"/>
      <c r="U62" s="99"/>
      <c r="V62" s="99"/>
      <c r="W62" s="99"/>
      <c r="X62" s="99"/>
      <c r="Y62" s="99"/>
      <c r="Z62" s="99"/>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14"/>
      <c r="BK62" s="214"/>
    </row>
    <row r="63" spans="1:63" hidden="1" outlineLevel="1">
      <c r="A63" s="9"/>
      <c r="B63" s="44"/>
      <c r="C63" s="128" t="str">
        <f>Asset20</f>
        <v>Buildings</v>
      </c>
      <c r="D63" s="9"/>
      <c r="E63" s="9"/>
      <c r="F63" s="139"/>
      <c r="G63" s="191">
        <f>Input!G163*(1+previous_vanilla)^0.5</f>
        <v>58.117417183838192</v>
      </c>
      <c r="H63" s="109"/>
      <c r="I63" s="109"/>
      <c r="J63" s="109"/>
      <c r="K63" s="109"/>
      <c r="L63" s="109"/>
      <c r="M63" s="109"/>
      <c r="N63" s="28"/>
      <c r="O63" s="28"/>
      <c r="P63" s="28"/>
      <c r="Q63" s="28"/>
      <c r="R63" s="99"/>
      <c r="S63" s="99"/>
      <c r="T63" s="99"/>
      <c r="U63" s="99"/>
      <c r="V63" s="99"/>
      <c r="W63" s="99"/>
      <c r="X63" s="99"/>
      <c r="Y63" s="99"/>
      <c r="Z63" s="99"/>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14"/>
      <c r="BK63" s="214"/>
    </row>
    <row r="64" spans="1:63" hidden="1" outlineLevel="1">
      <c r="A64" s="9"/>
      <c r="B64" s="44"/>
      <c r="C64" s="128" t="str">
        <f>Asset21</f>
        <v>Equity raising costs</v>
      </c>
      <c r="D64" s="9"/>
      <c r="E64" s="9"/>
      <c r="F64" s="139"/>
      <c r="G64" s="191">
        <f>Input!G164*(1+previous_vanilla)^0.5</f>
        <v>0</v>
      </c>
      <c r="H64" s="109"/>
      <c r="I64" s="109"/>
      <c r="J64" s="109"/>
      <c r="K64" s="109"/>
      <c r="L64" s="109"/>
      <c r="M64" s="109"/>
      <c r="N64" s="28"/>
      <c r="O64" s="28"/>
      <c r="P64" s="28"/>
      <c r="Q64" s="28"/>
      <c r="R64" s="99"/>
      <c r="S64" s="99"/>
      <c r="T64" s="99"/>
      <c r="U64" s="99"/>
      <c r="V64" s="99"/>
      <c r="W64" s="99"/>
      <c r="X64" s="99"/>
      <c r="Y64" s="99"/>
      <c r="Z64" s="99"/>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14"/>
      <c r="BK64" s="214"/>
    </row>
    <row r="65" spans="1:63" hidden="1" outlineLevel="1">
      <c r="A65" s="9"/>
      <c r="B65" s="44"/>
      <c r="C65" s="128">
        <f>Asset22</f>
        <v>0</v>
      </c>
      <c r="D65" s="9"/>
      <c r="E65" s="9"/>
      <c r="F65" s="139"/>
      <c r="G65" s="191">
        <f>Input!G165*(1+previous_vanilla)^0.5</f>
        <v>0</v>
      </c>
      <c r="H65" s="109"/>
      <c r="I65" s="109"/>
      <c r="J65" s="109"/>
      <c r="K65" s="109"/>
      <c r="L65" s="109"/>
      <c r="M65" s="109"/>
      <c r="N65" s="28"/>
      <c r="O65" s="28"/>
      <c r="P65" s="28"/>
      <c r="Q65" s="28"/>
      <c r="R65" s="99"/>
      <c r="S65" s="99"/>
      <c r="T65" s="99"/>
      <c r="U65" s="99"/>
      <c r="V65" s="99"/>
      <c r="W65" s="99"/>
      <c r="X65" s="99"/>
      <c r="Y65" s="99"/>
      <c r="Z65" s="99"/>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14"/>
      <c r="BK65" s="214"/>
    </row>
    <row r="66" spans="1:63" hidden="1" outlineLevel="1">
      <c r="A66" s="9"/>
      <c r="B66" s="44"/>
      <c r="C66" s="128">
        <f>Asset23</f>
        <v>0</v>
      </c>
      <c r="D66" s="9"/>
      <c r="E66" s="9"/>
      <c r="F66" s="139"/>
      <c r="G66" s="191">
        <f>Input!G166*(1+previous_vanilla)^0.5</f>
        <v>0</v>
      </c>
      <c r="H66" s="109"/>
      <c r="I66" s="109"/>
      <c r="J66" s="109"/>
      <c r="K66" s="109"/>
      <c r="L66" s="109"/>
      <c r="M66" s="109"/>
      <c r="N66" s="28"/>
      <c r="O66" s="28"/>
      <c r="P66" s="28"/>
      <c r="Q66" s="28"/>
      <c r="R66" s="99"/>
      <c r="S66" s="99"/>
      <c r="T66" s="99"/>
      <c r="U66" s="99"/>
      <c r="V66" s="99"/>
      <c r="W66" s="99"/>
      <c r="X66" s="99"/>
      <c r="Y66" s="99"/>
      <c r="Z66" s="99"/>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14"/>
      <c r="BK66" s="214"/>
    </row>
    <row r="67" spans="1:63" hidden="1" outlineLevel="1">
      <c r="A67" s="9"/>
      <c r="B67" s="44"/>
      <c r="C67" s="128">
        <f>Asset24</f>
        <v>0</v>
      </c>
      <c r="D67" s="9"/>
      <c r="E67" s="9"/>
      <c r="F67" s="139"/>
      <c r="G67" s="191">
        <f>Input!G167*(1+previous_vanilla)^0.5</f>
        <v>0</v>
      </c>
      <c r="H67" s="109"/>
      <c r="I67" s="109"/>
      <c r="J67" s="109"/>
      <c r="K67" s="109"/>
      <c r="L67" s="109"/>
      <c r="M67" s="109"/>
      <c r="N67" s="28"/>
      <c r="O67" s="28"/>
      <c r="P67" s="28"/>
      <c r="Q67" s="28"/>
      <c r="R67" s="99"/>
      <c r="S67" s="99"/>
      <c r="T67" s="99"/>
      <c r="U67" s="99"/>
      <c r="V67" s="99"/>
      <c r="W67" s="99"/>
      <c r="X67" s="99"/>
      <c r="Y67" s="99"/>
      <c r="Z67" s="99"/>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14"/>
      <c r="BK67" s="214"/>
    </row>
    <row r="68" spans="1:63" hidden="1" outlineLevel="1">
      <c r="A68" s="9"/>
      <c r="B68" s="44"/>
      <c r="C68" s="128">
        <f>Asset25</f>
        <v>0</v>
      </c>
      <c r="D68" s="9"/>
      <c r="E68" s="9"/>
      <c r="F68" s="139"/>
      <c r="G68" s="191">
        <f>Input!G168*(1+previous_vanilla)^0.5</f>
        <v>0</v>
      </c>
      <c r="H68" s="109"/>
      <c r="I68" s="109"/>
      <c r="J68" s="109"/>
      <c r="K68" s="109"/>
      <c r="L68" s="109"/>
      <c r="M68" s="109"/>
      <c r="N68" s="28"/>
      <c r="O68" s="28"/>
      <c r="P68" s="28"/>
      <c r="Q68" s="28"/>
      <c r="R68" s="99"/>
      <c r="S68" s="99"/>
      <c r="T68" s="99"/>
      <c r="U68" s="99"/>
      <c r="V68" s="99"/>
      <c r="W68" s="99"/>
      <c r="X68" s="99"/>
      <c r="Y68" s="99"/>
      <c r="Z68" s="99"/>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14"/>
      <c r="BK68" s="214"/>
    </row>
    <row r="69" spans="1:63" hidden="1" outlineLevel="1">
      <c r="A69" s="9"/>
      <c r="B69" s="44"/>
      <c r="C69" s="128">
        <f>Asset26</f>
        <v>0</v>
      </c>
      <c r="D69" s="9"/>
      <c r="E69" s="9"/>
      <c r="F69" s="139"/>
      <c r="G69" s="191">
        <f>Input!G169*(1+previous_vanilla)^0.5</f>
        <v>0</v>
      </c>
      <c r="H69" s="109"/>
      <c r="I69" s="109"/>
      <c r="J69" s="109"/>
      <c r="K69" s="109"/>
      <c r="L69" s="109"/>
      <c r="M69" s="109"/>
      <c r="N69" s="28"/>
      <c r="O69" s="28"/>
      <c r="P69" s="28"/>
      <c r="Q69" s="28"/>
      <c r="R69" s="99"/>
      <c r="S69" s="99"/>
      <c r="T69" s="99"/>
      <c r="U69" s="99"/>
      <c r="V69" s="99"/>
      <c r="W69" s="99"/>
      <c r="X69" s="99"/>
      <c r="Y69" s="99"/>
      <c r="Z69" s="99"/>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14"/>
      <c r="BK69" s="214"/>
    </row>
    <row r="70" spans="1:63" hidden="1" outlineLevel="1">
      <c r="A70" s="9"/>
      <c r="B70" s="44"/>
      <c r="C70" s="128">
        <f>Asset27</f>
        <v>0</v>
      </c>
      <c r="D70" s="9"/>
      <c r="E70" s="9"/>
      <c r="F70" s="139"/>
      <c r="G70" s="191">
        <f>Input!G170*(1+previous_vanilla)^0.5</f>
        <v>0</v>
      </c>
      <c r="H70" s="109"/>
      <c r="I70" s="109"/>
      <c r="J70" s="109"/>
      <c r="K70" s="109"/>
      <c r="L70" s="109"/>
      <c r="M70" s="109"/>
      <c r="N70" s="28"/>
      <c r="O70" s="28"/>
      <c r="P70" s="28"/>
      <c r="Q70" s="28"/>
      <c r="R70" s="99"/>
      <c r="S70" s="99"/>
      <c r="T70" s="99"/>
      <c r="U70" s="99"/>
      <c r="V70" s="99"/>
      <c r="W70" s="99"/>
      <c r="X70" s="99"/>
      <c r="Y70" s="99"/>
      <c r="Z70" s="99"/>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14"/>
      <c r="BK70" s="214"/>
    </row>
    <row r="71" spans="1:63" hidden="1" outlineLevel="1">
      <c r="A71" s="9"/>
      <c r="B71" s="44"/>
      <c r="C71" s="128">
        <f>Asset28</f>
        <v>0</v>
      </c>
      <c r="D71" s="9"/>
      <c r="E71" s="9"/>
      <c r="F71" s="139"/>
      <c r="G71" s="191">
        <f>Input!G171*(1+previous_vanilla)^0.5</f>
        <v>0</v>
      </c>
      <c r="H71" s="109"/>
      <c r="I71" s="109"/>
      <c r="J71" s="109"/>
      <c r="K71" s="109"/>
      <c r="L71" s="109"/>
      <c r="M71" s="109"/>
      <c r="N71" s="28"/>
      <c r="O71" s="28"/>
      <c r="P71" s="28"/>
      <c r="Q71" s="28"/>
      <c r="R71" s="99"/>
      <c r="S71" s="99"/>
      <c r="T71" s="99"/>
      <c r="U71" s="99"/>
      <c r="V71" s="99"/>
      <c r="W71" s="99"/>
      <c r="X71" s="99"/>
      <c r="Y71" s="99"/>
      <c r="Z71" s="99"/>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14"/>
      <c r="BK71" s="214"/>
    </row>
    <row r="72" spans="1:63" hidden="1" outlineLevel="1">
      <c r="A72" s="9"/>
      <c r="B72" s="44"/>
      <c r="C72" s="128">
        <f>Asset29</f>
        <v>0</v>
      </c>
      <c r="D72" s="9"/>
      <c r="E72" s="9"/>
      <c r="F72" s="139"/>
      <c r="G72" s="191">
        <f>Input!G172*(1+previous_vanilla)^0.5</f>
        <v>0</v>
      </c>
      <c r="H72" s="109"/>
      <c r="I72" s="109"/>
      <c r="J72" s="109"/>
      <c r="K72" s="109"/>
      <c r="L72" s="109"/>
      <c r="M72" s="109"/>
      <c r="N72" s="28"/>
      <c r="O72" s="28"/>
      <c r="P72" s="28"/>
      <c r="Q72" s="28"/>
      <c r="R72" s="99"/>
      <c r="S72" s="99"/>
      <c r="T72" s="99"/>
      <c r="U72" s="99"/>
      <c r="V72" s="99"/>
      <c r="W72" s="99"/>
      <c r="X72" s="99"/>
      <c r="Y72" s="99"/>
      <c r="Z72" s="99"/>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14"/>
      <c r="BK72" s="214"/>
    </row>
    <row r="73" spans="1:63" hidden="1" outlineLevel="1">
      <c r="A73" s="9"/>
      <c r="B73" s="44"/>
      <c r="C73" s="128">
        <f>Asset30</f>
        <v>0</v>
      </c>
      <c r="D73" s="9"/>
      <c r="E73" s="9"/>
      <c r="F73" s="139"/>
      <c r="G73" s="191">
        <f>Input!G173*(1+previous_vanilla)^0.5</f>
        <v>0</v>
      </c>
      <c r="H73" s="109"/>
      <c r="I73" s="109"/>
      <c r="J73" s="109"/>
      <c r="K73" s="109"/>
      <c r="L73" s="109"/>
      <c r="M73" s="109"/>
      <c r="N73" s="28"/>
      <c r="O73" s="28"/>
      <c r="P73" s="28"/>
      <c r="Q73" s="28"/>
      <c r="R73" s="99"/>
      <c r="S73" s="99"/>
      <c r="T73" s="99"/>
      <c r="U73" s="99"/>
      <c r="V73" s="99"/>
      <c r="W73" s="99"/>
      <c r="X73" s="99"/>
      <c r="Y73" s="99"/>
      <c r="Z73" s="99"/>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14"/>
      <c r="BK73" s="214"/>
    </row>
    <row r="74" spans="1:63" collapsed="1">
      <c r="A74" s="9"/>
      <c r="B74" s="44"/>
      <c r="C74" s="112"/>
      <c r="D74" s="9"/>
      <c r="E74" s="9"/>
      <c r="F74" s="139"/>
      <c r="G74" s="192"/>
      <c r="H74" s="36"/>
      <c r="I74" s="36"/>
      <c r="J74" s="36"/>
      <c r="K74" s="36"/>
      <c r="L74" s="36"/>
      <c r="M74" s="36"/>
      <c r="N74" s="28"/>
      <c r="O74" s="28"/>
      <c r="P74" s="28"/>
      <c r="Q74" s="28"/>
      <c r="R74" s="99"/>
      <c r="S74" s="99"/>
      <c r="T74" s="99"/>
      <c r="U74" s="99"/>
      <c r="V74" s="99"/>
      <c r="W74" s="99"/>
      <c r="X74" s="99"/>
      <c r="Y74" s="99"/>
      <c r="Z74" s="99"/>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14"/>
      <c r="BK74" s="214"/>
    </row>
    <row r="75" spans="1:63">
      <c r="A75" s="9"/>
      <c r="B75" s="44" t="s">
        <v>43</v>
      </c>
      <c r="C75" s="9"/>
      <c r="D75" s="9"/>
      <c r="E75" s="9"/>
      <c r="F75" s="139"/>
      <c r="G75" s="192">
        <f>SUM(G76:G105)</f>
        <v>239.11010394855921</v>
      </c>
      <c r="H75" s="249"/>
      <c r="I75" s="249"/>
      <c r="J75" s="249"/>
      <c r="K75" s="249"/>
      <c r="L75" s="249"/>
      <c r="M75" s="108"/>
      <c r="N75" s="28"/>
      <c r="O75" s="28"/>
      <c r="P75" s="28"/>
      <c r="Q75" s="28"/>
      <c r="R75" s="99"/>
      <c r="S75" s="99"/>
      <c r="T75" s="99"/>
      <c r="U75" s="99"/>
      <c r="V75" s="99"/>
      <c r="W75" s="99"/>
      <c r="X75" s="99"/>
      <c r="Y75" s="99"/>
      <c r="Z75" s="99"/>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14"/>
      <c r="BK75" s="214"/>
    </row>
    <row r="76" spans="1:63" hidden="1" outlineLevel="1">
      <c r="A76" s="9"/>
      <c r="B76" s="44"/>
      <c r="C76" s="128" t="str">
        <f>Asset1</f>
        <v>Sub-transmission lines and cables</v>
      </c>
      <c r="D76" s="9"/>
      <c r="E76" s="9"/>
      <c r="F76" s="139"/>
      <c r="G76" s="408">
        <f>G44*(1+$F$6)/(1+$G$6)-G12</f>
        <v>168.48465173113019</v>
      </c>
      <c r="H76" s="115"/>
      <c r="I76" s="115"/>
      <c r="J76" s="115"/>
      <c r="K76" s="115"/>
      <c r="L76" s="115"/>
      <c r="M76" s="149"/>
      <c r="N76" s="150"/>
      <c r="O76" s="150"/>
      <c r="P76" s="150"/>
      <c r="Q76" s="150"/>
      <c r="R76" s="99"/>
      <c r="S76" s="99"/>
      <c r="T76" s="99"/>
      <c r="U76" s="99"/>
      <c r="V76" s="99"/>
      <c r="W76" s="99"/>
      <c r="X76" s="99"/>
      <c r="Y76" s="99"/>
      <c r="Z76" s="99"/>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14"/>
      <c r="BK76" s="214"/>
    </row>
    <row r="77" spans="1:63" hidden="1" outlineLevel="1">
      <c r="A77" s="9"/>
      <c r="B77" s="44"/>
      <c r="C77" s="128" t="str">
        <f>Asset2</f>
        <v>Cable tunnel (dx)</v>
      </c>
      <c r="D77" s="9"/>
      <c r="E77" s="9"/>
      <c r="F77" s="139"/>
      <c r="G77" s="191">
        <f>G45*(1+$F$6)/(1+$G$6)-G13</f>
        <v>-29.58704874813581</v>
      </c>
      <c r="H77" s="115"/>
      <c r="I77" s="115"/>
      <c r="J77" s="115"/>
      <c r="K77" s="115"/>
      <c r="L77" s="115"/>
      <c r="M77" s="149"/>
      <c r="N77" s="150"/>
      <c r="O77" s="150"/>
      <c r="P77" s="150"/>
      <c r="Q77" s="150"/>
      <c r="R77" s="99"/>
      <c r="S77" s="99"/>
      <c r="T77" s="99"/>
      <c r="U77" s="99"/>
      <c r="V77" s="99"/>
      <c r="W77" s="99"/>
      <c r="X77" s="99"/>
      <c r="Y77" s="99"/>
      <c r="Z77" s="99"/>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14"/>
      <c r="BK77" s="214"/>
    </row>
    <row r="78" spans="1:63" hidden="1" outlineLevel="1">
      <c r="A78" s="9"/>
      <c r="B78" s="44"/>
      <c r="C78" s="128" t="str">
        <f>Asset3</f>
        <v>Distribution lines and cables</v>
      </c>
      <c r="D78" s="9"/>
      <c r="E78" s="9"/>
      <c r="F78" s="139"/>
      <c r="G78" s="191">
        <f t="shared" ref="G78:G95" si="0">G46*(1+$F$6)/(1+$G$6)-G14</f>
        <v>-7.8008018429679851</v>
      </c>
      <c r="H78" s="115"/>
      <c r="I78" s="115"/>
      <c r="J78" s="115"/>
      <c r="K78" s="115"/>
      <c r="L78" s="115"/>
      <c r="M78" s="149"/>
      <c r="N78" s="150"/>
      <c r="O78" s="150"/>
      <c r="P78" s="150"/>
      <c r="Q78" s="150"/>
      <c r="R78" s="99"/>
      <c r="S78" s="99"/>
      <c r="T78" s="99"/>
      <c r="U78" s="99"/>
      <c r="V78" s="99"/>
      <c r="W78" s="99"/>
      <c r="X78" s="99"/>
      <c r="Y78" s="99"/>
      <c r="Z78" s="99"/>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14"/>
      <c r="BK78" s="214"/>
    </row>
    <row r="79" spans="1:63" hidden="1" outlineLevel="1">
      <c r="A79" s="9"/>
      <c r="B79" s="44"/>
      <c r="C79" s="128" t="str">
        <f>Asset4</f>
        <v>Substations</v>
      </c>
      <c r="D79" s="9"/>
      <c r="E79" s="9"/>
      <c r="F79" s="139"/>
      <c r="G79" s="191">
        <f t="shared" si="0"/>
        <v>-36.737924999808229</v>
      </c>
      <c r="H79" s="115"/>
      <c r="I79" s="115"/>
      <c r="J79" s="115"/>
      <c r="K79" s="115"/>
      <c r="L79" s="115"/>
      <c r="M79" s="149"/>
      <c r="N79" s="150"/>
      <c r="O79" s="150"/>
      <c r="P79" s="150"/>
      <c r="Q79" s="150"/>
      <c r="R79" s="99"/>
      <c r="S79" s="99"/>
      <c r="T79" s="99"/>
      <c r="U79" s="99"/>
      <c r="V79" s="99"/>
      <c r="W79" s="99"/>
      <c r="X79" s="99"/>
      <c r="Y79" s="99"/>
      <c r="Z79" s="99"/>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14"/>
      <c r="BK79" s="214"/>
    </row>
    <row r="80" spans="1:63" hidden="1" outlineLevel="1">
      <c r="A80" s="9"/>
      <c r="B80" s="44"/>
      <c r="C80" s="128" t="str">
        <f>Asset5</f>
        <v>Transformers</v>
      </c>
      <c r="D80" s="9"/>
      <c r="E80" s="9"/>
      <c r="F80" s="139"/>
      <c r="G80" s="191">
        <f t="shared" si="0"/>
        <v>-6.7010179834055705</v>
      </c>
      <c r="H80" s="115"/>
      <c r="I80" s="115"/>
      <c r="J80" s="115"/>
      <c r="K80" s="115"/>
      <c r="L80" s="115"/>
      <c r="M80" s="149"/>
      <c r="N80" s="150"/>
      <c r="O80" s="150"/>
      <c r="P80" s="150"/>
      <c r="Q80" s="150"/>
      <c r="R80" s="99"/>
      <c r="S80" s="99"/>
      <c r="T80" s="99"/>
      <c r="U80" s="99"/>
      <c r="V80" s="99"/>
      <c r="W80" s="99"/>
      <c r="X80" s="99"/>
      <c r="Y80" s="99"/>
      <c r="Z80" s="99"/>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14"/>
      <c r="BK80" s="214"/>
    </row>
    <row r="81" spans="1:63" hidden="1" outlineLevel="1">
      <c r="A81" s="9"/>
      <c r="B81" s="44"/>
      <c r="C81" s="128" t="str">
        <f>Asset6</f>
        <v>Low Voltage Lines and Cables</v>
      </c>
      <c r="D81" s="9"/>
      <c r="E81" s="9"/>
      <c r="F81" s="139"/>
      <c r="G81" s="191">
        <f t="shared" si="0"/>
        <v>71.683093013033428</v>
      </c>
      <c r="H81" s="115"/>
      <c r="I81" s="115"/>
      <c r="J81" s="115"/>
      <c r="K81" s="115"/>
      <c r="L81" s="115"/>
      <c r="M81" s="149"/>
      <c r="N81" s="150"/>
      <c r="O81" s="150"/>
      <c r="P81" s="150"/>
      <c r="Q81" s="150"/>
      <c r="R81" s="99"/>
      <c r="S81" s="99"/>
      <c r="T81" s="99"/>
      <c r="U81" s="99"/>
      <c r="V81" s="99"/>
      <c r="W81" s="99"/>
      <c r="X81" s="99"/>
      <c r="Y81" s="99"/>
      <c r="Z81" s="99"/>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14"/>
      <c r="BK81" s="214"/>
    </row>
    <row r="82" spans="1:63" hidden="1" outlineLevel="1">
      <c r="A82" s="9"/>
      <c r="B82" s="44"/>
      <c r="C82" s="128" t="str">
        <f>Asset7</f>
        <v>Customer Metering and Load Control</v>
      </c>
      <c r="D82" s="9"/>
      <c r="E82" s="9"/>
      <c r="F82" s="139"/>
      <c r="G82" s="191">
        <f t="shared" si="0"/>
        <v>-20.482076660385328</v>
      </c>
      <c r="H82" s="115"/>
      <c r="I82" s="115"/>
      <c r="J82" s="115"/>
      <c r="K82" s="115"/>
      <c r="L82" s="115"/>
      <c r="M82" s="149"/>
      <c r="N82" s="150"/>
      <c r="O82" s="150"/>
      <c r="P82" s="150"/>
      <c r="Q82" s="150"/>
      <c r="R82" s="99"/>
      <c r="S82" s="99"/>
      <c r="T82" s="99"/>
      <c r="U82" s="99"/>
      <c r="V82" s="99"/>
      <c r="W82" s="99"/>
      <c r="X82" s="99"/>
      <c r="Y82" s="99"/>
      <c r="Z82" s="99"/>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14"/>
      <c r="BK82" s="214"/>
    </row>
    <row r="83" spans="1:63" hidden="1" outlineLevel="1">
      <c r="A83" s="9"/>
      <c r="B83" s="44"/>
      <c r="C83" s="128" t="str">
        <f>Asset8</f>
        <v>Customer Metering (digital)</v>
      </c>
      <c r="D83" s="9"/>
      <c r="E83" s="9"/>
      <c r="F83" s="139"/>
      <c r="G83" s="191">
        <f t="shared" si="0"/>
        <v>0</v>
      </c>
      <c r="H83" s="115"/>
      <c r="I83" s="115"/>
      <c r="J83" s="115"/>
      <c r="K83" s="115"/>
      <c r="L83" s="115"/>
      <c r="M83" s="149"/>
      <c r="N83" s="150"/>
      <c r="O83" s="150"/>
      <c r="P83" s="150"/>
      <c r="Q83" s="150"/>
      <c r="R83" s="99"/>
      <c r="S83" s="99"/>
      <c r="T83" s="99"/>
      <c r="U83" s="99"/>
      <c r="V83" s="99"/>
      <c r="W83" s="99"/>
      <c r="X83" s="99"/>
      <c r="Y83" s="99"/>
      <c r="Z83" s="99"/>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14"/>
      <c r="BK83" s="214"/>
    </row>
    <row r="84" spans="1:63" hidden="1" outlineLevel="1">
      <c r="A84" s="9"/>
      <c r="B84" s="44"/>
      <c r="C84" s="128" t="str">
        <f>Asset9</f>
        <v>Communications (digital) - dx</v>
      </c>
      <c r="D84" s="9"/>
      <c r="E84" s="9"/>
      <c r="F84" s="139"/>
      <c r="G84" s="191">
        <f t="shared" si="0"/>
        <v>0</v>
      </c>
      <c r="H84" s="115"/>
      <c r="I84" s="115"/>
      <c r="J84" s="115"/>
      <c r="K84" s="115"/>
      <c r="L84" s="115"/>
      <c r="M84" s="149"/>
      <c r="N84" s="150"/>
      <c r="O84" s="150"/>
      <c r="P84" s="150"/>
      <c r="Q84" s="150"/>
      <c r="R84" s="99"/>
      <c r="S84" s="99"/>
      <c r="T84" s="99"/>
      <c r="U84" s="99"/>
      <c r="V84" s="99"/>
      <c r="W84" s="99"/>
      <c r="X84" s="99"/>
      <c r="Y84" s="99"/>
      <c r="Z84" s="99"/>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14"/>
      <c r="BK84" s="214"/>
    </row>
    <row r="85" spans="1:63" hidden="1" outlineLevel="1">
      <c r="A85" s="9"/>
      <c r="B85" s="44"/>
      <c r="C85" s="128" t="str">
        <f>Asset10</f>
        <v>Total Communications</v>
      </c>
      <c r="D85" s="9"/>
      <c r="E85" s="9"/>
      <c r="F85" s="139"/>
      <c r="G85" s="191">
        <f t="shared" si="0"/>
        <v>15.926347755884546</v>
      </c>
      <c r="H85" s="115"/>
      <c r="I85" s="115"/>
      <c r="J85" s="115"/>
      <c r="K85" s="115"/>
      <c r="L85" s="115"/>
      <c r="M85" s="149"/>
      <c r="N85" s="150"/>
      <c r="O85" s="150"/>
      <c r="P85" s="150"/>
      <c r="Q85" s="150"/>
      <c r="R85" s="99"/>
      <c r="S85" s="99"/>
      <c r="T85" s="99"/>
      <c r="U85" s="99"/>
      <c r="V85" s="99"/>
      <c r="W85" s="99"/>
      <c r="X85" s="99"/>
      <c r="Y85" s="99"/>
      <c r="Z85" s="99"/>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14"/>
      <c r="BK85" s="214"/>
    </row>
    <row r="86" spans="1:63" hidden="1" outlineLevel="1">
      <c r="A86" s="9"/>
      <c r="B86" s="44"/>
      <c r="C86" s="128" t="str">
        <f>Asset11</f>
        <v>System IT (dx)</v>
      </c>
      <c r="D86" s="9"/>
      <c r="E86" s="9"/>
      <c r="F86" s="139"/>
      <c r="G86" s="191">
        <f t="shared" si="0"/>
        <v>0</v>
      </c>
      <c r="H86" s="115"/>
      <c r="I86" s="115"/>
      <c r="J86" s="115"/>
      <c r="K86" s="115"/>
      <c r="L86" s="115"/>
      <c r="M86" s="149"/>
      <c r="N86" s="150"/>
      <c r="O86" s="150"/>
      <c r="P86" s="150"/>
      <c r="Q86" s="150"/>
      <c r="R86" s="99"/>
      <c r="S86" s="99"/>
      <c r="T86" s="99"/>
      <c r="U86" s="99"/>
      <c r="V86" s="99"/>
      <c r="W86" s="99"/>
      <c r="X86" s="99"/>
      <c r="Y86" s="99"/>
      <c r="Z86" s="99"/>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14"/>
      <c r="BK86" s="214"/>
    </row>
    <row r="87" spans="1:63" hidden="1" outlineLevel="1">
      <c r="A87" s="9"/>
      <c r="B87" s="44"/>
      <c r="C87" s="128" t="str">
        <f>Asset12</f>
        <v>Ancillary substation equipment (dx)</v>
      </c>
      <c r="D87" s="9"/>
      <c r="E87" s="9"/>
      <c r="F87" s="139"/>
      <c r="G87" s="191">
        <f t="shared" si="0"/>
        <v>0</v>
      </c>
      <c r="H87" s="115"/>
      <c r="I87" s="115"/>
      <c r="J87" s="115"/>
      <c r="K87" s="115"/>
      <c r="L87" s="115"/>
      <c r="M87" s="149"/>
      <c r="N87" s="150"/>
      <c r="O87" s="150"/>
      <c r="P87" s="150"/>
      <c r="Q87" s="150"/>
      <c r="R87" s="99"/>
      <c r="S87" s="99"/>
      <c r="T87" s="99"/>
      <c r="U87" s="99"/>
      <c r="V87" s="99"/>
      <c r="W87" s="99"/>
      <c r="X87" s="99"/>
      <c r="Y87" s="99"/>
      <c r="Z87" s="99"/>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14"/>
      <c r="BK87" s="214"/>
    </row>
    <row r="88" spans="1:63" hidden="1" outlineLevel="1">
      <c r="A88" s="9"/>
      <c r="B88" s="44"/>
      <c r="C88" s="128" t="str">
        <f>Asset13</f>
        <v>Land and Easements</v>
      </c>
      <c r="D88" s="9"/>
      <c r="E88" s="9"/>
      <c r="F88" s="139"/>
      <c r="G88" s="191">
        <f t="shared" si="0"/>
        <v>68.67788879398563</v>
      </c>
      <c r="H88" s="115"/>
      <c r="I88" s="115"/>
      <c r="J88" s="115"/>
      <c r="K88" s="115"/>
      <c r="L88" s="115"/>
      <c r="M88" s="149"/>
      <c r="N88" s="150"/>
      <c r="O88" s="150"/>
      <c r="P88" s="150"/>
      <c r="Q88" s="150"/>
      <c r="R88" s="99"/>
      <c r="S88" s="99"/>
      <c r="T88" s="99"/>
      <c r="U88" s="99"/>
      <c r="V88" s="99"/>
      <c r="W88" s="99"/>
      <c r="X88" s="99"/>
      <c r="Y88" s="99"/>
      <c r="Z88" s="99"/>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14"/>
      <c r="BK88" s="214"/>
    </row>
    <row r="89" spans="1:63" hidden="1" outlineLevel="1">
      <c r="A89" s="9"/>
      <c r="B89" s="44"/>
      <c r="C89" s="128" t="str">
        <f>Asset14</f>
        <v>Emergency Spares (Major Plant, Excludes Inventory)</v>
      </c>
      <c r="D89" s="9"/>
      <c r="E89" s="9"/>
      <c r="F89" s="139"/>
      <c r="G89" s="191">
        <f t="shared" si="0"/>
        <v>0</v>
      </c>
      <c r="H89" s="115"/>
      <c r="I89" s="115"/>
      <c r="J89" s="115"/>
      <c r="K89" s="115"/>
      <c r="L89" s="115"/>
      <c r="M89" s="149"/>
      <c r="N89" s="150"/>
      <c r="O89" s="150"/>
      <c r="P89" s="150"/>
      <c r="Q89" s="150"/>
      <c r="R89" s="99"/>
      <c r="S89" s="99"/>
      <c r="T89" s="99"/>
      <c r="U89" s="99"/>
      <c r="V89" s="99"/>
      <c r="W89" s="99"/>
      <c r="X89" s="99"/>
      <c r="Y89" s="99"/>
      <c r="Z89" s="99"/>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14"/>
      <c r="BK89" s="214"/>
    </row>
    <row r="90" spans="1:63" hidden="1" outlineLevel="1">
      <c r="A90" s="9"/>
      <c r="B90" s="44"/>
      <c r="C90" s="128" t="str">
        <f>Asset15</f>
        <v>Furniture, fittings, plant and equipment</v>
      </c>
      <c r="D90" s="9"/>
      <c r="E90" s="9"/>
      <c r="F90" s="139"/>
      <c r="G90" s="191">
        <f t="shared" si="0"/>
        <v>-4.8474668821938849E-2</v>
      </c>
      <c r="H90" s="115"/>
      <c r="I90" s="115"/>
      <c r="J90" s="115"/>
      <c r="K90" s="115"/>
      <c r="L90" s="115"/>
      <c r="M90" s="149"/>
      <c r="N90" s="150"/>
      <c r="O90" s="150"/>
      <c r="P90" s="150"/>
      <c r="Q90" s="150"/>
      <c r="R90" s="99"/>
      <c r="S90" s="99"/>
      <c r="T90" s="99"/>
      <c r="U90" s="99"/>
      <c r="V90" s="99"/>
      <c r="W90" s="99"/>
      <c r="X90" s="99"/>
      <c r="Y90" s="99"/>
      <c r="Z90" s="99"/>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14"/>
      <c r="BK90" s="214"/>
    </row>
    <row r="91" spans="1:63" hidden="1" outlineLevel="1">
      <c r="A91" s="9"/>
      <c r="B91" s="44"/>
      <c r="C91" s="128" t="str">
        <f>Asset16</f>
        <v>Land (non-system)</v>
      </c>
      <c r="D91" s="9"/>
      <c r="E91" s="9"/>
      <c r="F91" s="139"/>
      <c r="G91" s="191">
        <f t="shared" si="0"/>
        <v>-13.034530300293511</v>
      </c>
      <c r="H91" s="115"/>
      <c r="I91" s="115"/>
      <c r="J91" s="115"/>
      <c r="K91" s="115"/>
      <c r="L91" s="115"/>
      <c r="M91" s="149"/>
      <c r="N91" s="150"/>
      <c r="O91" s="150"/>
      <c r="P91" s="150"/>
      <c r="Q91" s="150"/>
      <c r="R91" s="99"/>
      <c r="S91" s="99"/>
      <c r="T91" s="99"/>
      <c r="U91" s="99"/>
      <c r="V91" s="99"/>
      <c r="W91" s="99"/>
      <c r="X91" s="99"/>
      <c r="Y91" s="99"/>
      <c r="Z91" s="99"/>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14"/>
      <c r="BK91" s="214"/>
    </row>
    <row r="92" spans="1:63" hidden="1" outlineLevel="1">
      <c r="A92" s="9"/>
      <c r="B92" s="44"/>
      <c r="C92" s="128" t="str">
        <f>Asset17</f>
        <v>Other non system assets</v>
      </c>
      <c r="D92" s="9"/>
      <c r="E92" s="9"/>
      <c r="F92" s="139"/>
      <c r="G92" s="191">
        <f t="shared" si="0"/>
        <v>0.72535598395886169</v>
      </c>
      <c r="H92" s="115"/>
      <c r="I92" s="115"/>
      <c r="J92" s="115"/>
      <c r="K92" s="115"/>
      <c r="L92" s="115"/>
      <c r="M92" s="149"/>
      <c r="N92" s="150"/>
      <c r="O92" s="150"/>
      <c r="P92" s="150"/>
      <c r="Q92" s="150"/>
      <c r="R92" s="99"/>
      <c r="S92" s="99"/>
      <c r="T92" s="99"/>
      <c r="U92" s="99"/>
      <c r="V92" s="99"/>
      <c r="W92" s="99"/>
      <c r="X92" s="99"/>
      <c r="Y92" s="99"/>
      <c r="Z92" s="99"/>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14"/>
      <c r="BK92" s="214"/>
    </row>
    <row r="93" spans="1:63" hidden="1" outlineLevel="1">
      <c r="A93" s="9"/>
      <c r="B93" s="44"/>
      <c r="C93" s="128" t="str">
        <f>Asset18</f>
        <v>IT systems</v>
      </c>
      <c r="D93" s="9"/>
      <c r="E93" s="9"/>
      <c r="F93" s="139"/>
      <c r="G93" s="191">
        <f t="shared" si="0"/>
        <v>26.84520294300593</v>
      </c>
      <c r="H93" s="115"/>
      <c r="I93" s="115"/>
      <c r="J93" s="115"/>
      <c r="K93" s="115"/>
      <c r="L93" s="115"/>
      <c r="M93" s="149"/>
      <c r="N93" s="150"/>
      <c r="O93" s="150"/>
      <c r="P93" s="150"/>
      <c r="Q93" s="150"/>
      <c r="R93" s="99"/>
      <c r="S93" s="99"/>
      <c r="T93" s="99"/>
      <c r="U93" s="99"/>
      <c r="V93" s="99"/>
      <c r="W93" s="99"/>
      <c r="X93" s="99"/>
      <c r="Y93" s="99"/>
      <c r="Z93" s="99"/>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14"/>
      <c r="BK93" s="214"/>
    </row>
    <row r="94" spans="1:63" hidden="1" outlineLevel="1">
      <c r="A94" s="9"/>
      <c r="B94" s="44"/>
      <c r="C94" s="128" t="str">
        <f>Asset19</f>
        <v>Motor vehicles</v>
      </c>
      <c r="D94" s="9"/>
      <c r="E94" s="9"/>
      <c r="F94" s="139"/>
      <c r="G94" s="191">
        <f t="shared" si="0"/>
        <v>1.0682603888355047</v>
      </c>
      <c r="H94" s="115"/>
      <c r="I94" s="115"/>
      <c r="J94" s="115"/>
      <c r="K94" s="115"/>
      <c r="L94" s="115"/>
      <c r="M94" s="149"/>
      <c r="N94" s="150"/>
      <c r="O94" s="150"/>
      <c r="P94" s="150"/>
      <c r="Q94" s="150"/>
      <c r="R94" s="99"/>
      <c r="S94" s="99"/>
      <c r="T94" s="99"/>
      <c r="U94" s="99"/>
      <c r="V94" s="99"/>
      <c r="W94" s="99"/>
      <c r="X94" s="99"/>
      <c r="Y94" s="99"/>
      <c r="Z94" s="99"/>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14"/>
      <c r="BK94" s="214"/>
    </row>
    <row r="95" spans="1:63" hidden="1" outlineLevel="1">
      <c r="A95" s="9"/>
      <c r="B95" s="44"/>
      <c r="C95" s="128" t="str">
        <f>Asset20</f>
        <v>Buildings</v>
      </c>
      <c r="D95" s="9"/>
      <c r="E95" s="9"/>
      <c r="F95" s="139"/>
      <c r="G95" s="191">
        <f t="shared" si="0"/>
        <v>9.1178542543495666E-2</v>
      </c>
      <c r="H95" s="115"/>
      <c r="I95" s="115"/>
      <c r="J95" s="115"/>
      <c r="K95" s="115"/>
      <c r="L95" s="115"/>
      <c r="M95" s="149"/>
      <c r="N95" s="150"/>
      <c r="O95" s="150"/>
      <c r="P95" s="150"/>
      <c r="Q95" s="150"/>
      <c r="R95" s="99"/>
      <c r="S95" s="99"/>
      <c r="T95" s="99"/>
      <c r="U95" s="99"/>
      <c r="V95" s="99"/>
      <c r="W95" s="99"/>
      <c r="X95" s="99"/>
      <c r="Y95" s="99"/>
      <c r="Z95" s="99"/>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14"/>
      <c r="BK95" s="214"/>
    </row>
    <row r="96" spans="1:63" hidden="1" outlineLevel="1">
      <c r="A96" s="9"/>
      <c r="B96" s="44"/>
      <c r="C96" s="128" t="str">
        <f>Asset21</f>
        <v>Equity raising costs</v>
      </c>
      <c r="D96" s="9"/>
      <c r="E96" s="9"/>
      <c r="F96" s="139"/>
      <c r="G96" s="191">
        <f t="shared" ref="G96:G105" si="1">G64*(1+$F$6)/(1+$G$6)-G32</f>
        <v>0</v>
      </c>
      <c r="H96" s="115"/>
      <c r="I96" s="115"/>
      <c r="J96" s="115"/>
      <c r="K96" s="115"/>
      <c r="L96" s="115"/>
      <c r="M96" s="149"/>
      <c r="N96" s="150"/>
      <c r="O96" s="150"/>
      <c r="P96" s="150"/>
      <c r="Q96" s="150"/>
      <c r="R96" s="99"/>
      <c r="S96" s="99"/>
      <c r="T96" s="99"/>
      <c r="U96" s="99"/>
      <c r="V96" s="99"/>
      <c r="W96" s="99"/>
      <c r="X96" s="99"/>
      <c r="Y96" s="99"/>
      <c r="Z96" s="99"/>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14"/>
      <c r="BK96" s="214"/>
    </row>
    <row r="97" spans="1:63" hidden="1" outlineLevel="1">
      <c r="A97" s="9"/>
      <c r="B97" s="44"/>
      <c r="C97" s="128">
        <f>Asset22</f>
        <v>0</v>
      </c>
      <c r="D97" s="9"/>
      <c r="E97" s="9"/>
      <c r="F97" s="139"/>
      <c r="G97" s="191">
        <f t="shared" si="1"/>
        <v>0</v>
      </c>
      <c r="H97" s="115"/>
      <c r="I97" s="115"/>
      <c r="J97" s="115"/>
      <c r="K97" s="115"/>
      <c r="L97" s="115"/>
      <c r="M97" s="149"/>
      <c r="N97" s="150"/>
      <c r="O97" s="150"/>
      <c r="P97" s="150"/>
      <c r="Q97" s="150"/>
      <c r="R97" s="99"/>
      <c r="S97" s="99"/>
      <c r="T97" s="99"/>
      <c r="U97" s="99"/>
      <c r="V97" s="99"/>
      <c r="W97" s="99"/>
      <c r="X97" s="99"/>
      <c r="Y97" s="99"/>
      <c r="Z97" s="99"/>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14"/>
      <c r="BK97" s="214"/>
    </row>
    <row r="98" spans="1:63" hidden="1" outlineLevel="1">
      <c r="A98" s="9"/>
      <c r="B98" s="44"/>
      <c r="C98" s="128">
        <f>Asset23</f>
        <v>0</v>
      </c>
      <c r="D98" s="9"/>
      <c r="E98" s="9"/>
      <c r="F98" s="139"/>
      <c r="G98" s="191">
        <f t="shared" si="1"/>
        <v>0</v>
      </c>
      <c r="H98" s="115"/>
      <c r="I98" s="115"/>
      <c r="J98" s="115"/>
      <c r="K98" s="115"/>
      <c r="L98" s="115"/>
      <c r="M98" s="149"/>
      <c r="N98" s="150"/>
      <c r="O98" s="150"/>
      <c r="P98" s="150"/>
      <c r="Q98" s="150"/>
      <c r="R98" s="99"/>
      <c r="S98" s="99"/>
      <c r="T98" s="99"/>
      <c r="U98" s="99"/>
      <c r="V98" s="99"/>
      <c r="W98" s="99"/>
      <c r="X98" s="99"/>
      <c r="Y98" s="99"/>
      <c r="Z98" s="99"/>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14"/>
      <c r="BK98" s="214"/>
    </row>
    <row r="99" spans="1:63" hidden="1" outlineLevel="1">
      <c r="A99" s="9"/>
      <c r="B99" s="44"/>
      <c r="C99" s="128">
        <f>Asset24</f>
        <v>0</v>
      </c>
      <c r="D99" s="9"/>
      <c r="E99" s="9"/>
      <c r="F99" s="139"/>
      <c r="G99" s="191">
        <f t="shared" si="1"/>
        <v>0</v>
      </c>
      <c r="H99" s="115"/>
      <c r="I99" s="115"/>
      <c r="J99" s="115"/>
      <c r="K99" s="115"/>
      <c r="L99" s="115"/>
      <c r="M99" s="149"/>
      <c r="N99" s="150"/>
      <c r="O99" s="150"/>
      <c r="P99" s="150"/>
      <c r="Q99" s="150"/>
      <c r="R99" s="99"/>
      <c r="S99" s="99"/>
      <c r="T99" s="99"/>
      <c r="U99" s="99"/>
      <c r="V99" s="99"/>
      <c r="W99" s="99"/>
      <c r="X99" s="99"/>
      <c r="Y99" s="99"/>
      <c r="Z99" s="99"/>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14"/>
      <c r="BK99" s="214"/>
    </row>
    <row r="100" spans="1:63" hidden="1" outlineLevel="1">
      <c r="A100" s="9"/>
      <c r="B100" s="44"/>
      <c r="C100" s="128">
        <f>Asset25</f>
        <v>0</v>
      </c>
      <c r="D100" s="9"/>
      <c r="E100" s="9"/>
      <c r="F100" s="139"/>
      <c r="G100" s="191">
        <f t="shared" si="1"/>
        <v>0</v>
      </c>
      <c r="H100" s="115"/>
      <c r="I100" s="115"/>
      <c r="J100" s="115"/>
      <c r="K100" s="115"/>
      <c r="L100" s="115"/>
      <c r="M100" s="149"/>
      <c r="N100" s="150"/>
      <c r="O100" s="150"/>
      <c r="P100" s="150"/>
      <c r="Q100" s="150"/>
      <c r="R100" s="99"/>
      <c r="S100" s="99"/>
      <c r="T100" s="99"/>
      <c r="U100" s="99"/>
      <c r="V100" s="99"/>
      <c r="W100" s="99"/>
      <c r="X100" s="99"/>
      <c r="Y100" s="99"/>
      <c r="Z100" s="99"/>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14"/>
      <c r="BK100" s="214"/>
    </row>
    <row r="101" spans="1:63" hidden="1" outlineLevel="1">
      <c r="A101" s="9"/>
      <c r="B101" s="44"/>
      <c r="C101" s="128">
        <f>Asset26</f>
        <v>0</v>
      </c>
      <c r="D101" s="9"/>
      <c r="E101" s="9"/>
      <c r="F101" s="139"/>
      <c r="G101" s="191">
        <f t="shared" si="1"/>
        <v>0</v>
      </c>
      <c r="H101" s="115"/>
      <c r="I101" s="115"/>
      <c r="J101" s="115"/>
      <c r="K101" s="115"/>
      <c r="L101" s="115"/>
      <c r="M101" s="149"/>
      <c r="N101" s="150"/>
      <c r="O101" s="150"/>
      <c r="P101" s="150"/>
      <c r="Q101" s="150"/>
      <c r="R101" s="99"/>
      <c r="S101" s="99"/>
      <c r="T101" s="99"/>
      <c r="U101" s="99"/>
      <c r="V101" s="99"/>
      <c r="W101" s="99"/>
      <c r="X101" s="99"/>
      <c r="Y101" s="99"/>
      <c r="Z101" s="99"/>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14"/>
      <c r="BK101" s="214"/>
    </row>
    <row r="102" spans="1:63" hidden="1" outlineLevel="1">
      <c r="A102" s="9"/>
      <c r="B102" s="44"/>
      <c r="C102" s="128">
        <f>Asset27</f>
        <v>0</v>
      </c>
      <c r="D102" s="9"/>
      <c r="E102" s="9"/>
      <c r="F102" s="139"/>
      <c r="G102" s="191">
        <f t="shared" si="1"/>
        <v>0</v>
      </c>
      <c r="H102" s="115"/>
      <c r="I102" s="115"/>
      <c r="J102" s="115"/>
      <c r="K102" s="115"/>
      <c r="L102" s="115"/>
      <c r="M102" s="149"/>
      <c r="N102" s="150"/>
      <c r="O102" s="150"/>
      <c r="P102" s="150"/>
      <c r="Q102" s="150"/>
      <c r="R102" s="99"/>
      <c r="S102" s="99"/>
      <c r="T102" s="99"/>
      <c r="U102" s="99"/>
      <c r="V102" s="99"/>
      <c r="W102" s="99"/>
      <c r="X102" s="99"/>
      <c r="Y102" s="99"/>
      <c r="Z102" s="99"/>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14"/>
      <c r="BK102" s="214"/>
    </row>
    <row r="103" spans="1:63" hidden="1" outlineLevel="1">
      <c r="A103" s="9"/>
      <c r="B103" s="44"/>
      <c r="C103" s="128">
        <f>Asset28</f>
        <v>0</v>
      </c>
      <c r="D103" s="9"/>
      <c r="E103" s="9"/>
      <c r="F103" s="139"/>
      <c r="G103" s="191">
        <f t="shared" si="1"/>
        <v>0</v>
      </c>
      <c r="H103" s="115"/>
      <c r="I103" s="115"/>
      <c r="J103" s="115"/>
      <c r="K103" s="115"/>
      <c r="L103" s="115"/>
      <c r="M103" s="149"/>
      <c r="N103" s="150"/>
      <c r="O103" s="150"/>
      <c r="P103" s="150"/>
      <c r="Q103" s="150"/>
      <c r="R103" s="99"/>
      <c r="S103" s="99"/>
      <c r="T103" s="99"/>
      <c r="U103" s="99"/>
      <c r="V103" s="99"/>
      <c r="W103" s="99"/>
      <c r="X103" s="99"/>
      <c r="Y103" s="99"/>
      <c r="Z103" s="99"/>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14"/>
      <c r="BK103" s="214"/>
    </row>
    <row r="104" spans="1:63" hidden="1" outlineLevel="1">
      <c r="A104" s="9"/>
      <c r="B104" s="44"/>
      <c r="C104" s="128">
        <f>Asset29</f>
        <v>0</v>
      </c>
      <c r="D104" s="9"/>
      <c r="E104" s="9"/>
      <c r="F104" s="139"/>
      <c r="G104" s="191">
        <f t="shared" si="1"/>
        <v>0</v>
      </c>
      <c r="H104" s="115"/>
      <c r="I104" s="115"/>
      <c r="J104" s="115"/>
      <c r="K104" s="115"/>
      <c r="L104" s="115"/>
      <c r="M104" s="149"/>
      <c r="N104" s="150"/>
      <c r="O104" s="150"/>
      <c r="P104" s="150"/>
      <c r="Q104" s="150"/>
      <c r="R104" s="99"/>
      <c r="S104" s="99"/>
      <c r="T104" s="99"/>
      <c r="U104" s="99"/>
      <c r="V104" s="99"/>
      <c r="W104" s="99"/>
      <c r="X104" s="99"/>
      <c r="Y104" s="99"/>
      <c r="Z104" s="99"/>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14"/>
      <c r="BK104" s="214"/>
    </row>
    <row r="105" spans="1:63" hidden="1" outlineLevel="1">
      <c r="A105" s="9"/>
      <c r="B105" s="44"/>
      <c r="C105" s="128">
        <f>Asset30</f>
        <v>0</v>
      </c>
      <c r="D105" s="9"/>
      <c r="E105" s="9"/>
      <c r="F105" s="139"/>
      <c r="G105" s="191">
        <f t="shared" si="1"/>
        <v>0</v>
      </c>
      <c r="H105" s="115"/>
      <c r="I105" s="115"/>
      <c r="J105" s="115"/>
      <c r="K105" s="115"/>
      <c r="L105" s="115"/>
      <c r="M105" s="149"/>
      <c r="N105" s="150"/>
      <c r="O105" s="150"/>
      <c r="P105" s="150"/>
      <c r="Q105" s="150"/>
      <c r="R105" s="99"/>
      <c r="S105" s="99"/>
      <c r="T105" s="99"/>
      <c r="U105" s="99"/>
      <c r="V105" s="99"/>
      <c r="W105" s="99"/>
      <c r="X105" s="99"/>
      <c r="Y105" s="99"/>
      <c r="Z105" s="99"/>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14"/>
      <c r="BK105" s="214"/>
    </row>
    <row r="106" spans="1:63" collapsed="1">
      <c r="A106" s="9"/>
      <c r="B106" s="44"/>
      <c r="C106" s="128"/>
      <c r="D106" s="9"/>
      <c r="E106" s="9"/>
      <c r="F106" s="139"/>
      <c r="G106" s="191"/>
      <c r="H106" s="115"/>
      <c r="I106" s="115"/>
      <c r="J106" s="115"/>
      <c r="K106" s="115"/>
      <c r="L106" s="115"/>
      <c r="M106" s="149"/>
      <c r="N106" s="150"/>
      <c r="O106" s="150"/>
      <c r="P106" s="150"/>
      <c r="Q106" s="150"/>
      <c r="R106" s="99"/>
      <c r="S106" s="99"/>
      <c r="T106" s="99"/>
      <c r="U106" s="99"/>
      <c r="V106" s="99"/>
      <c r="W106" s="99"/>
      <c r="X106" s="99"/>
      <c r="Y106" s="99"/>
      <c r="Z106" s="99"/>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14"/>
      <c r="BK106" s="214"/>
    </row>
    <row r="107" spans="1:63">
      <c r="A107" s="9"/>
      <c r="B107" s="44" t="s">
        <v>58</v>
      </c>
      <c r="C107" s="9"/>
      <c r="D107" s="9"/>
      <c r="E107" s="9"/>
      <c r="F107" s="139"/>
      <c r="G107" s="192"/>
      <c r="H107" s="36">
        <f>SUM(H108,H110,H112,H114,H116,H118,H120,H122,H124,H126,H128,H130,H132,H134,H136,H138,H140,H142,H144,H146,H148,H150,H152,H154,H156,H158,H160,H162,H164,H166)</f>
        <v>22.28133324905</v>
      </c>
      <c r="I107" s="36">
        <f t="shared" ref="I107:Q107" si="2">SUM(I108,I110,I112,I114,I116,I118,I120,I122,I124,I126,I128,I130,I132,I134,I136,I138,I140,I142,I144,I146,I148,I150,I152,I154,I156,I158,I160,I162,I164,I166)</f>
        <v>27.23449531319482</v>
      </c>
      <c r="J107" s="36">
        <f t="shared" si="2"/>
        <v>31.758176417830892</v>
      </c>
      <c r="K107" s="36">
        <f t="shared" si="2"/>
        <v>29.657593381769178</v>
      </c>
      <c r="L107" s="36">
        <f t="shared" si="2"/>
        <v>34.985252802994644</v>
      </c>
      <c r="M107" s="36">
        <f t="shared" si="2"/>
        <v>0</v>
      </c>
      <c r="N107" s="36">
        <f t="shared" si="2"/>
        <v>0</v>
      </c>
      <c r="O107" s="36">
        <f t="shared" si="2"/>
        <v>0</v>
      </c>
      <c r="P107" s="36">
        <f t="shared" si="2"/>
        <v>0</v>
      </c>
      <c r="Q107" s="36">
        <f t="shared" si="2"/>
        <v>0</v>
      </c>
      <c r="R107" s="99"/>
      <c r="S107" s="99"/>
      <c r="T107" s="99"/>
      <c r="U107" s="99"/>
      <c r="V107" s="99"/>
      <c r="W107" s="99"/>
      <c r="X107" s="99"/>
      <c r="Y107" s="99"/>
      <c r="Z107" s="99"/>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14"/>
      <c r="BK107" s="214"/>
    </row>
    <row r="108" spans="1:63" hidden="1" outlineLevel="1">
      <c r="A108" s="9"/>
      <c r="B108" s="44"/>
      <c r="C108" s="128" t="str">
        <f>Asset1</f>
        <v>Sub-transmission lines and cables</v>
      </c>
      <c r="D108" s="9"/>
      <c r="E108" s="9"/>
      <c r="F108" s="139"/>
      <c r="G108" s="191"/>
      <c r="H108" s="407">
        <f>($G76+(SUM($G108:G108)))*H$7</f>
        <v>15.70014236361617</v>
      </c>
      <c r="I108" s="407">
        <f>($G76+(SUM($G108:H108)))*I$7</f>
        <v>19.190299289501759</v>
      </c>
      <c r="J108" s="407">
        <f>($G76+(SUM($G108:I108)))*J$7</f>
        <v>22.37783015026903</v>
      </c>
      <c r="K108" s="407">
        <f>($G76+(SUM($G108:J108)))*K$7</f>
        <v>20.897691940219495</v>
      </c>
      <c r="L108" s="407">
        <f>($G76+(SUM($G108:K108)))*L$7</f>
        <v>24.651731720656191</v>
      </c>
      <c r="M108" s="109">
        <f>($G76+(SUM($G108:L108)))*M$7</f>
        <v>0</v>
      </c>
      <c r="N108" s="109">
        <f>($G76+(SUM($G108:M108)))*N$7</f>
        <v>0</v>
      </c>
      <c r="O108" s="109">
        <f>($G76+(SUM($G108:N108)))*O$7</f>
        <v>0</v>
      </c>
      <c r="P108" s="109">
        <f>($G76+(SUM($G108:O108)))*P$7</f>
        <v>0</v>
      </c>
      <c r="Q108" s="109">
        <f>($G76+(SUM($G108:P108)))*Q$7</f>
        <v>0</v>
      </c>
      <c r="R108" s="99"/>
      <c r="S108" s="99"/>
      <c r="T108" s="99"/>
      <c r="U108" s="99"/>
      <c r="V108" s="99"/>
      <c r="W108" s="99"/>
      <c r="X108" s="99"/>
      <c r="Y108" s="99"/>
      <c r="Z108" s="99"/>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14"/>
      <c r="BK108" s="214"/>
    </row>
    <row r="109" spans="1:63" hidden="1" outlineLevel="1">
      <c r="A109" s="9"/>
      <c r="B109" s="44"/>
      <c r="C109" s="152" t="s">
        <v>29</v>
      </c>
      <c r="D109" s="9"/>
      <c r="E109" s="9"/>
      <c r="F109" s="139"/>
      <c r="G109" s="191"/>
      <c r="H109" s="109"/>
      <c r="I109" s="109"/>
      <c r="J109" s="109"/>
      <c r="K109" s="109"/>
      <c r="L109" s="109">
        <f>IF(M108=0, SUM($G108:L108), 0)</f>
        <v>102.81769546426264</v>
      </c>
      <c r="M109" s="109">
        <f>IF(N108=0, IF(M108=0, 0, SUM($G108:M108)), 0)</f>
        <v>0</v>
      </c>
      <c r="N109" s="109">
        <f>IF(O108=0, IF(N108=0, 0, SUM($G108:N108)), 0)</f>
        <v>0</v>
      </c>
      <c r="O109" s="109">
        <f>IF(P108=0, IF(O108=0, 0, SUM($G108:O108)), 0)</f>
        <v>0</v>
      </c>
      <c r="P109" s="109">
        <f>IF(Q108=0, IF(P108=0, 0, SUM($G108:P108)), 0)</f>
        <v>0</v>
      </c>
      <c r="Q109" s="109">
        <f>IF(R108=0, IF(Q108=0, 0, SUM($G108:Q108)), 0)</f>
        <v>0</v>
      </c>
      <c r="R109" s="99"/>
      <c r="S109" s="99"/>
      <c r="T109" s="99"/>
      <c r="U109" s="99"/>
      <c r="V109" s="99"/>
      <c r="W109" s="99"/>
      <c r="X109" s="99"/>
      <c r="Y109" s="99"/>
      <c r="Z109" s="99"/>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14"/>
      <c r="BK109" s="214"/>
    </row>
    <row r="110" spans="1:63" hidden="1" outlineLevel="1">
      <c r="A110" s="9"/>
      <c r="B110" s="44"/>
      <c r="C110" s="128" t="str">
        <f>Asset2</f>
        <v>Cable tunnel (dx)</v>
      </c>
      <c r="D110" s="9"/>
      <c r="E110" s="9"/>
      <c r="F110" s="139"/>
      <c r="G110" s="191"/>
      <c r="H110" s="407">
        <f>($G77+(SUM($G110:G110)))*H$7</f>
        <v>-2.757051593080845</v>
      </c>
      <c r="I110" s="407">
        <f>($G77+(SUM($G110:H110)))*I$7</f>
        <v>-3.3699468452229193</v>
      </c>
      <c r="J110" s="407">
        <f>($G77+(SUM($G110:I110)))*J$7</f>
        <v>-3.9296989056907718</v>
      </c>
      <c r="K110" s="407">
        <f>($G77+(SUM($G110:J110)))*K$7</f>
        <v>-3.6697765868044234</v>
      </c>
      <c r="L110" s="407">
        <f>($G77+(SUM($G110:K110)))*L$7</f>
        <v>-4.3290114598032421</v>
      </c>
      <c r="M110" s="109">
        <f>($G77+(SUM($G110:L110)))*M$7</f>
        <v>0</v>
      </c>
      <c r="N110" s="109">
        <f>($G77+(SUM($G110:M110)))*N$7</f>
        <v>0</v>
      </c>
      <c r="O110" s="109">
        <f>($G77+(SUM($G110:N110)))*O$7</f>
        <v>0</v>
      </c>
      <c r="P110" s="109">
        <f>($G77+(SUM($G110:O110)))*P$7</f>
        <v>0</v>
      </c>
      <c r="Q110" s="109">
        <f>($G77+(SUM($G110:P110)))*Q$7</f>
        <v>0</v>
      </c>
      <c r="R110" s="99"/>
      <c r="S110" s="99"/>
      <c r="T110" s="99"/>
      <c r="U110" s="99"/>
      <c r="V110" s="99"/>
      <c r="W110" s="99"/>
      <c r="X110" s="99"/>
      <c r="Y110" s="99"/>
      <c r="Z110" s="99"/>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14"/>
      <c r="BK110" s="214"/>
    </row>
    <row r="111" spans="1:63" hidden="1" outlineLevel="1">
      <c r="A111" s="9"/>
      <c r="B111" s="44"/>
      <c r="C111" s="152" t="s">
        <v>29</v>
      </c>
      <c r="D111" s="9"/>
      <c r="E111" s="9"/>
      <c r="F111" s="139"/>
      <c r="G111" s="191"/>
      <c r="H111" s="109"/>
      <c r="I111" s="109"/>
      <c r="J111" s="109"/>
      <c r="K111" s="109"/>
      <c r="L111" s="109">
        <f>IF(M110=0, SUM($G110:L110), 0)</f>
        <v>-18.0554853906022</v>
      </c>
      <c r="M111" s="109">
        <f>IF(N110=0, IF(M110=0, 0, SUM($G110:M110)), 0)</f>
        <v>0</v>
      </c>
      <c r="N111" s="109">
        <f>IF(O110=0, IF(N110=0, 0, SUM($G110:N110)), 0)</f>
        <v>0</v>
      </c>
      <c r="O111" s="109">
        <f>IF(P110=0, IF(O110=0, 0, SUM($G110:O110)), 0)</f>
        <v>0</v>
      </c>
      <c r="P111" s="109">
        <f>IF(Q110=0, IF(P110=0, 0, SUM($G110:P110)), 0)</f>
        <v>0</v>
      </c>
      <c r="Q111" s="109">
        <f>IF(R110=0, IF(Q110=0, 0, SUM($G110:Q110)), 0)</f>
        <v>0</v>
      </c>
      <c r="R111" s="99"/>
      <c r="S111" s="99"/>
      <c r="T111" s="99"/>
      <c r="U111" s="99"/>
      <c r="V111" s="99"/>
      <c r="W111" s="99"/>
      <c r="X111" s="99"/>
      <c r="Y111" s="99"/>
      <c r="Z111" s="99"/>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14"/>
      <c r="BK111" s="214"/>
    </row>
    <row r="112" spans="1:63" hidden="1" outlineLevel="1">
      <c r="A112" s="9"/>
      <c r="B112" s="44"/>
      <c r="C112" s="128" t="str">
        <f>Asset3</f>
        <v>Distribution lines and cables</v>
      </c>
      <c r="D112" s="9"/>
      <c r="E112" s="9"/>
      <c r="F112" s="139"/>
      <c r="G112" s="191"/>
      <c r="H112" s="109">
        <f>($G78+(SUM($G112:G112)))*H$7</f>
        <v>-0.72691309402117976</v>
      </c>
      <c r="I112" s="109">
        <f>($G78+(SUM($G112:H112)))*I$7</f>
        <v>-0.88850658221109136</v>
      </c>
      <c r="J112" s="109">
        <f>($G78+(SUM($G112:I112)))*J$7</f>
        <v>-1.0360885509999815</v>
      </c>
      <c r="K112" s="109">
        <f>($G78+(SUM($G112:J112)))*K$7</f>
        <v>-0.96755848159503999</v>
      </c>
      <c r="L112" s="109">
        <f>($G78+(SUM($G112:K112)))*L$7</f>
        <v>-1.141369687167274</v>
      </c>
      <c r="M112" s="109">
        <f>($G78+(SUM($G112:L112)))*M$7</f>
        <v>0</v>
      </c>
      <c r="N112" s="109">
        <f>($G78+(SUM($G112:M112)))*N$7</f>
        <v>0</v>
      </c>
      <c r="O112" s="109">
        <f>($G78+(SUM($G112:N112)))*O$7</f>
        <v>0</v>
      </c>
      <c r="P112" s="109">
        <f>($G78+(SUM($G112:O112)))*P$7</f>
        <v>0</v>
      </c>
      <c r="Q112" s="109">
        <f>($G78+(SUM($G112:P112)))*Q$7</f>
        <v>0</v>
      </c>
      <c r="R112" s="99"/>
      <c r="S112" s="99"/>
      <c r="T112" s="99"/>
      <c r="U112" s="99"/>
      <c r="V112" s="99"/>
      <c r="W112" s="99"/>
      <c r="X112" s="99"/>
      <c r="Y112" s="99"/>
      <c r="Z112" s="99"/>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14"/>
      <c r="BK112" s="214"/>
    </row>
    <row r="113" spans="1:63" hidden="1" outlineLevel="1">
      <c r="A113" s="9"/>
      <c r="B113" s="44"/>
      <c r="C113" s="152" t="s">
        <v>29</v>
      </c>
      <c r="D113" s="9"/>
      <c r="E113" s="9"/>
      <c r="F113" s="139"/>
      <c r="G113" s="191"/>
      <c r="H113" s="109"/>
      <c r="I113" s="109"/>
      <c r="J113" s="109"/>
      <c r="K113" s="109"/>
      <c r="L113" s="109">
        <f>IF(M112=0, SUM($G112:L112), 0)</f>
        <v>-4.7604363959945672</v>
      </c>
      <c r="M113" s="109">
        <f>IF(N112=0, IF(M112=0, 0, SUM($G112:M112)), 0)</f>
        <v>0</v>
      </c>
      <c r="N113" s="109">
        <f>IF(O112=0, IF(N112=0, 0, SUM($G112:N112)), 0)</f>
        <v>0</v>
      </c>
      <c r="O113" s="109">
        <f>IF(P112=0, IF(O112=0, 0, SUM($G112:O112)), 0)</f>
        <v>0</v>
      </c>
      <c r="P113" s="109">
        <f>IF(Q112=0, IF(P112=0, 0, SUM($G112:P112)), 0)</f>
        <v>0</v>
      </c>
      <c r="Q113" s="109">
        <f>IF(R112=0, IF(Q112=0, 0, SUM($G112:Q112)), 0)</f>
        <v>0</v>
      </c>
      <c r="R113" s="99"/>
      <c r="S113" s="99"/>
      <c r="T113" s="99"/>
      <c r="U113" s="99"/>
      <c r="V113" s="99"/>
      <c r="W113" s="99"/>
      <c r="X113" s="99"/>
      <c r="Y113" s="99"/>
      <c r="Z113" s="99"/>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14"/>
      <c r="BK113" s="214"/>
    </row>
    <row r="114" spans="1:63" hidden="1" outlineLevel="1">
      <c r="A114" s="9"/>
      <c r="B114" s="44"/>
      <c r="C114" s="128" t="str">
        <f>Asset4</f>
        <v>Substations</v>
      </c>
      <c r="D114" s="9"/>
      <c r="E114" s="9"/>
      <c r="F114" s="139"/>
      <c r="G114" s="191"/>
      <c r="H114" s="109">
        <f>($G79+(SUM($G114:G114)))*H$7</f>
        <v>-3.4234017562697172</v>
      </c>
      <c r="I114" s="109">
        <f>($G79+(SUM($G114:H114)))*I$7</f>
        <v>-4.1844272981414052</v>
      </c>
      <c r="J114" s="109">
        <f>($G79+(SUM($G114:I114)))*J$7</f>
        <v>-4.8794655018842423</v>
      </c>
      <c r="K114" s="109">
        <f>($G79+(SUM($G114:J114)))*K$7</f>
        <v>-4.5567227120132339</v>
      </c>
      <c r="L114" s="109">
        <f>($G79+(SUM($G114:K114)))*L$7</f>
        <v>-5.3752876702034147</v>
      </c>
      <c r="M114" s="109">
        <f>($G79+(SUM($G114:L114)))*M$7</f>
        <v>0</v>
      </c>
      <c r="N114" s="109">
        <f>($G79+(SUM($G114:M114)))*N$7</f>
        <v>0</v>
      </c>
      <c r="O114" s="109">
        <f>($G79+(SUM($G114:N114)))*O$7</f>
        <v>0</v>
      </c>
      <c r="P114" s="109">
        <f>($G79+(SUM($G114:O114)))*P$7</f>
        <v>0</v>
      </c>
      <c r="Q114" s="109">
        <f>($G79+(SUM($G114:P114)))*Q$7</f>
        <v>0</v>
      </c>
      <c r="R114" s="99"/>
      <c r="S114" s="99"/>
      <c r="T114" s="99"/>
      <c r="U114" s="99"/>
      <c r="V114" s="99"/>
      <c r="W114" s="99"/>
      <c r="X114" s="99"/>
      <c r="Y114" s="99"/>
      <c r="Z114" s="99"/>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14"/>
      <c r="BK114" s="214"/>
    </row>
    <row r="115" spans="1:63" hidden="1" outlineLevel="1">
      <c r="A115" s="9"/>
      <c r="B115" s="44"/>
      <c r="C115" s="152" t="s">
        <v>29</v>
      </c>
      <c r="D115" s="9"/>
      <c r="E115" s="9"/>
      <c r="F115" s="139"/>
      <c r="G115" s="191"/>
      <c r="H115" s="109"/>
      <c r="I115" s="109"/>
      <c r="J115" s="109"/>
      <c r="K115" s="109"/>
      <c r="L115" s="109">
        <f>IF(M114=0, SUM($G114:L114), 0)</f>
        <v>-22.419304938512013</v>
      </c>
      <c r="M115" s="109">
        <f>IF(N114=0, IF(M114=0, 0, SUM($G114:M114)), 0)</f>
        <v>0</v>
      </c>
      <c r="N115" s="109">
        <f>IF(O114=0, IF(N114=0, 0, SUM($G114:N114)), 0)</f>
        <v>0</v>
      </c>
      <c r="O115" s="109">
        <f>IF(P114=0, IF(O114=0, 0, SUM($G114:O114)), 0)</f>
        <v>0</v>
      </c>
      <c r="P115" s="109">
        <f>IF(Q114=0, IF(P114=0, 0, SUM($G114:P114)), 0)</f>
        <v>0</v>
      </c>
      <c r="Q115" s="109">
        <f>IF(R114=0, IF(Q114=0, 0, SUM($G114:Q114)), 0)</f>
        <v>0</v>
      </c>
      <c r="R115" s="99"/>
      <c r="S115" s="99"/>
      <c r="T115" s="99"/>
      <c r="U115" s="99"/>
      <c r="V115" s="99"/>
      <c r="W115" s="99"/>
      <c r="X115" s="99"/>
      <c r="Y115" s="99"/>
      <c r="Z115" s="99"/>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14"/>
      <c r="BK115" s="214"/>
    </row>
    <row r="116" spans="1:63" hidden="1" outlineLevel="1">
      <c r="A116" s="9"/>
      <c r="B116" s="44"/>
      <c r="C116" s="128" t="str">
        <f>Asset5</f>
        <v>Transformers</v>
      </c>
      <c r="D116" s="9"/>
      <c r="E116" s="9"/>
      <c r="F116" s="139"/>
      <c r="G116" s="191"/>
      <c r="H116" s="109">
        <f>($G80+(SUM($G116:G116)))*H$7</f>
        <v>-0.6244303872171697</v>
      </c>
      <c r="I116" s="109">
        <f>($G80+(SUM($G116:H116)))*I$7</f>
        <v>-0.76324186995441645</v>
      </c>
      <c r="J116" s="109">
        <f>($G80+(SUM($G116:I116)))*J$7</f>
        <v>-0.89001722546126583</v>
      </c>
      <c r="K116" s="109">
        <f>($G80+(SUM($G116:J116)))*K$7</f>
        <v>-0.83114876081740241</v>
      </c>
      <c r="L116" s="109">
        <f>($G80+(SUM($G116:K116)))*L$7</f>
        <v>-0.98045546514124959</v>
      </c>
      <c r="M116" s="109">
        <f>($G80+(SUM($G116:L116)))*M$7</f>
        <v>0</v>
      </c>
      <c r="N116" s="109">
        <f>($G80+(SUM($G116:M116)))*N$7</f>
        <v>0</v>
      </c>
      <c r="O116" s="109">
        <f>($G80+(SUM($G116:N116)))*O$7</f>
        <v>0</v>
      </c>
      <c r="P116" s="109">
        <f>($G80+(SUM($G116:O116)))*P$7</f>
        <v>0</v>
      </c>
      <c r="Q116" s="109">
        <f>($G80+(SUM($G116:P116)))*Q$7</f>
        <v>0</v>
      </c>
      <c r="R116" s="99"/>
      <c r="S116" s="99"/>
      <c r="T116" s="99"/>
      <c r="U116" s="99"/>
      <c r="V116" s="99"/>
      <c r="W116" s="99"/>
      <c r="X116" s="99"/>
      <c r="Y116" s="99"/>
      <c r="Z116" s="99"/>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14"/>
      <c r="BK116" s="214"/>
    </row>
    <row r="117" spans="1:63" hidden="1" outlineLevel="1">
      <c r="A117" s="9"/>
      <c r="B117" s="44"/>
      <c r="C117" s="152" t="s">
        <v>29</v>
      </c>
      <c r="D117" s="9"/>
      <c r="E117" s="9"/>
      <c r="F117" s="139"/>
      <c r="G117" s="191"/>
      <c r="H117" s="109"/>
      <c r="I117" s="109"/>
      <c r="J117" s="109"/>
      <c r="K117" s="109"/>
      <c r="L117" s="109">
        <f>IF(M116=0, SUM($G116:L116), 0)</f>
        <v>-4.0892937085915033</v>
      </c>
      <c r="M117" s="109">
        <f>IF(N116=0, IF(M116=0, 0, SUM($G116:M116)), 0)</f>
        <v>0</v>
      </c>
      <c r="N117" s="109">
        <f>IF(O116=0, IF(N116=0, 0, SUM($G116:N116)), 0)</f>
        <v>0</v>
      </c>
      <c r="O117" s="109">
        <f>IF(P116=0, IF(O116=0, 0, SUM($G116:O116)), 0)</f>
        <v>0</v>
      </c>
      <c r="P117" s="109">
        <f>IF(Q116=0, IF(P116=0, 0, SUM($G116:P116)), 0)</f>
        <v>0</v>
      </c>
      <c r="Q117" s="109">
        <f>IF(R116=0, IF(Q116=0, 0, SUM($G116:Q116)), 0)</f>
        <v>0</v>
      </c>
      <c r="R117" s="99"/>
      <c r="S117" s="99"/>
      <c r="T117" s="99"/>
      <c r="U117" s="99"/>
      <c r="V117" s="99"/>
      <c r="W117" s="99"/>
      <c r="X117" s="99"/>
      <c r="Y117" s="99"/>
      <c r="Z117" s="99"/>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14"/>
      <c r="BK117" s="214"/>
    </row>
    <row r="118" spans="1:63" hidden="1" outlineLevel="1">
      <c r="A118" s="9"/>
      <c r="B118" s="44"/>
      <c r="C118" s="128" t="str">
        <f>Asset6</f>
        <v>Low Voltage Lines and Cables</v>
      </c>
      <c r="D118" s="9"/>
      <c r="E118" s="9"/>
      <c r="F118" s="139"/>
      <c r="G118" s="191"/>
      <c r="H118" s="109">
        <f>($G81+(SUM($G118:G118)))*H$7</f>
        <v>6.6797465158128864</v>
      </c>
      <c r="I118" s="109">
        <f>($G81+(SUM($G118:H118)))*I$7</f>
        <v>8.164660666613921</v>
      </c>
      <c r="J118" s="109">
        <f>($G81+(SUM($G118:I118)))*J$7</f>
        <v>9.5208202267080093</v>
      </c>
      <c r="K118" s="109">
        <f>($G81+(SUM($G118:J118)))*K$7</f>
        <v>8.8910840228878367</v>
      </c>
      <c r="L118" s="109">
        <f>($G81+(SUM($G118:K118)))*L$7</f>
        <v>10.488269166998805</v>
      </c>
      <c r="M118" s="109">
        <f>($G81+(SUM($G118:L118)))*M$7</f>
        <v>0</v>
      </c>
      <c r="N118" s="109">
        <f>($G81+(SUM($G118:M118)))*N$7</f>
        <v>0</v>
      </c>
      <c r="O118" s="109">
        <f>($G81+(SUM($G118:N118)))*O$7</f>
        <v>0</v>
      </c>
      <c r="P118" s="109">
        <f>($G81+(SUM($G118:O118)))*P$7</f>
        <v>0</v>
      </c>
      <c r="Q118" s="109">
        <f>($G81+(SUM($G118:P118)))*Q$7</f>
        <v>0</v>
      </c>
      <c r="R118" s="99"/>
      <c r="S118" s="99"/>
      <c r="T118" s="99"/>
      <c r="U118" s="99"/>
      <c r="V118" s="99"/>
      <c r="W118" s="99"/>
      <c r="X118" s="99"/>
      <c r="Y118" s="99"/>
      <c r="Z118" s="99"/>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14"/>
      <c r="BK118" s="214"/>
    </row>
    <row r="119" spans="1:63" hidden="1" outlineLevel="1">
      <c r="A119" s="9"/>
      <c r="B119" s="44"/>
      <c r="C119" s="152" t="s">
        <v>29</v>
      </c>
      <c r="D119" s="9"/>
      <c r="E119" s="9"/>
      <c r="F119" s="139"/>
      <c r="G119" s="191"/>
      <c r="H119" s="109"/>
      <c r="I119" s="109"/>
      <c r="J119" s="109"/>
      <c r="K119" s="109"/>
      <c r="L119" s="109">
        <f>IF(M118=0, SUM($G118:L118), 0)</f>
        <v>43.744580599021461</v>
      </c>
      <c r="M119" s="109">
        <f>IF(N118=0, IF(M118=0, 0, SUM($G118:M118)), 0)</f>
        <v>0</v>
      </c>
      <c r="N119" s="109">
        <f>IF(O118=0, IF(N118=0, 0, SUM($G118:N118)), 0)</f>
        <v>0</v>
      </c>
      <c r="O119" s="109">
        <f>IF(P118=0, IF(O118=0, 0, SUM($G118:O118)), 0)</f>
        <v>0</v>
      </c>
      <c r="P119" s="109">
        <f>IF(Q118=0, IF(P118=0, 0, SUM($G118:P118)), 0)</f>
        <v>0</v>
      </c>
      <c r="Q119" s="109">
        <f>IF(R118=0, IF(Q118=0, 0, SUM($G118:Q118)), 0)</f>
        <v>0</v>
      </c>
      <c r="R119" s="99"/>
      <c r="S119" s="99"/>
      <c r="T119" s="99"/>
      <c r="U119" s="99"/>
      <c r="V119" s="99"/>
      <c r="W119" s="99"/>
      <c r="X119" s="99"/>
      <c r="Y119" s="99"/>
      <c r="Z119" s="99"/>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14"/>
      <c r="BK119" s="214"/>
    </row>
    <row r="120" spans="1:63" hidden="1" outlineLevel="1">
      <c r="A120" s="9"/>
      <c r="B120" s="44"/>
      <c r="C120" s="128" t="str">
        <f>Asset7</f>
        <v>Customer Metering and Load Control</v>
      </c>
      <c r="D120" s="9"/>
      <c r="E120" s="9"/>
      <c r="F120" s="139"/>
      <c r="G120" s="191"/>
      <c r="H120" s="109">
        <f>($G82+(SUM($G120:G120)))*H$7</f>
        <v>-1.9086101681458638</v>
      </c>
      <c r="I120" s="109">
        <f>($G82+(SUM($G120:H120)))*I$7</f>
        <v>-2.332896065871676</v>
      </c>
      <c r="J120" s="109">
        <f>($G82+(SUM($G120:I120)))*J$7</f>
        <v>-2.7203927949610742</v>
      </c>
      <c r="K120" s="109">
        <f>($G82+(SUM($G120:J120)))*K$7</f>
        <v>-2.5404576852955407</v>
      </c>
      <c r="L120" s="109">
        <f>($G82+(SUM($G120:K120)))*L$7</f>
        <v>-2.9968228780832096</v>
      </c>
      <c r="M120" s="109">
        <f>($G82+(SUM($G120:L120)))*M$7</f>
        <v>0</v>
      </c>
      <c r="N120" s="109">
        <f>($G82+(SUM($G120:M120)))*N$7</f>
        <v>0</v>
      </c>
      <c r="O120" s="109">
        <f>($G82+(SUM($G120:N120)))*O$7</f>
        <v>0</v>
      </c>
      <c r="P120" s="109">
        <f>($G82+(SUM($G120:O120)))*P$7</f>
        <v>0</v>
      </c>
      <c r="Q120" s="109">
        <f>($G82+(SUM($G120:P120)))*Q$7</f>
        <v>0</v>
      </c>
      <c r="R120" s="99"/>
      <c r="S120" s="99"/>
      <c r="T120" s="99"/>
      <c r="U120" s="99"/>
      <c r="V120" s="99"/>
      <c r="W120" s="99"/>
      <c r="X120" s="99"/>
      <c r="Y120" s="99"/>
      <c r="Z120" s="99"/>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14"/>
      <c r="BK120" s="214"/>
    </row>
    <row r="121" spans="1:63" hidden="1" outlineLevel="1">
      <c r="A121" s="9"/>
      <c r="B121" s="44"/>
      <c r="C121" s="152" t="s">
        <v>29</v>
      </c>
      <c r="D121" s="9"/>
      <c r="E121" s="9"/>
      <c r="F121" s="139"/>
      <c r="G121" s="191"/>
      <c r="H121" s="109"/>
      <c r="I121" s="109"/>
      <c r="J121" s="109"/>
      <c r="K121" s="109"/>
      <c r="L121" s="109">
        <f>IF(M120=0, SUM($G120:L120), 0)</f>
        <v>-12.499179592357365</v>
      </c>
      <c r="M121" s="109">
        <f>IF(N120=0, IF(M120=0, 0, SUM($G120:M120)), 0)</f>
        <v>0</v>
      </c>
      <c r="N121" s="109">
        <f>IF(O120=0, IF(N120=0, 0, SUM($G120:N120)), 0)</f>
        <v>0</v>
      </c>
      <c r="O121" s="109">
        <f>IF(P120=0, IF(O120=0, 0, SUM($G120:O120)), 0)</f>
        <v>0</v>
      </c>
      <c r="P121" s="109">
        <f>IF(Q120=0, IF(P120=0, 0, SUM($G120:P120)), 0)</f>
        <v>0</v>
      </c>
      <c r="Q121" s="109">
        <f>IF(R120=0, IF(Q120=0, 0, SUM($G120:Q120)), 0)</f>
        <v>0</v>
      </c>
      <c r="R121" s="99"/>
      <c r="S121" s="99"/>
      <c r="T121" s="99"/>
      <c r="U121" s="99"/>
      <c r="V121" s="99"/>
      <c r="W121" s="99"/>
      <c r="X121" s="99"/>
      <c r="Y121" s="99"/>
      <c r="Z121" s="99"/>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14"/>
      <c r="BK121" s="214"/>
    </row>
    <row r="122" spans="1:63" hidden="1" outlineLevel="1">
      <c r="A122" s="9"/>
      <c r="B122" s="44"/>
      <c r="C122" s="128" t="str">
        <f>Asset8</f>
        <v>Customer Metering (digital)</v>
      </c>
      <c r="D122" s="9"/>
      <c r="E122" s="9"/>
      <c r="F122" s="139"/>
      <c r="G122" s="191"/>
      <c r="H122" s="109">
        <f>($G83+(SUM($G122:G122)))*H$7</f>
        <v>0</v>
      </c>
      <c r="I122" s="109">
        <f>($G83+(SUM($G122:H122)))*I$7</f>
        <v>0</v>
      </c>
      <c r="J122" s="109">
        <f>($G83+(SUM($G122:I122)))*J$7</f>
        <v>0</v>
      </c>
      <c r="K122" s="109">
        <f>($G83+(SUM($G122:J122)))*K$7</f>
        <v>0</v>
      </c>
      <c r="L122" s="109">
        <f>($G83+(SUM($G122:K122)))*L$7</f>
        <v>0</v>
      </c>
      <c r="M122" s="109">
        <f>($G83+(SUM($G122:L122)))*M$7</f>
        <v>0</v>
      </c>
      <c r="N122" s="109">
        <f>($G83+(SUM($G122:M122)))*N$7</f>
        <v>0</v>
      </c>
      <c r="O122" s="109">
        <f>($G83+(SUM($G122:N122)))*O$7</f>
        <v>0</v>
      </c>
      <c r="P122" s="109">
        <f>($G83+(SUM($G122:O122)))*P$7</f>
        <v>0</v>
      </c>
      <c r="Q122" s="109">
        <f>($G83+(SUM($G122:P122)))*Q$7</f>
        <v>0</v>
      </c>
      <c r="R122" s="99"/>
      <c r="S122" s="99"/>
      <c r="T122" s="99"/>
      <c r="U122" s="99"/>
      <c r="V122" s="99"/>
      <c r="W122" s="99"/>
      <c r="X122" s="99"/>
      <c r="Y122" s="99"/>
      <c r="Z122" s="99"/>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14"/>
      <c r="BK122" s="214"/>
    </row>
    <row r="123" spans="1:63" hidden="1" outlineLevel="1">
      <c r="A123" s="9"/>
      <c r="B123" s="44"/>
      <c r="C123" s="152" t="s">
        <v>29</v>
      </c>
      <c r="D123" s="9"/>
      <c r="E123" s="9"/>
      <c r="F123" s="139"/>
      <c r="G123" s="191"/>
      <c r="H123" s="109"/>
      <c r="I123" s="109"/>
      <c r="J123" s="109"/>
      <c r="K123" s="109"/>
      <c r="L123" s="109">
        <f>IF(M122=0, SUM($G122:L122), 0)</f>
        <v>0</v>
      </c>
      <c r="M123" s="109">
        <f>IF(N122=0, IF(M122=0, 0, SUM($G122:M122)), 0)</f>
        <v>0</v>
      </c>
      <c r="N123" s="109">
        <f>IF(O122=0, IF(N122=0, 0, SUM($G122:N122)), 0)</f>
        <v>0</v>
      </c>
      <c r="O123" s="109">
        <f>IF(P122=0, IF(O122=0, 0, SUM($G122:O122)), 0)</f>
        <v>0</v>
      </c>
      <c r="P123" s="109">
        <f>IF(Q122=0, IF(P122=0, 0, SUM($G122:P122)), 0)</f>
        <v>0</v>
      </c>
      <c r="Q123" s="109">
        <f>IF(R122=0, IF(Q122=0, 0, SUM($G122:Q122)), 0)</f>
        <v>0</v>
      </c>
      <c r="R123" s="99"/>
      <c r="S123" s="99"/>
      <c r="T123" s="99"/>
      <c r="U123" s="99"/>
      <c r="V123" s="99"/>
      <c r="W123" s="99"/>
      <c r="X123" s="99"/>
      <c r="Y123" s="99"/>
      <c r="Z123" s="99"/>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14"/>
      <c r="BK123" s="214"/>
    </row>
    <row r="124" spans="1:63" hidden="1" outlineLevel="1">
      <c r="A124" s="9"/>
      <c r="B124" s="44"/>
      <c r="C124" s="128" t="str">
        <f>Asset9</f>
        <v>Communications (digital) - dx</v>
      </c>
      <c r="D124" s="9"/>
      <c r="E124" s="9"/>
      <c r="F124" s="139"/>
      <c r="G124" s="191"/>
      <c r="H124" s="109">
        <f>($G84+(SUM($G124:G124)))*H$7</f>
        <v>0</v>
      </c>
      <c r="I124" s="109">
        <f>($G84+(SUM($G124:H124)))*I$7</f>
        <v>0</v>
      </c>
      <c r="J124" s="109">
        <f>($G84+(SUM($G124:I124)))*J$7</f>
        <v>0</v>
      </c>
      <c r="K124" s="109">
        <f>($G84+(SUM($G124:J124)))*K$7</f>
        <v>0</v>
      </c>
      <c r="L124" s="109">
        <f>($G84+(SUM($G124:K124)))*L$7</f>
        <v>0</v>
      </c>
      <c r="M124" s="109">
        <f>($G84+(SUM($G124:L124)))*M$7</f>
        <v>0</v>
      </c>
      <c r="N124" s="109">
        <f>($G84+(SUM($G124:M124)))*N$7</f>
        <v>0</v>
      </c>
      <c r="O124" s="109">
        <f>($G84+(SUM($G124:N124)))*O$7</f>
        <v>0</v>
      </c>
      <c r="P124" s="109">
        <f>($G84+(SUM($G124:O124)))*P$7</f>
        <v>0</v>
      </c>
      <c r="Q124" s="109">
        <f>($G84+(SUM($G124:P124)))*Q$7</f>
        <v>0</v>
      </c>
      <c r="R124" s="99"/>
      <c r="S124" s="99"/>
      <c r="T124" s="99"/>
      <c r="U124" s="99"/>
      <c r="V124" s="99"/>
      <c r="W124" s="99"/>
      <c r="X124" s="99"/>
      <c r="Y124" s="99"/>
      <c r="Z124" s="99"/>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14"/>
      <c r="BK124" s="214"/>
    </row>
    <row r="125" spans="1:63" hidden="1" outlineLevel="1">
      <c r="A125" s="9"/>
      <c r="B125" s="44"/>
      <c r="C125" s="152" t="s">
        <v>29</v>
      </c>
      <c r="D125" s="9"/>
      <c r="E125" s="9"/>
      <c r="F125" s="139"/>
      <c r="G125" s="191"/>
      <c r="H125" s="109"/>
      <c r="I125" s="109"/>
      <c r="J125" s="109"/>
      <c r="K125" s="109"/>
      <c r="L125" s="109">
        <f>IF(M124=0, SUM($G124:L124), 0)</f>
        <v>0</v>
      </c>
      <c r="M125" s="109">
        <f>IF(N124=0, IF(M124=0, 0, SUM($G124:M124)), 0)</f>
        <v>0</v>
      </c>
      <c r="N125" s="109">
        <f>IF(O124=0, IF(N124=0, 0, SUM($G124:N124)), 0)</f>
        <v>0</v>
      </c>
      <c r="O125" s="109">
        <f>IF(P124=0, IF(O124=0, 0, SUM($G124:O124)), 0)</f>
        <v>0</v>
      </c>
      <c r="P125" s="109">
        <f>IF(Q124=0, IF(P124=0, 0, SUM($G124:P124)), 0)</f>
        <v>0</v>
      </c>
      <c r="Q125" s="109">
        <f>IF(R124=0, IF(Q124=0, 0, SUM($G124:Q124)), 0)</f>
        <v>0</v>
      </c>
      <c r="R125" s="99"/>
      <c r="S125" s="99"/>
      <c r="T125" s="99"/>
      <c r="U125" s="99"/>
      <c r="V125" s="99"/>
      <c r="W125" s="99"/>
      <c r="X125" s="99"/>
      <c r="Y125" s="99"/>
      <c r="Z125" s="99"/>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14"/>
      <c r="BK125" s="214"/>
    </row>
    <row r="126" spans="1:63" hidden="1" outlineLevel="1">
      <c r="A126" s="9"/>
      <c r="B126" s="44"/>
      <c r="C126" s="128" t="str">
        <f>Asset10</f>
        <v>Total Communications</v>
      </c>
      <c r="D126" s="9"/>
      <c r="E126" s="9"/>
      <c r="F126" s="139"/>
      <c r="G126" s="191"/>
      <c r="H126" s="109">
        <f>($G85+(SUM($G126:G126)))*H$7</f>
        <v>1.4840872716339322</v>
      </c>
      <c r="I126" s="109">
        <f>($G85+(SUM($G126:H126)))*I$7</f>
        <v>1.8140013163444662</v>
      </c>
      <c r="J126" s="109">
        <f>($G85+(SUM($G126:I126)))*J$7</f>
        <v>2.115309028646986</v>
      </c>
      <c r="K126" s="109">
        <f>($G85+(SUM($G126:J126)))*K$7</f>
        <v>1.975396012132937</v>
      </c>
      <c r="L126" s="109">
        <f>($G85+(SUM($G126:K126)))*L$7</f>
        <v>2.3302541099973642</v>
      </c>
      <c r="M126" s="109">
        <f>($G85+(SUM($G126:L126)))*M$7</f>
        <v>0</v>
      </c>
      <c r="N126" s="109">
        <f>($G85+(SUM($G126:M126)))*N$7</f>
        <v>0</v>
      </c>
      <c r="O126" s="109">
        <f>($G85+(SUM($G126:N126)))*O$7</f>
        <v>0</v>
      </c>
      <c r="P126" s="109">
        <f>($G85+(SUM($G126:O126)))*P$7</f>
        <v>0</v>
      </c>
      <c r="Q126" s="109">
        <f>($G85+(SUM($G126:P126)))*Q$7</f>
        <v>0</v>
      </c>
      <c r="R126" s="99"/>
      <c r="S126" s="99"/>
      <c r="T126" s="99"/>
      <c r="U126" s="99"/>
      <c r="V126" s="99"/>
      <c r="W126" s="99"/>
      <c r="X126" s="99"/>
      <c r="Y126" s="99"/>
      <c r="Z126" s="99"/>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14"/>
      <c r="BK126" s="214"/>
    </row>
    <row r="127" spans="1:63" hidden="1" outlineLevel="1">
      <c r="A127" s="9"/>
      <c r="B127" s="44"/>
      <c r="C127" s="152" t="s">
        <v>29</v>
      </c>
      <c r="D127" s="9"/>
      <c r="E127" s="9"/>
      <c r="F127" s="139"/>
      <c r="G127" s="191"/>
      <c r="H127" s="109"/>
      <c r="I127" s="109"/>
      <c r="J127" s="109"/>
      <c r="K127" s="109"/>
      <c r="L127" s="109">
        <f>IF(M126=0, SUM($G126:L126), 0)</f>
        <v>9.7190477387556857</v>
      </c>
      <c r="M127" s="109">
        <f>IF(N126=0, IF(M126=0, 0, SUM($G126:M126)), 0)</f>
        <v>0</v>
      </c>
      <c r="N127" s="109">
        <f>IF(O126=0, IF(N126=0, 0, SUM($G126:N126)), 0)</f>
        <v>0</v>
      </c>
      <c r="O127" s="109">
        <f>IF(P126=0, IF(O126=0, 0, SUM($G126:O126)), 0)</f>
        <v>0</v>
      </c>
      <c r="P127" s="109">
        <f>IF(Q126=0, IF(P126=0, 0, SUM($G126:P126)), 0)</f>
        <v>0</v>
      </c>
      <c r="Q127" s="109">
        <f>IF(R126=0, IF(Q126=0, 0, SUM($G126:Q126)), 0)</f>
        <v>0</v>
      </c>
      <c r="R127" s="99"/>
      <c r="S127" s="99"/>
      <c r="T127" s="99"/>
      <c r="U127" s="99"/>
      <c r="V127" s="99"/>
      <c r="W127" s="99"/>
      <c r="X127" s="99"/>
      <c r="Y127" s="99"/>
      <c r="Z127" s="99"/>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14"/>
      <c r="BK127" s="214"/>
    </row>
    <row r="128" spans="1:63" hidden="1" outlineLevel="1">
      <c r="A128" s="9"/>
      <c r="B128" s="44"/>
      <c r="C128" s="128" t="str">
        <f>Asset11</f>
        <v>System IT (dx)</v>
      </c>
      <c r="D128" s="9"/>
      <c r="E128" s="9"/>
      <c r="F128" s="139"/>
      <c r="G128" s="191"/>
      <c r="H128" s="109">
        <f>($G86+(SUM($G128:G128)))*H$7</f>
        <v>0</v>
      </c>
      <c r="I128" s="109">
        <f>($G86+(SUM($G128:H128)))*I$7</f>
        <v>0</v>
      </c>
      <c r="J128" s="109">
        <f>($G86+(SUM($G128:I128)))*J$7</f>
        <v>0</v>
      </c>
      <c r="K128" s="109">
        <f>($G86+(SUM($G128:J128)))*K$7</f>
        <v>0</v>
      </c>
      <c r="L128" s="109">
        <f>($G86+(SUM($G128:K128)))*L$7</f>
        <v>0</v>
      </c>
      <c r="M128" s="109">
        <f>($G86+(SUM($G128:L128)))*M$7</f>
        <v>0</v>
      </c>
      <c r="N128" s="109">
        <f>($G86+(SUM($G128:M128)))*N$7</f>
        <v>0</v>
      </c>
      <c r="O128" s="109">
        <f>($G86+(SUM($G128:N128)))*O$7</f>
        <v>0</v>
      </c>
      <c r="P128" s="109">
        <f>($G86+(SUM($G128:O128)))*P$7</f>
        <v>0</v>
      </c>
      <c r="Q128" s="109">
        <f>($G86+(SUM($G128:P128)))*Q$7</f>
        <v>0</v>
      </c>
      <c r="R128" s="99"/>
      <c r="S128" s="99"/>
      <c r="T128" s="99"/>
      <c r="U128" s="99"/>
      <c r="V128" s="99"/>
      <c r="W128" s="99"/>
      <c r="X128" s="99"/>
      <c r="Y128" s="99"/>
      <c r="Z128" s="99"/>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14"/>
      <c r="BK128" s="214"/>
    </row>
    <row r="129" spans="1:63" hidden="1" outlineLevel="1">
      <c r="A129" s="9"/>
      <c r="B129" s="44"/>
      <c r="C129" s="152" t="s">
        <v>29</v>
      </c>
      <c r="D129" s="9"/>
      <c r="E129" s="9"/>
      <c r="F129" s="139"/>
      <c r="G129" s="191"/>
      <c r="H129" s="109"/>
      <c r="I129" s="109"/>
      <c r="J129" s="109"/>
      <c r="K129" s="109"/>
      <c r="L129" s="109">
        <f>IF(M128=0, SUM($G128:L128), 0)</f>
        <v>0</v>
      </c>
      <c r="M129" s="109">
        <f>IF(N128=0, IF(M128=0, 0, SUM($G128:M128)), 0)</f>
        <v>0</v>
      </c>
      <c r="N129" s="109">
        <f>IF(O128=0, IF(N128=0, 0, SUM($G128:N128)), 0)</f>
        <v>0</v>
      </c>
      <c r="O129" s="109">
        <f>IF(P128=0, IF(O128=0, 0, SUM($G128:O128)), 0)</f>
        <v>0</v>
      </c>
      <c r="P129" s="109">
        <f>IF(Q128=0, IF(P128=0, 0, SUM($G128:P128)), 0)</f>
        <v>0</v>
      </c>
      <c r="Q129" s="109">
        <f>IF(R128=0, IF(Q128=0, 0, SUM($G128:Q128)), 0)</f>
        <v>0</v>
      </c>
      <c r="R129" s="99"/>
      <c r="S129" s="99"/>
      <c r="T129" s="99"/>
      <c r="U129" s="99"/>
      <c r="V129" s="99"/>
      <c r="W129" s="99"/>
      <c r="X129" s="99"/>
      <c r="Y129" s="99"/>
      <c r="Z129" s="99"/>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14"/>
      <c r="BK129" s="214"/>
    </row>
    <row r="130" spans="1:63" hidden="1" outlineLevel="1">
      <c r="A130" s="9"/>
      <c r="B130" s="44"/>
      <c r="C130" s="128" t="str">
        <f>Asset12</f>
        <v>Ancillary substation equipment (dx)</v>
      </c>
      <c r="D130" s="9"/>
      <c r="E130" s="9"/>
      <c r="F130" s="139"/>
      <c r="G130" s="191"/>
      <c r="H130" s="109">
        <f>($G87+(SUM($G130:G130)))*H$7</f>
        <v>0</v>
      </c>
      <c r="I130" s="109">
        <f>($G87+(SUM($G130:H130)))*I$7</f>
        <v>0</v>
      </c>
      <c r="J130" s="109">
        <f>($G87+(SUM($G130:I130)))*J$7</f>
        <v>0</v>
      </c>
      <c r="K130" s="109">
        <f>($G87+(SUM($G130:J130)))*K$7</f>
        <v>0</v>
      </c>
      <c r="L130" s="109">
        <f>($G87+(SUM($G130:K130)))*L$7</f>
        <v>0</v>
      </c>
      <c r="M130" s="109">
        <f>($G87+(SUM($G130:L130)))*M$7</f>
        <v>0</v>
      </c>
      <c r="N130" s="109">
        <f>($G87+(SUM($G130:M130)))*N$7</f>
        <v>0</v>
      </c>
      <c r="O130" s="109">
        <f>($G87+(SUM($G130:N130)))*O$7</f>
        <v>0</v>
      </c>
      <c r="P130" s="109">
        <f>($G87+(SUM($G130:O130)))*P$7</f>
        <v>0</v>
      </c>
      <c r="Q130" s="109">
        <f>($G87+(SUM($G130:P130)))*Q$7</f>
        <v>0</v>
      </c>
      <c r="R130" s="99"/>
      <c r="S130" s="99"/>
      <c r="T130" s="99"/>
      <c r="U130" s="99"/>
      <c r="V130" s="99"/>
      <c r="W130" s="99"/>
      <c r="X130" s="99"/>
      <c r="Y130" s="99"/>
      <c r="Z130" s="99"/>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14"/>
      <c r="BK130" s="214"/>
    </row>
    <row r="131" spans="1:63" hidden="1" outlineLevel="1">
      <c r="A131" s="9"/>
      <c r="B131" s="44"/>
      <c r="C131" s="152" t="s">
        <v>29</v>
      </c>
      <c r="D131" s="9"/>
      <c r="E131" s="9"/>
      <c r="F131" s="139"/>
      <c r="G131" s="191"/>
      <c r="H131" s="109"/>
      <c r="I131" s="109"/>
      <c r="J131" s="109"/>
      <c r="K131" s="109"/>
      <c r="L131" s="109">
        <f>IF(M130=0, SUM($G130:L130), 0)</f>
        <v>0</v>
      </c>
      <c r="M131" s="109">
        <f>IF(N130=0, IF(M130=0, 0, SUM($G130:M130)), 0)</f>
        <v>0</v>
      </c>
      <c r="N131" s="109">
        <f>IF(O130=0, IF(N130=0, 0, SUM($G130:N130)), 0)</f>
        <v>0</v>
      </c>
      <c r="O131" s="109">
        <f>IF(P130=0, IF(O130=0, 0, SUM($G130:O130)), 0)</f>
        <v>0</v>
      </c>
      <c r="P131" s="109">
        <f>IF(Q130=0, IF(P130=0, 0, SUM($G130:P130)), 0)</f>
        <v>0</v>
      </c>
      <c r="Q131" s="109">
        <f>IF(R130=0, IF(Q130=0, 0, SUM($G130:Q130)), 0)</f>
        <v>0</v>
      </c>
      <c r="R131" s="99"/>
      <c r="S131" s="99"/>
      <c r="T131" s="99"/>
      <c r="U131" s="99"/>
      <c r="V131" s="99"/>
      <c r="W131" s="99"/>
      <c r="X131" s="99"/>
      <c r="Y131" s="99"/>
      <c r="Z131" s="99"/>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14"/>
      <c r="BK131" s="214"/>
    </row>
    <row r="132" spans="1:63" hidden="1" outlineLevel="1">
      <c r="A132" s="9"/>
      <c r="B132" s="44"/>
      <c r="C132" s="128" t="str">
        <f>Asset13</f>
        <v>Land and Easements</v>
      </c>
      <c r="D132" s="9"/>
      <c r="E132" s="9"/>
      <c r="F132" s="139"/>
      <c r="G132" s="191"/>
      <c r="H132" s="109">
        <f>($G88+(SUM($G132:G132)))*H$7</f>
        <v>6.3997083426854955</v>
      </c>
      <c r="I132" s="109">
        <f>($G88+(SUM($G132:H132)))*I$7</f>
        <v>7.8223697350836581</v>
      </c>
      <c r="J132" s="109">
        <f>($G88+(SUM($G132:I132)))*J$7</f>
        <v>9.1216743763901906</v>
      </c>
      <c r="K132" s="109">
        <f>($G88+(SUM($G132:J132)))*K$7</f>
        <v>8.5183389013480504</v>
      </c>
      <c r="L132" s="109">
        <f>($G88+(SUM($G132:K132)))*L$7</f>
        <v>10.048564497092292</v>
      </c>
      <c r="M132" s="109">
        <f>($G88+(SUM($G132:L132)))*M$7</f>
        <v>0</v>
      </c>
      <c r="N132" s="109">
        <f>($G88+(SUM($G132:M132)))*N$7</f>
        <v>0</v>
      </c>
      <c r="O132" s="109">
        <f>($G88+(SUM($G132:N132)))*O$7</f>
        <v>0</v>
      </c>
      <c r="P132" s="109">
        <f>($G88+(SUM($G132:O132)))*P$7</f>
        <v>0</v>
      </c>
      <c r="Q132" s="109">
        <f>($G88+(SUM($G132:P132)))*Q$7</f>
        <v>0</v>
      </c>
      <c r="R132" s="99"/>
      <c r="S132" s="99"/>
      <c r="T132" s="99"/>
      <c r="U132" s="99"/>
      <c r="V132" s="99"/>
      <c r="W132" s="99"/>
      <c r="X132" s="99"/>
      <c r="Y132" s="99"/>
      <c r="Z132" s="99"/>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14"/>
      <c r="BK132" s="214"/>
    </row>
    <row r="133" spans="1:63" hidden="1" outlineLevel="1">
      <c r="A133" s="9"/>
      <c r="B133" s="44"/>
      <c r="C133" s="152" t="s">
        <v>29</v>
      </c>
      <c r="D133" s="9"/>
      <c r="E133" s="9"/>
      <c r="F133" s="139"/>
      <c r="G133" s="191"/>
      <c r="H133" s="109"/>
      <c r="I133" s="109"/>
      <c r="J133" s="109"/>
      <c r="K133" s="109"/>
      <c r="L133" s="109">
        <f>IF(M132=0, SUM($G132:L132), 0)</f>
        <v>41.910655852599689</v>
      </c>
      <c r="M133" s="109">
        <f>IF(N132=0, IF(M132=0, 0, SUM($G132:M132)), 0)</f>
        <v>0</v>
      </c>
      <c r="N133" s="109">
        <f>IF(O132=0, IF(N132=0, 0, SUM($G132:N132)), 0)</f>
        <v>0</v>
      </c>
      <c r="O133" s="109">
        <f>IF(P132=0, IF(O132=0, 0, SUM($G132:O132)), 0)</f>
        <v>0</v>
      </c>
      <c r="P133" s="109">
        <f>IF(Q132=0, IF(P132=0, 0, SUM($G132:P132)), 0)</f>
        <v>0</v>
      </c>
      <c r="Q133" s="109">
        <f>IF(R132=0, IF(Q132=0, 0, SUM($G132:Q132)), 0)</f>
        <v>0</v>
      </c>
      <c r="R133" s="99"/>
      <c r="S133" s="99"/>
      <c r="T133" s="99"/>
      <c r="U133" s="99"/>
      <c r="V133" s="99"/>
      <c r="W133" s="99"/>
      <c r="X133" s="99"/>
      <c r="Y133" s="99"/>
      <c r="Z133" s="99"/>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14"/>
      <c r="BK133" s="214"/>
    </row>
    <row r="134" spans="1:63" hidden="1" outlineLevel="1">
      <c r="A134" s="9"/>
      <c r="B134" s="44"/>
      <c r="C134" s="128" t="str">
        <f>Asset14</f>
        <v>Emergency Spares (Major Plant, Excludes Inventory)</v>
      </c>
      <c r="D134" s="9"/>
      <c r="E134" s="9"/>
      <c r="F134" s="139"/>
      <c r="G134" s="191"/>
      <c r="H134" s="109">
        <f>($G89+(SUM($G134:G134)))*H$7</f>
        <v>0</v>
      </c>
      <c r="I134" s="109">
        <f>($G89+(SUM($G134:H134)))*I$7</f>
        <v>0</v>
      </c>
      <c r="J134" s="109">
        <f>($G89+(SUM($G134:I134)))*J$7</f>
        <v>0</v>
      </c>
      <c r="K134" s="109">
        <f>($G89+(SUM($G134:J134)))*K$7</f>
        <v>0</v>
      </c>
      <c r="L134" s="109">
        <f>($G89+(SUM($G134:K134)))*L$7</f>
        <v>0</v>
      </c>
      <c r="M134" s="109">
        <f>($G89+(SUM($G134:L134)))*M$7</f>
        <v>0</v>
      </c>
      <c r="N134" s="109">
        <f>($G89+(SUM($G134:M134)))*N$7</f>
        <v>0</v>
      </c>
      <c r="O134" s="109">
        <f>($G89+(SUM($G134:N134)))*O$7</f>
        <v>0</v>
      </c>
      <c r="P134" s="109">
        <f>($G89+(SUM($G134:O134)))*P$7</f>
        <v>0</v>
      </c>
      <c r="Q134" s="109">
        <f>($G89+(SUM($G134:P134)))*Q$7</f>
        <v>0</v>
      </c>
      <c r="R134" s="99"/>
      <c r="S134" s="99"/>
      <c r="T134" s="99"/>
      <c r="U134" s="99"/>
      <c r="V134" s="99"/>
      <c r="W134" s="99"/>
      <c r="X134" s="99"/>
      <c r="Y134" s="99"/>
      <c r="Z134" s="99"/>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14"/>
      <c r="BK134" s="214"/>
    </row>
    <row r="135" spans="1:63" hidden="1" outlineLevel="1">
      <c r="A135" s="9"/>
      <c r="B135" s="44"/>
      <c r="C135" s="152" t="s">
        <v>29</v>
      </c>
      <c r="D135" s="9"/>
      <c r="E135" s="9"/>
      <c r="F135" s="139"/>
      <c r="G135" s="191"/>
      <c r="H135" s="109"/>
      <c r="I135" s="109"/>
      <c r="J135" s="109"/>
      <c r="K135" s="109"/>
      <c r="L135" s="109">
        <f>IF(M134=0, SUM($G134:L134), 0)</f>
        <v>0</v>
      </c>
      <c r="M135" s="109">
        <f>IF(N134=0, IF(M134=0, 0, SUM($G134:M134)), 0)</f>
        <v>0</v>
      </c>
      <c r="N135" s="109">
        <f>IF(O134=0, IF(N134=0, 0, SUM($G134:N134)), 0)</f>
        <v>0</v>
      </c>
      <c r="O135" s="109">
        <f>IF(P134=0, IF(O134=0, 0, SUM($G134:O134)), 0)</f>
        <v>0</v>
      </c>
      <c r="P135" s="109">
        <f>IF(Q134=0, IF(P134=0, 0, SUM($G134:P134)), 0)</f>
        <v>0</v>
      </c>
      <c r="Q135" s="109">
        <f>IF(R134=0, IF(Q134=0, 0, SUM($G134:Q134)), 0)</f>
        <v>0</v>
      </c>
      <c r="R135" s="99"/>
      <c r="S135" s="99"/>
      <c r="T135" s="99"/>
      <c r="U135" s="99"/>
      <c r="V135" s="99"/>
      <c r="W135" s="99"/>
      <c r="X135" s="99"/>
      <c r="Y135" s="99"/>
      <c r="Z135" s="99"/>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14"/>
      <c r="BK135" s="214"/>
    </row>
    <row r="136" spans="1:63" hidden="1" outlineLevel="1">
      <c r="A136" s="9"/>
      <c r="B136" s="44"/>
      <c r="C136" s="128" t="str">
        <f>Asset15</f>
        <v>Furniture, fittings, plant and equipment</v>
      </c>
      <c r="D136" s="9"/>
      <c r="E136" s="9"/>
      <c r="F136" s="139"/>
      <c r="G136" s="191"/>
      <c r="H136" s="109">
        <f>($G90+(SUM($G136:G136)))*H$7</f>
        <v>-4.5170832696861517E-3</v>
      </c>
      <c r="I136" s="109">
        <f>($G90+(SUM($G136:H136)))*I$7</f>
        <v>-5.5212352762967374E-3</v>
      </c>
      <c r="J136" s="109">
        <f>($G90+(SUM($G136:I136)))*J$7</f>
        <v>-6.4383188281087996E-3</v>
      </c>
      <c r="K136" s="109">
        <f>($G90+(SUM($G136:J136)))*K$7</f>
        <v>-6.0124687058237926E-3</v>
      </c>
      <c r="L136" s="109">
        <f>($G90+(SUM($G136:K136)))*L$7</f>
        <v>-7.0925423696934957E-3</v>
      </c>
      <c r="M136" s="109">
        <f>($G90+(SUM($G136:L136)))*M$7</f>
        <v>0</v>
      </c>
      <c r="N136" s="109">
        <f>($G90+(SUM($G136:M136)))*N$7</f>
        <v>0</v>
      </c>
      <c r="O136" s="109">
        <f>($G90+(SUM($G136:N136)))*O$7</f>
        <v>0</v>
      </c>
      <c r="P136" s="109">
        <f>($G90+(SUM($G136:O136)))*P$7</f>
        <v>0</v>
      </c>
      <c r="Q136" s="109">
        <f>($G90+(SUM($G136:P136)))*Q$7</f>
        <v>0</v>
      </c>
      <c r="R136" s="99"/>
      <c r="S136" s="99"/>
      <c r="T136" s="99"/>
      <c r="U136" s="99"/>
      <c r="V136" s="99"/>
      <c r="W136" s="99"/>
      <c r="X136" s="99"/>
      <c r="Y136" s="99"/>
      <c r="Z136" s="99"/>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14"/>
      <c r="BK136" s="214"/>
    </row>
    <row r="137" spans="1:63" hidden="1" outlineLevel="1">
      <c r="A137" s="9"/>
      <c r="B137" s="44"/>
      <c r="C137" s="152" t="s">
        <v>29</v>
      </c>
      <c r="D137" s="9"/>
      <c r="E137" s="9"/>
      <c r="F137" s="139"/>
      <c r="G137" s="191"/>
      <c r="H137" s="109"/>
      <c r="I137" s="109"/>
      <c r="J137" s="109"/>
      <c r="K137" s="109"/>
      <c r="L137" s="109">
        <f>IF(M136=0, SUM($G136:L136), 0)</f>
        <v>-2.9581648449608974E-2</v>
      </c>
      <c r="M137" s="109">
        <f>IF(N136=0, IF(M136=0, 0, SUM($G136:M136)), 0)</f>
        <v>0</v>
      </c>
      <c r="N137" s="109">
        <f>IF(O136=0, IF(N136=0, 0, SUM($G136:N136)), 0)</f>
        <v>0</v>
      </c>
      <c r="O137" s="109">
        <f>IF(P136=0, IF(O136=0, 0, SUM($G136:O136)), 0)</f>
        <v>0</v>
      </c>
      <c r="P137" s="109">
        <f>IF(Q136=0, IF(P136=0, 0, SUM($G136:P136)), 0)</f>
        <v>0</v>
      </c>
      <c r="Q137" s="109">
        <f>IF(R136=0, IF(Q136=0, 0, SUM($G136:Q136)), 0)</f>
        <v>0</v>
      </c>
      <c r="R137" s="99"/>
      <c r="S137" s="99"/>
      <c r="T137" s="99"/>
      <c r="U137" s="99"/>
      <c r="V137" s="99"/>
      <c r="W137" s="99"/>
      <c r="X137" s="99"/>
      <c r="Y137" s="99"/>
      <c r="Z137" s="99"/>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14"/>
      <c r="BK137" s="214"/>
    </row>
    <row r="138" spans="1:63" hidden="1" outlineLevel="1">
      <c r="A138" s="9"/>
      <c r="B138" s="44"/>
      <c r="C138" s="128" t="str">
        <f>Asset16</f>
        <v>Land (non-system)</v>
      </c>
      <c r="D138" s="9"/>
      <c r="E138" s="9"/>
      <c r="F138" s="139"/>
      <c r="G138" s="191"/>
      <c r="H138" s="109">
        <f>($G91+(SUM($G138:G138)))*H$7</f>
        <v>-1.2146149768232304</v>
      </c>
      <c r="I138" s="109">
        <f>($G91+(SUM($G138:H138)))*I$7</f>
        <v>-1.4846250681627817</v>
      </c>
      <c r="J138" s="109">
        <f>($G91+(SUM($G138:I138)))*J$7</f>
        <v>-1.7312230054876274</v>
      </c>
      <c r="K138" s="109">
        <f>($G91+(SUM($G138:J138)))*K$7</f>
        <v>-1.6167146146681437</v>
      </c>
      <c r="L138" s="109">
        <f>($G91+(SUM($G138:K138)))*L$7</f>
        <v>-1.9071395570225118</v>
      </c>
      <c r="M138" s="109">
        <f>($G91+(SUM($G138:L138)))*M$7</f>
        <v>0</v>
      </c>
      <c r="N138" s="109">
        <f>($G91+(SUM($G138:M138)))*N$7</f>
        <v>0</v>
      </c>
      <c r="O138" s="109">
        <f>($G91+(SUM($G138:N138)))*O$7</f>
        <v>0</v>
      </c>
      <c r="P138" s="109">
        <f>($G91+(SUM($G138:O138)))*P$7</f>
        <v>0</v>
      </c>
      <c r="Q138" s="109">
        <f>($G91+(SUM($G138:P138)))*Q$7</f>
        <v>0</v>
      </c>
      <c r="R138" s="99"/>
      <c r="S138" s="99"/>
      <c r="T138" s="99"/>
      <c r="U138" s="99"/>
      <c r="V138" s="99"/>
      <c r="W138" s="99"/>
      <c r="X138" s="99"/>
      <c r="Y138" s="99"/>
      <c r="Z138" s="99"/>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14"/>
      <c r="BK138" s="214"/>
    </row>
    <row r="139" spans="1:63" hidden="1" outlineLevel="1">
      <c r="A139" s="9"/>
      <c r="B139" s="44"/>
      <c r="C139" s="152" t="s">
        <v>29</v>
      </c>
      <c r="D139" s="9"/>
      <c r="E139" s="9"/>
      <c r="F139" s="139"/>
      <c r="G139" s="191"/>
      <c r="H139" s="109"/>
      <c r="I139" s="109"/>
      <c r="J139" s="109"/>
      <c r="K139" s="109"/>
      <c r="L139" s="109">
        <f>IF(M138=0, SUM($G138:L138), 0)</f>
        <v>-7.9543172221642946</v>
      </c>
      <c r="M139" s="109">
        <f>IF(N138=0, IF(M138=0, 0, SUM($G138:M138)), 0)</f>
        <v>0</v>
      </c>
      <c r="N139" s="109">
        <f>IF(O138=0, IF(N138=0, 0, SUM($G138:N138)), 0)</f>
        <v>0</v>
      </c>
      <c r="O139" s="109">
        <f>IF(P138=0, IF(O138=0, 0, SUM($G138:O138)), 0)</f>
        <v>0</v>
      </c>
      <c r="P139" s="109">
        <f>IF(Q138=0, IF(P138=0, 0, SUM($G138:P138)), 0)</f>
        <v>0</v>
      </c>
      <c r="Q139" s="109">
        <f>IF(R138=0, IF(Q138=0, 0, SUM($G138:Q138)), 0)</f>
        <v>0</v>
      </c>
      <c r="R139" s="99"/>
      <c r="S139" s="99"/>
      <c r="T139" s="99"/>
      <c r="U139" s="99"/>
      <c r="V139" s="99"/>
      <c r="W139" s="99"/>
      <c r="X139" s="99"/>
      <c r="Y139" s="99"/>
      <c r="Z139" s="99"/>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14"/>
      <c r="BK139" s="214"/>
    </row>
    <row r="140" spans="1:63" hidden="1" outlineLevel="1">
      <c r="A140" s="9"/>
      <c r="B140" s="44"/>
      <c r="C140" s="128" t="str">
        <f>Asset17</f>
        <v>Other non system assets</v>
      </c>
      <c r="D140" s="9"/>
      <c r="E140" s="9"/>
      <c r="F140" s="139"/>
      <c r="G140" s="191"/>
      <c r="H140" s="109">
        <f>($G92+(SUM($G140:G140)))*H$7</f>
        <v>6.7591867243957798E-2</v>
      </c>
      <c r="I140" s="109">
        <f>($G92+(SUM($G140:H140)))*I$7</f>
        <v>8.2617605108713243E-2</v>
      </c>
      <c r="J140" s="109">
        <f>($G92+(SUM($G140:I140)))*J$7</f>
        <v>9.6340484671658538E-2</v>
      </c>
      <c r="K140" s="109">
        <f>($G92+(SUM($G140:J140)))*K$7</f>
        <v>8.9968230008017749E-2</v>
      </c>
      <c r="L140" s="109">
        <f>($G92+(SUM($G140:K140)))*L$7</f>
        <v>0.10613002985614152</v>
      </c>
      <c r="M140" s="109">
        <f>($G92+(SUM($G140:L140)))*M$7</f>
        <v>0</v>
      </c>
      <c r="N140" s="109">
        <f>($G92+(SUM($G140:M140)))*N$7</f>
        <v>0</v>
      </c>
      <c r="O140" s="109">
        <f>($G92+(SUM($G140:N140)))*O$7</f>
        <v>0</v>
      </c>
      <c r="P140" s="109">
        <f>($G92+(SUM($G140:O140)))*P$7</f>
        <v>0</v>
      </c>
      <c r="Q140" s="109">
        <f>($G92+(SUM($G140:P140)))*Q$7</f>
        <v>0</v>
      </c>
      <c r="R140" s="99"/>
      <c r="S140" s="99"/>
      <c r="T140" s="99"/>
      <c r="U140" s="99"/>
      <c r="V140" s="99"/>
      <c r="W140" s="99"/>
      <c r="X140" s="99"/>
      <c r="Y140" s="99"/>
      <c r="Z140" s="99"/>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14"/>
      <c r="BK140" s="214"/>
    </row>
    <row r="141" spans="1:63" hidden="1" outlineLevel="1">
      <c r="A141" s="9"/>
      <c r="B141" s="44"/>
      <c r="C141" s="152" t="s">
        <v>29</v>
      </c>
      <c r="D141" s="9"/>
      <c r="E141" s="9"/>
      <c r="F141" s="139"/>
      <c r="G141" s="191"/>
      <c r="H141" s="109"/>
      <c r="I141" s="109"/>
      <c r="J141" s="109"/>
      <c r="K141" s="109"/>
      <c r="L141" s="109">
        <f>IF(M140=0, SUM($G140:L140), 0)</f>
        <v>0.44264821688848882</v>
      </c>
      <c r="M141" s="109">
        <f>IF(N140=0, IF(M140=0, 0, SUM($G140:M140)), 0)</f>
        <v>0</v>
      </c>
      <c r="N141" s="109">
        <f>IF(O140=0, IF(N140=0, 0, SUM($G140:N140)), 0)</f>
        <v>0</v>
      </c>
      <c r="O141" s="109">
        <f>IF(P140=0, IF(O140=0, 0, SUM($G140:O140)), 0)</f>
        <v>0</v>
      </c>
      <c r="P141" s="109">
        <f>IF(Q140=0, IF(P140=0, 0, SUM($G140:P140)), 0)</f>
        <v>0</v>
      </c>
      <c r="Q141" s="109">
        <f>IF(R140=0, IF(Q140=0, 0, SUM($G140:Q140)), 0)</f>
        <v>0</v>
      </c>
      <c r="R141" s="99"/>
      <c r="S141" s="99"/>
      <c r="T141" s="99"/>
      <c r="U141" s="99"/>
      <c r="V141" s="99"/>
      <c r="W141" s="99"/>
      <c r="X141" s="99"/>
      <c r="Y141" s="99"/>
      <c r="Z141" s="99"/>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14"/>
      <c r="BK141" s="214"/>
    </row>
    <row r="142" spans="1:63" hidden="1" outlineLevel="1">
      <c r="A142" s="9"/>
      <c r="B142" s="44"/>
      <c r="C142" s="128" t="str">
        <f>Asset18</f>
        <v>IT systems</v>
      </c>
      <c r="D142" s="9"/>
      <c r="E142" s="9"/>
      <c r="F142" s="139"/>
      <c r="G142" s="191"/>
      <c r="H142" s="109">
        <f>($G93+(SUM($G142:G142)))*H$7</f>
        <v>2.5015543175882473</v>
      </c>
      <c r="I142" s="109">
        <f>($G93+(SUM($G142:H142)))*I$7</f>
        <v>3.0576522767534193</v>
      </c>
      <c r="J142" s="109">
        <f>($G93+(SUM($G142:I142)))*J$7</f>
        <v>3.565531848958877</v>
      </c>
      <c r="K142" s="109">
        <f>($G93+(SUM($G142:J142)))*K$7</f>
        <v>3.3296966543330404</v>
      </c>
      <c r="L142" s="109">
        <f>($G93+(SUM($G142:K142)))*L$7</f>
        <v>3.9278399197668747</v>
      </c>
      <c r="M142" s="109">
        <f>($G93+(SUM($G142:L142)))*M$7</f>
        <v>0</v>
      </c>
      <c r="N142" s="109">
        <f>($G93+(SUM($G142:M142)))*N$7</f>
        <v>0</v>
      </c>
      <c r="O142" s="109">
        <f>($G93+(SUM($G142:N142)))*O$7</f>
        <v>0</v>
      </c>
      <c r="P142" s="109">
        <f>($G93+(SUM($G142:O142)))*P$7</f>
        <v>0</v>
      </c>
      <c r="Q142" s="109">
        <f>($G93+(SUM($G142:P142)))*Q$7</f>
        <v>0</v>
      </c>
      <c r="R142" s="99"/>
      <c r="S142" s="99"/>
      <c r="T142" s="99"/>
      <c r="U142" s="99"/>
      <c r="V142" s="99"/>
      <c r="W142" s="99"/>
      <c r="X142" s="99"/>
      <c r="Y142" s="99"/>
      <c r="Z142" s="99"/>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14"/>
      <c r="BK142" s="214"/>
    </row>
    <row r="143" spans="1:63" hidden="1" outlineLevel="1">
      <c r="A143" s="9"/>
      <c r="B143" s="44"/>
      <c r="C143" s="152" t="s">
        <v>29</v>
      </c>
      <c r="D143" s="9"/>
      <c r="E143" s="9"/>
      <c r="F143" s="139"/>
      <c r="G143" s="191"/>
      <c r="H143" s="109"/>
      <c r="I143" s="109"/>
      <c r="J143" s="109"/>
      <c r="K143" s="109"/>
      <c r="L143" s="109">
        <f>IF(M142=0, SUM($G142:L142), 0)</f>
        <v>16.38227501740046</v>
      </c>
      <c r="M143" s="109">
        <f>IF(N142=0, IF(M142=0, 0, SUM($G142:M142)), 0)</f>
        <v>0</v>
      </c>
      <c r="N143" s="109">
        <f>IF(O142=0, IF(N142=0, 0, SUM($G142:N142)), 0)</f>
        <v>0</v>
      </c>
      <c r="O143" s="109">
        <f>IF(P142=0, IF(O142=0, 0, SUM($G142:O142)), 0)</f>
        <v>0</v>
      </c>
      <c r="P143" s="109">
        <f>IF(Q142=0, IF(P142=0, 0, SUM($G142:P142)), 0)</f>
        <v>0</v>
      </c>
      <c r="Q143" s="109">
        <f>IF(R142=0, IF(Q142=0, 0, SUM($G142:Q142)), 0)</f>
        <v>0</v>
      </c>
      <c r="R143" s="99"/>
      <c r="S143" s="99"/>
      <c r="T143" s="99"/>
      <c r="U143" s="99"/>
      <c r="V143" s="99"/>
      <c r="W143" s="99"/>
      <c r="X143" s="99"/>
      <c r="Y143" s="99"/>
      <c r="Z143" s="99"/>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14"/>
      <c r="BK143" s="214"/>
    </row>
    <row r="144" spans="1:63" hidden="1" outlineLevel="1">
      <c r="A144" s="9"/>
      <c r="B144" s="44"/>
      <c r="C144" s="128" t="str">
        <f>Asset19</f>
        <v>Motor vehicles</v>
      </c>
      <c r="D144" s="9"/>
      <c r="E144" s="9"/>
      <c r="F144" s="139"/>
      <c r="G144" s="191"/>
      <c r="H144" s="109">
        <f>($G94+(SUM($G144:G144)))*H$7</f>
        <v>9.9545210877095752E-2</v>
      </c>
      <c r="I144" s="109">
        <f>($G94+(SUM($G144:H144)))*I$7</f>
        <v>0.12167420812660952</v>
      </c>
      <c r="J144" s="109">
        <f>($G94+(SUM($G144:I144)))*J$7</f>
        <v>0.14188443452861046</v>
      </c>
      <c r="K144" s="109">
        <f>($G94+(SUM($G144:J144)))*K$7</f>
        <v>0.13249976355976126</v>
      </c>
      <c r="L144" s="109">
        <f>($G94+(SUM($G144:K144)))*L$7</f>
        <v>0.15630188413483256</v>
      </c>
      <c r="M144" s="109">
        <f>($G94+(SUM($G144:L144)))*M$7</f>
        <v>0</v>
      </c>
      <c r="N144" s="109">
        <f>($G94+(SUM($G144:M144)))*N$7</f>
        <v>0</v>
      </c>
      <c r="O144" s="109">
        <f>($G94+(SUM($G144:N144)))*O$7</f>
        <v>0</v>
      </c>
      <c r="P144" s="109">
        <f>($G94+(SUM($G144:O144)))*P$7</f>
        <v>0</v>
      </c>
      <c r="Q144" s="109">
        <f>($G94+(SUM($G144:P144)))*Q$7</f>
        <v>0</v>
      </c>
      <c r="R144" s="99"/>
      <c r="S144" s="99"/>
      <c r="T144" s="99"/>
      <c r="U144" s="99"/>
      <c r="V144" s="99"/>
      <c r="W144" s="99"/>
      <c r="X144" s="99"/>
      <c r="Y144" s="99"/>
      <c r="Z144" s="99"/>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14"/>
      <c r="BK144" s="214"/>
    </row>
    <row r="145" spans="1:63" hidden="1" outlineLevel="1">
      <c r="A145" s="9"/>
      <c r="B145" s="44"/>
      <c r="C145" s="152" t="s">
        <v>29</v>
      </c>
      <c r="D145" s="9"/>
      <c r="E145" s="9"/>
      <c r="F145" s="139"/>
      <c r="G145" s="191"/>
      <c r="H145" s="109"/>
      <c r="I145" s="109"/>
      <c r="J145" s="109"/>
      <c r="K145" s="109"/>
      <c r="L145" s="109">
        <f>IF(M144=0, SUM($G144:L144), 0)</f>
        <v>0.6519055012269096</v>
      </c>
      <c r="M145" s="109">
        <f>IF(N144=0, IF(M144=0, 0, SUM($G144:M144)), 0)</f>
        <v>0</v>
      </c>
      <c r="N145" s="109">
        <f>IF(O144=0, IF(N144=0, 0, SUM($G144:N144)), 0)</f>
        <v>0</v>
      </c>
      <c r="O145" s="109">
        <f>IF(P144=0, IF(O144=0, 0, SUM($G144:O144)), 0)</f>
        <v>0</v>
      </c>
      <c r="P145" s="109">
        <f>IF(Q144=0, IF(P144=0, 0, SUM($G144:P144)), 0)</f>
        <v>0</v>
      </c>
      <c r="Q145" s="109">
        <f>IF(R144=0, IF(Q144=0, 0, SUM($G144:Q144)), 0)</f>
        <v>0</v>
      </c>
      <c r="R145" s="99"/>
      <c r="S145" s="99"/>
      <c r="T145" s="99"/>
      <c r="U145" s="99"/>
      <c r="V145" s="99"/>
      <c r="W145" s="99"/>
      <c r="X145" s="99"/>
      <c r="Y145" s="99"/>
      <c r="Z145" s="99"/>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14"/>
      <c r="BK145" s="214"/>
    </row>
    <row r="146" spans="1:63" hidden="1" outlineLevel="1">
      <c r="A146" s="9"/>
      <c r="B146" s="44"/>
      <c r="C146" s="128" t="str">
        <f>Asset20</f>
        <v>Buildings</v>
      </c>
      <c r="D146" s="9"/>
      <c r="E146" s="9"/>
      <c r="F146" s="139"/>
      <c r="G146" s="191"/>
      <c r="H146" s="109">
        <f>($G95+(SUM($G146:G146)))*H$7</f>
        <v>8.4964184199065561E-3</v>
      </c>
      <c r="I146" s="109">
        <f>($G95+(SUM($G146:H146)))*I$7</f>
        <v>1.0385180502865698E-2</v>
      </c>
      <c r="J146" s="109">
        <f>($G95+(SUM($G146:I146)))*J$7</f>
        <v>1.2110170970608552E-2</v>
      </c>
      <c r="K146" s="109">
        <f>($G95+(SUM($G146:J146)))*K$7</f>
        <v>1.1309167179648288E-2</v>
      </c>
      <c r="L146" s="109">
        <f>($G95+(SUM($G146:K146)))*L$7</f>
        <v>1.3340734282726316E-2</v>
      </c>
      <c r="M146" s="109">
        <f>($G95+(SUM($G146:L146)))*M$7</f>
        <v>0</v>
      </c>
      <c r="N146" s="109">
        <f>($G95+(SUM($G146:M146)))*N$7</f>
        <v>0</v>
      </c>
      <c r="O146" s="109">
        <f>($G95+(SUM($G146:N146)))*O$7</f>
        <v>0</v>
      </c>
      <c r="P146" s="109">
        <f>($G95+(SUM($G146:O146)))*P$7</f>
        <v>0</v>
      </c>
      <c r="Q146" s="109">
        <f>($G95+(SUM($G146:P146)))*Q$7</f>
        <v>0</v>
      </c>
      <c r="R146" s="99"/>
      <c r="S146" s="99"/>
      <c r="T146" s="99"/>
      <c r="U146" s="99"/>
      <c r="V146" s="99"/>
      <c r="W146" s="99"/>
      <c r="X146" s="99"/>
      <c r="Y146" s="99"/>
      <c r="Z146" s="99"/>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14"/>
      <c r="BK146" s="214"/>
    </row>
    <row r="147" spans="1:63" hidden="1" outlineLevel="1">
      <c r="A147" s="9"/>
      <c r="B147" s="44"/>
      <c r="C147" s="152" t="s">
        <v>29</v>
      </c>
      <c r="D147" s="9"/>
      <c r="E147" s="9"/>
      <c r="F147" s="139"/>
      <c r="G147" s="191"/>
      <c r="H147" s="109"/>
      <c r="I147" s="109"/>
      <c r="J147" s="109"/>
      <c r="K147" s="109"/>
      <c r="L147" s="109">
        <f>IF(M146=0, SUM($G146:L146), 0)</f>
        <v>5.5641671355755408E-2</v>
      </c>
      <c r="M147" s="109">
        <f>IF(N146=0, IF(M146=0, 0, SUM($G146:M146)), 0)</f>
        <v>0</v>
      </c>
      <c r="N147" s="109">
        <f>IF(O146=0, IF(N146=0, 0, SUM($G146:N146)), 0)</f>
        <v>0</v>
      </c>
      <c r="O147" s="109">
        <f>IF(P146=0, IF(O146=0, 0, SUM($G146:O146)), 0)</f>
        <v>0</v>
      </c>
      <c r="P147" s="109">
        <f>IF(Q146=0, IF(P146=0, 0, SUM($G146:P146)), 0)</f>
        <v>0</v>
      </c>
      <c r="Q147" s="109">
        <f>IF(R146=0, IF(Q146=0, 0, SUM($G146:Q146)), 0)</f>
        <v>0</v>
      </c>
      <c r="R147" s="99"/>
      <c r="S147" s="99"/>
      <c r="T147" s="99"/>
      <c r="U147" s="99"/>
      <c r="V147" s="99"/>
      <c r="W147" s="99"/>
      <c r="X147" s="99"/>
      <c r="Y147" s="99"/>
      <c r="Z147" s="99"/>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14"/>
      <c r="BK147" s="214"/>
    </row>
    <row r="148" spans="1:63" hidden="1" outlineLevel="1">
      <c r="A148" s="9"/>
      <c r="B148" s="44"/>
      <c r="C148" s="128" t="str">
        <f>Asset21</f>
        <v>Equity raising costs</v>
      </c>
      <c r="D148" s="9"/>
      <c r="E148" s="9"/>
      <c r="F148" s="139"/>
      <c r="G148" s="191"/>
      <c r="H148" s="109">
        <f>($G96+(SUM($G148:G148)))*H$7</f>
        <v>0</v>
      </c>
      <c r="I148" s="109">
        <f>($G96+(SUM($G148:H148)))*I$7</f>
        <v>0</v>
      </c>
      <c r="J148" s="109">
        <f>($G96+(SUM($G148:I148)))*J$7</f>
        <v>0</v>
      </c>
      <c r="K148" s="109">
        <f>($G96+(SUM($G148:J148)))*K$7</f>
        <v>0</v>
      </c>
      <c r="L148" s="109">
        <f>($G96+(SUM($G148:K148)))*L$7</f>
        <v>0</v>
      </c>
      <c r="M148" s="109">
        <f>($G96+(SUM($G148:L148)))*M$7</f>
        <v>0</v>
      </c>
      <c r="N148" s="109">
        <f>($G96+(SUM($G148:M148)))*N$7</f>
        <v>0</v>
      </c>
      <c r="O148" s="109">
        <f>($G96+(SUM($G148:N148)))*O$7</f>
        <v>0</v>
      </c>
      <c r="P148" s="109">
        <f>($G96+(SUM($G148:O148)))*P$7</f>
        <v>0</v>
      </c>
      <c r="Q148" s="109">
        <f>($G96+(SUM($G148:P148)))*Q$7</f>
        <v>0</v>
      </c>
      <c r="R148" s="99"/>
      <c r="S148" s="99"/>
      <c r="T148" s="99"/>
      <c r="U148" s="99"/>
      <c r="V148" s="99"/>
      <c r="W148" s="99"/>
      <c r="X148" s="99"/>
      <c r="Y148" s="99"/>
      <c r="Z148" s="99"/>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14"/>
      <c r="BK148" s="214"/>
    </row>
    <row r="149" spans="1:63" hidden="1" outlineLevel="1">
      <c r="A149" s="9"/>
      <c r="B149" s="44"/>
      <c r="C149" s="152" t="s">
        <v>29</v>
      </c>
      <c r="D149" s="9"/>
      <c r="E149" s="9"/>
      <c r="F149" s="139"/>
      <c r="G149" s="191"/>
      <c r="H149" s="109"/>
      <c r="I149" s="109"/>
      <c r="J149" s="109"/>
      <c r="K149" s="109"/>
      <c r="L149" s="109">
        <f>IF(M148=0, SUM($G148:L148), 0)</f>
        <v>0</v>
      </c>
      <c r="M149" s="109">
        <f>IF(N148=0, IF(M148=0, 0, SUM($G148:M148)), 0)</f>
        <v>0</v>
      </c>
      <c r="N149" s="109">
        <f>IF(O148=0, IF(N148=0, 0, SUM($G148:N148)), 0)</f>
        <v>0</v>
      </c>
      <c r="O149" s="109">
        <f>IF(P148=0, IF(O148=0, 0, SUM($G148:O148)), 0)</f>
        <v>0</v>
      </c>
      <c r="P149" s="109">
        <f>IF(Q148=0, IF(P148=0, 0, SUM($G148:P148)), 0)</f>
        <v>0</v>
      </c>
      <c r="Q149" s="109">
        <f>IF(R148=0, IF(Q148=0, 0, SUM($G148:Q148)), 0)</f>
        <v>0</v>
      </c>
      <c r="R149" s="99"/>
      <c r="S149" s="99"/>
      <c r="T149" s="99"/>
      <c r="U149" s="99"/>
      <c r="V149" s="99"/>
      <c r="W149" s="99"/>
      <c r="X149" s="99"/>
      <c r="Y149" s="99"/>
      <c r="Z149" s="99"/>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14"/>
      <c r="BK149" s="214"/>
    </row>
    <row r="150" spans="1:63" hidden="1" outlineLevel="1">
      <c r="A150" s="9"/>
      <c r="B150" s="44"/>
      <c r="C150" s="128">
        <f>Asset22</f>
        <v>0</v>
      </c>
      <c r="D150" s="9"/>
      <c r="E150" s="9"/>
      <c r="F150" s="139"/>
      <c r="G150" s="191"/>
      <c r="H150" s="109">
        <f>($G97+(SUM($G150:G150)))*H$7</f>
        <v>0</v>
      </c>
      <c r="I150" s="109">
        <f>($G97+(SUM($G150:H150)))*I$7</f>
        <v>0</v>
      </c>
      <c r="J150" s="109">
        <f>($G97+(SUM($G150:I150)))*J$7</f>
        <v>0</v>
      </c>
      <c r="K150" s="109">
        <f>($G97+(SUM($G150:J150)))*K$7</f>
        <v>0</v>
      </c>
      <c r="L150" s="109">
        <f>($G97+(SUM($G150:K150)))*L$7</f>
        <v>0</v>
      </c>
      <c r="M150" s="109">
        <f>($G97+(SUM($G150:L150)))*M$7</f>
        <v>0</v>
      </c>
      <c r="N150" s="109">
        <f>($G97+(SUM($G150:M150)))*N$7</f>
        <v>0</v>
      </c>
      <c r="O150" s="109">
        <f>($G97+(SUM($G150:N150)))*O$7</f>
        <v>0</v>
      </c>
      <c r="P150" s="109">
        <f>($G97+(SUM($G150:O150)))*P$7</f>
        <v>0</v>
      </c>
      <c r="Q150" s="109">
        <f>($G97+(SUM($G150:P150)))*Q$7</f>
        <v>0</v>
      </c>
      <c r="R150" s="99"/>
      <c r="S150" s="99"/>
      <c r="T150" s="99"/>
      <c r="U150" s="99"/>
      <c r="V150" s="99"/>
      <c r="W150" s="99"/>
      <c r="X150" s="99"/>
      <c r="Y150" s="99"/>
      <c r="Z150" s="99"/>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14"/>
      <c r="BK150" s="214"/>
    </row>
    <row r="151" spans="1:63" hidden="1" outlineLevel="1">
      <c r="A151" s="9"/>
      <c r="B151" s="44"/>
      <c r="C151" s="152" t="s">
        <v>29</v>
      </c>
      <c r="D151" s="9"/>
      <c r="E151" s="9"/>
      <c r="F151" s="139"/>
      <c r="G151" s="191"/>
      <c r="H151" s="109"/>
      <c r="I151" s="109"/>
      <c r="J151" s="109"/>
      <c r="K151" s="109"/>
      <c r="L151" s="109">
        <f>IF(M150=0, SUM($G150:L150), 0)</f>
        <v>0</v>
      </c>
      <c r="M151" s="109">
        <f>IF(N150=0, IF(M150=0, 0, SUM($G150:M150)), 0)</f>
        <v>0</v>
      </c>
      <c r="N151" s="109">
        <f>IF(O150=0, IF(N150=0, 0, SUM($G150:N150)), 0)</f>
        <v>0</v>
      </c>
      <c r="O151" s="109">
        <f>IF(P150=0, IF(O150=0, 0, SUM($G150:O150)), 0)</f>
        <v>0</v>
      </c>
      <c r="P151" s="109">
        <f>IF(Q150=0, IF(P150=0, 0, SUM($G150:P150)), 0)</f>
        <v>0</v>
      </c>
      <c r="Q151" s="109">
        <f>IF(R150=0, IF(Q150=0, 0, SUM($G150:Q150)), 0)</f>
        <v>0</v>
      </c>
      <c r="R151" s="99"/>
      <c r="S151" s="99"/>
      <c r="T151" s="99"/>
      <c r="U151" s="99"/>
      <c r="V151" s="99"/>
      <c r="W151" s="99"/>
      <c r="X151" s="99"/>
      <c r="Y151" s="99"/>
      <c r="Z151" s="99"/>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14"/>
      <c r="BK151" s="214"/>
    </row>
    <row r="152" spans="1:63" hidden="1" outlineLevel="1">
      <c r="A152" s="9"/>
      <c r="B152" s="44"/>
      <c r="C152" s="128">
        <f>Asset23</f>
        <v>0</v>
      </c>
      <c r="D152" s="9"/>
      <c r="E152" s="9"/>
      <c r="F152" s="139"/>
      <c r="G152" s="191"/>
      <c r="H152" s="109">
        <f>($G98+(SUM($G152:G152)))*H$7</f>
        <v>0</v>
      </c>
      <c r="I152" s="109">
        <f>($G98+(SUM($G152:H152)))*I$7</f>
        <v>0</v>
      </c>
      <c r="J152" s="109">
        <f>($G98+(SUM($G152:I152)))*J$7</f>
        <v>0</v>
      </c>
      <c r="K152" s="109">
        <f>($G98+(SUM($G152:J152)))*K$7</f>
        <v>0</v>
      </c>
      <c r="L152" s="109">
        <f>($G98+(SUM($G152:K152)))*L$7</f>
        <v>0</v>
      </c>
      <c r="M152" s="109">
        <f>($G98+(SUM($G152:L152)))*M$7</f>
        <v>0</v>
      </c>
      <c r="N152" s="109">
        <f>($G98+(SUM($G152:M152)))*N$7</f>
        <v>0</v>
      </c>
      <c r="O152" s="109">
        <f>($G98+(SUM($G152:N152)))*O$7</f>
        <v>0</v>
      </c>
      <c r="P152" s="109">
        <f>($G98+(SUM($G152:O152)))*P$7</f>
        <v>0</v>
      </c>
      <c r="Q152" s="109">
        <f>($G98+(SUM($G152:P152)))*Q$7</f>
        <v>0</v>
      </c>
      <c r="R152" s="99"/>
      <c r="S152" s="99"/>
      <c r="T152" s="99"/>
      <c r="U152" s="99"/>
      <c r="V152" s="99"/>
      <c r="W152" s="99"/>
      <c r="X152" s="99"/>
      <c r="Y152" s="99"/>
      <c r="Z152" s="99"/>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14"/>
      <c r="BK152" s="214"/>
    </row>
    <row r="153" spans="1:63" hidden="1" outlineLevel="1">
      <c r="A153" s="9"/>
      <c r="B153" s="44"/>
      <c r="C153" s="152" t="s">
        <v>29</v>
      </c>
      <c r="D153" s="9"/>
      <c r="E153" s="9"/>
      <c r="F153" s="139"/>
      <c r="G153" s="191"/>
      <c r="H153" s="109"/>
      <c r="I153" s="109"/>
      <c r="J153" s="109"/>
      <c r="K153" s="109"/>
      <c r="L153" s="109">
        <f>IF(M152=0, SUM($G152:L152), 0)</f>
        <v>0</v>
      </c>
      <c r="M153" s="109">
        <f>IF(N152=0, IF(M152=0, 0, SUM($G152:M152)), 0)</f>
        <v>0</v>
      </c>
      <c r="N153" s="109">
        <f>IF(O152=0, IF(N152=0, 0, SUM($G152:N152)), 0)</f>
        <v>0</v>
      </c>
      <c r="O153" s="109">
        <f>IF(P152=0, IF(O152=0, 0, SUM($G152:O152)), 0)</f>
        <v>0</v>
      </c>
      <c r="P153" s="109">
        <f>IF(Q152=0, IF(P152=0, 0, SUM($G152:P152)), 0)</f>
        <v>0</v>
      </c>
      <c r="Q153" s="109">
        <f>IF(R152=0, IF(Q152=0, 0, SUM($G152:Q152)), 0)</f>
        <v>0</v>
      </c>
      <c r="R153" s="99"/>
      <c r="S153" s="99"/>
      <c r="T153" s="99"/>
      <c r="U153" s="99"/>
      <c r="V153" s="99"/>
      <c r="W153" s="99"/>
      <c r="X153" s="99"/>
      <c r="Y153" s="99"/>
      <c r="Z153" s="99"/>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14"/>
      <c r="BK153" s="214"/>
    </row>
    <row r="154" spans="1:63" hidden="1" outlineLevel="1">
      <c r="A154" s="9"/>
      <c r="B154" s="44"/>
      <c r="C154" s="128">
        <f>Asset24</f>
        <v>0</v>
      </c>
      <c r="D154" s="9"/>
      <c r="E154" s="9"/>
      <c r="F154" s="139"/>
      <c r="G154" s="191"/>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9"/>
      <c r="S154" s="99"/>
      <c r="T154" s="99"/>
      <c r="U154" s="99"/>
      <c r="V154" s="99"/>
      <c r="W154" s="99"/>
      <c r="X154" s="99"/>
      <c r="Y154" s="99"/>
      <c r="Z154" s="99"/>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14"/>
      <c r="BK154" s="214"/>
    </row>
    <row r="155" spans="1:63" hidden="1" outlineLevel="1">
      <c r="A155" s="9"/>
      <c r="B155" s="44"/>
      <c r="C155" s="152" t="s">
        <v>29</v>
      </c>
      <c r="D155" s="9"/>
      <c r="E155" s="9"/>
      <c r="F155" s="139"/>
      <c r="G155" s="191"/>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9"/>
      <c r="S155" s="99"/>
      <c r="T155" s="99"/>
      <c r="U155" s="99"/>
      <c r="V155" s="99"/>
      <c r="W155" s="99"/>
      <c r="X155" s="99"/>
      <c r="Y155" s="99"/>
      <c r="Z155" s="99"/>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14"/>
      <c r="BK155" s="214"/>
    </row>
    <row r="156" spans="1:63" hidden="1" outlineLevel="1">
      <c r="A156" s="9"/>
      <c r="B156" s="44"/>
      <c r="C156" s="128">
        <f>Asset25</f>
        <v>0</v>
      </c>
      <c r="D156" s="9"/>
      <c r="E156" s="9"/>
      <c r="F156" s="139"/>
      <c r="G156" s="191"/>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9"/>
      <c r="S156" s="99"/>
      <c r="T156" s="99"/>
      <c r="U156" s="99"/>
      <c r="V156" s="99"/>
      <c r="W156" s="99"/>
      <c r="X156" s="99"/>
      <c r="Y156" s="99"/>
      <c r="Z156" s="99"/>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14"/>
      <c r="BK156" s="214"/>
    </row>
    <row r="157" spans="1:63" hidden="1" outlineLevel="1">
      <c r="A157" s="9"/>
      <c r="B157" s="44"/>
      <c r="C157" s="152" t="s">
        <v>29</v>
      </c>
      <c r="D157" s="9"/>
      <c r="E157" s="9"/>
      <c r="F157" s="139"/>
      <c r="G157" s="191"/>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9"/>
      <c r="S157" s="99"/>
      <c r="T157" s="99"/>
      <c r="U157" s="99"/>
      <c r="V157" s="99"/>
      <c r="W157" s="99"/>
      <c r="X157" s="99"/>
      <c r="Y157" s="99"/>
      <c r="Z157" s="99"/>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14"/>
      <c r="BK157" s="214"/>
    </row>
    <row r="158" spans="1:63" hidden="1" outlineLevel="1">
      <c r="A158" s="9"/>
      <c r="B158" s="44"/>
      <c r="C158" s="128">
        <f>Asset26</f>
        <v>0</v>
      </c>
      <c r="D158" s="9"/>
      <c r="E158" s="9"/>
      <c r="F158" s="139"/>
      <c r="G158" s="191"/>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9"/>
      <c r="S158" s="99"/>
      <c r="T158" s="99"/>
      <c r="U158" s="99"/>
      <c r="V158" s="99"/>
      <c r="W158" s="99"/>
      <c r="X158" s="99"/>
      <c r="Y158" s="99"/>
      <c r="Z158" s="99"/>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14"/>
      <c r="BK158" s="214"/>
    </row>
    <row r="159" spans="1:63" hidden="1" outlineLevel="1">
      <c r="A159" s="9"/>
      <c r="B159" s="44"/>
      <c r="C159" s="152" t="s">
        <v>29</v>
      </c>
      <c r="D159" s="9"/>
      <c r="E159" s="9"/>
      <c r="F159" s="139"/>
      <c r="G159" s="191"/>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9"/>
      <c r="S159" s="99"/>
      <c r="T159" s="99"/>
      <c r="U159" s="99"/>
      <c r="V159" s="99"/>
      <c r="W159" s="99"/>
      <c r="X159" s="99"/>
      <c r="Y159" s="99"/>
      <c r="Z159" s="99"/>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14"/>
      <c r="BK159" s="214"/>
    </row>
    <row r="160" spans="1:63" hidden="1" outlineLevel="1">
      <c r="A160" s="9"/>
      <c r="B160" s="44"/>
      <c r="C160" s="128">
        <f>Asset27</f>
        <v>0</v>
      </c>
      <c r="D160" s="9"/>
      <c r="E160" s="9"/>
      <c r="F160" s="139"/>
      <c r="G160" s="191"/>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9"/>
      <c r="S160" s="99"/>
      <c r="T160" s="99"/>
      <c r="U160" s="99"/>
      <c r="V160" s="99"/>
      <c r="W160" s="99"/>
      <c r="X160" s="99"/>
      <c r="Y160" s="99"/>
      <c r="Z160" s="99"/>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14"/>
      <c r="BK160" s="214"/>
    </row>
    <row r="161" spans="1:63" hidden="1" outlineLevel="1">
      <c r="A161" s="9"/>
      <c r="B161" s="44"/>
      <c r="C161" s="152" t="s">
        <v>29</v>
      </c>
      <c r="D161" s="9"/>
      <c r="E161" s="9"/>
      <c r="F161" s="139"/>
      <c r="G161" s="191"/>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9"/>
      <c r="S161" s="99"/>
      <c r="T161" s="99"/>
      <c r="U161" s="99"/>
      <c r="V161" s="99"/>
      <c r="W161" s="99"/>
      <c r="X161" s="99"/>
      <c r="Y161" s="99"/>
      <c r="Z161" s="99"/>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14"/>
      <c r="BK161" s="214"/>
    </row>
    <row r="162" spans="1:63" hidden="1" outlineLevel="1">
      <c r="A162" s="9"/>
      <c r="B162" s="44"/>
      <c r="C162" s="128">
        <f>Asset28</f>
        <v>0</v>
      </c>
      <c r="D162" s="9"/>
      <c r="E162" s="9"/>
      <c r="F162" s="139"/>
      <c r="G162" s="191"/>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9"/>
      <c r="S162" s="99"/>
      <c r="T162" s="99"/>
      <c r="U162" s="99"/>
      <c r="V162" s="99"/>
      <c r="W162" s="99"/>
      <c r="X162" s="99"/>
      <c r="Y162" s="99"/>
      <c r="Z162" s="99"/>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14"/>
      <c r="BK162" s="214"/>
    </row>
    <row r="163" spans="1:63" hidden="1" outlineLevel="1">
      <c r="A163" s="9"/>
      <c r="B163" s="44"/>
      <c r="C163" s="152" t="s">
        <v>29</v>
      </c>
      <c r="D163" s="9"/>
      <c r="E163" s="9"/>
      <c r="F163" s="139"/>
      <c r="G163" s="191"/>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9"/>
      <c r="S163" s="99"/>
      <c r="T163" s="99"/>
      <c r="U163" s="99"/>
      <c r="V163" s="99"/>
      <c r="W163" s="99"/>
      <c r="X163" s="99"/>
      <c r="Y163" s="99"/>
      <c r="Z163" s="99"/>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14"/>
      <c r="BK163" s="214"/>
    </row>
    <row r="164" spans="1:63" hidden="1" outlineLevel="1">
      <c r="A164" s="9"/>
      <c r="B164" s="44"/>
      <c r="C164" s="128">
        <f>Asset29</f>
        <v>0</v>
      </c>
      <c r="D164" s="9"/>
      <c r="E164" s="9"/>
      <c r="F164" s="139"/>
      <c r="G164" s="191"/>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9"/>
      <c r="S164" s="99"/>
      <c r="T164" s="99"/>
      <c r="U164" s="99"/>
      <c r="V164" s="99"/>
      <c r="W164" s="99"/>
      <c r="X164" s="99"/>
      <c r="Y164" s="99"/>
      <c r="Z164" s="99"/>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14"/>
      <c r="BK164" s="214"/>
    </row>
    <row r="165" spans="1:63" hidden="1" outlineLevel="1">
      <c r="A165" s="9"/>
      <c r="B165" s="44"/>
      <c r="C165" s="152" t="s">
        <v>29</v>
      </c>
      <c r="D165" s="9"/>
      <c r="E165" s="9"/>
      <c r="F165" s="139"/>
      <c r="G165" s="191"/>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9"/>
      <c r="S165" s="99"/>
      <c r="T165" s="99"/>
      <c r="U165" s="99"/>
      <c r="V165" s="99"/>
      <c r="W165" s="99"/>
      <c r="X165" s="99"/>
      <c r="Y165" s="99"/>
      <c r="Z165" s="99"/>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14"/>
      <c r="BK165" s="214"/>
    </row>
    <row r="166" spans="1:63" hidden="1" outlineLevel="1">
      <c r="A166" s="9"/>
      <c r="B166" s="44"/>
      <c r="C166" s="128">
        <f>Asset30</f>
        <v>0</v>
      </c>
      <c r="D166" s="9"/>
      <c r="E166" s="9"/>
      <c r="F166" s="139"/>
      <c r="G166" s="191"/>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9"/>
      <c r="S166" s="99"/>
      <c r="T166" s="99"/>
      <c r="U166" s="99"/>
      <c r="V166" s="99"/>
      <c r="W166" s="99"/>
      <c r="X166" s="99"/>
      <c r="Y166" s="99"/>
      <c r="Z166" s="99"/>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14"/>
      <c r="BK166" s="214"/>
    </row>
    <row r="167" spans="1:63" hidden="1" outlineLevel="1">
      <c r="A167" s="9"/>
      <c r="B167" s="44"/>
      <c r="C167" s="152" t="s">
        <v>29</v>
      </c>
      <c r="D167" s="9"/>
      <c r="E167" s="9"/>
      <c r="F167" s="139"/>
      <c r="G167" s="191"/>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9"/>
      <c r="S167" s="99"/>
      <c r="T167" s="99"/>
      <c r="U167" s="99"/>
      <c r="V167" s="99"/>
      <c r="W167" s="99"/>
      <c r="X167" s="99"/>
      <c r="Y167" s="99"/>
      <c r="Z167" s="99"/>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14"/>
      <c r="BK167" s="214"/>
    </row>
    <row r="168" spans="1:63" collapsed="1">
      <c r="A168" s="9"/>
      <c r="B168" s="182" t="s">
        <v>44</v>
      </c>
      <c r="D168" s="9"/>
      <c r="E168" s="9"/>
      <c r="F168" s="139"/>
      <c r="G168" s="193"/>
      <c r="H168" s="115"/>
      <c r="I168" s="115"/>
      <c r="J168" s="115"/>
      <c r="K168" s="115"/>
      <c r="L168" s="115">
        <f>IF(M107=0, SUM($G107:L107), 0)</f>
        <v>145.91685116483953</v>
      </c>
      <c r="M168" s="115">
        <f>IF(N107=0, IF(M107=0, 0, SUM($G107:M107)), 0)</f>
        <v>0</v>
      </c>
      <c r="N168" s="115">
        <f>IF(O107=0, IF(N107=0, 0, SUM($G107:N107)), 0)</f>
        <v>0</v>
      </c>
      <c r="O168" s="115">
        <f>IF(P107=0, IF(O107=0, 0, SUM($G107:O107)), 0)</f>
        <v>0</v>
      </c>
      <c r="P168" s="115">
        <f>IF(Q107=0, IF(P107=0, 0, SUM($G107:P107)), 0)</f>
        <v>0</v>
      </c>
      <c r="Q168" s="115">
        <f>IF(R107=0, IF(Q107=0, 0, SUM($G107:Q107)), 0)</f>
        <v>0</v>
      </c>
      <c r="R168" s="99"/>
      <c r="S168" s="99"/>
      <c r="T168" s="99"/>
      <c r="U168" s="99"/>
      <c r="V168" s="99"/>
      <c r="W168" s="99"/>
      <c r="X168" s="99"/>
      <c r="Y168" s="99"/>
      <c r="Z168" s="99"/>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14"/>
      <c r="BK168" s="214"/>
    </row>
    <row r="169" spans="1:63">
      <c r="A169" s="9"/>
      <c r="B169" s="151"/>
      <c r="C169" s="25"/>
      <c r="D169" s="9"/>
      <c r="E169" s="9"/>
      <c r="F169" s="139"/>
      <c r="G169" s="115"/>
      <c r="H169" s="115"/>
      <c r="I169" s="115"/>
      <c r="J169" s="115"/>
      <c r="K169" s="115"/>
      <c r="L169" s="115"/>
      <c r="M169" s="9"/>
      <c r="N169" s="109"/>
      <c r="O169" s="150"/>
      <c r="P169" s="150"/>
      <c r="Q169" s="150"/>
      <c r="R169" s="99"/>
      <c r="S169" s="99"/>
      <c r="T169" s="99"/>
      <c r="U169" s="99"/>
      <c r="V169" s="99"/>
      <c r="W169" s="99"/>
      <c r="X169" s="99"/>
      <c r="Y169" s="99"/>
      <c r="Z169" s="99"/>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14"/>
      <c r="BK169" s="214"/>
    </row>
    <row r="170" spans="1:63">
      <c r="A170" s="72"/>
      <c r="B170" s="176" t="s">
        <v>51</v>
      </c>
      <c r="C170" s="177"/>
      <c r="D170" s="72"/>
      <c r="E170" s="72"/>
      <c r="F170" s="178"/>
      <c r="G170" s="179"/>
      <c r="H170" s="179"/>
      <c r="I170" s="179"/>
      <c r="J170" s="179"/>
      <c r="K170" s="179"/>
      <c r="L170" s="179"/>
      <c r="M170" s="72"/>
      <c r="N170" s="180"/>
      <c r="O170" s="181"/>
      <c r="P170" s="181"/>
      <c r="Q170" s="181"/>
      <c r="R170" s="181"/>
      <c r="S170" s="99"/>
      <c r="T170" s="99"/>
      <c r="U170" s="99"/>
      <c r="V170" s="99"/>
      <c r="W170" s="99"/>
      <c r="X170" s="99"/>
      <c r="Y170" s="99"/>
      <c r="Z170" s="99"/>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14"/>
      <c r="BK170" s="214"/>
    </row>
    <row r="171" spans="1:63">
      <c r="A171" s="9"/>
      <c r="B171" s="151"/>
      <c r="C171" s="25"/>
      <c r="D171" s="9"/>
      <c r="E171" s="9"/>
      <c r="F171" s="139"/>
      <c r="G171" s="115"/>
      <c r="H171" s="115"/>
      <c r="I171" s="115"/>
      <c r="J171" s="115"/>
      <c r="K171" s="115"/>
      <c r="L171" s="115"/>
      <c r="M171" s="9"/>
      <c r="N171" s="109"/>
      <c r="O171" s="150"/>
      <c r="P171" s="150"/>
      <c r="Q171" s="150"/>
      <c r="R171" s="99"/>
      <c r="S171" s="99"/>
      <c r="T171" s="99"/>
      <c r="U171" s="99"/>
      <c r="V171" s="99"/>
      <c r="W171" s="99"/>
      <c r="X171" s="99"/>
      <c r="Y171" s="99"/>
      <c r="Z171" s="99"/>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14"/>
      <c r="BK171" s="214"/>
    </row>
    <row r="172" spans="1:63">
      <c r="A172" s="9"/>
      <c r="B172" s="44" t="s">
        <v>52</v>
      </c>
      <c r="C172" s="9"/>
      <c r="D172" s="9"/>
      <c r="E172" s="9"/>
      <c r="F172" s="139"/>
      <c r="G172" s="193">
        <f>SUM(G173:G202)</f>
        <v>-46.528595504163583</v>
      </c>
      <c r="H172" s="115"/>
      <c r="I172" s="115"/>
      <c r="J172" s="115"/>
      <c r="K172" s="115"/>
      <c r="L172" s="115"/>
      <c r="M172" s="9"/>
      <c r="N172" s="109"/>
      <c r="O172" s="150"/>
      <c r="P172" s="150"/>
      <c r="Q172" s="150"/>
      <c r="R172" s="99"/>
      <c r="S172" s="99"/>
      <c r="T172" s="99"/>
      <c r="U172" s="99"/>
      <c r="V172" s="99"/>
      <c r="W172" s="99"/>
      <c r="X172" s="99"/>
      <c r="Y172" s="99"/>
      <c r="Z172" s="99"/>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14"/>
      <c r="BK172" s="214"/>
    </row>
    <row r="173" spans="1:63" hidden="1" outlineLevel="1">
      <c r="A173" s="9"/>
      <c r="B173" s="9"/>
      <c r="C173" s="128" t="str">
        <f>Asset1</f>
        <v>Sub-transmission lines and cables</v>
      </c>
      <c r="D173" s="9"/>
      <c r="E173" s="9"/>
      <c r="F173" s="139"/>
      <c r="G173" s="191">
        <f>Input!Q7</f>
        <v>-1.6899431763238399</v>
      </c>
      <c r="H173" s="115"/>
      <c r="I173" s="115"/>
      <c r="J173" s="115"/>
      <c r="K173" s="115"/>
      <c r="L173" s="115"/>
      <c r="M173" s="9"/>
      <c r="N173" s="109"/>
      <c r="O173" s="150"/>
      <c r="P173" s="150"/>
      <c r="Q173" s="150"/>
      <c r="R173" s="99"/>
      <c r="S173" s="99"/>
      <c r="T173" s="99"/>
      <c r="U173" s="99"/>
      <c r="V173" s="99"/>
      <c r="W173" s="99"/>
      <c r="X173" s="99"/>
      <c r="Y173" s="99"/>
      <c r="Z173" s="99"/>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14"/>
      <c r="BK173" s="214"/>
    </row>
    <row r="174" spans="1:63" hidden="1" outlineLevel="1">
      <c r="A174" s="9"/>
      <c r="B174" s="44"/>
      <c r="C174" s="128" t="str">
        <f>Asset2</f>
        <v>Cable tunnel (dx)</v>
      </c>
      <c r="D174" s="9"/>
      <c r="E174" s="9"/>
      <c r="F174" s="139"/>
      <c r="G174" s="191">
        <f>Input!Q8</f>
        <v>0</v>
      </c>
      <c r="H174" s="115"/>
      <c r="I174" s="115"/>
      <c r="J174" s="115"/>
      <c r="K174" s="115"/>
      <c r="L174" s="115"/>
      <c r="M174" s="9"/>
      <c r="N174" s="109"/>
      <c r="O174" s="150"/>
      <c r="P174" s="150"/>
      <c r="Q174" s="150"/>
      <c r="R174" s="99"/>
      <c r="S174" s="99"/>
      <c r="T174" s="99"/>
      <c r="U174" s="99"/>
      <c r="V174" s="99"/>
      <c r="W174" s="99"/>
      <c r="X174" s="99"/>
      <c r="Y174" s="99"/>
      <c r="Z174" s="99"/>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14"/>
      <c r="BK174" s="214"/>
    </row>
    <row r="175" spans="1:63" hidden="1" outlineLevel="1">
      <c r="A175" s="9"/>
      <c r="B175" s="44"/>
      <c r="C175" s="128" t="str">
        <f>Asset3</f>
        <v>Distribution lines and cables</v>
      </c>
      <c r="D175" s="9"/>
      <c r="E175" s="9"/>
      <c r="F175" s="139"/>
      <c r="G175" s="191">
        <f>Input!Q9</f>
        <v>0</v>
      </c>
      <c r="H175" s="115"/>
      <c r="I175" s="115"/>
      <c r="J175" s="115"/>
      <c r="K175" s="115"/>
      <c r="L175" s="115"/>
      <c r="M175" s="9"/>
      <c r="N175" s="109"/>
      <c r="O175" s="150"/>
      <c r="P175" s="150"/>
      <c r="Q175" s="150"/>
      <c r="R175" s="99"/>
      <c r="S175" s="99"/>
      <c r="T175" s="99"/>
      <c r="U175" s="99"/>
      <c r="V175" s="99"/>
      <c r="W175" s="99"/>
      <c r="X175" s="99"/>
      <c r="Y175" s="99"/>
      <c r="Z175" s="99"/>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14"/>
      <c r="BK175" s="214"/>
    </row>
    <row r="176" spans="1:63" hidden="1" outlineLevel="1">
      <c r="A176" s="9"/>
      <c r="B176" s="44"/>
      <c r="C176" s="128" t="str">
        <f>Asset4</f>
        <v>Substations</v>
      </c>
      <c r="D176" s="9"/>
      <c r="E176" s="9"/>
      <c r="F176" s="139"/>
      <c r="G176" s="191">
        <f>Input!Q10</f>
        <v>-0.83023642406459597</v>
      </c>
      <c r="H176" s="115"/>
      <c r="I176" s="115"/>
      <c r="J176" s="115"/>
      <c r="K176" s="115"/>
      <c r="L176" s="115"/>
      <c r="M176" s="9"/>
      <c r="N176" s="109"/>
      <c r="O176" s="150"/>
      <c r="P176" s="150"/>
      <c r="Q176" s="150"/>
      <c r="R176" s="99"/>
      <c r="S176" s="99"/>
      <c r="T176" s="99"/>
      <c r="U176" s="99"/>
      <c r="V176" s="99"/>
      <c r="W176" s="99"/>
      <c r="X176" s="99"/>
      <c r="Y176" s="99"/>
      <c r="Z176" s="99"/>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14"/>
      <c r="BK176" s="214"/>
    </row>
    <row r="177" spans="1:63" hidden="1" outlineLevel="1">
      <c r="A177" s="9"/>
      <c r="B177" s="44"/>
      <c r="C177" s="128" t="str">
        <f>Asset5</f>
        <v>Transformers</v>
      </c>
      <c r="D177" s="9"/>
      <c r="E177" s="9"/>
      <c r="F177" s="139"/>
      <c r="G177" s="191">
        <f>Input!Q11</f>
        <v>-2.2706686955399</v>
      </c>
      <c r="H177" s="115"/>
      <c r="I177" s="115"/>
      <c r="J177" s="115"/>
      <c r="K177" s="115"/>
      <c r="L177" s="115"/>
      <c r="M177" s="9"/>
      <c r="N177" s="109"/>
      <c r="O177" s="150"/>
      <c r="P177" s="150"/>
      <c r="Q177" s="150"/>
      <c r="R177" s="99"/>
      <c r="S177" s="99"/>
      <c r="T177" s="99"/>
      <c r="U177" s="99"/>
      <c r="V177" s="99"/>
      <c r="W177" s="99"/>
      <c r="X177" s="99"/>
      <c r="Y177" s="99"/>
      <c r="Z177" s="99"/>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14"/>
      <c r="BK177" s="214"/>
    </row>
    <row r="178" spans="1:63" hidden="1" outlineLevel="1">
      <c r="A178" s="9"/>
      <c r="B178" s="44"/>
      <c r="C178" s="128" t="str">
        <f>Asset6</f>
        <v>Low Voltage Lines and Cables</v>
      </c>
      <c r="D178" s="9"/>
      <c r="E178" s="9"/>
      <c r="F178" s="139"/>
      <c r="G178" s="191">
        <f>Input!Q12</f>
        <v>0</v>
      </c>
      <c r="H178" s="115"/>
      <c r="I178" s="115"/>
      <c r="J178" s="115"/>
      <c r="K178" s="115"/>
      <c r="L178" s="115"/>
      <c r="M178" s="9"/>
      <c r="N178" s="109"/>
      <c r="O178" s="150"/>
      <c r="P178" s="150"/>
      <c r="Q178" s="150"/>
      <c r="R178" s="99"/>
      <c r="S178" s="99"/>
      <c r="T178" s="99"/>
      <c r="U178" s="99"/>
      <c r="V178" s="99"/>
      <c r="W178" s="99"/>
      <c r="X178" s="99"/>
      <c r="Y178" s="99"/>
      <c r="Z178" s="99"/>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14"/>
      <c r="BK178" s="214"/>
    </row>
    <row r="179" spans="1:63" hidden="1" outlineLevel="1">
      <c r="A179" s="9"/>
      <c r="B179" s="44"/>
      <c r="C179" s="128" t="str">
        <f>Asset7</f>
        <v>Customer Metering and Load Control</v>
      </c>
      <c r="D179" s="9"/>
      <c r="E179" s="9"/>
      <c r="F179" s="139"/>
      <c r="G179" s="191">
        <f>Input!Q13</f>
        <v>0</v>
      </c>
      <c r="H179" s="115"/>
      <c r="I179" s="115"/>
      <c r="J179" s="115"/>
      <c r="K179" s="115"/>
      <c r="L179" s="115"/>
      <c r="M179" s="9"/>
      <c r="N179" s="109"/>
      <c r="O179" s="150"/>
      <c r="P179" s="150"/>
      <c r="Q179" s="150"/>
      <c r="R179" s="99"/>
      <c r="S179" s="99"/>
      <c r="T179" s="99"/>
      <c r="U179" s="99"/>
      <c r="V179" s="99"/>
      <c r="W179" s="99"/>
      <c r="X179" s="99"/>
      <c r="Y179" s="99"/>
      <c r="Z179" s="99"/>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14"/>
      <c r="BK179" s="214"/>
    </row>
    <row r="180" spans="1:63" hidden="1" outlineLevel="1">
      <c r="A180" s="9"/>
      <c r="B180" s="44"/>
      <c r="C180" s="128" t="str">
        <f>Asset8</f>
        <v>Customer Metering (digital)</v>
      </c>
      <c r="D180" s="9"/>
      <c r="E180" s="9"/>
      <c r="F180" s="139"/>
      <c r="G180" s="191">
        <f>Input!Q14</f>
        <v>0</v>
      </c>
      <c r="H180" s="115"/>
      <c r="I180" s="115"/>
      <c r="J180" s="115"/>
      <c r="K180" s="115"/>
      <c r="L180" s="115"/>
      <c r="M180" s="9"/>
      <c r="N180" s="109"/>
      <c r="O180" s="150"/>
      <c r="P180" s="150"/>
      <c r="Q180" s="150"/>
      <c r="R180" s="99"/>
      <c r="S180" s="99"/>
      <c r="T180" s="99"/>
      <c r="U180" s="99"/>
      <c r="V180" s="99"/>
      <c r="W180" s="99"/>
      <c r="X180" s="99"/>
      <c r="Y180" s="99"/>
      <c r="Z180" s="99"/>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14"/>
      <c r="BK180" s="214"/>
    </row>
    <row r="181" spans="1:63" hidden="1" outlineLevel="1">
      <c r="A181" s="9"/>
      <c r="B181" s="44"/>
      <c r="C181" s="128" t="str">
        <f>Asset9</f>
        <v>Communications (digital) - dx</v>
      </c>
      <c r="D181" s="9"/>
      <c r="E181" s="9"/>
      <c r="F181" s="139"/>
      <c r="G181" s="191">
        <f>Input!Q15</f>
        <v>0</v>
      </c>
      <c r="H181" s="115"/>
      <c r="I181" s="115"/>
      <c r="J181" s="115"/>
      <c r="K181" s="115"/>
      <c r="L181" s="115"/>
      <c r="M181" s="9"/>
      <c r="N181" s="109"/>
      <c r="O181" s="150"/>
      <c r="P181" s="150"/>
      <c r="Q181" s="150"/>
      <c r="R181" s="99"/>
      <c r="S181" s="99"/>
      <c r="T181" s="99"/>
      <c r="U181" s="99"/>
      <c r="V181" s="99"/>
      <c r="W181" s="99"/>
      <c r="X181" s="99"/>
      <c r="Y181" s="99"/>
      <c r="Z181" s="99"/>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14"/>
      <c r="BK181" s="214"/>
    </row>
    <row r="182" spans="1:63" hidden="1" outlineLevel="1">
      <c r="A182" s="9"/>
      <c r="B182" s="44"/>
      <c r="C182" s="128" t="str">
        <f>Asset10</f>
        <v>Total Communications</v>
      </c>
      <c r="D182" s="9"/>
      <c r="E182" s="9"/>
      <c r="F182" s="139"/>
      <c r="G182" s="191">
        <f>Input!Q16</f>
        <v>0</v>
      </c>
      <c r="H182" s="115"/>
      <c r="I182" s="115"/>
      <c r="J182" s="115"/>
      <c r="K182" s="115"/>
      <c r="L182" s="115"/>
      <c r="M182" s="9"/>
      <c r="N182" s="109"/>
      <c r="O182" s="150"/>
      <c r="P182" s="150"/>
      <c r="Q182" s="150"/>
      <c r="R182" s="99"/>
      <c r="S182" s="99"/>
      <c r="T182" s="99"/>
      <c r="U182" s="99"/>
      <c r="V182" s="99"/>
      <c r="W182" s="99"/>
      <c r="X182" s="99"/>
      <c r="Y182" s="99"/>
      <c r="Z182" s="99"/>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14"/>
      <c r="BK182" s="214"/>
    </row>
    <row r="183" spans="1:63" hidden="1" outlineLevel="1">
      <c r="A183" s="9"/>
      <c r="B183" s="44"/>
      <c r="C183" s="128" t="str">
        <f>Asset11</f>
        <v>System IT (dx)</v>
      </c>
      <c r="D183" s="9"/>
      <c r="E183" s="9"/>
      <c r="F183" s="139"/>
      <c r="G183" s="191">
        <f>Input!Q17</f>
        <v>0</v>
      </c>
      <c r="H183" s="115"/>
      <c r="I183" s="115"/>
      <c r="J183" s="115"/>
      <c r="K183" s="115"/>
      <c r="L183" s="115"/>
      <c r="M183" s="9"/>
      <c r="N183" s="109"/>
      <c r="O183" s="150"/>
      <c r="P183" s="150"/>
      <c r="Q183" s="150"/>
      <c r="R183" s="99"/>
      <c r="S183" s="99"/>
      <c r="T183" s="99"/>
      <c r="U183" s="99"/>
      <c r="V183" s="99"/>
      <c r="W183" s="99"/>
      <c r="X183" s="99"/>
      <c r="Y183" s="99"/>
      <c r="Z183" s="99"/>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14"/>
      <c r="BK183" s="214"/>
    </row>
    <row r="184" spans="1:63" hidden="1" outlineLevel="1">
      <c r="A184" s="9"/>
      <c r="B184" s="44"/>
      <c r="C184" s="128" t="str">
        <f>Asset12</f>
        <v>Ancillary substation equipment (dx)</v>
      </c>
      <c r="D184" s="9"/>
      <c r="E184" s="9"/>
      <c r="F184" s="139"/>
      <c r="G184" s="191">
        <f>Input!Q18</f>
        <v>0</v>
      </c>
      <c r="H184" s="115"/>
      <c r="I184" s="115"/>
      <c r="J184" s="115"/>
      <c r="K184" s="115"/>
      <c r="L184" s="115"/>
      <c r="M184" s="9"/>
      <c r="N184" s="109"/>
      <c r="O184" s="150"/>
      <c r="P184" s="150"/>
      <c r="Q184" s="150"/>
      <c r="R184" s="99"/>
      <c r="S184" s="99"/>
      <c r="T184" s="99"/>
      <c r="U184" s="99"/>
      <c r="V184" s="99"/>
      <c r="W184" s="99"/>
      <c r="X184" s="99"/>
      <c r="Y184" s="99"/>
      <c r="Z184" s="99"/>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14"/>
      <c r="BK184" s="214"/>
    </row>
    <row r="185" spans="1:63" hidden="1" outlineLevel="1">
      <c r="A185" s="9"/>
      <c r="B185" s="44"/>
      <c r="C185" s="128" t="str">
        <f>Asset13</f>
        <v>Land and Easements</v>
      </c>
      <c r="D185" s="9"/>
      <c r="E185" s="9"/>
      <c r="F185" s="139"/>
      <c r="G185" s="191">
        <f>Input!Q19</f>
        <v>-52.979567800171701</v>
      </c>
      <c r="H185" s="115"/>
      <c r="I185" s="115"/>
      <c r="J185" s="115"/>
      <c r="K185" s="115"/>
      <c r="L185" s="115"/>
      <c r="M185" s="9"/>
      <c r="N185" s="109"/>
      <c r="O185" s="150"/>
      <c r="P185" s="150"/>
      <c r="Q185" s="150"/>
      <c r="R185" s="99"/>
      <c r="S185" s="99"/>
      <c r="T185" s="99"/>
      <c r="U185" s="99"/>
      <c r="V185" s="99"/>
      <c r="W185" s="99"/>
      <c r="X185" s="99"/>
      <c r="Y185" s="99"/>
      <c r="Z185" s="99"/>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14"/>
      <c r="BK185" s="214"/>
    </row>
    <row r="186" spans="1:63" hidden="1" outlineLevel="1">
      <c r="A186" s="9"/>
      <c r="B186" s="44"/>
      <c r="C186" s="128" t="str">
        <f>Asset14</f>
        <v>Emergency Spares (Major Plant, Excludes Inventory)</v>
      </c>
      <c r="D186" s="9"/>
      <c r="E186" s="9"/>
      <c r="F186" s="139"/>
      <c r="G186" s="191">
        <f>Input!Q20</f>
        <v>0</v>
      </c>
      <c r="H186" s="115"/>
      <c r="I186" s="115"/>
      <c r="J186" s="115"/>
      <c r="K186" s="115"/>
      <c r="L186" s="115"/>
      <c r="M186" s="9"/>
      <c r="N186" s="109"/>
      <c r="O186" s="150"/>
      <c r="P186" s="150"/>
      <c r="Q186" s="150"/>
      <c r="R186" s="99"/>
      <c r="S186" s="99"/>
      <c r="T186" s="99"/>
      <c r="U186" s="99"/>
      <c r="V186" s="99"/>
      <c r="W186" s="99"/>
      <c r="X186" s="99"/>
      <c r="Y186" s="99"/>
      <c r="Z186" s="99"/>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14"/>
      <c r="BK186" s="214"/>
    </row>
    <row r="187" spans="1:63" hidden="1" outlineLevel="1">
      <c r="A187" s="9"/>
      <c r="B187" s="44"/>
      <c r="C187" s="128" t="str">
        <f>Asset15</f>
        <v>Furniture, fittings, plant and equipment</v>
      </c>
      <c r="D187" s="9"/>
      <c r="E187" s="9"/>
      <c r="F187" s="139"/>
      <c r="G187" s="191">
        <f>Input!Q21</f>
        <v>0.60775456415614215</v>
      </c>
      <c r="H187" s="115"/>
      <c r="I187" s="115"/>
      <c r="J187" s="115"/>
      <c r="K187" s="115"/>
      <c r="L187" s="115"/>
      <c r="M187" s="9"/>
      <c r="N187" s="109"/>
      <c r="O187" s="150"/>
      <c r="P187" s="150"/>
      <c r="Q187" s="150"/>
      <c r="R187" s="99"/>
      <c r="S187" s="99"/>
      <c r="T187" s="99"/>
      <c r="U187" s="99"/>
      <c r="V187" s="99"/>
      <c r="W187" s="99"/>
      <c r="X187" s="99"/>
      <c r="Y187" s="99"/>
      <c r="Z187" s="99"/>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14"/>
      <c r="BK187" s="214"/>
    </row>
    <row r="188" spans="1:63" hidden="1" outlineLevel="1">
      <c r="A188" s="9"/>
      <c r="B188" s="44"/>
      <c r="C188" s="128" t="str">
        <f>Asset16</f>
        <v>Land (non-system)</v>
      </c>
      <c r="D188" s="9"/>
      <c r="E188" s="9"/>
      <c r="F188" s="139"/>
      <c r="G188" s="191">
        <f>Input!Q22</f>
        <v>1.0242978692249736</v>
      </c>
      <c r="H188" s="115"/>
      <c r="I188" s="115"/>
      <c r="J188" s="115"/>
      <c r="K188" s="115"/>
      <c r="L188" s="115"/>
      <c r="M188" s="9"/>
      <c r="N188" s="109"/>
      <c r="O188" s="150"/>
      <c r="P188" s="150"/>
      <c r="Q188" s="150"/>
      <c r="R188" s="99"/>
      <c r="S188" s="99"/>
      <c r="T188" s="99"/>
      <c r="U188" s="99"/>
      <c r="V188" s="99"/>
      <c r="W188" s="99"/>
      <c r="X188" s="99"/>
      <c r="Y188" s="99"/>
      <c r="Z188" s="99"/>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14"/>
      <c r="BK188" s="214"/>
    </row>
    <row r="189" spans="1:63" hidden="1" outlineLevel="1">
      <c r="A189" s="9"/>
      <c r="B189" s="44"/>
      <c r="C189" s="128" t="str">
        <f>Asset17</f>
        <v>Other non system assets</v>
      </c>
      <c r="D189" s="9"/>
      <c r="E189" s="9"/>
      <c r="F189" s="139"/>
      <c r="G189" s="191">
        <f>Input!Q23</f>
        <v>2.3402875492637634</v>
      </c>
      <c r="H189" s="115"/>
      <c r="I189" s="115"/>
      <c r="J189" s="115"/>
      <c r="K189" s="115"/>
      <c r="L189" s="115"/>
      <c r="M189" s="9"/>
      <c r="N189" s="109"/>
      <c r="O189" s="150"/>
      <c r="P189" s="150"/>
      <c r="Q189" s="150"/>
      <c r="R189" s="99"/>
      <c r="S189" s="99"/>
      <c r="T189" s="99"/>
      <c r="U189" s="99"/>
      <c r="V189" s="99"/>
      <c r="W189" s="99"/>
      <c r="X189" s="99"/>
      <c r="Y189" s="99"/>
      <c r="Z189" s="99"/>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14"/>
      <c r="BK189" s="214"/>
    </row>
    <row r="190" spans="1:63" hidden="1" outlineLevel="1">
      <c r="A190" s="9"/>
      <c r="B190" s="44"/>
      <c r="C190" s="128" t="str">
        <f>Asset18</f>
        <v>IT systems</v>
      </c>
      <c r="D190" s="9"/>
      <c r="E190" s="9"/>
      <c r="F190" s="139"/>
      <c r="G190" s="191">
        <f>Input!Q24</f>
        <v>2.5786222259441587</v>
      </c>
      <c r="H190" s="115"/>
      <c r="I190" s="115"/>
      <c r="J190" s="115"/>
      <c r="K190" s="115"/>
      <c r="L190" s="115"/>
      <c r="M190" s="9"/>
      <c r="N190" s="109"/>
      <c r="O190" s="150"/>
      <c r="P190" s="150"/>
      <c r="Q190" s="150"/>
      <c r="R190" s="99"/>
      <c r="S190" s="99"/>
      <c r="T190" s="99"/>
      <c r="U190" s="99"/>
      <c r="V190" s="99"/>
      <c r="W190" s="99"/>
      <c r="X190" s="99"/>
      <c r="Y190" s="99"/>
      <c r="Z190" s="99"/>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14"/>
      <c r="BK190" s="214"/>
    </row>
    <row r="191" spans="1:63" hidden="1" outlineLevel="1">
      <c r="A191" s="9"/>
      <c r="B191" s="44"/>
      <c r="C191" s="128" t="str">
        <f>Asset19</f>
        <v>Motor vehicles</v>
      </c>
      <c r="D191" s="9"/>
      <c r="E191" s="9"/>
      <c r="F191" s="139"/>
      <c r="G191" s="191">
        <f>Input!Q25</f>
        <v>1.9833372290151488</v>
      </c>
      <c r="H191" s="115"/>
      <c r="I191" s="115"/>
      <c r="J191" s="115"/>
      <c r="K191" s="115"/>
      <c r="L191" s="115"/>
      <c r="M191" s="9"/>
      <c r="N191" s="109"/>
      <c r="O191" s="150"/>
      <c r="P191" s="150"/>
      <c r="Q191" s="150"/>
      <c r="R191" s="99"/>
      <c r="S191" s="99"/>
      <c r="T191" s="99"/>
      <c r="U191" s="99"/>
      <c r="V191" s="99"/>
      <c r="W191" s="99"/>
      <c r="X191" s="99"/>
      <c r="Y191" s="99"/>
      <c r="Z191" s="99"/>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14"/>
      <c r="BK191" s="214"/>
    </row>
    <row r="192" spans="1:63" hidden="1" outlineLevel="1">
      <c r="A192" s="9"/>
      <c r="B192" s="44"/>
      <c r="C192" s="128" t="str">
        <f>Asset20</f>
        <v>Buildings</v>
      </c>
      <c r="D192" s="9"/>
      <c r="E192" s="9"/>
      <c r="F192" s="139"/>
      <c r="G192" s="191">
        <f>Input!Q26</f>
        <v>2.7075211543322695</v>
      </c>
      <c r="H192" s="115"/>
      <c r="I192" s="115"/>
      <c r="J192" s="115"/>
      <c r="K192" s="115"/>
      <c r="L192" s="115"/>
      <c r="M192" s="9"/>
      <c r="N192" s="109"/>
      <c r="O192" s="150"/>
      <c r="P192" s="150"/>
      <c r="Q192" s="150"/>
      <c r="R192" s="99"/>
      <c r="S192" s="99"/>
      <c r="T192" s="99"/>
      <c r="U192" s="99"/>
      <c r="V192" s="99"/>
      <c r="W192" s="99"/>
      <c r="X192" s="99"/>
      <c r="Y192" s="99"/>
      <c r="Z192" s="99"/>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14"/>
      <c r="BK192" s="214"/>
    </row>
    <row r="193" spans="1:63" hidden="1" outlineLevel="1">
      <c r="A193" s="9"/>
      <c r="B193" s="44"/>
      <c r="C193" s="128" t="str">
        <f>Asset21</f>
        <v>Equity raising costs</v>
      </c>
      <c r="D193" s="9"/>
      <c r="E193" s="9"/>
      <c r="F193" s="139"/>
      <c r="G193" s="191">
        <f>Input!Q27</f>
        <v>0</v>
      </c>
      <c r="H193" s="115"/>
      <c r="I193" s="115"/>
      <c r="J193" s="115"/>
      <c r="K193" s="115"/>
      <c r="L193" s="115"/>
      <c r="M193" s="9"/>
      <c r="N193" s="109"/>
      <c r="O193" s="150"/>
      <c r="P193" s="150"/>
      <c r="Q193" s="150"/>
      <c r="R193" s="99"/>
      <c r="S193" s="99"/>
      <c r="T193" s="99"/>
      <c r="U193" s="99"/>
      <c r="V193" s="99"/>
      <c r="W193" s="99"/>
      <c r="X193" s="99"/>
      <c r="Y193" s="99"/>
      <c r="Z193" s="99"/>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14"/>
      <c r="BK193" s="214"/>
    </row>
    <row r="194" spans="1:63" hidden="1" outlineLevel="1">
      <c r="A194" s="9"/>
      <c r="B194" s="44"/>
      <c r="C194" s="128">
        <f>Asset22</f>
        <v>0</v>
      </c>
      <c r="D194" s="9"/>
      <c r="E194" s="9"/>
      <c r="F194" s="139"/>
      <c r="G194" s="191">
        <f>Input!Q29</f>
        <v>0</v>
      </c>
      <c r="H194" s="115"/>
      <c r="I194" s="115"/>
      <c r="J194" s="115"/>
      <c r="K194" s="115"/>
      <c r="L194" s="115"/>
      <c r="M194" s="9"/>
      <c r="N194" s="109"/>
      <c r="O194" s="150"/>
      <c r="P194" s="150"/>
      <c r="Q194" s="150"/>
      <c r="R194" s="99"/>
      <c r="S194" s="99"/>
      <c r="T194" s="99"/>
      <c r="U194" s="99"/>
      <c r="V194" s="99"/>
      <c r="W194" s="99"/>
      <c r="X194" s="99"/>
      <c r="Y194" s="99"/>
      <c r="Z194" s="99"/>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14"/>
      <c r="BK194" s="214"/>
    </row>
    <row r="195" spans="1:63" hidden="1" outlineLevel="1">
      <c r="A195" s="9"/>
      <c r="B195" s="44"/>
      <c r="C195" s="128">
        <f>Asset23</f>
        <v>0</v>
      </c>
      <c r="D195" s="9"/>
      <c r="E195" s="9"/>
      <c r="F195" s="139"/>
      <c r="G195" s="191">
        <f>Input!Q30</f>
        <v>0</v>
      </c>
      <c r="H195" s="115"/>
      <c r="I195" s="115"/>
      <c r="J195" s="115"/>
      <c r="K195" s="115"/>
      <c r="L195" s="115"/>
      <c r="M195" s="9"/>
      <c r="N195" s="109"/>
      <c r="O195" s="150"/>
      <c r="P195" s="150"/>
      <c r="Q195" s="150"/>
      <c r="R195" s="99"/>
      <c r="S195" s="99"/>
      <c r="T195" s="99"/>
      <c r="U195" s="99"/>
      <c r="V195" s="99"/>
      <c r="W195" s="99"/>
      <c r="X195" s="99"/>
      <c r="Y195" s="99"/>
      <c r="Z195" s="99"/>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14"/>
      <c r="BK195" s="214"/>
    </row>
    <row r="196" spans="1:63" hidden="1" outlineLevel="1">
      <c r="A196" s="9"/>
      <c r="B196" s="44"/>
      <c r="C196" s="128">
        <f>Asset24</f>
        <v>0</v>
      </c>
      <c r="D196" s="9"/>
      <c r="E196" s="9"/>
      <c r="F196" s="139"/>
      <c r="G196" s="191">
        <f>Input!Q31</f>
        <v>0</v>
      </c>
      <c r="H196" s="115"/>
      <c r="I196" s="115"/>
      <c r="J196" s="115"/>
      <c r="K196" s="115"/>
      <c r="L196" s="115"/>
      <c r="M196" s="9"/>
      <c r="N196" s="109"/>
      <c r="O196" s="150"/>
      <c r="P196" s="150"/>
      <c r="Q196" s="150"/>
      <c r="R196" s="99"/>
      <c r="S196" s="99"/>
      <c r="T196" s="99"/>
      <c r="U196" s="99"/>
      <c r="V196" s="99"/>
      <c r="W196" s="99"/>
      <c r="X196" s="99"/>
      <c r="Y196" s="99"/>
      <c r="Z196" s="99"/>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14"/>
      <c r="BK196" s="214"/>
    </row>
    <row r="197" spans="1:63" hidden="1" outlineLevel="1">
      <c r="A197" s="9"/>
      <c r="B197" s="44"/>
      <c r="C197" s="128">
        <f>Asset25</f>
        <v>0</v>
      </c>
      <c r="D197" s="9"/>
      <c r="E197" s="9"/>
      <c r="F197" s="139"/>
      <c r="G197" s="191">
        <f>Input!Q32</f>
        <v>0</v>
      </c>
      <c r="H197" s="115"/>
      <c r="I197" s="115"/>
      <c r="J197" s="115"/>
      <c r="K197" s="115"/>
      <c r="L197" s="115"/>
      <c r="M197" s="9"/>
      <c r="N197" s="109"/>
      <c r="O197" s="150"/>
      <c r="P197" s="150"/>
      <c r="Q197" s="150"/>
      <c r="R197" s="99"/>
      <c r="S197" s="99"/>
      <c r="T197" s="99"/>
      <c r="U197" s="99"/>
      <c r="V197" s="99"/>
      <c r="W197" s="99"/>
      <c r="X197" s="99"/>
      <c r="Y197" s="99"/>
      <c r="Z197" s="99"/>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14"/>
      <c r="BK197" s="214"/>
    </row>
    <row r="198" spans="1:63" hidden="1" outlineLevel="1">
      <c r="A198" s="9"/>
      <c r="B198" s="44"/>
      <c r="C198" s="128">
        <f>Asset26</f>
        <v>0</v>
      </c>
      <c r="D198" s="9"/>
      <c r="E198" s="9"/>
      <c r="F198" s="139"/>
      <c r="G198" s="191">
        <f>Input!Q33</f>
        <v>0</v>
      </c>
      <c r="H198" s="115"/>
      <c r="I198" s="115"/>
      <c r="J198" s="115"/>
      <c r="K198" s="115"/>
      <c r="L198" s="115"/>
      <c r="M198" s="9"/>
      <c r="N198" s="109"/>
      <c r="O198" s="150"/>
      <c r="P198" s="150"/>
      <c r="Q198" s="150"/>
      <c r="R198" s="99"/>
      <c r="S198" s="99"/>
      <c r="T198" s="99"/>
      <c r="U198" s="99"/>
      <c r="V198" s="99"/>
      <c r="W198" s="99"/>
      <c r="X198" s="99"/>
      <c r="Y198" s="99"/>
      <c r="Z198" s="99"/>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14"/>
      <c r="BK198" s="214"/>
    </row>
    <row r="199" spans="1:63" hidden="1" outlineLevel="1">
      <c r="A199" s="9"/>
      <c r="B199" s="44"/>
      <c r="C199" s="128">
        <f>Asset27</f>
        <v>0</v>
      </c>
      <c r="D199" s="9"/>
      <c r="E199" s="9"/>
      <c r="F199" s="139"/>
      <c r="G199" s="191">
        <f>Input!Q34</f>
        <v>0</v>
      </c>
      <c r="H199" s="115"/>
      <c r="I199" s="115"/>
      <c r="J199" s="115"/>
      <c r="K199" s="115"/>
      <c r="L199" s="115"/>
      <c r="M199" s="9"/>
      <c r="N199" s="109"/>
      <c r="O199" s="150"/>
      <c r="P199" s="150"/>
      <c r="Q199" s="150"/>
      <c r="R199" s="99"/>
      <c r="S199" s="99"/>
      <c r="T199" s="99"/>
      <c r="U199" s="99"/>
      <c r="V199" s="99"/>
      <c r="W199" s="99"/>
      <c r="X199" s="99"/>
      <c r="Y199" s="99"/>
      <c r="Z199" s="99"/>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14"/>
      <c r="BK199" s="214"/>
    </row>
    <row r="200" spans="1:63" hidden="1" outlineLevel="1">
      <c r="A200" s="9"/>
      <c r="B200" s="44"/>
      <c r="C200" s="128">
        <f>Asset28</f>
        <v>0</v>
      </c>
      <c r="D200" s="9"/>
      <c r="E200" s="9"/>
      <c r="F200" s="139"/>
      <c r="G200" s="191">
        <f>Input!Q35</f>
        <v>0</v>
      </c>
      <c r="H200" s="115"/>
      <c r="I200" s="115"/>
      <c r="J200" s="115"/>
      <c r="K200" s="115"/>
      <c r="L200" s="115"/>
      <c r="M200" s="9"/>
      <c r="N200" s="109"/>
      <c r="O200" s="150"/>
      <c r="P200" s="150"/>
      <c r="Q200" s="150"/>
      <c r="R200" s="99"/>
      <c r="S200" s="99"/>
      <c r="T200" s="99"/>
      <c r="U200" s="99"/>
      <c r="V200" s="99"/>
      <c r="W200" s="99"/>
      <c r="X200" s="99"/>
      <c r="Y200" s="99"/>
      <c r="Z200" s="99"/>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14"/>
      <c r="BK200" s="214"/>
    </row>
    <row r="201" spans="1:63" hidden="1" outlineLevel="1">
      <c r="A201" s="9"/>
      <c r="B201" s="44"/>
      <c r="C201" s="128">
        <f>Asset29</f>
        <v>0</v>
      </c>
      <c r="D201" s="9"/>
      <c r="E201" s="9"/>
      <c r="F201" s="139"/>
      <c r="G201" s="191">
        <f>Input!Q36</f>
        <v>0</v>
      </c>
      <c r="H201" s="115"/>
      <c r="I201" s="115"/>
      <c r="J201" s="115"/>
      <c r="K201" s="115"/>
      <c r="L201" s="115"/>
      <c r="M201" s="9"/>
      <c r="N201" s="109"/>
      <c r="O201" s="150"/>
      <c r="P201" s="150"/>
      <c r="Q201" s="150"/>
      <c r="R201" s="99"/>
      <c r="S201" s="99"/>
      <c r="T201" s="99"/>
      <c r="U201" s="99"/>
      <c r="V201" s="99"/>
      <c r="W201" s="99"/>
      <c r="X201" s="99"/>
      <c r="Y201" s="99"/>
      <c r="Z201" s="99"/>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14"/>
      <c r="BK201" s="214"/>
    </row>
    <row r="202" spans="1:63" hidden="1" outlineLevel="1">
      <c r="A202" s="9"/>
      <c r="B202" s="44"/>
      <c r="C202" s="128">
        <f>Asset30</f>
        <v>0</v>
      </c>
      <c r="D202" s="9"/>
      <c r="E202" s="9"/>
      <c r="F202" s="139"/>
      <c r="G202" s="191">
        <f>Input!Q37</f>
        <v>0</v>
      </c>
      <c r="H202" s="115"/>
      <c r="I202" s="115"/>
      <c r="J202" s="115"/>
      <c r="K202" s="115"/>
      <c r="L202" s="115"/>
      <c r="M202" s="9"/>
      <c r="N202" s="109"/>
      <c r="O202" s="150"/>
      <c r="P202" s="150"/>
      <c r="Q202" s="150"/>
      <c r="R202" s="99"/>
      <c r="S202" s="99"/>
      <c r="T202" s="99"/>
      <c r="U202" s="99"/>
      <c r="V202" s="99"/>
      <c r="W202" s="99"/>
      <c r="X202" s="99"/>
      <c r="Y202" s="99"/>
      <c r="Z202" s="99"/>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14"/>
      <c r="BK202" s="214"/>
    </row>
    <row r="203" spans="1:63" collapsed="1">
      <c r="A203" s="9"/>
      <c r="B203" s="151"/>
      <c r="C203" s="25"/>
      <c r="D203" s="9"/>
      <c r="E203" s="9"/>
      <c r="F203" s="139"/>
      <c r="G203" s="193"/>
      <c r="H203" s="115"/>
      <c r="I203" s="115"/>
      <c r="J203" s="115"/>
      <c r="K203" s="115"/>
      <c r="L203" s="115"/>
      <c r="M203" s="9"/>
      <c r="N203" s="109"/>
      <c r="O203" s="150"/>
      <c r="P203" s="150"/>
      <c r="Q203" s="150"/>
      <c r="R203" s="99"/>
      <c r="S203" s="99"/>
      <c r="T203" s="99"/>
      <c r="U203" s="99"/>
      <c r="V203" s="99"/>
      <c r="W203" s="99"/>
      <c r="X203" s="99"/>
      <c r="Y203" s="99"/>
      <c r="Z203" s="99"/>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14"/>
      <c r="BK203" s="214"/>
    </row>
    <row r="204" spans="1:63">
      <c r="A204" s="9"/>
      <c r="B204" s="151" t="s">
        <v>53</v>
      </c>
      <c r="C204" s="25"/>
      <c r="D204" s="9"/>
      <c r="E204" s="9"/>
      <c r="F204" s="139"/>
      <c r="G204" s="193">
        <f>SUM(G205:G234)</f>
        <v>-46.528595504163583</v>
      </c>
      <c r="H204" s="115"/>
      <c r="I204" s="115"/>
      <c r="J204" s="115"/>
      <c r="K204" s="115"/>
      <c r="L204" s="115"/>
      <c r="M204" s="9"/>
      <c r="N204" s="109"/>
      <c r="O204" s="150"/>
      <c r="P204" s="150"/>
      <c r="Q204" s="150"/>
      <c r="R204" s="99"/>
      <c r="S204" s="99"/>
      <c r="T204" s="99"/>
      <c r="U204" s="99"/>
      <c r="V204" s="99"/>
      <c r="W204" s="99"/>
      <c r="X204" s="99"/>
      <c r="Y204" s="99"/>
      <c r="Z204" s="99"/>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14"/>
      <c r="BK204" s="214"/>
    </row>
    <row r="205" spans="1:63" hidden="1" outlineLevel="1">
      <c r="A205" s="9"/>
      <c r="B205" s="9"/>
      <c r="C205" s="128" t="str">
        <f>Asset1</f>
        <v>Sub-transmission lines and cables</v>
      </c>
      <c r="D205" s="9"/>
      <c r="E205" s="9"/>
      <c r="F205" s="139"/>
      <c r="G205" s="191">
        <f>Input!R7</f>
        <v>-1.6899431763238399</v>
      </c>
      <c r="H205" s="115"/>
      <c r="I205" s="115"/>
      <c r="J205" s="115"/>
      <c r="K205" s="115"/>
      <c r="L205" s="115"/>
      <c r="M205" s="9"/>
      <c r="N205" s="109"/>
      <c r="O205" s="150"/>
      <c r="P205" s="150"/>
      <c r="Q205" s="150"/>
      <c r="R205" s="99"/>
      <c r="S205" s="99"/>
      <c r="T205" s="99"/>
      <c r="U205" s="99"/>
      <c r="V205" s="99"/>
      <c r="W205" s="99"/>
      <c r="X205" s="99"/>
      <c r="Y205" s="99"/>
      <c r="Z205" s="99"/>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14"/>
      <c r="BK205" s="214"/>
    </row>
    <row r="206" spans="1:63" hidden="1" outlineLevel="1">
      <c r="A206" s="9"/>
      <c r="B206" s="44"/>
      <c r="C206" s="128" t="str">
        <f>Asset2</f>
        <v>Cable tunnel (dx)</v>
      </c>
      <c r="D206" s="9"/>
      <c r="E206" s="9"/>
      <c r="F206" s="139"/>
      <c r="G206" s="191">
        <f>Input!R8</f>
        <v>0</v>
      </c>
      <c r="H206" s="115"/>
      <c r="I206" s="115"/>
      <c r="J206" s="115"/>
      <c r="K206" s="115"/>
      <c r="L206" s="115"/>
      <c r="M206" s="9"/>
      <c r="N206" s="109"/>
      <c r="O206" s="150"/>
      <c r="P206" s="150"/>
      <c r="Q206" s="150"/>
      <c r="R206" s="99"/>
      <c r="S206" s="99"/>
      <c r="T206" s="99"/>
      <c r="U206" s="99"/>
      <c r="V206" s="99"/>
      <c r="W206" s="99"/>
      <c r="X206" s="99"/>
      <c r="Y206" s="99"/>
      <c r="Z206" s="99"/>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14"/>
      <c r="BK206" s="214"/>
    </row>
    <row r="207" spans="1:63" hidden="1" outlineLevel="1">
      <c r="A207" s="9"/>
      <c r="B207" s="44"/>
      <c r="C207" s="128" t="str">
        <f>Asset3</f>
        <v>Distribution lines and cables</v>
      </c>
      <c r="D207" s="9"/>
      <c r="E207" s="9"/>
      <c r="F207" s="139"/>
      <c r="G207" s="191">
        <f>Input!R9</f>
        <v>0</v>
      </c>
      <c r="H207" s="115"/>
      <c r="I207" s="115"/>
      <c r="J207" s="115"/>
      <c r="K207" s="115"/>
      <c r="L207" s="115"/>
      <c r="M207" s="9"/>
      <c r="N207" s="109"/>
      <c r="O207" s="150"/>
      <c r="P207" s="150"/>
      <c r="Q207" s="150"/>
      <c r="R207" s="99"/>
      <c r="S207" s="99"/>
      <c r="T207" s="99"/>
      <c r="U207" s="99"/>
      <c r="V207" s="99"/>
      <c r="W207" s="99"/>
      <c r="X207" s="99"/>
      <c r="Y207" s="99"/>
      <c r="Z207" s="99"/>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14"/>
      <c r="BK207" s="214"/>
    </row>
    <row r="208" spans="1:63" hidden="1" outlineLevel="1">
      <c r="A208" s="9"/>
      <c r="B208" s="44"/>
      <c r="C208" s="128" t="str">
        <f>Asset4</f>
        <v>Substations</v>
      </c>
      <c r="D208" s="9"/>
      <c r="E208" s="9"/>
      <c r="F208" s="139"/>
      <c r="G208" s="191">
        <f>Input!R10</f>
        <v>-0.83023642406459597</v>
      </c>
      <c r="H208" s="115"/>
      <c r="I208" s="115"/>
      <c r="J208" s="115"/>
      <c r="K208" s="115"/>
      <c r="L208" s="115"/>
      <c r="M208" s="9"/>
      <c r="N208" s="109"/>
      <c r="O208" s="150"/>
      <c r="P208" s="150"/>
      <c r="Q208" s="150"/>
      <c r="R208" s="99"/>
      <c r="S208" s="99"/>
      <c r="T208" s="99"/>
      <c r="U208" s="99"/>
      <c r="V208" s="99"/>
      <c r="W208" s="99"/>
      <c r="X208" s="99"/>
      <c r="Y208" s="99"/>
      <c r="Z208" s="99"/>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14"/>
      <c r="BK208" s="214"/>
    </row>
    <row r="209" spans="1:63" hidden="1" outlineLevel="1">
      <c r="A209" s="9"/>
      <c r="B209" s="44"/>
      <c r="C209" s="128" t="str">
        <f>Asset5</f>
        <v>Transformers</v>
      </c>
      <c r="D209" s="9"/>
      <c r="E209" s="9"/>
      <c r="F209" s="139"/>
      <c r="G209" s="191">
        <f>Input!R11</f>
        <v>-2.2706686955399</v>
      </c>
      <c r="H209" s="115"/>
      <c r="I209" s="115"/>
      <c r="J209" s="115"/>
      <c r="K209" s="115"/>
      <c r="L209" s="115"/>
      <c r="M209" s="9"/>
      <c r="N209" s="109"/>
      <c r="O209" s="150"/>
      <c r="P209" s="150"/>
      <c r="Q209" s="150"/>
      <c r="R209" s="99"/>
      <c r="S209" s="99"/>
      <c r="T209" s="99"/>
      <c r="U209" s="99"/>
      <c r="V209" s="99"/>
      <c r="W209" s="99"/>
      <c r="X209" s="99"/>
      <c r="Y209" s="99"/>
      <c r="Z209" s="99"/>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14"/>
      <c r="BK209" s="214"/>
    </row>
    <row r="210" spans="1:63" hidden="1" outlineLevel="1">
      <c r="A210" s="9"/>
      <c r="B210" s="44"/>
      <c r="C210" s="128" t="str">
        <f>Asset6</f>
        <v>Low Voltage Lines and Cables</v>
      </c>
      <c r="D210" s="9"/>
      <c r="E210" s="9"/>
      <c r="F210" s="139"/>
      <c r="G210" s="191">
        <f>Input!R12</f>
        <v>0</v>
      </c>
      <c r="H210" s="115"/>
      <c r="I210" s="115"/>
      <c r="J210" s="115"/>
      <c r="K210" s="115"/>
      <c r="L210" s="115"/>
      <c r="M210" s="9"/>
      <c r="N210" s="109"/>
      <c r="O210" s="150"/>
      <c r="P210" s="150"/>
      <c r="Q210" s="150"/>
      <c r="R210" s="99"/>
      <c r="S210" s="99"/>
      <c r="T210" s="99"/>
      <c r="U210" s="99"/>
      <c r="V210" s="99"/>
      <c r="W210" s="99"/>
      <c r="X210" s="99"/>
      <c r="Y210" s="99"/>
      <c r="Z210" s="99"/>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14"/>
      <c r="BK210" s="214"/>
    </row>
    <row r="211" spans="1:63" hidden="1" outlineLevel="1">
      <c r="A211" s="9"/>
      <c r="B211" s="44"/>
      <c r="C211" s="128" t="str">
        <f>Asset7</f>
        <v>Customer Metering and Load Control</v>
      </c>
      <c r="D211" s="9"/>
      <c r="E211" s="9"/>
      <c r="F211" s="139"/>
      <c r="G211" s="191">
        <f>Input!R13</f>
        <v>0</v>
      </c>
      <c r="H211" s="115"/>
      <c r="I211" s="115"/>
      <c r="J211" s="115"/>
      <c r="K211" s="115"/>
      <c r="L211" s="115"/>
      <c r="M211" s="9"/>
      <c r="N211" s="109"/>
      <c r="O211" s="150"/>
      <c r="P211" s="150"/>
      <c r="Q211" s="150"/>
      <c r="R211" s="99"/>
      <c r="S211" s="99"/>
      <c r="T211" s="99"/>
      <c r="U211" s="99"/>
      <c r="V211" s="99"/>
      <c r="W211" s="99"/>
      <c r="X211" s="99"/>
      <c r="Y211" s="99"/>
      <c r="Z211" s="99"/>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14"/>
      <c r="BK211" s="214"/>
    </row>
    <row r="212" spans="1:63" hidden="1" outlineLevel="1">
      <c r="A212" s="9"/>
      <c r="B212" s="44"/>
      <c r="C212" s="128" t="str">
        <f>Asset8</f>
        <v>Customer Metering (digital)</v>
      </c>
      <c r="D212" s="9"/>
      <c r="E212" s="9"/>
      <c r="F212" s="139"/>
      <c r="G212" s="191">
        <f>Input!R14</f>
        <v>0</v>
      </c>
      <c r="H212" s="115"/>
      <c r="I212" s="115"/>
      <c r="J212" s="115"/>
      <c r="K212" s="115"/>
      <c r="L212" s="115"/>
      <c r="M212" s="9"/>
      <c r="N212" s="109"/>
      <c r="O212" s="150"/>
      <c r="P212" s="150"/>
      <c r="Q212" s="150"/>
      <c r="R212" s="99"/>
      <c r="S212" s="99"/>
      <c r="T212" s="99"/>
      <c r="U212" s="99"/>
      <c r="V212" s="99"/>
      <c r="W212" s="99"/>
      <c r="X212" s="99"/>
      <c r="Y212" s="99"/>
      <c r="Z212" s="99"/>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14"/>
      <c r="BK212" s="214"/>
    </row>
    <row r="213" spans="1:63" hidden="1" outlineLevel="1">
      <c r="A213" s="9"/>
      <c r="B213" s="44"/>
      <c r="C213" s="128" t="str">
        <f>Asset9</f>
        <v>Communications (digital) - dx</v>
      </c>
      <c r="D213" s="9"/>
      <c r="E213" s="9"/>
      <c r="F213" s="139"/>
      <c r="G213" s="191">
        <f>Input!R15</f>
        <v>0</v>
      </c>
      <c r="H213" s="115"/>
      <c r="I213" s="115"/>
      <c r="J213" s="115"/>
      <c r="K213" s="115"/>
      <c r="L213" s="115"/>
      <c r="M213" s="9"/>
      <c r="N213" s="109"/>
      <c r="O213" s="150"/>
      <c r="P213" s="150"/>
      <c r="Q213" s="150"/>
      <c r="R213" s="99"/>
      <c r="S213" s="99"/>
      <c r="T213" s="99"/>
      <c r="U213" s="99"/>
      <c r="V213" s="99"/>
      <c r="W213" s="99"/>
      <c r="X213" s="99"/>
      <c r="Y213" s="99"/>
      <c r="Z213" s="99"/>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14"/>
      <c r="BK213" s="214"/>
    </row>
    <row r="214" spans="1:63" hidden="1" outlineLevel="1">
      <c r="A214" s="9"/>
      <c r="B214" s="44"/>
      <c r="C214" s="128" t="str">
        <f>Asset10</f>
        <v>Total Communications</v>
      </c>
      <c r="D214" s="9"/>
      <c r="E214" s="9"/>
      <c r="F214" s="139"/>
      <c r="G214" s="191">
        <f>Input!R16</f>
        <v>0</v>
      </c>
      <c r="H214" s="115"/>
      <c r="I214" s="115"/>
      <c r="J214" s="115"/>
      <c r="K214" s="115"/>
      <c r="L214" s="115"/>
      <c r="M214" s="9"/>
      <c r="N214" s="109"/>
      <c r="O214" s="150"/>
      <c r="P214" s="150"/>
      <c r="Q214" s="150"/>
      <c r="R214" s="99"/>
      <c r="S214" s="99"/>
      <c r="T214" s="99"/>
      <c r="U214" s="99"/>
      <c r="V214" s="99"/>
      <c r="W214" s="99"/>
      <c r="X214" s="99"/>
      <c r="Y214" s="99"/>
      <c r="Z214" s="99"/>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14"/>
      <c r="BK214" s="214"/>
    </row>
    <row r="215" spans="1:63" hidden="1" outlineLevel="1">
      <c r="A215" s="9"/>
      <c r="B215" s="44"/>
      <c r="C215" s="128" t="str">
        <f>Asset11</f>
        <v>System IT (dx)</v>
      </c>
      <c r="D215" s="9"/>
      <c r="E215" s="9"/>
      <c r="F215" s="139"/>
      <c r="G215" s="191">
        <f>Input!R17</f>
        <v>0</v>
      </c>
      <c r="H215" s="115"/>
      <c r="I215" s="115"/>
      <c r="J215" s="115"/>
      <c r="K215" s="115"/>
      <c r="L215" s="115"/>
      <c r="M215" s="9"/>
      <c r="N215" s="109"/>
      <c r="O215" s="150"/>
      <c r="P215" s="150"/>
      <c r="Q215" s="150"/>
      <c r="R215" s="99"/>
      <c r="S215" s="99"/>
      <c r="T215" s="99"/>
      <c r="U215" s="99"/>
      <c r="V215" s="99"/>
      <c r="W215" s="99"/>
      <c r="X215" s="99"/>
      <c r="Y215" s="99"/>
      <c r="Z215" s="99"/>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14"/>
      <c r="BK215" s="214"/>
    </row>
    <row r="216" spans="1:63" hidden="1" outlineLevel="1">
      <c r="A216" s="9"/>
      <c r="B216" s="44"/>
      <c r="C216" s="128" t="str">
        <f>Asset12</f>
        <v>Ancillary substation equipment (dx)</v>
      </c>
      <c r="D216" s="9"/>
      <c r="E216" s="9"/>
      <c r="F216" s="139"/>
      <c r="G216" s="191">
        <f>Input!R18</f>
        <v>0</v>
      </c>
      <c r="H216" s="115"/>
      <c r="I216" s="115"/>
      <c r="J216" s="115"/>
      <c r="K216" s="115"/>
      <c r="L216" s="115"/>
      <c r="M216" s="9"/>
      <c r="N216" s="109"/>
      <c r="O216" s="150"/>
      <c r="P216" s="150"/>
      <c r="Q216" s="150"/>
      <c r="R216" s="99"/>
      <c r="S216" s="99"/>
      <c r="T216" s="99"/>
      <c r="U216" s="99"/>
      <c r="V216" s="99"/>
      <c r="W216" s="99"/>
      <c r="X216" s="99"/>
      <c r="Y216" s="99"/>
      <c r="Z216" s="99"/>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14"/>
      <c r="BK216" s="214"/>
    </row>
    <row r="217" spans="1:63" hidden="1" outlineLevel="1">
      <c r="A217" s="9"/>
      <c r="B217" s="44"/>
      <c r="C217" s="128" t="str">
        <f>Asset13</f>
        <v>Land and Easements</v>
      </c>
      <c r="D217" s="9"/>
      <c r="E217" s="9"/>
      <c r="F217" s="139"/>
      <c r="G217" s="191">
        <f>Input!R19</f>
        <v>-52.979567800171701</v>
      </c>
      <c r="H217" s="115"/>
      <c r="I217" s="115"/>
      <c r="J217" s="115"/>
      <c r="K217" s="115"/>
      <c r="L217" s="115"/>
      <c r="M217" s="9"/>
      <c r="N217" s="109"/>
      <c r="O217" s="150"/>
      <c r="P217" s="150"/>
      <c r="Q217" s="150"/>
      <c r="R217" s="99"/>
      <c r="S217" s="99"/>
      <c r="T217" s="99"/>
      <c r="U217" s="99"/>
      <c r="V217" s="99"/>
      <c r="W217" s="99"/>
      <c r="X217" s="99"/>
      <c r="Y217" s="99"/>
      <c r="Z217" s="99"/>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14"/>
      <c r="BK217" s="214"/>
    </row>
    <row r="218" spans="1:63" hidden="1" outlineLevel="1">
      <c r="A218" s="9"/>
      <c r="B218" s="44"/>
      <c r="C218" s="128" t="str">
        <f>Asset14</f>
        <v>Emergency Spares (Major Plant, Excludes Inventory)</v>
      </c>
      <c r="D218" s="9"/>
      <c r="E218" s="9"/>
      <c r="F218" s="139"/>
      <c r="G218" s="191">
        <f>Input!R20</f>
        <v>0</v>
      </c>
      <c r="H218" s="115"/>
      <c r="I218" s="115"/>
      <c r="J218" s="115"/>
      <c r="K218" s="115"/>
      <c r="L218" s="115"/>
      <c r="M218" s="9"/>
      <c r="N218" s="109"/>
      <c r="O218" s="150"/>
      <c r="P218" s="150"/>
      <c r="Q218" s="150"/>
      <c r="R218" s="99"/>
      <c r="S218" s="99"/>
      <c r="T218" s="99"/>
      <c r="U218" s="99"/>
      <c r="V218" s="99"/>
      <c r="W218" s="99"/>
      <c r="X218" s="99"/>
      <c r="Y218" s="99"/>
      <c r="Z218" s="99"/>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14"/>
      <c r="BK218" s="214"/>
    </row>
    <row r="219" spans="1:63" hidden="1" outlineLevel="1">
      <c r="A219" s="9"/>
      <c r="B219" s="44"/>
      <c r="C219" s="128" t="str">
        <f>Asset15</f>
        <v>Furniture, fittings, plant and equipment</v>
      </c>
      <c r="D219" s="9"/>
      <c r="E219" s="9"/>
      <c r="F219" s="139"/>
      <c r="G219" s="191">
        <f>Input!R21</f>
        <v>0.60775456415614215</v>
      </c>
      <c r="H219" s="115"/>
      <c r="I219" s="115"/>
      <c r="J219" s="115"/>
      <c r="K219" s="115"/>
      <c r="L219" s="115"/>
      <c r="M219" s="9"/>
      <c r="N219" s="109"/>
      <c r="O219" s="150"/>
      <c r="P219" s="150"/>
      <c r="Q219" s="150"/>
      <c r="R219" s="99"/>
      <c r="S219" s="99"/>
      <c r="T219" s="99"/>
      <c r="U219" s="99"/>
      <c r="V219" s="99"/>
      <c r="W219" s="99"/>
      <c r="X219" s="99"/>
      <c r="Y219" s="99"/>
      <c r="Z219" s="99"/>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14"/>
      <c r="BK219" s="214"/>
    </row>
    <row r="220" spans="1:63" hidden="1" outlineLevel="1">
      <c r="A220" s="9"/>
      <c r="B220" s="44"/>
      <c r="C220" s="128" t="str">
        <f>Asset16</f>
        <v>Land (non-system)</v>
      </c>
      <c r="D220" s="9"/>
      <c r="E220" s="9"/>
      <c r="F220" s="139"/>
      <c r="G220" s="191">
        <f>Input!R22</f>
        <v>1.0242978692249736</v>
      </c>
      <c r="H220" s="115"/>
      <c r="I220" s="115"/>
      <c r="J220" s="115"/>
      <c r="K220" s="115"/>
      <c r="L220" s="115"/>
      <c r="M220" s="9"/>
      <c r="N220" s="109"/>
      <c r="O220" s="150"/>
      <c r="P220" s="150"/>
      <c r="Q220" s="150"/>
      <c r="R220" s="99"/>
      <c r="S220" s="99"/>
      <c r="T220" s="99"/>
      <c r="U220" s="99"/>
      <c r="V220" s="99"/>
      <c r="W220" s="99"/>
      <c r="X220" s="99"/>
      <c r="Y220" s="99"/>
      <c r="Z220" s="99"/>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14"/>
      <c r="BK220" s="214"/>
    </row>
    <row r="221" spans="1:63" hidden="1" outlineLevel="1">
      <c r="A221" s="9"/>
      <c r="B221" s="44"/>
      <c r="C221" s="128" t="str">
        <f>Asset17</f>
        <v>Other non system assets</v>
      </c>
      <c r="D221" s="9"/>
      <c r="E221" s="9"/>
      <c r="F221" s="139"/>
      <c r="G221" s="191">
        <f>Input!R23</f>
        <v>2.3402875492637634</v>
      </c>
      <c r="H221" s="115"/>
      <c r="I221" s="115"/>
      <c r="J221" s="115"/>
      <c r="K221" s="115"/>
      <c r="L221" s="115"/>
      <c r="M221" s="9"/>
      <c r="N221" s="109"/>
      <c r="O221" s="150"/>
      <c r="P221" s="150"/>
      <c r="Q221" s="150"/>
      <c r="R221" s="99"/>
      <c r="S221" s="99"/>
      <c r="T221" s="99"/>
      <c r="U221" s="99"/>
      <c r="V221" s="99"/>
      <c r="W221" s="99"/>
      <c r="X221" s="99"/>
      <c r="Y221" s="99"/>
      <c r="Z221" s="99"/>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14"/>
      <c r="BK221" s="214"/>
    </row>
    <row r="222" spans="1:63" hidden="1" outlineLevel="1">
      <c r="A222" s="9"/>
      <c r="B222" s="44"/>
      <c r="C222" s="128" t="str">
        <f>Asset18</f>
        <v>IT systems</v>
      </c>
      <c r="D222" s="9"/>
      <c r="E222" s="9"/>
      <c r="F222" s="139"/>
      <c r="G222" s="191">
        <f>Input!R24</f>
        <v>2.5786222259441587</v>
      </c>
      <c r="H222" s="115"/>
      <c r="I222" s="115"/>
      <c r="J222" s="115"/>
      <c r="K222" s="115"/>
      <c r="L222" s="115"/>
      <c r="M222" s="9"/>
      <c r="N222" s="109"/>
      <c r="O222" s="150"/>
      <c r="P222" s="150"/>
      <c r="Q222" s="150"/>
      <c r="R222" s="99"/>
      <c r="S222" s="99"/>
      <c r="T222" s="99"/>
      <c r="U222" s="99"/>
      <c r="V222" s="99"/>
      <c r="W222" s="99"/>
      <c r="X222" s="99"/>
      <c r="Y222" s="99"/>
      <c r="Z222" s="99"/>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14"/>
      <c r="BK222" s="214"/>
    </row>
    <row r="223" spans="1:63" hidden="1" outlineLevel="1">
      <c r="A223" s="9"/>
      <c r="B223" s="44"/>
      <c r="C223" s="128" t="str">
        <f>Asset19</f>
        <v>Motor vehicles</v>
      </c>
      <c r="D223" s="9"/>
      <c r="E223" s="9"/>
      <c r="F223" s="139"/>
      <c r="G223" s="191">
        <f>Input!R25</f>
        <v>1.9833372290151488</v>
      </c>
      <c r="H223" s="115"/>
      <c r="I223" s="115"/>
      <c r="J223" s="115"/>
      <c r="K223" s="115"/>
      <c r="L223" s="115"/>
      <c r="M223" s="9"/>
      <c r="N223" s="109"/>
      <c r="O223" s="150"/>
      <c r="P223" s="150"/>
      <c r="Q223" s="150"/>
      <c r="R223" s="99"/>
      <c r="S223" s="99"/>
      <c r="T223" s="99"/>
      <c r="U223" s="99"/>
      <c r="V223" s="99"/>
      <c r="W223" s="99"/>
      <c r="X223" s="99"/>
      <c r="Y223" s="99"/>
      <c r="Z223" s="99"/>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14"/>
      <c r="BK223" s="214"/>
    </row>
    <row r="224" spans="1:63" hidden="1" outlineLevel="1">
      <c r="A224" s="9"/>
      <c r="B224" s="44"/>
      <c r="C224" s="128" t="str">
        <f>Asset20</f>
        <v>Buildings</v>
      </c>
      <c r="D224" s="9"/>
      <c r="E224" s="9"/>
      <c r="F224" s="139"/>
      <c r="G224" s="193">
        <f>Input!R26</f>
        <v>2.7075211543322695</v>
      </c>
      <c r="H224" s="115"/>
      <c r="I224" s="115"/>
      <c r="J224" s="115"/>
      <c r="K224" s="115"/>
      <c r="L224" s="115"/>
      <c r="M224" s="9"/>
      <c r="N224" s="109"/>
      <c r="O224" s="150"/>
      <c r="P224" s="150"/>
      <c r="Q224" s="150"/>
      <c r="R224" s="99"/>
      <c r="S224" s="99"/>
      <c r="T224" s="99"/>
      <c r="U224" s="99"/>
      <c r="V224" s="99"/>
      <c r="W224" s="99"/>
      <c r="X224" s="99"/>
      <c r="Y224" s="99"/>
      <c r="Z224" s="99"/>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14"/>
      <c r="BK224" s="214"/>
    </row>
    <row r="225" spans="1:63" hidden="1" outlineLevel="1">
      <c r="A225" s="9"/>
      <c r="B225" s="44"/>
      <c r="C225" s="128" t="str">
        <f>Asset21</f>
        <v>Equity raising costs</v>
      </c>
      <c r="D225" s="9"/>
      <c r="E225" s="9"/>
      <c r="F225" s="139"/>
      <c r="G225" s="193">
        <f>Input!R27</f>
        <v>0</v>
      </c>
      <c r="H225" s="115"/>
      <c r="I225" s="115"/>
      <c r="J225" s="115"/>
      <c r="K225" s="115"/>
      <c r="L225" s="115"/>
      <c r="M225" s="9"/>
      <c r="N225" s="109"/>
      <c r="O225" s="150"/>
      <c r="P225" s="150"/>
      <c r="Q225" s="150"/>
      <c r="R225" s="99"/>
      <c r="S225" s="99"/>
      <c r="T225" s="99"/>
      <c r="U225" s="99"/>
      <c r="V225" s="99"/>
      <c r="W225" s="99"/>
      <c r="X225" s="99"/>
      <c r="Y225" s="99"/>
      <c r="Z225" s="99"/>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14"/>
      <c r="BK225" s="214"/>
    </row>
    <row r="226" spans="1:63" hidden="1" outlineLevel="1">
      <c r="A226" s="9"/>
      <c r="B226" s="44"/>
      <c r="C226" s="128">
        <f>Asset22</f>
        <v>0</v>
      </c>
      <c r="D226" s="9"/>
      <c r="E226" s="9"/>
      <c r="F226" s="139"/>
      <c r="G226" s="193">
        <f>Input!R29</f>
        <v>0</v>
      </c>
      <c r="H226" s="115"/>
      <c r="I226" s="115"/>
      <c r="J226" s="115"/>
      <c r="K226" s="115"/>
      <c r="L226" s="115"/>
      <c r="M226" s="9"/>
      <c r="N226" s="109"/>
      <c r="O226" s="150"/>
      <c r="P226" s="150"/>
      <c r="Q226" s="150"/>
      <c r="R226" s="99"/>
      <c r="S226" s="99"/>
      <c r="T226" s="99"/>
      <c r="U226" s="99"/>
      <c r="V226" s="99"/>
      <c r="W226" s="99"/>
      <c r="X226" s="99"/>
      <c r="Y226" s="99"/>
      <c r="Z226" s="99"/>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14"/>
      <c r="BK226" s="214"/>
    </row>
    <row r="227" spans="1:63" hidden="1" outlineLevel="1">
      <c r="A227" s="9"/>
      <c r="B227" s="44"/>
      <c r="C227" s="128">
        <f>Asset23</f>
        <v>0</v>
      </c>
      <c r="D227" s="9"/>
      <c r="E227" s="9"/>
      <c r="F227" s="139"/>
      <c r="G227" s="193">
        <f>Input!R30</f>
        <v>0</v>
      </c>
      <c r="H227" s="115"/>
      <c r="I227" s="115"/>
      <c r="J227" s="115"/>
      <c r="K227" s="115"/>
      <c r="L227" s="115"/>
      <c r="M227" s="9"/>
      <c r="N227" s="109"/>
      <c r="O227" s="150"/>
      <c r="P227" s="150"/>
      <c r="Q227" s="150"/>
      <c r="R227" s="99"/>
      <c r="S227" s="99"/>
      <c r="T227" s="99"/>
      <c r="U227" s="99"/>
      <c r="V227" s="99"/>
      <c r="W227" s="99"/>
      <c r="X227" s="99"/>
      <c r="Y227" s="99"/>
      <c r="Z227" s="99"/>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14"/>
      <c r="BK227" s="214"/>
    </row>
    <row r="228" spans="1:63" hidden="1" outlineLevel="1">
      <c r="A228" s="9"/>
      <c r="B228" s="44"/>
      <c r="C228" s="128">
        <f>Asset24</f>
        <v>0</v>
      </c>
      <c r="D228" s="9"/>
      <c r="E228" s="9"/>
      <c r="F228" s="139"/>
      <c r="G228" s="193">
        <f>Input!R31</f>
        <v>0</v>
      </c>
      <c r="H228" s="115"/>
      <c r="I228" s="115"/>
      <c r="J228" s="115"/>
      <c r="K228" s="115"/>
      <c r="L228" s="115"/>
      <c r="M228" s="9"/>
      <c r="N228" s="109"/>
      <c r="O228" s="150"/>
      <c r="P228" s="150"/>
      <c r="Q228" s="150"/>
      <c r="R228" s="99"/>
      <c r="S228" s="99"/>
      <c r="T228" s="99"/>
      <c r="U228" s="99"/>
      <c r="V228" s="99"/>
      <c r="W228" s="99"/>
      <c r="X228" s="99"/>
      <c r="Y228" s="99"/>
      <c r="Z228" s="99"/>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14"/>
      <c r="BK228" s="214"/>
    </row>
    <row r="229" spans="1:63" hidden="1" outlineLevel="1">
      <c r="A229" s="9"/>
      <c r="B229" s="44"/>
      <c r="C229" s="128">
        <f>Asset25</f>
        <v>0</v>
      </c>
      <c r="D229" s="9"/>
      <c r="E229" s="9"/>
      <c r="F229" s="139"/>
      <c r="G229" s="193">
        <f>Input!R32</f>
        <v>0</v>
      </c>
      <c r="H229" s="115"/>
      <c r="I229" s="115"/>
      <c r="J229" s="115"/>
      <c r="K229" s="115"/>
      <c r="L229" s="115"/>
      <c r="M229" s="9"/>
      <c r="N229" s="109"/>
      <c r="O229" s="150"/>
      <c r="P229" s="150"/>
      <c r="Q229" s="150"/>
      <c r="R229" s="99"/>
      <c r="S229" s="99"/>
      <c r="T229" s="99"/>
      <c r="U229" s="99"/>
      <c r="V229" s="99"/>
      <c r="W229" s="99"/>
      <c r="X229" s="99"/>
      <c r="Y229" s="99"/>
      <c r="Z229" s="99"/>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14"/>
      <c r="BK229" s="214"/>
    </row>
    <row r="230" spans="1:63" hidden="1" outlineLevel="1">
      <c r="A230" s="9"/>
      <c r="B230" s="44"/>
      <c r="C230" s="128">
        <f>Asset26</f>
        <v>0</v>
      </c>
      <c r="D230" s="9"/>
      <c r="E230" s="9"/>
      <c r="F230" s="139"/>
      <c r="G230" s="193">
        <f>Input!R33</f>
        <v>0</v>
      </c>
      <c r="H230" s="115"/>
      <c r="I230" s="115"/>
      <c r="J230" s="115"/>
      <c r="K230" s="115"/>
      <c r="L230" s="115"/>
      <c r="M230" s="9"/>
      <c r="N230" s="109"/>
      <c r="O230" s="150"/>
      <c r="P230" s="150"/>
      <c r="Q230" s="150"/>
      <c r="R230" s="99"/>
      <c r="S230" s="99"/>
      <c r="T230" s="99"/>
      <c r="U230" s="99"/>
      <c r="V230" s="99"/>
      <c r="W230" s="99"/>
      <c r="X230" s="99"/>
      <c r="Y230" s="99"/>
      <c r="Z230" s="99"/>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14"/>
      <c r="BK230" s="214"/>
    </row>
    <row r="231" spans="1:63" hidden="1" outlineLevel="1">
      <c r="A231" s="9"/>
      <c r="B231" s="44"/>
      <c r="C231" s="128">
        <f>Asset27</f>
        <v>0</v>
      </c>
      <c r="D231" s="9"/>
      <c r="E231" s="9"/>
      <c r="F231" s="139"/>
      <c r="G231" s="193">
        <f>Input!R34</f>
        <v>0</v>
      </c>
      <c r="H231" s="115"/>
      <c r="I231" s="115"/>
      <c r="J231" s="115"/>
      <c r="K231" s="115"/>
      <c r="L231" s="115"/>
      <c r="M231" s="9"/>
      <c r="N231" s="109"/>
      <c r="O231" s="150"/>
      <c r="P231" s="150"/>
      <c r="Q231" s="150"/>
      <c r="R231" s="99"/>
      <c r="S231" s="99"/>
      <c r="T231" s="99"/>
      <c r="U231" s="99"/>
      <c r="V231" s="99"/>
      <c r="W231" s="99"/>
      <c r="X231" s="99"/>
      <c r="Y231" s="99"/>
      <c r="Z231" s="99"/>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14"/>
      <c r="BK231" s="214"/>
    </row>
    <row r="232" spans="1:63" hidden="1" outlineLevel="1">
      <c r="A232" s="9"/>
      <c r="B232" s="44"/>
      <c r="C232" s="128">
        <f>Asset28</f>
        <v>0</v>
      </c>
      <c r="D232" s="9"/>
      <c r="E232" s="9"/>
      <c r="F232" s="139"/>
      <c r="G232" s="193">
        <f>Input!R35</f>
        <v>0</v>
      </c>
      <c r="H232" s="115"/>
      <c r="I232" s="115"/>
      <c r="J232" s="115"/>
      <c r="K232" s="115"/>
      <c r="L232" s="115"/>
      <c r="M232" s="9"/>
      <c r="N232" s="109"/>
      <c r="O232" s="150"/>
      <c r="P232" s="150"/>
      <c r="Q232" s="150"/>
      <c r="R232" s="99"/>
      <c r="S232" s="99"/>
      <c r="T232" s="99"/>
      <c r="U232" s="99"/>
      <c r="V232" s="99"/>
      <c r="W232" s="99"/>
      <c r="X232" s="99"/>
      <c r="Y232" s="99"/>
      <c r="Z232" s="99"/>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14"/>
      <c r="BK232" s="214"/>
    </row>
    <row r="233" spans="1:63" hidden="1" outlineLevel="1">
      <c r="A233" s="9"/>
      <c r="B233" s="44"/>
      <c r="C233" s="128">
        <f>Asset29</f>
        <v>0</v>
      </c>
      <c r="D233" s="9"/>
      <c r="E233" s="9"/>
      <c r="F233" s="139"/>
      <c r="G233" s="193">
        <f>Input!R36</f>
        <v>0</v>
      </c>
      <c r="H233" s="115"/>
      <c r="I233" s="115"/>
      <c r="J233" s="115"/>
      <c r="K233" s="115"/>
      <c r="L233" s="115"/>
      <c r="M233" s="9"/>
      <c r="N233" s="109"/>
      <c r="O233" s="150"/>
      <c r="P233" s="150"/>
      <c r="Q233" s="150"/>
      <c r="R233" s="99"/>
      <c r="S233" s="99"/>
      <c r="T233" s="99"/>
      <c r="U233" s="99"/>
      <c r="V233" s="99"/>
      <c r="W233" s="99"/>
      <c r="X233" s="99"/>
      <c r="Y233" s="99"/>
      <c r="Z233" s="99"/>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14"/>
      <c r="BK233" s="214"/>
    </row>
    <row r="234" spans="1:63" hidden="1" outlineLevel="1">
      <c r="A234" s="9"/>
      <c r="B234" s="44"/>
      <c r="C234" s="128">
        <f>Asset30</f>
        <v>0</v>
      </c>
      <c r="D234" s="9"/>
      <c r="E234" s="9"/>
      <c r="F234" s="139"/>
      <c r="G234" s="193">
        <f>Input!R37</f>
        <v>0</v>
      </c>
      <c r="H234" s="115"/>
      <c r="I234" s="115"/>
      <c r="J234" s="115"/>
      <c r="K234" s="115"/>
      <c r="L234" s="115"/>
      <c r="M234" s="9"/>
      <c r="N234" s="109"/>
      <c r="O234" s="150"/>
      <c r="P234" s="150"/>
      <c r="Q234" s="150"/>
      <c r="R234" s="99"/>
      <c r="S234" s="99"/>
      <c r="T234" s="99"/>
      <c r="U234" s="99"/>
      <c r="V234" s="99"/>
      <c r="W234" s="99"/>
      <c r="X234" s="99"/>
      <c r="Y234" s="99"/>
      <c r="Z234" s="99"/>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14"/>
      <c r="BK234" s="214"/>
    </row>
    <row r="235" spans="1:63" collapsed="1">
      <c r="A235" s="9"/>
      <c r="B235" s="151"/>
      <c r="C235" s="25"/>
      <c r="D235" s="9"/>
      <c r="E235" s="9"/>
      <c r="F235" s="139"/>
      <c r="G235" s="193"/>
      <c r="H235" s="115"/>
      <c r="I235" s="115"/>
      <c r="J235" s="115"/>
      <c r="K235" s="115"/>
      <c r="L235" s="115"/>
      <c r="M235" s="9"/>
      <c r="N235" s="109"/>
      <c r="O235" s="150"/>
      <c r="P235" s="150"/>
      <c r="Q235" s="150"/>
      <c r="R235" s="99"/>
      <c r="S235" s="99"/>
      <c r="T235" s="99"/>
      <c r="U235" s="99"/>
      <c r="V235" s="99"/>
      <c r="W235" s="99"/>
      <c r="X235" s="99"/>
      <c r="Y235" s="99"/>
      <c r="Z235" s="99"/>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14"/>
      <c r="BK235" s="214"/>
    </row>
    <row r="236" spans="1:63">
      <c r="A236" s="9"/>
      <c r="B236" s="151" t="s">
        <v>54</v>
      </c>
      <c r="C236" s="25"/>
      <c r="D236" s="9"/>
      <c r="E236" s="9"/>
      <c r="F236" s="139"/>
      <c r="G236" s="193">
        <f>SUM(G237:G266)</f>
        <v>0</v>
      </c>
      <c r="H236" s="115"/>
      <c r="I236" s="115"/>
      <c r="J236" s="115"/>
      <c r="K236" s="115"/>
      <c r="L236" s="115"/>
      <c r="M236" s="9"/>
      <c r="N236" s="109"/>
      <c r="O236" s="150"/>
      <c r="P236" s="150"/>
      <c r="Q236" s="150"/>
      <c r="R236" s="99"/>
      <c r="S236" s="99"/>
      <c r="T236" s="99"/>
      <c r="U236" s="99"/>
      <c r="V236" s="99"/>
      <c r="W236" s="99"/>
      <c r="X236" s="99"/>
      <c r="Y236" s="99"/>
      <c r="Z236" s="99"/>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14"/>
      <c r="BK236" s="214"/>
    </row>
    <row r="237" spans="1:63" ht="12.75" hidden="1" customHeight="1" outlineLevel="1">
      <c r="A237" s="9"/>
      <c r="B237" s="9"/>
      <c r="C237" s="128" t="str">
        <f>Asset1</f>
        <v>Sub-transmission lines and cables</v>
      </c>
      <c r="D237" s="9"/>
      <c r="E237" s="9"/>
      <c r="F237" s="139"/>
      <c r="G237" s="191">
        <f t="shared" ref="G237:G256" si="3">G205-G173</f>
        <v>0</v>
      </c>
      <c r="H237" s="115"/>
      <c r="I237" s="115"/>
      <c r="J237" s="115"/>
      <c r="K237" s="115"/>
      <c r="L237" s="115"/>
      <c r="M237" s="9"/>
      <c r="N237" s="109"/>
      <c r="O237" s="150"/>
      <c r="P237" s="150"/>
      <c r="Q237" s="150"/>
      <c r="R237" s="99"/>
      <c r="S237" s="99"/>
      <c r="T237" s="99"/>
      <c r="U237" s="99"/>
      <c r="V237" s="99"/>
      <c r="W237" s="99"/>
      <c r="X237" s="99"/>
      <c r="Y237" s="99"/>
      <c r="Z237" s="99"/>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14"/>
      <c r="BK237" s="214"/>
    </row>
    <row r="238" spans="1:63" ht="12.75" hidden="1" customHeight="1" outlineLevel="1">
      <c r="A238" s="9"/>
      <c r="B238" s="44"/>
      <c r="C238" s="128" t="str">
        <f>Asset2</f>
        <v>Cable tunnel (dx)</v>
      </c>
      <c r="D238" s="9"/>
      <c r="E238" s="9"/>
      <c r="F238" s="139"/>
      <c r="G238" s="191">
        <f t="shared" si="3"/>
        <v>0</v>
      </c>
      <c r="H238" s="115"/>
      <c r="I238" s="115"/>
      <c r="J238" s="115"/>
      <c r="K238" s="115"/>
      <c r="L238" s="115"/>
      <c r="M238" s="9"/>
      <c r="N238" s="109"/>
      <c r="O238" s="150"/>
      <c r="P238" s="150"/>
      <c r="Q238" s="150"/>
      <c r="R238" s="99"/>
      <c r="S238" s="99"/>
      <c r="T238" s="99"/>
      <c r="U238" s="99"/>
      <c r="V238" s="99"/>
      <c r="W238" s="99"/>
      <c r="X238" s="99"/>
      <c r="Y238" s="99"/>
      <c r="Z238" s="99"/>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14"/>
      <c r="BK238" s="214"/>
    </row>
    <row r="239" spans="1:63" ht="12.75" hidden="1" customHeight="1" outlineLevel="1">
      <c r="A239" s="9"/>
      <c r="B239" s="44"/>
      <c r="C239" s="128" t="str">
        <f>Asset3</f>
        <v>Distribution lines and cables</v>
      </c>
      <c r="D239" s="9"/>
      <c r="E239" s="9"/>
      <c r="F239" s="139"/>
      <c r="G239" s="191">
        <f t="shared" si="3"/>
        <v>0</v>
      </c>
      <c r="H239" s="115"/>
      <c r="I239" s="115"/>
      <c r="J239" s="115"/>
      <c r="K239" s="115"/>
      <c r="L239" s="115"/>
      <c r="M239" s="9"/>
      <c r="N239" s="109"/>
      <c r="O239" s="150"/>
      <c r="P239" s="150"/>
      <c r="Q239" s="150"/>
      <c r="R239" s="99"/>
      <c r="S239" s="99"/>
      <c r="T239" s="99"/>
      <c r="U239" s="99"/>
      <c r="V239" s="99"/>
      <c r="W239" s="99"/>
      <c r="X239" s="99"/>
      <c r="Y239" s="99"/>
      <c r="Z239" s="99"/>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14"/>
      <c r="BK239" s="214"/>
    </row>
    <row r="240" spans="1:63" ht="12.75" hidden="1" customHeight="1" outlineLevel="1">
      <c r="A240" s="9"/>
      <c r="B240" s="44"/>
      <c r="C240" s="128" t="str">
        <f>Asset4</f>
        <v>Substations</v>
      </c>
      <c r="D240" s="9"/>
      <c r="E240" s="9"/>
      <c r="F240" s="139"/>
      <c r="G240" s="191">
        <f t="shared" si="3"/>
        <v>0</v>
      </c>
      <c r="H240" s="115"/>
      <c r="I240" s="115"/>
      <c r="J240" s="115"/>
      <c r="K240" s="115"/>
      <c r="L240" s="115"/>
      <c r="M240" s="9"/>
      <c r="N240" s="109"/>
      <c r="O240" s="150"/>
      <c r="P240" s="150"/>
      <c r="Q240" s="150"/>
      <c r="R240" s="99"/>
      <c r="S240" s="99"/>
      <c r="T240" s="99"/>
      <c r="U240" s="99"/>
      <c r="V240" s="99"/>
      <c r="W240" s="99"/>
      <c r="X240" s="99"/>
      <c r="Y240" s="99"/>
      <c r="Z240" s="99"/>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14"/>
      <c r="BK240" s="214"/>
    </row>
    <row r="241" spans="1:63" ht="12.75" hidden="1" customHeight="1" outlineLevel="1">
      <c r="A241" s="9"/>
      <c r="B241" s="44"/>
      <c r="C241" s="128" t="str">
        <f>Asset5</f>
        <v>Transformers</v>
      </c>
      <c r="D241" s="9"/>
      <c r="E241" s="9"/>
      <c r="F241" s="139"/>
      <c r="G241" s="191">
        <f t="shared" si="3"/>
        <v>0</v>
      </c>
      <c r="H241" s="115"/>
      <c r="I241" s="115"/>
      <c r="J241" s="115"/>
      <c r="K241" s="115"/>
      <c r="L241" s="115"/>
      <c r="M241" s="9"/>
      <c r="N241" s="109"/>
      <c r="O241" s="150"/>
      <c r="P241" s="150"/>
      <c r="Q241" s="150"/>
      <c r="R241" s="99"/>
      <c r="S241" s="99"/>
      <c r="T241" s="99"/>
      <c r="U241" s="99"/>
      <c r="V241" s="99"/>
      <c r="W241" s="99"/>
      <c r="X241" s="99"/>
      <c r="Y241" s="99"/>
      <c r="Z241" s="99"/>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14"/>
      <c r="BK241" s="214"/>
    </row>
    <row r="242" spans="1:63" ht="12.75" hidden="1" customHeight="1" outlineLevel="1">
      <c r="A242" s="9"/>
      <c r="B242" s="44"/>
      <c r="C242" s="128" t="str">
        <f>Asset6</f>
        <v>Low Voltage Lines and Cables</v>
      </c>
      <c r="D242" s="9"/>
      <c r="E242" s="9"/>
      <c r="F242" s="139"/>
      <c r="G242" s="191">
        <f t="shared" si="3"/>
        <v>0</v>
      </c>
      <c r="H242" s="115"/>
      <c r="I242" s="115"/>
      <c r="J242" s="115"/>
      <c r="K242" s="115"/>
      <c r="L242" s="115"/>
      <c r="M242" s="9"/>
      <c r="N242" s="109"/>
      <c r="O242" s="150"/>
      <c r="P242" s="150"/>
      <c r="Q242" s="150"/>
      <c r="R242" s="99"/>
      <c r="S242" s="99"/>
      <c r="T242" s="99"/>
      <c r="U242" s="99"/>
      <c r="V242" s="99"/>
      <c r="W242" s="99"/>
      <c r="X242" s="99"/>
      <c r="Y242" s="99"/>
      <c r="Z242" s="99"/>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14"/>
      <c r="BK242" s="214"/>
    </row>
    <row r="243" spans="1:63" ht="12.75" hidden="1" customHeight="1" outlineLevel="1">
      <c r="A243" s="9"/>
      <c r="B243" s="44"/>
      <c r="C243" s="128" t="str">
        <f>Asset7</f>
        <v>Customer Metering and Load Control</v>
      </c>
      <c r="D243" s="9"/>
      <c r="E243" s="9"/>
      <c r="F243" s="139"/>
      <c r="G243" s="191">
        <f t="shared" si="3"/>
        <v>0</v>
      </c>
      <c r="H243" s="115"/>
      <c r="I243" s="115"/>
      <c r="J243" s="115"/>
      <c r="K243" s="115"/>
      <c r="L243" s="115"/>
      <c r="M243" s="9"/>
      <c r="N243" s="109"/>
      <c r="O243" s="150"/>
      <c r="P243" s="150"/>
      <c r="Q243" s="150"/>
      <c r="R243" s="99"/>
      <c r="S243" s="99"/>
      <c r="T243" s="99"/>
      <c r="U243" s="99"/>
      <c r="V243" s="99"/>
      <c r="W243" s="99"/>
      <c r="X243" s="99"/>
      <c r="Y243" s="99"/>
      <c r="Z243" s="99"/>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14"/>
      <c r="BK243" s="214"/>
    </row>
    <row r="244" spans="1:63" ht="12.75" hidden="1" customHeight="1" outlineLevel="1">
      <c r="A244" s="9"/>
      <c r="B244" s="44"/>
      <c r="C244" s="128" t="str">
        <f>Asset8</f>
        <v>Customer Metering (digital)</v>
      </c>
      <c r="D244" s="9"/>
      <c r="E244" s="9"/>
      <c r="F244" s="139"/>
      <c r="G244" s="191">
        <f t="shared" si="3"/>
        <v>0</v>
      </c>
      <c r="H244" s="115"/>
      <c r="I244" s="115"/>
      <c r="J244" s="115"/>
      <c r="K244" s="115"/>
      <c r="L244" s="115"/>
      <c r="M244" s="9"/>
      <c r="N244" s="109"/>
      <c r="O244" s="150"/>
      <c r="P244" s="150"/>
      <c r="Q244" s="150"/>
      <c r="R244" s="99"/>
      <c r="S244" s="99"/>
      <c r="T244" s="99"/>
      <c r="U244" s="99"/>
      <c r="V244" s="99"/>
      <c r="W244" s="99"/>
      <c r="X244" s="99"/>
      <c r="Y244" s="99"/>
      <c r="Z244" s="99"/>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14"/>
      <c r="BK244" s="214"/>
    </row>
    <row r="245" spans="1:63" ht="12.75" hidden="1" customHeight="1" outlineLevel="1">
      <c r="A245" s="9"/>
      <c r="B245" s="44"/>
      <c r="C245" s="128" t="str">
        <f>Asset9</f>
        <v>Communications (digital) - dx</v>
      </c>
      <c r="D245" s="9"/>
      <c r="E245" s="9"/>
      <c r="F245" s="139"/>
      <c r="G245" s="191">
        <f t="shared" si="3"/>
        <v>0</v>
      </c>
      <c r="H245" s="115"/>
      <c r="I245" s="115"/>
      <c r="J245" s="115"/>
      <c r="K245" s="115"/>
      <c r="L245" s="115"/>
      <c r="M245" s="9"/>
      <c r="N245" s="109"/>
      <c r="O245" s="150"/>
      <c r="P245" s="150"/>
      <c r="Q245" s="150"/>
      <c r="R245" s="99"/>
      <c r="S245" s="99"/>
      <c r="T245" s="99"/>
      <c r="U245" s="99"/>
      <c r="V245" s="99"/>
      <c r="W245" s="99"/>
      <c r="X245" s="99"/>
      <c r="Y245" s="99"/>
      <c r="Z245" s="99"/>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14"/>
      <c r="BK245" s="214"/>
    </row>
    <row r="246" spans="1:63" ht="12.75" hidden="1" customHeight="1" outlineLevel="1">
      <c r="A246" s="9"/>
      <c r="B246" s="44"/>
      <c r="C246" s="128" t="str">
        <f>Asset10</f>
        <v>Total Communications</v>
      </c>
      <c r="D246" s="9"/>
      <c r="E246" s="9"/>
      <c r="F246" s="139"/>
      <c r="G246" s="191">
        <f t="shared" si="3"/>
        <v>0</v>
      </c>
      <c r="H246" s="115"/>
      <c r="I246" s="115"/>
      <c r="J246" s="115"/>
      <c r="K246" s="115"/>
      <c r="L246" s="115"/>
      <c r="M246" s="9"/>
      <c r="N246" s="109"/>
      <c r="O246" s="150"/>
      <c r="P246" s="150"/>
      <c r="Q246" s="150"/>
      <c r="R246" s="99"/>
      <c r="S246" s="99"/>
      <c r="T246" s="99"/>
      <c r="U246" s="99"/>
      <c r="V246" s="99"/>
      <c r="W246" s="99"/>
      <c r="X246" s="99"/>
      <c r="Y246" s="99"/>
      <c r="Z246" s="99"/>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14"/>
      <c r="BK246" s="214"/>
    </row>
    <row r="247" spans="1:63" ht="12.75" hidden="1" customHeight="1" outlineLevel="1">
      <c r="A247" s="9"/>
      <c r="B247" s="44"/>
      <c r="C247" s="128" t="str">
        <f>Asset11</f>
        <v>System IT (dx)</v>
      </c>
      <c r="D247" s="9"/>
      <c r="E247" s="9"/>
      <c r="F247" s="139"/>
      <c r="G247" s="191">
        <f t="shared" si="3"/>
        <v>0</v>
      </c>
      <c r="H247" s="115"/>
      <c r="I247" s="115"/>
      <c r="J247" s="115"/>
      <c r="K247" s="115"/>
      <c r="L247" s="115"/>
      <c r="M247" s="9"/>
      <c r="N247" s="109"/>
      <c r="O247" s="150"/>
      <c r="P247" s="150"/>
      <c r="Q247" s="150"/>
      <c r="R247" s="99"/>
      <c r="S247" s="99"/>
      <c r="T247" s="99"/>
      <c r="U247" s="99"/>
      <c r="V247" s="99"/>
      <c r="W247" s="99"/>
      <c r="X247" s="99"/>
      <c r="Y247" s="99"/>
      <c r="Z247" s="99"/>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14"/>
      <c r="BK247" s="214"/>
    </row>
    <row r="248" spans="1:63" ht="12.75" hidden="1" customHeight="1" outlineLevel="1">
      <c r="A248" s="9"/>
      <c r="B248" s="44"/>
      <c r="C248" s="128" t="str">
        <f>Asset12</f>
        <v>Ancillary substation equipment (dx)</v>
      </c>
      <c r="D248" s="9"/>
      <c r="E248" s="9"/>
      <c r="F248" s="139"/>
      <c r="G248" s="191">
        <f t="shared" si="3"/>
        <v>0</v>
      </c>
      <c r="H248" s="115"/>
      <c r="I248" s="115"/>
      <c r="J248" s="115"/>
      <c r="K248" s="115"/>
      <c r="L248" s="115"/>
      <c r="M248" s="9"/>
      <c r="N248" s="109"/>
      <c r="O248" s="150"/>
      <c r="P248" s="150"/>
      <c r="Q248" s="150"/>
      <c r="R248" s="99"/>
      <c r="S248" s="99"/>
      <c r="T248" s="99"/>
      <c r="U248" s="99"/>
      <c r="V248" s="99"/>
      <c r="W248" s="99"/>
      <c r="X248" s="99"/>
      <c r="Y248" s="99"/>
      <c r="Z248" s="99"/>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14"/>
      <c r="BK248" s="214"/>
    </row>
    <row r="249" spans="1:63" ht="12.75" hidden="1" customHeight="1" outlineLevel="1">
      <c r="A249" s="9"/>
      <c r="B249" s="44"/>
      <c r="C249" s="128" t="str">
        <f>Asset13</f>
        <v>Land and Easements</v>
      </c>
      <c r="D249" s="9"/>
      <c r="E249" s="9"/>
      <c r="F249" s="139"/>
      <c r="G249" s="191">
        <f t="shared" si="3"/>
        <v>0</v>
      </c>
      <c r="H249" s="115"/>
      <c r="I249" s="115"/>
      <c r="J249" s="115"/>
      <c r="K249" s="115"/>
      <c r="L249" s="115"/>
      <c r="M249" s="9"/>
      <c r="N249" s="109"/>
      <c r="O249" s="150"/>
      <c r="P249" s="150"/>
      <c r="Q249" s="150"/>
      <c r="R249" s="99"/>
      <c r="S249" s="99"/>
      <c r="T249" s="99"/>
      <c r="U249" s="99"/>
      <c r="V249" s="99"/>
      <c r="W249" s="99"/>
      <c r="X249" s="99"/>
      <c r="Y249" s="99"/>
      <c r="Z249" s="99"/>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14"/>
      <c r="BK249" s="214"/>
    </row>
    <row r="250" spans="1:63" ht="12.75" hidden="1" customHeight="1" outlineLevel="1">
      <c r="A250" s="9"/>
      <c r="B250" s="44"/>
      <c r="C250" s="128" t="str">
        <f>Asset14</f>
        <v>Emergency Spares (Major Plant, Excludes Inventory)</v>
      </c>
      <c r="D250" s="9"/>
      <c r="E250" s="9"/>
      <c r="F250" s="139"/>
      <c r="G250" s="191">
        <f t="shared" si="3"/>
        <v>0</v>
      </c>
      <c r="H250" s="115"/>
      <c r="I250" s="115"/>
      <c r="J250" s="115"/>
      <c r="K250" s="115"/>
      <c r="L250" s="115"/>
      <c r="M250" s="9"/>
      <c r="N250" s="109"/>
      <c r="O250" s="150"/>
      <c r="P250" s="150"/>
      <c r="Q250" s="150"/>
      <c r="R250" s="99"/>
      <c r="S250" s="99"/>
      <c r="T250" s="99"/>
      <c r="U250" s="99"/>
      <c r="V250" s="99"/>
      <c r="W250" s="99"/>
      <c r="X250" s="99"/>
      <c r="Y250" s="99"/>
      <c r="Z250" s="99"/>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14"/>
      <c r="BK250" s="214"/>
    </row>
    <row r="251" spans="1:63" ht="12.75" hidden="1" customHeight="1" outlineLevel="1">
      <c r="A251" s="9"/>
      <c r="B251" s="44"/>
      <c r="C251" s="128" t="str">
        <f>Asset15</f>
        <v>Furniture, fittings, plant and equipment</v>
      </c>
      <c r="D251" s="9"/>
      <c r="E251" s="9"/>
      <c r="F251" s="139"/>
      <c r="G251" s="191">
        <f t="shared" si="3"/>
        <v>0</v>
      </c>
      <c r="H251" s="115"/>
      <c r="I251" s="115"/>
      <c r="J251" s="115"/>
      <c r="K251" s="115"/>
      <c r="L251" s="115"/>
      <c r="M251" s="9"/>
      <c r="N251" s="109"/>
      <c r="O251" s="150"/>
      <c r="P251" s="150"/>
      <c r="Q251" s="150"/>
      <c r="R251" s="99"/>
      <c r="S251" s="99"/>
      <c r="T251" s="99"/>
      <c r="U251" s="99"/>
      <c r="V251" s="99"/>
      <c r="W251" s="99"/>
      <c r="X251" s="99"/>
      <c r="Y251" s="99"/>
      <c r="Z251" s="99"/>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14"/>
      <c r="BK251" s="214"/>
    </row>
    <row r="252" spans="1:63" ht="12.75" hidden="1" customHeight="1" outlineLevel="1">
      <c r="A252" s="9"/>
      <c r="B252" s="44"/>
      <c r="C252" s="128" t="str">
        <f>Asset16</f>
        <v>Land (non-system)</v>
      </c>
      <c r="D252" s="9"/>
      <c r="E252" s="9"/>
      <c r="F252" s="139"/>
      <c r="G252" s="191">
        <f t="shared" si="3"/>
        <v>0</v>
      </c>
      <c r="H252" s="115"/>
      <c r="I252" s="115"/>
      <c r="J252" s="115"/>
      <c r="K252" s="115"/>
      <c r="L252" s="115"/>
      <c r="M252" s="9"/>
      <c r="N252" s="109"/>
      <c r="O252" s="150"/>
      <c r="P252" s="150"/>
      <c r="Q252" s="150"/>
      <c r="R252" s="99"/>
      <c r="S252" s="99"/>
      <c r="T252" s="99"/>
      <c r="U252" s="99"/>
      <c r="V252" s="99"/>
      <c r="W252" s="99"/>
      <c r="X252" s="99"/>
      <c r="Y252" s="99"/>
      <c r="Z252" s="99"/>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14"/>
      <c r="BK252" s="214"/>
    </row>
    <row r="253" spans="1:63" ht="12.75" hidden="1" customHeight="1" outlineLevel="1">
      <c r="A253" s="9"/>
      <c r="B253" s="44"/>
      <c r="C253" s="128" t="str">
        <f>Asset17</f>
        <v>Other non system assets</v>
      </c>
      <c r="D253" s="9"/>
      <c r="E253" s="9"/>
      <c r="F253" s="139"/>
      <c r="G253" s="191">
        <f t="shared" si="3"/>
        <v>0</v>
      </c>
      <c r="H253" s="115"/>
      <c r="I253" s="115"/>
      <c r="J253" s="115"/>
      <c r="K253" s="115"/>
      <c r="L253" s="115"/>
      <c r="M253" s="9"/>
      <c r="N253" s="109"/>
      <c r="O253" s="150"/>
      <c r="P253" s="150"/>
      <c r="Q253" s="150"/>
      <c r="R253" s="99"/>
      <c r="S253" s="99"/>
      <c r="T253" s="99"/>
      <c r="U253" s="99"/>
      <c r="V253" s="99"/>
      <c r="W253" s="99"/>
      <c r="X253" s="99"/>
      <c r="Y253" s="99"/>
      <c r="Z253" s="99"/>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14"/>
      <c r="BK253" s="214"/>
    </row>
    <row r="254" spans="1:63" ht="12.75" hidden="1" customHeight="1" outlineLevel="1">
      <c r="A254" s="9"/>
      <c r="B254" s="44"/>
      <c r="C254" s="128" t="str">
        <f>Asset18</f>
        <v>IT systems</v>
      </c>
      <c r="D254" s="9"/>
      <c r="E254" s="9"/>
      <c r="F254" s="139"/>
      <c r="G254" s="191">
        <f t="shared" si="3"/>
        <v>0</v>
      </c>
      <c r="H254" s="115"/>
      <c r="I254" s="115"/>
      <c r="J254" s="115"/>
      <c r="K254" s="115"/>
      <c r="L254" s="115"/>
      <c r="M254" s="9"/>
      <c r="N254" s="109"/>
      <c r="O254" s="150"/>
      <c r="P254" s="150"/>
      <c r="Q254" s="150"/>
      <c r="R254" s="99"/>
      <c r="S254" s="99"/>
      <c r="T254" s="99"/>
      <c r="U254" s="99"/>
      <c r="V254" s="99"/>
      <c r="W254" s="99"/>
      <c r="X254" s="99"/>
      <c r="Y254" s="99"/>
      <c r="Z254" s="99"/>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14"/>
      <c r="BK254" s="214"/>
    </row>
    <row r="255" spans="1:63" ht="12.75" hidden="1" customHeight="1" outlineLevel="1">
      <c r="A255" s="9"/>
      <c r="B255" s="44"/>
      <c r="C255" s="128" t="str">
        <f>Asset19</f>
        <v>Motor vehicles</v>
      </c>
      <c r="D255" s="9"/>
      <c r="E255" s="9"/>
      <c r="F255" s="139"/>
      <c r="G255" s="191">
        <f t="shared" si="3"/>
        <v>0</v>
      </c>
      <c r="H255" s="115"/>
      <c r="I255" s="115"/>
      <c r="J255" s="115"/>
      <c r="K255" s="115"/>
      <c r="L255" s="115"/>
      <c r="M255" s="9"/>
      <c r="N255" s="109"/>
      <c r="O255" s="150"/>
      <c r="P255" s="150"/>
      <c r="Q255" s="150"/>
      <c r="R255" s="99"/>
      <c r="S255" s="99"/>
      <c r="T255" s="99"/>
      <c r="U255" s="99"/>
      <c r="V255" s="99"/>
      <c r="W255" s="99"/>
      <c r="X255" s="99"/>
      <c r="Y255" s="99"/>
      <c r="Z255" s="99"/>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14"/>
      <c r="BK255" s="214"/>
    </row>
    <row r="256" spans="1:63" ht="12.75" hidden="1" customHeight="1" outlineLevel="1">
      <c r="A256" s="9"/>
      <c r="B256" s="44"/>
      <c r="C256" s="128" t="str">
        <f>Asset20</f>
        <v>Buildings</v>
      </c>
      <c r="D256" s="9"/>
      <c r="E256" s="9"/>
      <c r="F256" s="139"/>
      <c r="G256" s="191">
        <f t="shared" si="3"/>
        <v>0</v>
      </c>
      <c r="H256" s="115"/>
      <c r="I256" s="115"/>
      <c r="J256" s="115"/>
      <c r="K256" s="115"/>
      <c r="L256" s="115"/>
      <c r="M256" s="9"/>
      <c r="N256" s="109"/>
      <c r="O256" s="150"/>
      <c r="P256" s="150"/>
      <c r="Q256" s="150"/>
      <c r="R256" s="99"/>
      <c r="S256" s="99"/>
      <c r="T256" s="99"/>
      <c r="U256" s="99"/>
      <c r="V256" s="99"/>
      <c r="W256" s="99"/>
      <c r="X256" s="99"/>
      <c r="Y256" s="99"/>
      <c r="Z256" s="99"/>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14"/>
      <c r="BK256" s="214"/>
    </row>
    <row r="257" spans="1:63" ht="12.75" hidden="1" customHeight="1" outlineLevel="1">
      <c r="A257" s="9"/>
      <c r="B257" s="44"/>
      <c r="C257" s="128" t="str">
        <f>Asset21</f>
        <v>Equity raising costs</v>
      </c>
      <c r="D257" s="9"/>
      <c r="E257" s="9"/>
      <c r="F257" s="139"/>
      <c r="G257" s="191">
        <f t="shared" ref="G257:G266" si="4">G225-G193</f>
        <v>0</v>
      </c>
      <c r="H257" s="115"/>
      <c r="I257" s="115"/>
      <c r="J257" s="115"/>
      <c r="K257" s="115"/>
      <c r="L257" s="115"/>
      <c r="M257" s="9"/>
      <c r="N257" s="109"/>
      <c r="O257" s="150"/>
      <c r="P257" s="150"/>
      <c r="Q257" s="150"/>
      <c r="R257" s="99"/>
      <c r="S257" s="99"/>
      <c r="T257" s="99"/>
      <c r="U257" s="99"/>
      <c r="V257" s="99"/>
      <c r="W257" s="99"/>
      <c r="X257" s="99"/>
      <c r="Y257" s="99"/>
      <c r="Z257" s="99"/>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14"/>
      <c r="BK257" s="214"/>
    </row>
    <row r="258" spans="1:63" ht="12.75" hidden="1" customHeight="1" outlineLevel="1">
      <c r="A258" s="9"/>
      <c r="B258" s="44"/>
      <c r="C258" s="128">
        <f>Asset22</f>
        <v>0</v>
      </c>
      <c r="D258" s="9"/>
      <c r="E258" s="9"/>
      <c r="F258" s="139"/>
      <c r="G258" s="191">
        <f t="shared" si="4"/>
        <v>0</v>
      </c>
      <c r="H258" s="115"/>
      <c r="I258" s="115"/>
      <c r="J258" s="115"/>
      <c r="K258" s="115"/>
      <c r="L258" s="115"/>
      <c r="M258" s="9"/>
      <c r="N258" s="109"/>
      <c r="O258" s="150"/>
      <c r="P258" s="150"/>
      <c r="Q258" s="150"/>
      <c r="R258" s="99"/>
      <c r="S258" s="99"/>
      <c r="T258" s="99"/>
      <c r="U258" s="99"/>
      <c r="V258" s="99"/>
      <c r="W258" s="99"/>
      <c r="X258" s="99"/>
      <c r="Y258" s="99"/>
      <c r="Z258" s="99"/>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14"/>
      <c r="BK258" s="214"/>
    </row>
    <row r="259" spans="1:63" ht="12.75" hidden="1" customHeight="1" outlineLevel="1">
      <c r="A259" s="9"/>
      <c r="B259" s="44"/>
      <c r="C259" s="128">
        <f>Asset23</f>
        <v>0</v>
      </c>
      <c r="D259" s="9"/>
      <c r="E259" s="9"/>
      <c r="F259" s="139"/>
      <c r="G259" s="191">
        <f t="shared" si="4"/>
        <v>0</v>
      </c>
      <c r="H259" s="115"/>
      <c r="I259" s="115"/>
      <c r="J259" s="115"/>
      <c r="K259" s="115"/>
      <c r="L259" s="115"/>
      <c r="M259" s="9"/>
      <c r="N259" s="109"/>
      <c r="O259" s="150"/>
      <c r="P259" s="150"/>
      <c r="Q259" s="150"/>
      <c r="R259" s="99"/>
      <c r="S259" s="99"/>
      <c r="T259" s="99"/>
      <c r="U259" s="99"/>
      <c r="V259" s="99"/>
      <c r="W259" s="99"/>
      <c r="X259" s="99"/>
      <c r="Y259" s="99"/>
      <c r="Z259" s="99"/>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14"/>
      <c r="BK259" s="214"/>
    </row>
    <row r="260" spans="1:63" ht="12.75" hidden="1" customHeight="1" outlineLevel="1">
      <c r="A260" s="9"/>
      <c r="B260" s="44"/>
      <c r="C260" s="128">
        <f>Asset24</f>
        <v>0</v>
      </c>
      <c r="D260" s="9"/>
      <c r="E260" s="9"/>
      <c r="F260" s="139"/>
      <c r="G260" s="191">
        <f t="shared" si="4"/>
        <v>0</v>
      </c>
      <c r="H260" s="115"/>
      <c r="I260" s="115"/>
      <c r="J260" s="115"/>
      <c r="K260" s="115"/>
      <c r="L260" s="115"/>
      <c r="M260" s="9"/>
      <c r="N260" s="109"/>
      <c r="O260" s="150"/>
      <c r="P260" s="150"/>
      <c r="Q260" s="150"/>
      <c r="R260" s="99"/>
      <c r="S260" s="99"/>
      <c r="T260" s="99"/>
      <c r="U260" s="99"/>
      <c r="V260" s="99"/>
      <c r="W260" s="99"/>
      <c r="X260" s="99"/>
      <c r="Y260" s="99"/>
      <c r="Z260" s="99"/>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14"/>
      <c r="BK260" s="214"/>
    </row>
    <row r="261" spans="1:63" ht="12.75" hidden="1" customHeight="1" outlineLevel="1">
      <c r="A261" s="9"/>
      <c r="B261" s="44"/>
      <c r="C261" s="128">
        <f>Asset25</f>
        <v>0</v>
      </c>
      <c r="D261" s="9"/>
      <c r="E261" s="9"/>
      <c r="F261" s="139"/>
      <c r="G261" s="191">
        <f t="shared" si="4"/>
        <v>0</v>
      </c>
      <c r="H261" s="115"/>
      <c r="I261" s="115"/>
      <c r="J261" s="115"/>
      <c r="K261" s="115"/>
      <c r="L261" s="115"/>
      <c r="M261" s="9"/>
      <c r="N261" s="109"/>
      <c r="O261" s="150"/>
      <c r="P261" s="150"/>
      <c r="Q261" s="150"/>
      <c r="R261" s="99"/>
      <c r="S261" s="99"/>
      <c r="T261" s="99"/>
      <c r="U261" s="99"/>
      <c r="V261" s="99"/>
      <c r="W261" s="99"/>
      <c r="X261" s="99"/>
      <c r="Y261" s="99"/>
      <c r="Z261" s="99"/>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14"/>
      <c r="BK261" s="214"/>
    </row>
    <row r="262" spans="1:63" ht="12.75" hidden="1" customHeight="1" outlineLevel="1">
      <c r="A262" s="9"/>
      <c r="B262" s="44"/>
      <c r="C262" s="128">
        <f>Asset26</f>
        <v>0</v>
      </c>
      <c r="D262" s="9"/>
      <c r="E262" s="9"/>
      <c r="F262" s="139"/>
      <c r="G262" s="191">
        <f t="shared" si="4"/>
        <v>0</v>
      </c>
      <c r="H262" s="115"/>
      <c r="I262" s="115"/>
      <c r="J262" s="115"/>
      <c r="K262" s="115"/>
      <c r="L262" s="115"/>
      <c r="M262" s="9"/>
      <c r="N262" s="109"/>
      <c r="O262" s="150"/>
      <c r="P262" s="150"/>
      <c r="Q262" s="150"/>
      <c r="R262" s="99"/>
      <c r="S262" s="99"/>
      <c r="T262" s="99"/>
      <c r="U262" s="99"/>
      <c r="V262" s="99"/>
      <c r="W262" s="99"/>
      <c r="X262" s="99"/>
      <c r="Y262" s="99"/>
      <c r="Z262" s="99"/>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14"/>
      <c r="BK262" s="214"/>
    </row>
    <row r="263" spans="1:63" ht="12.75" hidden="1" customHeight="1" outlineLevel="1">
      <c r="A263" s="9"/>
      <c r="B263" s="44"/>
      <c r="C263" s="128">
        <f>Asset27</f>
        <v>0</v>
      </c>
      <c r="D263" s="9"/>
      <c r="E263" s="9"/>
      <c r="F263" s="139"/>
      <c r="G263" s="191">
        <f t="shared" si="4"/>
        <v>0</v>
      </c>
      <c r="H263" s="115"/>
      <c r="I263" s="115"/>
      <c r="J263" s="115"/>
      <c r="K263" s="115"/>
      <c r="L263" s="115"/>
      <c r="M263" s="9"/>
      <c r="N263" s="109"/>
      <c r="O263" s="150"/>
      <c r="P263" s="150"/>
      <c r="Q263" s="150"/>
      <c r="R263" s="99"/>
      <c r="S263" s="99"/>
      <c r="T263" s="99"/>
      <c r="U263" s="99"/>
      <c r="V263" s="99"/>
      <c r="W263" s="99"/>
      <c r="X263" s="99"/>
      <c r="Y263" s="99"/>
      <c r="Z263" s="99"/>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14"/>
      <c r="BK263" s="214"/>
    </row>
    <row r="264" spans="1:63" ht="12.75" hidden="1" customHeight="1" outlineLevel="1">
      <c r="A264" s="9"/>
      <c r="B264" s="44"/>
      <c r="C264" s="128">
        <f>Asset28</f>
        <v>0</v>
      </c>
      <c r="D264" s="9"/>
      <c r="E264" s="9"/>
      <c r="F264" s="139"/>
      <c r="G264" s="191">
        <f t="shared" si="4"/>
        <v>0</v>
      </c>
      <c r="H264" s="115"/>
      <c r="I264" s="115"/>
      <c r="J264" s="115"/>
      <c r="K264" s="115"/>
      <c r="L264" s="115"/>
      <c r="M264" s="9"/>
      <c r="N264" s="109"/>
      <c r="O264" s="150"/>
      <c r="P264" s="150"/>
      <c r="Q264" s="150"/>
      <c r="R264" s="99"/>
      <c r="S264" s="99"/>
      <c r="T264" s="99"/>
      <c r="U264" s="99"/>
      <c r="V264" s="99"/>
      <c r="W264" s="99"/>
      <c r="X264" s="99"/>
      <c r="Y264" s="99"/>
      <c r="Z264" s="99"/>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14"/>
      <c r="BK264" s="214"/>
    </row>
    <row r="265" spans="1:63" ht="12.75" hidden="1" customHeight="1" outlineLevel="1">
      <c r="A265" s="9"/>
      <c r="B265" s="44"/>
      <c r="C265" s="128">
        <f>Asset29</f>
        <v>0</v>
      </c>
      <c r="D265" s="9"/>
      <c r="E265" s="9"/>
      <c r="F265" s="139"/>
      <c r="G265" s="191">
        <f t="shared" si="4"/>
        <v>0</v>
      </c>
      <c r="H265" s="115"/>
      <c r="I265" s="115"/>
      <c r="J265" s="115"/>
      <c r="K265" s="115"/>
      <c r="L265" s="115"/>
      <c r="M265" s="9"/>
      <c r="N265" s="109"/>
      <c r="O265" s="150"/>
      <c r="P265" s="150"/>
      <c r="Q265" s="150"/>
      <c r="R265" s="99"/>
      <c r="S265" s="99"/>
      <c r="T265" s="99"/>
      <c r="U265" s="99"/>
      <c r="V265" s="99"/>
      <c r="W265" s="99"/>
      <c r="X265" s="99"/>
      <c r="Y265" s="99"/>
      <c r="Z265" s="99"/>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14"/>
      <c r="BK265" s="214"/>
    </row>
    <row r="266" spans="1:63" ht="12.75" hidden="1" customHeight="1" outlineLevel="1">
      <c r="A266" s="9"/>
      <c r="B266" s="44"/>
      <c r="C266" s="128">
        <f>Asset30</f>
        <v>0</v>
      </c>
      <c r="D266" s="9"/>
      <c r="E266" s="9"/>
      <c r="F266" s="139"/>
      <c r="G266" s="191">
        <f t="shared" si="4"/>
        <v>0</v>
      </c>
      <c r="H266" s="115"/>
      <c r="I266" s="115"/>
      <c r="J266" s="115"/>
      <c r="K266" s="115"/>
      <c r="L266" s="115"/>
      <c r="M266" s="9"/>
      <c r="N266" s="109"/>
      <c r="O266" s="150"/>
      <c r="P266" s="150"/>
      <c r="Q266" s="150"/>
      <c r="R266" s="99"/>
      <c r="S266" s="99"/>
      <c r="T266" s="99"/>
      <c r="U266" s="99"/>
      <c r="V266" s="99"/>
      <c r="W266" s="99"/>
      <c r="X266" s="99"/>
      <c r="Y266" s="99"/>
      <c r="Z266" s="99"/>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14"/>
      <c r="BK266" s="214"/>
    </row>
    <row r="267" spans="1:63" collapsed="1">
      <c r="A267" s="9"/>
      <c r="B267" s="151"/>
      <c r="C267" s="25"/>
      <c r="D267" s="9"/>
      <c r="E267" s="9"/>
      <c r="F267" s="139"/>
      <c r="G267" s="193"/>
      <c r="H267" s="115"/>
      <c r="I267" s="115"/>
      <c r="J267" s="115"/>
      <c r="K267" s="115"/>
      <c r="L267" s="115"/>
      <c r="M267" s="9"/>
      <c r="N267" s="109"/>
      <c r="O267" s="150"/>
      <c r="P267" s="150"/>
      <c r="Q267" s="150"/>
      <c r="R267" s="99"/>
      <c r="S267" s="99"/>
      <c r="T267" s="99"/>
      <c r="U267" s="99"/>
      <c r="V267" s="99"/>
      <c r="W267" s="99"/>
      <c r="X267" s="99"/>
      <c r="Y267" s="99"/>
      <c r="Z267" s="99"/>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14"/>
      <c r="BK267" s="214"/>
    </row>
    <row r="268" spans="1:63">
      <c r="A268" s="9"/>
      <c r="B268" s="151" t="s">
        <v>60</v>
      </c>
      <c r="C268" s="25"/>
      <c r="D268" s="9"/>
      <c r="E268" s="9"/>
      <c r="F268" s="139"/>
      <c r="G268" s="193"/>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9"/>
      <c r="S268" s="99"/>
      <c r="T268" s="99"/>
      <c r="U268" s="99"/>
      <c r="V268" s="99"/>
      <c r="W268" s="99"/>
      <c r="X268" s="99"/>
      <c r="Y268" s="99"/>
      <c r="Z268" s="99"/>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14"/>
      <c r="BK268" s="214"/>
    </row>
    <row r="269" spans="1:63" hidden="1" outlineLevel="1">
      <c r="A269" s="9"/>
      <c r="B269" s="44"/>
      <c r="C269" s="128" t="str">
        <f>Asset1</f>
        <v>Sub-transmission lines and cables</v>
      </c>
      <c r="D269" s="9"/>
      <c r="E269" s="9"/>
      <c r="F269" s="139"/>
      <c r="G269" s="193"/>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9"/>
      <c r="S269" s="99"/>
      <c r="T269" s="99"/>
      <c r="U269" s="99"/>
      <c r="V269" s="99"/>
      <c r="W269" s="99"/>
      <c r="X269" s="99"/>
      <c r="Y269" s="99"/>
      <c r="Z269" s="99"/>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14"/>
      <c r="BK269" s="214"/>
    </row>
    <row r="270" spans="1:63" hidden="1" outlineLevel="1">
      <c r="A270" s="9"/>
      <c r="B270" s="44"/>
      <c r="C270" s="152" t="s">
        <v>29</v>
      </c>
      <c r="D270" s="9"/>
      <c r="E270" s="9"/>
      <c r="F270" s="139"/>
      <c r="G270" s="193"/>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9"/>
      <c r="S270" s="99"/>
      <c r="T270" s="99"/>
      <c r="U270" s="99"/>
      <c r="V270" s="99"/>
      <c r="W270" s="99"/>
      <c r="X270" s="99"/>
      <c r="Y270" s="99"/>
      <c r="Z270" s="99"/>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14"/>
      <c r="BK270" s="214"/>
    </row>
    <row r="271" spans="1:63" hidden="1" outlineLevel="1">
      <c r="A271" s="9"/>
      <c r="B271" s="44"/>
      <c r="C271" s="128" t="str">
        <f>Asset2</f>
        <v>Cable tunnel (dx)</v>
      </c>
      <c r="D271" s="9"/>
      <c r="E271" s="9"/>
      <c r="F271" s="139"/>
      <c r="G271" s="193"/>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9"/>
      <c r="S271" s="99"/>
      <c r="T271" s="99"/>
      <c r="U271" s="99"/>
      <c r="V271" s="99"/>
      <c r="W271" s="99"/>
      <c r="X271" s="99"/>
      <c r="Y271" s="99"/>
      <c r="Z271" s="99"/>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14"/>
      <c r="BK271" s="214"/>
    </row>
    <row r="272" spans="1:63" hidden="1" outlineLevel="1">
      <c r="A272" s="9"/>
      <c r="B272" s="44"/>
      <c r="C272" s="152" t="s">
        <v>29</v>
      </c>
      <c r="D272" s="9"/>
      <c r="E272" s="9"/>
      <c r="F272" s="139"/>
      <c r="G272" s="193"/>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9"/>
      <c r="S272" s="99"/>
      <c r="T272" s="99"/>
      <c r="U272" s="99"/>
      <c r="V272" s="99"/>
      <c r="W272" s="99"/>
      <c r="X272" s="99"/>
      <c r="Y272" s="99"/>
      <c r="Z272" s="99"/>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14"/>
      <c r="BK272" s="214"/>
    </row>
    <row r="273" spans="1:63" hidden="1" outlineLevel="1">
      <c r="A273" s="9"/>
      <c r="B273" s="44"/>
      <c r="C273" s="128" t="str">
        <f>Asset3</f>
        <v>Distribution lines and cables</v>
      </c>
      <c r="D273" s="9"/>
      <c r="E273" s="9"/>
      <c r="F273" s="139"/>
      <c r="G273" s="193"/>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9"/>
      <c r="S273" s="99"/>
      <c r="T273" s="99"/>
      <c r="U273" s="99"/>
      <c r="V273" s="99"/>
      <c r="W273" s="99"/>
      <c r="X273" s="99"/>
      <c r="Y273" s="99"/>
      <c r="Z273" s="99"/>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14"/>
      <c r="BK273" s="214"/>
    </row>
    <row r="274" spans="1:63" hidden="1" outlineLevel="1">
      <c r="A274" s="9"/>
      <c r="B274" s="44"/>
      <c r="C274" s="152" t="s">
        <v>29</v>
      </c>
      <c r="D274" s="9"/>
      <c r="E274" s="9"/>
      <c r="F274" s="139"/>
      <c r="G274" s="193"/>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9"/>
      <c r="S274" s="99"/>
      <c r="T274" s="99"/>
      <c r="U274" s="99"/>
      <c r="V274" s="99"/>
      <c r="W274" s="99"/>
      <c r="X274" s="99"/>
      <c r="Y274" s="99"/>
      <c r="Z274" s="99"/>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14"/>
      <c r="BK274" s="214"/>
    </row>
    <row r="275" spans="1:63" hidden="1" outlineLevel="1">
      <c r="A275" s="9"/>
      <c r="B275" s="44"/>
      <c r="C275" s="128" t="str">
        <f>Asset4</f>
        <v>Substations</v>
      </c>
      <c r="D275" s="9"/>
      <c r="E275" s="9"/>
      <c r="F275" s="139"/>
      <c r="G275" s="193"/>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9"/>
      <c r="S275" s="99"/>
      <c r="T275" s="99"/>
      <c r="U275" s="99"/>
      <c r="V275" s="99"/>
      <c r="W275" s="99"/>
      <c r="X275" s="99"/>
      <c r="Y275" s="99"/>
      <c r="Z275" s="99"/>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14"/>
      <c r="BK275" s="214"/>
    </row>
    <row r="276" spans="1:63" hidden="1" outlineLevel="1">
      <c r="A276" s="9"/>
      <c r="B276" s="44"/>
      <c r="C276" s="152" t="s">
        <v>29</v>
      </c>
      <c r="D276" s="9"/>
      <c r="E276" s="9"/>
      <c r="F276" s="139"/>
      <c r="G276" s="193"/>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9"/>
      <c r="S276" s="99"/>
      <c r="T276" s="99"/>
      <c r="U276" s="99"/>
      <c r="V276" s="99"/>
      <c r="W276" s="99"/>
      <c r="X276" s="99"/>
      <c r="Y276" s="99"/>
      <c r="Z276" s="99"/>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14"/>
      <c r="BK276" s="214"/>
    </row>
    <row r="277" spans="1:63" hidden="1" outlineLevel="1">
      <c r="A277" s="9"/>
      <c r="B277" s="44"/>
      <c r="C277" s="128" t="str">
        <f>Asset5</f>
        <v>Transformers</v>
      </c>
      <c r="D277" s="9"/>
      <c r="E277" s="9"/>
      <c r="F277" s="139"/>
      <c r="G277" s="193"/>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9"/>
      <c r="S277" s="99"/>
      <c r="T277" s="99"/>
      <c r="U277" s="99"/>
      <c r="V277" s="99"/>
      <c r="W277" s="99"/>
      <c r="X277" s="99"/>
      <c r="Y277" s="99"/>
      <c r="Z277" s="99"/>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14"/>
      <c r="BK277" s="214"/>
    </row>
    <row r="278" spans="1:63" hidden="1" outlineLevel="1">
      <c r="A278" s="9"/>
      <c r="B278" s="44"/>
      <c r="C278" s="152" t="s">
        <v>29</v>
      </c>
      <c r="D278" s="9"/>
      <c r="E278" s="9"/>
      <c r="F278" s="139"/>
      <c r="G278" s="193"/>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9"/>
      <c r="S278" s="99"/>
      <c r="T278" s="99"/>
      <c r="U278" s="99"/>
      <c r="V278" s="99"/>
      <c r="W278" s="99"/>
      <c r="X278" s="99"/>
      <c r="Y278" s="99"/>
      <c r="Z278" s="99"/>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14"/>
      <c r="BK278" s="214"/>
    </row>
    <row r="279" spans="1:63" hidden="1" outlineLevel="1">
      <c r="A279" s="9"/>
      <c r="B279" s="44"/>
      <c r="C279" s="128" t="str">
        <f>Asset6</f>
        <v>Low Voltage Lines and Cables</v>
      </c>
      <c r="D279" s="9"/>
      <c r="E279" s="9"/>
      <c r="F279" s="139"/>
      <c r="G279" s="193"/>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9"/>
      <c r="S279" s="99"/>
      <c r="T279" s="99"/>
      <c r="U279" s="99"/>
      <c r="V279" s="99"/>
      <c r="W279" s="99"/>
      <c r="X279" s="99"/>
      <c r="Y279" s="99"/>
      <c r="Z279" s="99"/>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14"/>
      <c r="BK279" s="214"/>
    </row>
    <row r="280" spans="1:63" hidden="1" outlineLevel="1">
      <c r="A280" s="9"/>
      <c r="B280" s="44"/>
      <c r="C280" s="152" t="s">
        <v>29</v>
      </c>
      <c r="D280" s="9"/>
      <c r="E280" s="9"/>
      <c r="F280" s="139"/>
      <c r="G280" s="193"/>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9"/>
      <c r="S280" s="99"/>
      <c r="T280" s="99"/>
      <c r="U280" s="99"/>
      <c r="V280" s="99"/>
      <c r="W280" s="99"/>
      <c r="X280" s="99"/>
      <c r="Y280" s="99"/>
      <c r="Z280" s="99"/>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14"/>
      <c r="BK280" s="214"/>
    </row>
    <row r="281" spans="1:63" hidden="1" outlineLevel="1">
      <c r="A281" s="9"/>
      <c r="B281" s="44"/>
      <c r="C281" s="128" t="str">
        <f>Asset7</f>
        <v>Customer Metering and Load Control</v>
      </c>
      <c r="D281" s="9"/>
      <c r="E281" s="9"/>
      <c r="F281" s="139"/>
      <c r="G281" s="193"/>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9"/>
      <c r="S281" s="99"/>
      <c r="T281" s="99"/>
      <c r="U281" s="99"/>
      <c r="V281" s="99"/>
      <c r="W281" s="99"/>
      <c r="X281" s="99"/>
      <c r="Y281" s="99"/>
      <c r="Z281" s="99"/>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14"/>
      <c r="BK281" s="214"/>
    </row>
    <row r="282" spans="1:63" hidden="1" outlineLevel="1">
      <c r="A282" s="9"/>
      <c r="B282" s="44"/>
      <c r="C282" s="152" t="s">
        <v>29</v>
      </c>
      <c r="D282" s="9"/>
      <c r="E282" s="9"/>
      <c r="F282" s="139"/>
      <c r="G282" s="193"/>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9"/>
      <c r="S282" s="99"/>
      <c r="T282" s="99"/>
      <c r="U282" s="99"/>
      <c r="V282" s="99"/>
      <c r="W282" s="99"/>
      <c r="X282" s="99"/>
      <c r="Y282" s="99"/>
      <c r="Z282" s="99"/>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14"/>
      <c r="BK282" s="214"/>
    </row>
    <row r="283" spans="1:63" hidden="1" outlineLevel="1">
      <c r="A283" s="9"/>
      <c r="B283" s="44"/>
      <c r="C283" s="128" t="str">
        <f>Asset8</f>
        <v>Customer Metering (digital)</v>
      </c>
      <c r="D283" s="9"/>
      <c r="E283" s="9"/>
      <c r="F283" s="139"/>
      <c r="G283" s="193"/>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9"/>
      <c r="S283" s="99"/>
      <c r="T283" s="99"/>
      <c r="U283" s="99"/>
      <c r="V283" s="99"/>
      <c r="W283" s="99"/>
      <c r="X283" s="99"/>
      <c r="Y283" s="99"/>
      <c r="Z283" s="99"/>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14"/>
      <c r="BK283" s="214"/>
    </row>
    <row r="284" spans="1:63" hidden="1" outlineLevel="1">
      <c r="A284" s="9"/>
      <c r="B284" s="44"/>
      <c r="C284" s="152" t="s">
        <v>29</v>
      </c>
      <c r="D284" s="9"/>
      <c r="E284" s="9"/>
      <c r="F284" s="139"/>
      <c r="G284" s="193"/>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9"/>
      <c r="S284" s="99"/>
      <c r="T284" s="99"/>
      <c r="U284" s="99"/>
      <c r="V284" s="99"/>
      <c r="W284" s="99"/>
      <c r="X284" s="99"/>
      <c r="Y284" s="99"/>
      <c r="Z284" s="99"/>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14"/>
      <c r="BK284" s="214"/>
    </row>
    <row r="285" spans="1:63" hidden="1" outlineLevel="1">
      <c r="A285" s="9"/>
      <c r="B285" s="44"/>
      <c r="C285" s="128" t="str">
        <f>Asset9</f>
        <v>Communications (digital) - dx</v>
      </c>
      <c r="D285" s="9"/>
      <c r="E285" s="9"/>
      <c r="F285" s="139"/>
      <c r="G285" s="193"/>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9"/>
      <c r="S285" s="99"/>
      <c r="T285" s="99"/>
      <c r="U285" s="99"/>
      <c r="V285" s="99"/>
      <c r="W285" s="99"/>
      <c r="X285" s="99"/>
      <c r="Y285" s="99"/>
      <c r="Z285" s="99"/>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14"/>
      <c r="BK285" s="214"/>
    </row>
    <row r="286" spans="1:63" hidden="1" outlineLevel="1">
      <c r="A286" s="9"/>
      <c r="B286" s="44"/>
      <c r="C286" s="152" t="s">
        <v>29</v>
      </c>
      <c r="D286" s="9"/>
      <c r="E286" s="9"/>
      <c r="F286" s="139"/>
      <c r="G286" s="193"/>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9"/>
      <c r="S286" s="99"/>
      <c r="T286" s="99"/>
      <c r="U286" s="99"/>
      <c r="V286" s="99"/>
      <c r="W286" s="99"/>
      <c r="X286" s="99"/>
      <c r="Y286" s="99"/>
      <c r="Z286" s="99"/>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14"/>
      <c r="BK286" s="214"/>
    </row>
    <row r="287" spans="1:63" hidden="1" outlineLevel="1">
      <c r="A287" s="9"/>
      <c r="B287" s="44"/>
      <c r="C287" s="128" t="str">
        <f>Asset10</f>
        <v>Total Communications</v>
      </c>
      <c r="D287" s="9"/>
      <c r="E287" s="9"/>
      <c r="F287" s="139"/>
      <c r="G287" s="193"/>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9"/>
      <c r="S287" s="99"/>
      <c r="T287" s="99"/>
      <c r="U287" s="99"/>
      <c r="V287" s="99"/>
      <c r="W287" s="99"/>
      <c r="X287" s="99"/>
      <c r="Y287" s="99"/>
      <c r="Z287" s="99"/>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14"/>
      <c r="BK287" s="214"/>
    </row>
    <row r="288" spans="1:63" hidden="1" outlineLevel="1">
      <c r="A288" s="9"/>
      <c r="B288" s="44"/>
      <c r="C288" s="152" t="s">
        <v>29</v>
      </c>
      <c r="D288" s="9"/>
      <c r="E288" s="9"/>
      <c r="F288" s="139"/>
      <c r="G288" s="193"/>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9"/>
      <c r="S288" s="99"/>
      <c r="T288" s="99"/>
      <c r="U288" s="99"/>
      <c r="V288" s="99"/>
      <c r="W288" s="99"/>
      <c r="X288" s="99"/>
      <c r="Y288" s="99"/>
      <c r="Z288" s="99"/>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14"/>
      <c r="BK288" s="214"/>
    </row>
    <row r="289" spans="1:63" hidden="1" outlineLevel="1">
      <c r="A289" s="9"/>
      <c r="B289" s="44"/>
      <c r="C289" s="128" t="str">
        <f>Asset11</f>
        <v>System IT (dx)</v>
      </c>
      <c r="D289" s="9"/>
      <c r="E289" s="9"/>
      <c r="F289" s="139"/>
      <c r="G289" s="193"/>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9"/>
      <c r="S289" s="99"/>
      <c r="T289" s="99"/>
      <c r="U289" s="99"/>
      <c r="V289" s="99"/>
      <c r="W289" s="99"/>
      <c r="X289" s="99"/>
      <c r="Y289" s="99"/>
      <c r="Z289" s="99"/>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14"/>
      <c r="BK289" s="214"/>
    </row>
    <row r="290" spans="1:63" hidden="1" outlineLevel="1">
      <c r="A290" s="9"/>
      <c r="B290" s="44"/>
      <c r="C290" s="152" t="s">
        <v>29</v>
      </c>
      <c r="D290" s="9"/>
      <c r="E290" s="9"/>
      <c r="F290" s="139"/>
      <c r="G290" s="193"/>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9"/>
      <c r="S290" s="99"/>
      <c r="T290" s="99"/>
      <c r="U290" s="99"/>
      <c r="V290" s="99"/>
      <c r="W290" s="99"/>
      <c r="X290" s="99"/>
      <c r="Y290" s="99"/>
      <c r="Z290" s="99"/>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14"/>
      <c r="BK290" s="214"/>
    </row>
    <row r="291" spans="1:63" hidden="1" outlineLevel="1">
      <c r="A291" s="9"/>
      <c r="B291" s="44"/>
      <c r="C291" s="128" t="str">
        <f>Asset12</f>
        <v>Ancillary substation equipment (dx)</v>
      </c>
      <c r="D291" s="9"/>
      <c r="E291" s="9"/>
      <c r="F291" s="139"/>
      <c r="G291" s="193"/>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9"/>
      <c r="S291" s="99"/>
      <c r="T291" s="99"/>
      <c r="U291" s="99"/>
      <c r="V291" s="99"/>
      <c r="W291" s="99"/>
      <c r="X291" s="99"/>
      <c r="Y291" s="99"/>
      <c r="Z291" s="99"/>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14"/>
      <c r="BK291" s="214"/>
    </row>
    <row r="292" spans="1:63" hidden="1" outlineLevel="1">
      <c r="A292" s="9"/>
      <c r="B292" s="44"/>
      <c r="C292" s="152" t="s">
        <v>29</v>
      </c>
      <c r="D292" s="9"/>
      <c r="E292" s="9"/>
      <c r="F292" s="139"/>
      <c r="G292" s="193"/>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9"/>
      <c r="S292" s="99"/>
      <c r="T292" s="99"/>
      <c r="U292" s="99"/>
      <c r="V292" s="99"/>
      <c r="W292" s="99"/>
      <c r="X292" s="99"/>
      <c r="Y292" s="99"/>
      <c r="Z292" s="99"/>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14"/>
      <c r="BK292" s="214"/>
    </row>
    <row r="293" spans="1:63" hidden="1" outlineLevel="1">
      <c r="A293" s="9"/>
      <c r="B293" s="44"/>
      <c r="C293" s="128" t="str">
        <f>Asset13</f>
        <v>Land and Easements</v>
      </c>
      <c r="D293" s="9"/>
      <c r="E293" s="9"/>
      <c r="F293" s="139"/>
      <c r="G293" s="193"/>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9"/>
      <c r="S293" s="99"/>
      <c r="T293" s="99"/>
      <c r="U293" s="99"/>
      <c r="V293" s="99"/>
      <c r="W293" s="99"/>
      <c r="X293" s="99"/>
      <c r="Y293" s="99"/>
      <c r="Z293" s="99"/>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14"/>
      <c r="BK293" s="214"/>
    </row>
    <row r="294" spans="1:63" hidden="1" outlineLevel="1">
      <c r="A294" s="9"/>
      <c r="B294" s="44"/>
      <c r="C294" s="152" t="s">
        <v>29</v>
      </c>
      <c r="D294" s="9"/>
      <c r="E294" s="9"/>
      <c r="F294" s="139"/>
      <c r="G294" s="193"/>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9"/>
      <c r="S294" s="99"/>
      <c r="T294" s="99"/>
      <c r="U294" s="99"/>
      <c r="V294" s="99"/>
      <c r="W294" s="99"/>
      <c r="X294" s="99"/>
      <c r="Y294" s="99"/>
      <c r="Z294" s="99"/>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14"/>
      <c r="BK294" s="214"/>
    </row>
    <row r="295" spans="1:63" hidden="1" outlineLevel="1">
      <c r="A295" s="9"/>
      <c r="B295" s="44"/>
      <c r="C295" s="128" t="str">
        <f>Asset14</f>
        <v>Emergency Spares (Major Plant, Excludes Inventory)</v>
      </c>
      <c r="D295" s="9"/>
      <c r="E295" s="9"/>
      <c r="F295" s="139"/>
      <c r="G295" s="193"/>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9"/>
      <c r="S295" s="99"/>
      <c r="T295" s="99"/>
      <c r="U295" s="99"/>
      <c r="V295" s="99"/>
      <c r="W295" s="99"/>
      <c r="X295" s="99"/>
      <c r="Y295" s="99"/>
      <c r="Z295" s="99"/>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14"/>
      <c r="BK295" s="214"/>
    </row>
    <row r="296" spans="1:63" hidden="1" outlineLevel="1">
      <c r="A296" s="9"/>
      <c r="B296" s="44"/>
      <c r="C296" s="152" t="s">
        <v>29</v>
      </c>
      <c r="D296" s="9"/>
      <c r="E296" s="9"/>
      <c r="F296" s="139"/>
      <c r="G296" s="193"/>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9"/>
      <c r="S296" s="99"/>
      <c r="T296" s="99"/>
      <c r="U296" s="99"/>
      <c r="V296" s="99"/>
      <c r="W296" s="99"/>
      <c r="X296" s="99"/>
      <c r="Y296" s="99"/>
      <c r="Z296" s="99"/>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14"/>
      <c r="BK296" s="214"/>
    </row>
    <row r="297" spans="1:63" hidden="1" outlineLevel="1">
      <c r="A297" s="9"/>
      <c r="B297" s="44"/>
      <c r="C297" s="128" t="str">
        <f>Asset15</f>
        <v>Furniture, fittings, plant and equipment</v>
      </c>
      <c r="D297" s="9"/>
      <c r="E297" s="9"/>
      <c r="F297" s="139"/>
      <c r="G297" s="193"/>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9"/>
      <c r="S297" s="99"/>
      <c r="T297" s="99"/>
      <c r="U297" s="99"/>
      <c r="V297" s="99"/>
      <c r="W297" s="99"/>
      <c r="X297" s="99"/>
      <c r="Y297" s="99"/>
      <c r="Z297" s="99"/>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14"/>
      <c r="BK297" s="214"/>
    </row>
    <row r="298" spans="1:63" hidden="1" outlineLevel="1">
      <c r="A298" s="9"/>
      <c r="B298" s="44"/>
      <c r="C298" s="152" t="s">
        <v>29</v>
      </c>
      <c r="D298" s="9"/>
      <c r="E298" s="9"/>
      <c r="F298" s="139"/>
      <c r="G298" s="193"/>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9"/>
      <c r="S298" s="99"/>
      <c r="T298" s="99"/>
      <c r="U298" s="99"/>
      <c r="V298" s="99"/>
      <c r="W298" s="99"/>
      <c r="X298" s="99"/>
      <c r="Y298" s="99"/>
      <c r="Z298" s="99"/>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14"/>
      <c r="BK298" s="214"/>
    </row>
    <row r="299" spans="1:63" hidden="1" outlineLevel="1">
      <c r="A299" s="9"/>
      <c r="B299" s="44"/>
      <c r="C299" s="128" t="str">
        <f>Asset16</f>
        <v>Land (non-system)</v>
      </c>
      <c r="D299" s="9"/>
      <c r="E299" s="9"/>
      <c r="F299" s="139"/>
      <c r="G299" s="193"/>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9"/>
      <c r="S299" s="99"/>
      <c r="T299" s="99"/>
      <c r="U299" s="99"/>
      <c r="V299" s="99"/>
      <c r="W299" s="99"/>
      <c r="X299" s="99"/>
      <c r="Y299" s="99"/>
      <c r="Z299" s="99"/>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14"/>
      <c r="BK299" s="214"/>
    </row>
    <row r="300" spans="1:63" hidden="1" outlineLevel="1">
      <c r="A300" s="9"/>
      <c r="B300" s="44"/>
      <c r="C300" s="152" t="s">
        <v>29</v>
      </c>
      <c r="D300" s="9"/>
      <c r="E300" s="9"/>
      <c r="F300" s="139"/>
      <c r="G300" s="193"/>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9"/>
      <c r="S300" s="99"/>
      <c r="T300" s="99"/>
      <c r="U300" s="99"/>
      <c r="V300" s="99"/>
      <c r="W300" s="99"/>
      <c r="X300" s="99"/>
      <c r="Y300" s="99"/>
      <c r="Z300" s="99"/>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14"/>
      <c r="BK300" s="214"/>
    </row>
    <row r="301" spans="1:63" hidden="1" outlineLevel="1">
      <c r="A301" s="9"/>
      <c r="B301" s="44"/>
      <c r="C301" s="128" t="str">
        <f>Asset17</f>
        <v>Other non system assets</v>
      </c>
      <c r="D301" s="9"/>
      <c r="E301" s="9"/>
      <c r="F301" s="139"/>
      <c r="G301" s="193"/>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9"/>
      <c r="S301" s="99"/>
      <c r="T301" s="99"/>
      <c r="U301" s="99"/>
      <c r="V301" s="99"/>
      <c r="W301" s="99"/>
      <c r="X301" s="99"/>
      <c r="Y301" s="99"/>
      <c r="Z301" s="99"/>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14"/>
      <c r="BK301" s="214"/>
    </row>
    <row r="302" spans="1:63" hidden="1" outlineLevel="1">
      <c r="A302" s="9"/>
      <c r="B302" s="44"/>
      <c r="C302" s="152" t="s">
        <v>29</v>
      </c>
      <c r="D302" s="9"/>
      <c r="E302" s="9"/>
      <c r="F302" s="139"/>
      <c r="G302" s="193"/>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9"/>
      <c r="S302" s="99"/>
      <c r="T302" s="99"/>
      <c r="U302" s="99"/>
      <c r="V302" s="99"/>
      <c r="W302" s="99"/>
      <c r="X302" s="99"/>
      <c r="Y302" s="99"/>
      <c r="Z302" s="99"/>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14"/>
      <c r="BK302" s="214"/>
    </row>
    <row r="303" spans="1:63" hidden="1" outlineLevel="1">
      <c r="A303" s="9"/>
      <c r="B303" s="44"/>
      <c r="C303" s="128" t="str">
        <f>Asset18</f>
        <v>IT systems</v>
      </c>
      <c r="D303" s="9"/>
      <c r="E303" s="9"/>
      <c r="F303" s="139"/>
      <c r="G303" s="193"/>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9"/>
      <c r="S303" s="99"/>
      <c r="T303" s="99"/>
      <c r="U303" s="99"/>
      <c r="V303" s="99"/>
      <c r="W303" s="99"/>
      <c r="X303" s="99"/>
      <c r="Y303" s="99"/>
      <c r="Z303" s="99"/>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14"/>
      <c r="BK303" s="214"/>
    </row>
    <row r="304" spans="1:63" hidden="1" outlineLevel="1">
      <c r="A304" s="9"/>
      <c r="B304" s="44"/>
      <c r="C304" s="152" t="s">
        <v>29</v>
      </c>
      <c r="D304" s="9"/>
      <c r="E304" s="9"/>
      <c r="F304" s="139"/>
      <c r="G304" s="193"/>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9"/>
      <c r="S304" s="99"/>
      <c r="T304" s="99"/>
      <c r="U304" s="99"/>
      <c r="V304" s="99"/>
      <c r="W304" s="99"/>
      <c r="X304" s="99"/>
      <c r="Y304" s="99"/>
      <c r="Z304" s="99"/>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14"/>
      <c r="BK304" s="214"/>
    </row>
    <row r="305" spans="1:63" hidden="1" outlineLevel="1">
      <c r="A305" s="9"/>
      <c r="B305" s="44"/>
      <c r="C305" s="128" t="str">
        <f>Asset19</f>
        <v>Motor vehicles</v>
      </c>
      <c r="D305" s="9"/>
      <c r="E305" s="9"/>
      <c r="F305" s="139"/>
      <c r="G305" s="193"/>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9"/>
      <c r="S305" s="99"/>
      <c r="T305" s="99"/>
      <c r="U305" s="99"/>
      <c r="V305" s="99"/>
      <c r="W305" s="99"/>
      <c r="X305" s="99"/>
      <c r="Y305" s="99"/>
      <c r="Z305" s="99"/>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14"/>
      <c r="BK305" s="214"/>
    </row>
    <row r="306" spans="1:63" hidden="1" outlineLevel="1">
      <c r="A306" s="9"/>
      <c r="B306" s="44"/>
      <c r="C306" s="152" t="s">
        <v>29</v>
      </c>
      <c r="D306" s="9"/>
      <c r="E306" s="9"/>
      <c r="F306" s="139"/>
      <c r="G306" s="193"/>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9"/>
      <c r="S306" s="99"/>
      <c r="T306" s="99"/>
      <c r="U306" s="99"/>
      <c r="V306" s="99"/>
      <c r="W306" s="99"/>
      <c r="X306" s="99"/>
      <c r="Y306" s="99"/>
      <c r="Z306" s="99"/>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14"/>
      <c r="BK306" s="214"/>
    </row>
    <row r="307" spans="1:63" hidden="1" outlineLevel="1">
      <c r="A307" s="9"/>
      <c r="B307" s="44"/>
      <c r="C307" s="128" t="str">
        <f>Asset20</f>
        <v>Buildings</v>
      </c>
      <c r="D307" s="9"/>
      <c r="E307" s="9"/>
      <c r="F307" s="139"/>
      <c r="G307" s="193"/>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9"/>
      <c r="S307" s="99"/>
      <c r="T307" s="99"/>
      <c r="U307" s="99"/>
      <c r="V307" s="99"/>
      <c r="W307" s="99"/>
      <c r="X307" s="99"/>
      <c r="Y307" s="99"/>
      <c r="Z307" s="99"/>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14"/>
      <c r="BK307" s="214"/>
    </row>
    <row r="308" spans="1:63" hidden="1" outlineLevel="1">
      <c r="A308" s="9"/>
      <c r="B308" s="44"/>
      <c r="C308" s="152" t="s">
        <v>29</v>
      </c>
      <c r="D308" s="9"/>
      <c r="E308" s="9"/>
      <c r="F308" s="139"/>
      <c r="G308" s="193"/>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9"/>
      <c r="S308" s="99"/>
      <c r="T308" s="99"/>
      <c r="U308" s="99"/>
      <c r="V308" s="99"/>
      <c r="W308" s="99"/>
      <c r="X308" s="99"/>
      <c r="Y308" s="99"/>
      <c r="Z308" s="99"/>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14"/>
      <c r="BK308" s="214"/>
    </row>
    <row r="309" spans="1:63" hidden="1" outlineLevel="1">
      <c r="A309" s="9"/>
      <c r="B309" s="44"/>
      <c r="C309" s="128" t="str">
        <f>Asset21</f>
        <v>Equity raising costs</v>
      </c>
      <c r="D309" s="9"/>
      <c r="E309" s="9"/>
      <c r="F309" s="139"/>
      <c r="G309" s="191"/>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9"/>
      <c r="S309" s="99"/>
      <c r="T309" s="99"/>
      <c r="U309" s="99"/>
      <c r="V309" s="99"/>
      <c r="W309" s="99"/>
      <c r="X309" s="99"/>
      <c r="Y309" s="99"/>
      <c r="Z309" s="99"/>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14"/>
      <c r="BK309" s="214"/>
    </row>
    <row r="310" spans="1:63" hidden="1" outlineLevel="1">
      <c r="A310" s="9"/>
      <c r="B310" s="44"/>
      <c r="C310" s="152" t="s">
        <v>29</v>
      </c>
      <c r="D310" s="9"/>
      <c r="E310" s="9"/>
      <c r="F310" s="139"/>
      <c r="G310" s="191"/>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9"/>
      <c r="S310" s="99"/>
      <c r="T310" s="99"/>
      <c r="U310" s="99"/>
      <c r="V310" s="99"/>
      <c r="W310" s="99"/>
      <c r="X310" s="99"/>
      <c r="Y310" s="99"/>
      <c r="Z310" s="99"/>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14"/>
      <c r="BK310" s="214"/>
    </row>
    <row r="311" spans="1:63" hidden="1" outlineLevel="1">
      <c r="A311" s="9"/>
      <c r="B311" s="44"/>
      <c r="C311" s="128">
        <f>Asset22</f>
        <v>0</v>
      </c>
      <c r="D311" s="9"/>
      <c r="E311" s="9"/>
      <c r="F311" s="139"/>
      <c r="G311" s="191"/>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9"/>
      <c r="S311" s="99"/>
      <c r="T311" s="99"/>
      <c r="U311" s="99"/>
      <c r="V311" s="99"/>
      <c r="W311" s="99"/>
      <c r="X311" s="99"/>
      <c r="Y311" s="99"/>
      <c r="Z311" s="99"/>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14"/>
      <c r="BK311" s="214"/>
    </row>
    <row r="312" spans="1:63" hidden="1" outlineLevel="1">
      <c r="A312" s="9"/>
      <c r="B312" s="44"/>
      <c r="C312" s="152" t="s">
        <v>29</v>
      </c>
      <c r="D312" s="9"/>
      <c r="E312" s="9"/>
      <c r="F312" s="139"/>
      <c r="G312" s="191"/>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9"/>
      <c r="S312" s="99"/>
      <c r="T312" s="99"/>
      <c r="U312" s="99"/>
      <c r="V312" s="99"/>
      <c r="W312" s="99"/>
      <c r="X312" s="99"/>
      <c r="Y312" s="99"/>
      <c r="Z312" s="99"/>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14"/>
      <c r="BK312" s="214"/>
    </row>
    <row r="313" spans="1:63" hidden="1" outlineLevel="1">
      <c r="A313" s="9"/>
      <c r="B313" s="44"/>
      <c r="C313" s="128">
        <f>Asset23</f>
        <v>0</v>
      </c>
      <c r="D313" s="9"/>
      <c r="E313" s="9"/>
      <c r="F313" s="139"/>
      <c r="G313" s="191"/>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9"/>
      <c r="S313" s="99"/>
      <c r="T313" s="99"/>
      <c r="U313" s="99"/>
      <c r="V313" s="99"/>
      <c r="W313" s="99"/>
      <c r="X313" s="99"/>
      <c r="Y313" s="99"/>
      <c r="Z313" s="99"/>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14"/>
      <c r="BK313" s="214"/>
    </row>
    <row r="314" spans="1:63" hidden="1" outlineLevel="1">
      <c r="A314" s="9"/>
      <c r="B314" s="44"/>
      <c r="C314" s="152" t="s">
        <v>29</v>
      </c>
      <c r="D314" s="9"/>
      <c r="E314" s="9"/>
      <c r="F314" s="139"/>
      <c r="G314" s="191"/>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9"/>
      <c r="S314" s="99"/>
      <c r="T314" s="99"/>
      <c r="U314" s="99"/>
      <c r="V314" s="99"/>
      <c r="W314" s="99"/>
      <c r="X314" s="99"/>
      <c r="Y314" s="99"/>
      <c r="Z314" s="99"/>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14"/>
      <c r="BK314" s="214"/>
    </row>
    <row r="315" spans="1:63" hidden="1" outlineLevel="1">
      <c r="A315" s="9"/>
      <c r="B315" s="44"/>
      <c r="C315" s="128">
        <f>Asset24</f>
        <v>0</v>
      </c>
      <c r="D315" s="9"/>
      <c r="E315" s="9"/>
      <c r="F315" s="139"/>
      <c r="G315" s="191"/>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9"/>
      <c r="S315" s="99"/>
      <c r="T315" s="99"/>
      <c r="U315" s="99"/>
      <c r="V315" s="99"/>
      <c r="W315" s="99"/>
      <c r="X315" s="99"/>
      <c r="Y315" s="99"/>
      <c r="Z315" s="99"/>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14"/>
      <c r="BK315" s="214"/>
    </row>
    <row r="316" spans="1:63" hidden="1" outlineLevel="1">
      <c r="A316" s="9"/>
      <c r="B316" s="44"/>
      <c r="C316" s="152" t="s">
        <v>29</v>
      </c>
      <c r="D316" s="9"/>
      <c r="E316" s="9"/>
      <c r="F316" s="139"/>
      <c r="G316" s="191"/>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9"/>
      <c r="S316" s="99"/>
      <c r="T316" s="99"/>
      <c r="U316" s="99"/>
      <c r="V316" s="99"/>
      <c r="W316" s="99"/>
      <c r="X316" s="99"/>
      <c r="Y316" s="99"/>
      <c r="Z316" s="99"/>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14"/>
      <c r="BK316" s="214"/>
    </row>
    <row r="317" spans="1:63" hidden="1" outlineLevel="1">
      <c r="A317" s="9"/>
      <c r="B317" s="44"/>
      <c r="C317" s="128">
        <f>Asset25</f>
        <v>0</v>
      </c>
      <c r="D317" s="9"/>
      <c r="E317" s="9"/>
      <c r="F317" s="139"/>
      <c r="G317" s="191"/>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9"/>
      <c r="S317" s="99"/>
      <c r="T317" s="99"/>
      <c r="U317" s="99"/>
      <c r="V317" s="99"/>
      <c r="W317" s="99"/>
      <c r="X317" s="99"/>
      <c r="Y317" s="99"/>
      <c r="Z317" s="99"/>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14"/>
      <c r="BK317" s="214"/>
    </row>
    <row r="318" spans="1:63" hidden="1" outlineLevel="1">
      <c r="A318" s="9"/>
      <c r="B318" s="44"/>
      <c r="C318" s="152" t="s">
        <v>29</v>
      </c>
      <c r="D318" s="9"/>
      <c r="E318" s="9"/>
      <c r="F318" s="139"/>
      <c r="G318" s="191"/>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9"/>
      <c r="S318" s="99"/>
      <c r="T318" s="99"/>
      <c r="U318" s="99"/>
      <c r="V318" s="99"/>
      <c r="W318" s="99"/>
      <c r="X318" s="99"/>
      <c r="Y318" s="99"/>
      <c r="Z318" s="99"/>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14"/>
      <c r="BK318" s="214"/>
    </row>
    <row r="319" spans="1:63" hidden="1" outlineLevel="1">
      <c r="A319" s="9"/>
      <c r="B319" s="44"/>
      <c r="C319" s="128">
        <f>Asset26</f>
        <v>0</v>
      </c>
      <c r="D319" s="9"/>
      <c r="E319" s="9"/>
      <c r="F319" s="139"/>
      <c r="G319" s="191"/>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9"/>
      <c r="S319" s="99"/>
      <c r="T319" s="99"/>
      <c r="U319" s="99"/>
      <c r="V319" s="99"/>
      <c r="W319" s="99"/>
      <c r="X319" s="99"/>
      <c r="Y319" s="99"/>
      <c r="Z319" s="99"/>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14"/>
      <c r="BK319" s="214"/>
    </row>
    <row r="320" spans="1:63" hidden="1" outlineLevel="1">
      <c r="A320" s="9"/>
      <c r="B320" s="44"/>
      <c r="C320" s="152" t="s">
        <v>29</v>
      </c>
      <c r="D320" s="9"/>
      <c r="E320" s="9"/>
      <c r="F320" s="139"/>
      <c r="G320" s="191"/>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9"/>
      <c r="S320" s="99"/>
      <c r="T320" s="99"/>
      <c r="U320" s="99"/>
      <c r="V320" s="99"/>
      <c r="W320" s="99"/>
      <c r="X320" s="99"/>
      <c r="Y320" s="99"/>
      <c r="Z320" s="99"/>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14"/>
      <c r="BK320" s="214"/>
    </row>
    <row r="321" spans="1:63" hidden="1" outlineLevel="1">
      <c r="A321" s="9"/>
      <c r="B321" s="44"/>
      <c r="C321" s="128">
        <f>Asset27</f>
        <v>0</v>
      </c>
      <c r="D321" s="9"/>
      <c r="E321" s="9"/>
      <c r="F321" s="139"/>
      <c r="G321" s="191"/>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9"/>
      <c r="S321" s="99"/>
      <c r="T321" s="99"/>
      <c r="U321" s="99"/>
      <c r="V321" s="99"/>
      <c r="W321" s="99"/>
      <c r="X321" s="99"/>
      <c r="Y321" s="99"/>
      <c r="Z321" s="99"/>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14"/>
      <c r="BK321" s="214"/>
    </row>
    <row r="322" spans="1:63" hidden="1" outlineLevel="1">
      <c r="A322" s="9"/>
      <c r="B322" s="44"/>
      <c r="C322" s="152" t="s">
        <v>29</v>
      </c>
      <c r="D322" s="9"/>
      <c r="E322" s="9"/>
      <c r="F322" s="139"/>
      <c r="G322" s="191"/>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9"/>
      <c r="S322" s="99"/>
      <c r="T322" s="99"/>
      <c r="U322" s="99"/>
      <c r="V322" s="99"/>
      <c r="W322" s="99"/>
      <c r="X322" s="99"/>
      <c r="Y322" s="99"/>
      <c r="Z322" s="99"/>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14"/>
      <c r="BK322" s="214"/>
    </row>
    <row r="323" spans="1:63" hidden="1" outlineLevel="1">
      <c r="A323" s="9"/>
      <c r="B323" s="44"/>
      <c r="C323" s="128">
        <f>Asset28</f>
        <v>0</v>
      </c>
      <c r="D323" s="9"/>
      <c r="E323" s="9"/>
      <c r="F323" s="139"/>
      <c r="G323" s="191"/>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9"/>
      <c r="S323" s="99"/>
      <c r="T323" s="99"/>
      <c r="U323" s="99"/>
      <c r="V323" s="99"/>
      <c r="W323" s="99"/>
      <c r="X323" s="99"/>
      <c r="Y323" s="99"/>
      <c r="Z323" s="99"/>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14"/>
      <c r="BK323" s="214"/>
    </row>
    <row r="324" spans="1:63" hidden="1" outlineLevel="1">
      <c r="A324" s="9"/>
      <c r="B324" s="44"/>
      <c r="C324" s="152" t="s">
        <v>29</v>
      </c>
      <c r="D324" s="9"/>
      <c r="E324" s="9"/>
      <c r="F324" s="139"/>
      <c r="G324" s="191"/>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9"/>
      <c r="S324" s="99"/>
      <c r="T324" s="99"/>
      <c r="U324" s="99"/>
      <c r="V324" s="99"/>
      <c r="W324" s="99"/>
      <c r="X324" s="99"/>
      <c r="Y324" s="99"/>
      <c r="Z324" s="99"/>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14"/>
      <c r="BK324" s="214"/>
    </row>
    <row r="325" spans="1:63" hidden="1" outlineLevel="1">
      <c r="A325" s="9"/>
      <c r="B325" s="44"/>
      <c r="C325" s="128">
        <f>Asset29</f>
        <v>0</v>
      </c>
      <c r="D325" s="9"/>
      <c r="E325" s="9"/>
      <c r="F325" s="139"/>
      <c r="G325" s="191"/>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9"/>
      <c r="S325" s="99"/>
      <c r="T325" s="99"/>
      <c r="U325" s="99"/>
      <c r="V325" s="99"/>
      <c r="W325" s="99"/>
      <c r="X325" s="99"/>
      <c r="Y325" s="99"/>
      <c r="Z325" s="99"/>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14"/>
      <c r="BK325" s="214"/>
    </row>
    <row r="326" spans="1:63" hidden="1" outlineLevel="1">
      <c r="A326" s="9"/>
      <c r="B326" s="44"/>
      <c r="C326" s="152" t="s">
        <v>29</v>
      </c>
      <c r="D326" s="9"/>
      <c r="E326" s="9"/>
      <c r="F326" s="139"/>
      <c r="G326" s="191"/>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9"/>
      <c r="S326" s="99"/>
      <c r="T326" s="99"/>
      <c r="U326" s="99"/>
      <c r="V326" s="99"/>
      <c r="W326" s="99"/>
      <c r="X326" s="99"/>
      <c r="Y326" s="99"/>
      <c r="Z326" s="99"/>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14"/>
      <c r="BK326" s="214"/>
    </row>
    <row r="327" spans="1:63" hidden="1" outlineLevel="1">
      <c r="A327" s="9"/>
      <c r="B327" s="44"/>
      <c r="C327" s="128">
        <f>Asset30</f>
        <v>0</v>
      </c>
      <c r="D327" s="9"/>
      <c r="E327" s="9"/>
      <c r="F327" s="139"/>
      <c r="G327" s="191"/>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9"/>
      <c r="S327" s="99"/>
      <c r="T327" s="99"/>
      <c r="U327" s="99"/>
      <c r="V327" s="99"/>
      <c r="W327" s="99"/>
      <c r="X327" s="99"/>
      <c r="Y327" s="99"/>
      <c r="Z327" s="99"/>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14"/>
      <c r="BK327" s="214"/>
    </row>
    <row r="328" spans="1:63" hidden="1" outlineLevel="1">
      <c r="A328" s="9"/>
      <c r="B328" s="44"/>
      <c r="C328" s="152" t="s">
        <v>29</v>
      </c>
      <c r="D328" s="9"/>
      <c r="E328" s="9"/>
      <c r="F328" s="139"/>
      <c r="G328" s="191"/>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9"/>
      <c r="S328" s="99"/>
      <c r="T328" s="99"/>
      <c r="U328" s="99"/>
      <c r="V328" s="99"/>
      <c r="W328" s="99"/>
      <c r="X328" s="99"/>
      <c r="Y328" s="99"/>
      <c r="Z328" s="99"/>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14"/>
      <c r="BK328" s="214"/>
    </row>
    <row r="329" spans="1:63" collapsed="1">
      <c r="A329" s="9"/>
      <c r="B329" s="182" t="s">
        <v>44</v>
      </c>
      <c r="D329" s="9"/>
      <c r="E329" s="9"/>
      <c r="F329" s="139"/>
      <c r="G329" s="193"/>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9"/>
      <c r="S329" s="99"/>
      <c r="T329" s="99"/>
      <c r="U329" s="99"/>
      <c r="V329" s="99"/>
      <c r="W329" s="99"/>
      <c r="X329" s="99"/>
      <c r="Y329" s="99"/>
      <c r="Z329" s="99"/>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14"/>
      <c r="BK329" s="214"/>
    </row>
    <row r="330" spans="1:63">
      <c r="A330" s="9"/>
      <c r="B330" s="151"/>
      <c r="C330" s="25"/>
      <c r="D330" s="9"/>
      <c r="E330" s="9"/>
      <c r="F330" s="139"/>
      <c r="G330" s="115"/>
      <c r="H330" s="115"/>
      <c r="I330" s="115"/>
      <c r="J330" s="115"/>
      <c r="K330" s="115"/>
      <c r="L330" s="115"/>
      <c r="M330" s="9"/>
      <c r="N330" s="109"/>
      <c r="O330" s="150"/>
      <c r="P330" s="150"/>
      <c r="Q330" s="150"/>
      <c r="R330" s="99"/>
      <c r="S330" s="99"/>
      <c r="T330" s="99"/>
      <c r="U330" s="99"/>
      <c r="V330" s="99"/>
      <c r="W330" s="99"/>
      <c r="X330" s="99"/>
      <c r="Y330" s="99"/>
      <c r="Z330" s="99"/>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14"/>
      <c r="BK330" s="214"/>
    </row>
    <row r="331" spans="1:63">
      <c r="A331" s="79"/>
      <c r="B331" s="79" t="s">
        <v>79</v>
      </c>
      <c r="C331" s="107"/>
      <c r="D331" s="107"/>
      <c r="E331" s="107"/>
      <c r="F331" s="107"/>
      <c r="G331" s="107"/>
      <c r="H331" s="107"/>
      <c r="I331" s="107"/>
      <c r="J331" s="107"/>
      <c r="K331" s="107"/>
      <c r="L331" s="107"/>
      <c r="M331" s="107"/>
      <c r="N331" s="107"/>
      <c r="O331" s="107"/>
      <c r="P331" s="107"/>
      <c r="Q331" s="107"/>
      <c r="R331" s="107"/>
      <c r="S331" s="99"/>
      <c r="T331" s="105"/>
      <c r="U331" s="105"/>
      <c r="V331" s="105"/>
      <c r="W331" s="105"/>
      <c r="X331" s="105"/>
      <c r="Y331" s="105"/>
      <c r="Z331" s="105"/>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14"/>
      <c r="BK331" s="214"/>
    </row>
    <row r="332" spans="1:63">
      <c r="A332" s="16"/>
      <c r="B332" s="16"/>
      <c r="C332" s="121"/>
      <c r="D332" s="121"/>
      <c r="E332" s="121"/>
      <c r="F332" s="121"/>
      <c r="G332" s="121"/>
      <c r="H332" s="109"/>
      <c r="I332" s="109"/>
      <c r="J332" s="350"/>
      <c r="K332" s="351"/>
      <c r="L332" s="109"/>
      <c r="M332" s="109"/>
      <c r="N332" s="109"/>
      <c r="O332" s="105"/>
      <c r="P332" s="105"/>
      <c r="Q332" s="105"/>
      <c r="R332" s="105"/>
      <c r="S332" s="99"/>
      <c r="T332" s="105"/>
      <c r="U332" s="105"/>
      <c r="V332" s="105"/>
      <c r="W332" s="105"/>
      <c r="X332" s="105"/>
      <c r="Y332" s="105"/>
      <c r="Z332" s="105"/>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14"/>
      <c r="BK332" s="214"/>
    </row>
    <row r="333" spans="1:63">
      <c r="A333" s="9"/>
      <c r="B333" s="44" t="s">
        <v>46</v>
      </c>
      <c r="C333" s="9"/>
      <c r="D333" s="9"/>
      <c r="E333" s="9"/>
      <c r="F333" s="9"/>
      <c r="G333" s="190">
        <f>SUM(G334:G363)</f>
        <v>6357.5756751436893</v>
      </c>
      <c r="H333" s="138">
        <f>SUM(H334:H363)</f>
        <v>7297.1697204572347</v>
      </c>
      <c r="I333" s="109"/>
      <c r="J333" s="351"/>
      <c r="K333" s="352"/>
      <c r="L333" s="109"/>
      <c r="M333" s="109"/>
      <c r="N333" s="109"/>
      <c r="O333" s="105"/>
      <c r="P333" s="105"/>
      <c r="Q333" s="105"/>
      <c r="R333" s="105"/>
      <c r="S333" s="99"/>
      <c r="T333" s="105"/>
      <c r="U333" s="105"/>
      <c r="V333" s="105"/>
      <c r="W333" s="105"/>
      <c r="X333" s="105"/>
      <c r="Y333" s="105"/>
      <c r="Z333" s="105"/>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14"/>
      <c r="BK333" s="214"/>
    </row>
    <row r="334" spans="1:63" ht="12.75" hidden="1" customHeight="1" outlineLevel="1">
      <c r="A334" s="9"/>
      <c r="B334" s="9"/>
      <c r="C334" s="128" t="str">
        <f>Asset1</f>
        <v>Sub-transmission lines and cables</v>
      </c>
      <c r="D334" s="9"/>
      <c r="E334" s="9"/>
      <c r="F334" s="9"/>
      <c r="G334" s="191">
        <f>Input!J7</f>
        <v>628.07263528768385</v>
      </c>
      <c r="H334" s="357">
        <f t="shared" ref="H334:H355" si="6">G334+G366+G398+G430+G462+G494+G526</f>
        <v>628.30997683369071</v>
      </c>
      <c r="I334" s="109"/>
      <c r="J334" s="351"/>
      <c r="K334" s="351"/>
      <c r="L334" s="109"/>
      <c r="M334" s="109"/>
      <c r="N334" s="109"/>
      <c r="O334" s="105"/>
      <c r="P334" s="105"/>
      <c r="Q334" s="105"/>
      <c r="R334" s="105"/>
      <c r="S334" s="99"/>
      <c r="T334" s="105"/>
      <c r="U334" s="105"/>
      <c r="V334" s="105"/>
      <c r="W334" s="105"/>
      <c r="X334" s="105"/>
      <c r="Y334" s="105"/>
      <c r="Z334" s="105"/>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14"/>
      <c r="BK334" s="214"/>
    </row>
    <row r="335" spans="1:63" ht="12.75" hidden="1" customHeight="1" outlineLevel="1">
      <c r="A335" s="9"/>
      <c r="B335" s="44"/>
      <c r="C335" s="128" t="str">
        <f>Asset2</f>
        <v>Cable tunnel (dx)</v>
      </c>
      <c r="D335" s="9"/>
      <c r="E335" s="9"/>
      <c r="F335" s="139"/>
      <c r="G335" s="191">
        <f>Input!J8</f>
        <v>34.039669444934937</v>
      </c>
      <c r="H335" s="357">
        <f t="shared" si="6"/>
        <v>67.623820947606021</v>
      </c>
      <c r="I335" s="109"/>
      <c r="J335" s="351"/>
      <c r="K335" s="351"/>
      <c r="L335" s="109"/>
      <c r="M335" s="109"/>
      <c r="N335" s="109"/>
      <c r="O335" s="105"/>
      <c r="P335" s="105"/>
      <c r="Q335" s="105"/>
      <c r="R335" s="105"/>
      <c r="S335" s="99"/>
      <c r="T335" s="105"/>
      <c r="U335" s="105"/>
      <c r="V335" s="105"/>
      <c r="W335" s="105"/>
      <c r="X335" s="105"/>
      <c r="Y335" s="105"/>
      <c r="Z335" s="105"/>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14"/>
      <c r="BK335" s="214"/>
    </row>
    <row r="336" spans="1:63" ht="12.75" hidden="1" customHeight="1" outlineLevel="1">
      <c r="A336" s="9"/>
      <c r="B336" s="44"/>
      <c r="C336" s="128" t="str">
        <f>Asset3</f>
        <v>Distribution lines and cables</v>
      </c>
      <c r="D336" s="9"/>
      <c r="E336" s="9"/>
      <c r="F336" s="139"/>
      <c r="G336" s="191">
        <f>Input!J9</f>
        <v>1590.1669051835506</v>
      </c>
      <c r="H336" s="357">
        <f t="shared" si="6"/>
        <v>1917.7730409043168</v>
      </c>
      <c r="I336" s="109"/>
      <c r="J336" s="351"/>
      <c r="K336" s="351"/>
      <c r="L336" s="109"/>
      <c r="M336" s="109"/>
      <c r="N336" s="109"/>
      <c r="O336" s="105"/>
      <c r="P336" s="105"/>
      <c r="Q336" s="105"/>
      <c r="R336" s="105"/>
      <c r="S336" s="99"/>
      <c r="T336" s="105"/>
      <c r="U336" s="105"/>
      <c r="V336" s="105"/>
      <c r="W336" s="105"/>
      <c r="X336" s="105"/>
      <c r="Y336" s="105"/>
      <c r="Z336" s="105"/>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14"/>
      <c r="BK336" s="214"/>
    </row>
    <row r="337" spans="1:63" ht="12.75" hidden="1" customHeight="1" outlineLevel="1">
      <c r="A337" s="9"/>
      <c r="B337" s="44"/>
      <c r="C337" s="128" t="str">
        <f>Asset4</f>
        <v>Substations</v>
      </c>
      <c r="D337" s="9"/>
      <c r="E337" s="9"/>
      <c r="F337" s="139"/>
      <c r="G337" s="191">
        <f>Input!J10</f>
        <v>1540.4625077042031</v>
      </c>
      <c r="H337" s="357">
        <f t="shared" si="6"/>
        <v>2048.7358007572952</v>
      </c>
      <c r="I337" s="109"/>
      <c r="J337" s="351"/>
      <c r="K337" s="351"/>
      <c r="L337" s="109"/>
      <c r="M337" s="109"/>
      <c r="N337" s="109"/>
      <c r="O337" s="105"/>
      <c r="P337" s="105"/>
      <c r="Q337" s="105"/>
      <c r="R337" s="105"/>
      <c r="S337" s="99"/>
      <c r="T337" s="105"/>
      <c r="U337" s="105"/>
      <c r="V337" s="105"/>
      <c r="W337" s="105"/>
      <c r="X337" s="105"/>
      <c r="Y337" s="105"/>
      <c r="Z337" s="105"/>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14"/>
      <c r="BK337" s="214"/>
    </row>
    <row r="338" spans="1:63" ht="12.75" hidden="1" customHeight="1" outlineLevel="1">
      <c r="A338" s="9"/>
      <c r="B338" s="44"/>
      <c r="C338" s="128" t="str">
        <f>Asset5</f>
        <v>Transformers</v>
      </c>
      <c r="D338" s="9"/>
      <c r="E338" s="9"/>
      <c r="F338" s="139"/>
      <c r="G338" s="191">
        <f>Input!J11</f>
        <v>397.33283980757915</v>
      </c>
      <c r="H338" s="357">
        <f t="shared" si="6"/>
        <v>467.45903002119684</v>
      </c>
      <c r="I338" s="109"/>
      <c r="J338" s="351"/>
      <c r="K338" s="351"/>
      <c r="L338" s="109"/>
      <c r="M338" s="109"/>
      <c r="N338" s="109"/>
      <c r="O338" s="105"/>
      <c r="P338" s="105"/>
      <c r="Q338" s="105"/>
      <c r="R338" s="105"/>
      <c r="S338" s="99"/>
      <c r="T338" s="105"/>
      <c r="U338" s="105"/>
      <c r="V338" s="105"/>
      <c r="W338" s="105"/>
      <c r="X338" s="105"/>
      <c r="Y338" s="105"/>
      <c r="Z338" s="105"/>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14"/>
      <c r="BK338" s="214"/>
    </row>
    <row r="339" spans="1:63" ht="12.75" hidden="1" customHeight="1" outlineLevel="1">
      <c r="A339" s="9"/>
      <c r="B339" s="44"/>
      <c r="C339" s="128" t="str">
        <f>Asset6</f>
        <v>Low Voltage Lines and Cables</v>
      </c>
      <c r="D339" s="9"/>
      <c r="E339" s="9"/>
      <c r="F339" s="139"/>
      <c r="G339" s="191">
        <f>Input!J12</f>
        <v>695.63342058586409</v>
      </c>
      <c r="H339" s="357">
        <f t="shared" si="6"/>
        <v>757.26447945717541</v>
      </c>
      <c r="I339" s="109"/>
      <c r="J339" s="351"/>
      <c r="K339" s="351"/>
      <c r="L339" s="109"/>
      <c r="M339" s="109"/>
      <c r="N339" s="109"/>
      <c r="O339" s="105"/>
      <c r="P339" s="105"/>
      <c r="Q339" s="105"/>
      <c r="R339" s="105"/>
      <c r="S339" s="99"/>
      <c r="T339" s="105"/>
      <c r="U339" s="105"/>
      <c r="V339" s="105"/>
      <c r="W339" s="105"/>
      <c r="X339" s="105"/>
      <c r="Y339" s="105"/>
      <c r="Z339" s="105"/>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14"/>
      <c r="BK339" s="214"/>
    </row>
    <row r="340" spans="1:63" ht="12.75" hidden="1" customHeight="1" outlineLevel="1">
      <c r="A340" s="9"/>
      <c r="B340" s="44"/>
      <c r="C340" s="128" t="str">
        <f>Asset7</f>
        <v>Customer Metering and Load Control</v>
      </c>
      <c r="D340" s="9"/>
      <c r="E340" s="9"/>
      <c r="F340" s="139"/>
      <c r="G340" s="191">
        <f>Input!J13</f>
        <v>186.91073309905713</v>
      </c>
      <c r="H340" s="357">
        <f t="shared" si="6"/>
        <v>235.44383076608574</v>
      </c>
      <c r="I340" s="109"/>
      <c r="J340" s="351"/>
      <c r="K340" s="351"/>
      <c r="L340" s="109"/>
      <c r="M340" s="109"/>
      <c r="N340" s="109"/>
      <c r="O340" s="105"/>
      <c r="P340" s="105"/>
      <c r="Q340" s="105"/>
      <c r="R340" s="105"/>
      <c r="S340" s="99"/>
      <c r="T340" s="105"/>
      <c r="U340" s="105"/>
      <c r="V340" s="105"/>
      <c r="W340" s="105"/>
      <c r="X340" s="105"/>
      <c r="Y340" s="105"/>
      <c r="Z340" s="105"/>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14"/>
      <c r="BK340" s="214"/>
    </row>
    <row r="341" spans="1:63" ht="12.75" hidden="1" customHeight="1" outlineLevel="1">
      <c r="A341" s="9"/>
      <c r="B341" s="44"/>
      <c r="C341" s="128" t="str">
        <f>Asset8</f>
        <v>Customer Metering (digital)</v>
      </c>
      <c r="D341" s="9"/>
      <c r="E341" s="9"/>
      <c r="F341" s="139"/>
      <c r="G341" s="191">
        <f>Input!J14</f>
        <v>0</v>
      </c>
      <c r="H341" s="357">
        <f t="shared" si="6"/>
        <v>0</v>
      </c>
      <c r="I341" s="109"/>
      <c r="J341" s="351"/>
      <c r="K341" s="351"/>
      <c r="L341" s="109"/>
      <c r="M341" s="109"/>
      <c r="N341" s="109"/>
      <c r="O341" s="105"/>
      <c r="P341" s="105"/>
      <c r="Q341" s="105"/>
      <c r="R341" s="105"/>
      <c r="S341" s="99"/>
      <c r="T341" s="105"/>
      <c r="U341" s="105"/>
      <c r="V341" s="105"/>
      <c r="W341" s="105"/>
      <c r="X341" s="105"/>
      <c r="Y341" s="105"/>
      <c r="Z341" s="105"/>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14"/>
      <c r="BK341" s="214"/>
    </row>
    <row r="342" spans="1:63" ht="12.75" hidden="1" customHeight="1" outlineLevel="1">
      <c r="A342" s="9"/>
      <c r="B342" s="44"/>
      <c r="C342" s="128" t="str">
        <f>Asset9</f>
        <v>Communications (digital) - dx</v>
      </c>
      <c r="D342" s="9"/>
      <c r="E342" s="9"/>
      <c r="F342" s="139"/>
      <c r="G342" s="191">
        <f>Input!J15</f>
        <v>0</v>
      </c>
      <c r="H342" s="357">
        <f t="shared" si="6"/>
        <v>0</v>
      </c>
      <c r="I342" s="109"/>
      <c r="J342" s="351"/>
      <c r="K342" s="351"/>
      <c r="L342" s="109"/>
      <c r="M342" s="109"/>
      <c r="N342" s="109"/>
      <c r="O342" s="105"/>
      <c r="P342" s="105"/>
      <c r="Q342" s="105"/>
      <c r="R342" s="105"/>
      <c r="S342" s="99"/>
      <c r="T342" s="105"/>
      <c r="U342" s="105"/>
      <c r="V342" s="105"/>
      <c r="W342" s="105"/>
      <c r="X342" s="105"/>
      <c r="Y342" s="105"/>
      <c r="Z342" s="105"/>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14"/>
      <c r="BK342" s="214"/>
    </row>
    <row r="343" spans="1:63" ht="12.75" hidden="1" customHeight="1" outlineLevel="1">
      <c r="A343" s="9"/>
      <c r="B343" s="44"/>
      <c r="C343" s="128" t="str">
        <f>Asset10</f>
        <v>Total Communications</v>
      </c>
      <c r="D343" s="9"/>
      <c r="E343" s="9"/>
      <c r="F343" s="139"/>
      <c r="G343" s="191">
        <f>Input!J16</f>
        <v>102.05067031207685</v>
      </c>
      <c r="H343" s="357">
        <f t="shared" si="6"/>
        <v>130.75137240343361</v>
      </c>
      <c r="I343" s="109"/>
      <c r="J343" s="351"/>
      <c r="K343" s="351"/>
      <c r="L343" s="109"/>
      <c r="M343" s="109"/>
      <c r="N343" s="109"/>
      <c r="O343" s="105"/>
      <c r="P343" s="105"/>
      <c r="Q343" s="105"/>
      <c r="R343" s="105"/>
      <c r="S343" s="99"/>
      <c r="T343" s="105"/>
      <c r="U343" s="105"/>
      <c r="V343" s="105"/>
      <c r="W343" s="105"/>
      <c r="X343" s="105"/>
      <c r="Y343" s="105"/>
      <c r="Z343" s="105"/>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14"/>
      <c r="BK343" s="214"/>
    </row>
    <row r="344" spans="1:63" ht="12.75" hidden="1" customHeight="1" outlineLevel="1">
      <c r="A344" s="9"/>
      <c r="B344" s="44"/>
      <c r="C344" s="128" t="str">
        <f>Asset11</f>
        <v>System IT (dx)</v>
      </c>
      <c r="D344" s="9"/>
      <c r="E344" s="9"/>
      <c r="F344" s="139"/>
      <c r="G344" s="191">
        <f>Input!J17</f>
        <v>0</v>
      </c>
      <c r="H344" s="357">
        <f t="shared" si="6"/>
        <v>0</v>
      </c>
      <c r="I344" s="109"/>
      <c r="J344" s="351"/>
      <c r="K344" s="351"/>
      <c r="L344" s="109"/>
      <c r="M344" s="109"/>
      <c r="N344" s="109"/>
      <c r="O344" s="105"/>
      <c r="P344" s="105"/>
      <c r="Q344" s="105"/>
      <c r="R344" s="105"/>
      <c r="S344" s="99"/>
      <c r="T344" s="105"/>
      <c r="U344" s="105"/>
      <c r="V344" s="105"/>
      <c r="W344" s="105"/>
      <c r="X344" s="105"/>
      <c r="Y344" s="105"/>
      <c r="Z344" s="105"/>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14"/>
      <c r="BK344" s="214"/>
    </row>
    <row r="345" spans="1:63" ht="12.75" hidden="1" customHeight="1" outlineLevel="1">
      <c r="A345" s="9"/>
      <c r="B345" s="44"/>
      <c r="C345" s="128" t="str">
        <f>Asset12</f>
        <v>Ancillary substation equipment (dx)</v>
      </c>
      <c r="D345" s="9"/>
      <c r="E345" s="9"/>
      <c r="F345" s="139"/>
      <c r="G345" s="191">
        <f>Input!J18</f>
        <v>0</v>
      </c>
      <c r="H345" s="357">
        <f t="shared" si="6"/>
        <v>0</v>
      </c>
      <c r="I345" s="109"/>
      <c r="J345" s="351"/>
      <c r="K345" s="351"/>
      <c r="L345" s="109"/>
      <c r="M345" s="109"/>
      <c r="N345" s="109"/>
      <c r="O345" s="105"/>
      <c r="P345" s="105"/>
      <c r="Q345" s="105"/>
      <c r="R345" s="105"/>
      <c r="S345" s="99"/>
      <c r="T345" s="105"/>
      <c r="U345" s="105"/>
      <c r="V345" s="105"/>
      <c r="W345" s="105"/>
      <c r="X345" s="105"/>
      <c r="Y345" s="105"/>
      <c r="Z345" s="105"/>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14"/>
      <c r="BK345" s="214"/>
    </row>
    <row r="346" spans="1:63" ht="12.75" hidden="1" customHeight="1" outlineLevel="1">
      <c r="A346" s="9"/>
      <c r="B346" s="44"/>
      <c r="C346" s="128" t="str">
        <f>Asset13</f>
        <v>Land and Easements</v>
      </c>
      <c r="D346" s="9"/>
      <c r="E346" s="9"/>
      <c r="F346" s="139"/>
      <c r="G346" s="191">
        <f>Input!J19</f>
        <v>468.57214388000489</v>
      </c>
      <c r="H346" s="357">
        <f t="shared" si="6"/>
        <v>488.33356293711495</v>
      </c>
      <c r="I346" s="109"/>
      <c r="J346" s="351"/>
      <c r="K346" s="351"/>
      <c r="L346" s="109"/>
      <c r="M346" s="109"/>
      <c r="N346" s="109"/>
      <c r="O346" s="105"/>
      <c r="P346" s="105"/>
      <c r="Q346" s="105"/>
      <c r="R346" s="105"/>
      <c r="S346" s="99"/>
      <c r="T346" s="105"/>
      <c r="U346" s="105"/>
      <c r="V346" s="105"/>
      <c r="W346" s="105"/>
      <c r="X346" s="105"/>
      <c r="Y346" s="105"/>
      <c r="Z346" s="105"/>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14"/>
      <c r="BK346" s="214"/>
    </row>
    <row r="347" spans="1:63" ht="12.75" hidden="1" customHeight="1" outlineLevel="1">
      <c r="A347" s="9"/>
      <c r="B347" s="44"/>
      <c r="C347" s="128" t="str">
        <f>Asset14</f>
        <v>Emergency Spares (Major Plant, Excludes Inventory)</v>
      </c>
      <c r="D347" s="9"/>
      <c r="E347" s="9"/>
      <c r="F347" s="139"/>
      <c r="G347" s="191">
        <f>Input!J20</f>
        <v>56.525816504302178</v>
      </c>
      <c r="H347" s="357">
        <f t="shared" si="6"/>
        <v>39.386044523966696</v>
      </c>
      <c r="I347" s="109"/>
      <c r="J347" s="351"/>
      <c r="K347" s="351"/>
      <c r="L347" s="109"/>
      <c r="M347" s="109"/>
      <c r="N347" s="109"/>
      <c r="O347" s="105"/>
      <c r="P347" s="105"/>
      <c r="Q347" s="105"/>
      <c r="R347" s="105"/>
      <c r="S347" s="99"/>
      <c r="T347" s="105"/>
      <c r="U347" s="105"/>
      <c r="V347" s="105"/>
      <c r="W347" s="105"/>
      <c r="X347" s="105"/>
      <c r="Y347" s="105"/>
      <c r="Z347" s="105"/>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14"/>
      <c r="BK347" s="214"/>
    </row>
    <row r="348" spans="1:63" ht="12.75" hidden="1" customHeight="1" outlineLevel="1">
      <c r="A348" s="9"/>
      <c r="B348" s="44"/>
      <c r="C348" s="128" t="str">
        <f>Asset15</f>
        <v>Furniture, fittings, plant and equipment</v>
      </c>
      <c r="D348" s="9"/>
      <c r="E348" s="9"/>
      <c r="F348" s="139"/>
      <c r="G348" s="191">
        <f>Input!J21</f>
        <v>24.814851213853935</v>
      </c>
      <c r="H348" s="357">
        <f t="shared" si="6"/>
        <v>27.900756588741036</v>
      </c>
      <c r="I348" s="109"/>
      <c r="J348" s="351"/>
      <c r="K348" s="351"/>
      <c r="L348" s="109"/>
      <c r="M348" s="109"/>
      <c r="N348" s="109"/>
      <c r="O348" s="105"/>
      <c r="P348" s="105"/>
      <c r="Q348" s="105"/>
      <c r="R348" s="105"/>
      <c r="S348" s="99"/>
      <c r="T348" s="105"/>
      <c r="U348" s="105"/>
      <c r="V348" s="105"/>
      <c r="W348" s="105"/>
      <c r="X348" s="105"/>
      <c r="Y348" s="105"/>
      <c r="Z348" s="105"/>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14"/>
      <c r="BK348" s="214"/>
    </row>
    <row r="349" spans="1:63" ht="12.75" hidden="1" customHeight="1" outlineLevel="1">
      <c r="A349" s="9"/>
      <c r="B349" s="44"/>
      <c r="C349" s="128" t="str">
        <f>Asset16</f>
        <v>Land (non-system)</v>
      </c>
      <c r="D349" s="9"/>
      <c r="E349" s="9"/>
      <c r="F349" s="139"/>
      <c r="G349" s="191">
        <f>Input!J22</f>
        <v>23.529747046876647</v>
      </c>
      <c r="H349" s="357">
        <f t="shared" si="6"/>
        <v>47.023399261991891</v>
      </c>
      <c r="I349" s="109"/>
      <c r="J349" s="351"/>
      <c r="K349" s="351"/>
      <c r="L349" s="109"/>
      <c r="M349" s="109"/>
      <c r="N349" s="109"/>
      <c r="O349" s="105"/>
      <c r="P349" s="105"/>
      <c r="Q349" s="105"/>
      <c r="R349" s="105"/>
      <c r="S349" s="99"/>
      <c r="T349" s="105"/>
      <c r="U349" s="105"/>
      <c r="V349" s="105"/>
      <c r="W349" s="105"/>
      <c r="X349" s="105"/>
      <c r="Y349" s="105"/>
      <c r="Z349" s="105"/>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14"/>
      <c r="BK349" s="214"/>
    </row>
    <row r="350" spans="1:63" ht="12.75" hidden="1" customHeight="1" outlineLevel="1">
      <c r="A350" s="9"/>
      <c r="B350" s="44"/>
      <c r="C350" s="128" t="str">
        <f>Asset17</f>
        <v>Other non system assets</v>
      </c>
      <c r="D350" s="9"/>
      <c r="E350" s="9"/>
      <c r="F350" s="139"/>
      <c r="G350" s="191">
        <f>Input!J23</f>
        <v>114.74511085977755</v>
      </c>
      <c r="H350" s="357">
        <f t="shared" si="6"/>
        <v>107.43776700440232</v>
      </c>
      <c r="I350" s="109"/>
      <c r="J350" s="351"/>
      <c r="K350" s="351"/>
      <c r="L350" s="109"/>
      <c r="M350" s="109"/>
      <c r="N350" s="109"/>
      <c r="O350" s="105"/>
      <c r="P350" s="105"/>
      <c r="Q350" s="105"/>
      <c r="R350" s="105"/>
      <c r="S350" s="99"/>
      <c r="T350" s="105"/>
      <c r="U350" s="105"/>
      <c r="V350" s="105"/>
      <c r="W350" s="105"/>
      <c r="X350" s="105"/>
      <c r="Y350" s="105"/>
      <c r="Z350" s="105"/>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14"/>
      <c r="BK350" s="214"/>
    </row>
    <row r="351" spans="1:63" ht="12.75" hidden="1" customHeight="1" outlineLevel="1">
      <c r="A351" s="9"/>
      <c r="B351" s="44"/>
      <c r="C351" s="128" t="str">
        <f>Asset18</f>
        <v>IT systems</v>
      </c>
      <c r="D351" s="9"/>
      <c r="E351" s="9"/>
      <c r="F351" s="139"/>
      <c r="G351" s="191">
        <f>Input!J24</f>
        <v>99.917353135056416</v>
      </c>
      <c r="H351" s="357">
        <f t="shared" si="6"/>
        <v>118.3792196777346</v>
      </c>
      <c r="I351" s="109"/>
      <c r="J351" s="351"/>
      <c r="K351" s="351"/>
      <c r="L351" s="109"/>
      <c r="M351" s="109"/>
      <c r="N351" s="109"/>
      <c r="O351" s="105"/>
      <c r="P351" s="105"/>
      <c r="Q351" s="105"/>
      <c r="R351" s="105"/>
      <c r="S351" s="99"/>
      <c r="T351" s="105"/>
      <c r="U351" s="105"/>
      <c r="V351" s="105"/>
      <c r="W351" s="105"/>
      <c r="X351" s="105"/>
      <c r="Y351" s="105"/>
      <c r="Z351" s="105"/>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14"/>
      <c r="BK351" s="214"/>
    </row>
    <row r="352" spans="1:63" ht="12.75" hidden="1" customHeight="1" outlineLevel="1">
      <c r="A352" s="9"/>
      <c r="B352" s="44"/>
      <c r="C352" s="128" t="str">
        <f>Asset19</f>
        <v>Motor vehicles</v>
      </c>
      <c r="D352" s="9"/>
      <c r="E352" s="9"/>
      <c r="F352" s="139"/>
      <c r="G352" s="191">
        <f>Input!J25</f>
        <v>74.944727351411942</v>
      </c>
      <c r="H352" s="357">
        <f t="shared" si="6"/>
        <v>91.050915161738018</v>
      </c>
      <c r="I352" s="119"/>
      <c r="J352" s="351"/>
      <c r="K352" s="351"/>
      <c r="L352" s="119"/>
      <c r="M352" s="105"/>
      <c r="N352" s="105"/>
      <c r="O352" s="105"/>
      <c r="P352" s="105"/>
      <c r="Q352" s="105"/>
      <c r="R352" s="105"/>
      <c r="S352" s="99"/>
      <c r="T352" s="105"/>
      <c r="U352" s="105"/>
      <c r="V352" s="105"/>
      <c r="W352" s="105"/>
      <c r="X352" s="105"/>
      <c r="Y352" s="105"/>
      <c r="Z352" s="105"/>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14"/>
      <c r="BK352" s="214"/>
    </row>
    <row r="353" spans="1:63" ht="12.75" hidden="1" customHeight="1" outlineLevel="1">
      <c r="A353" s="9"/>
      <c r="B353" s="44"/>
      <c r="C353" s="128" t="str">
        <f>Asset20</f>
        <v>Buildings</v>
      </c>
      <c r="D353" s="9"/>
      <c r="E353" s="9"/>
      <c r="F353" s="139"/>
      <c r="G353" s="191">
        <f>Input!J26</f>
        <v>62.901796243165677</v>
      </c>
      <c r="H353" s="357">
        <f t="shared" si="6"/>
        <v>124.2967032107457</v>
      </c>
      <c r="I353" s="119"/>
      <c r="J353" s="351"/>
      <c r="K353" s="351"/>
      <c r="L353" s="119"/>
      <c r="M353" s="105"/>
      <c r="N353" s="105"/>
      <c r="O353" s="105"/>
      <c r="P353" s="105"/>
      <c r="Q353" s="105"/>
      <c r="R353" s="105"/>
      <c r="S353" s="99"/>
      <c r="T353" s="105"/>
      <c r="U353" s="105"/>
      <c r="V353" s="105"/>
      <c r="W353" s="105"/>
      <c r="X353" s="105"/>
      <c r="Y353" s="105"/>
      <c r="Z353" s="105"/>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14"/>
      <c r="BK353" s="214"/>
    </row>
    <row r="354" spans="1:63" ht="12.75" hidden="1" customHeight="1" outlineLevel="1">
      <c r="A354" s="9"/>
      <c r="B354" s="44"/>
      <c r="C354" s="128" t="str">
        <f>Asset21</f>
        <v>Equity raising costs</v>
      </c>
      <c r="D354" s="9"/>
      <c r="E354" s="9"/>
      <c r="F354" s="139"/>
      <c r="G354" s="191">
        <f>Input!J27</f>
        <v>0</v>
      </c>
      <c r="H354" s="357">
        <f t="shared" si="6"/>
        <v>0</v>
      </c>
      <c r="I354" s="119"/>
      <c r="J354" s="349"/>
      <c r="K354" s="349"/>
      <c r="L354" s="119"/>
      <c r="M354" s="105"/>
      <c r="N354" s="105"/>
      <c r="O354" s="105"/>
      <c r="P354" s="105"/>
      <c r="Q354" s="105"/>
      <c r="R354" s="105"/>
      <c r="S354" s="99"/>
      <c r="T354" s="105"/>
      <c r="U354" s="105"/>
      <c r="V354" s="105"/>
      <c r="W354" s="105"/>
      <c r="X354" s="105"/>
      <c r="Y354" s="105"/>
      <c r="Z354" s="105"/>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14"/>
      <c r="BK354" s="214"/>
    </row>
    <row r="355" spans="1:63" ht="12.75" hidden="1" customHeight="1" outlineLevel="1">
      <c r="A355" s="9"/>
      <c r="B355" s="44"/>
      <c r="C355" s="128" t="str">
        <f>Input!G28</f>
        <v>WIP</v>
      </c>
      <c r="D355" s="9"/>
      <c r="E355" s="9"/>
      <c r="F355" s="139"/>
      <c r="G355" s="191">
        <f>Input!J28</f>
        <v>256.95474748429052</v>
      </c>
      <c r="H355" s="357">
        <f t="shared" si="6"/>
        <v>0</v>
      </c>
      <c r="I355" s="119"/>
      <c r="J355" s="349"/>
      <c r="K355" s="349"/>
      <c r="L355" s="119"/>
      <c r="M355" s="105"/>
      <c r="N355" s="105"/>
      <c r="O355" s="105"/>
      <c r="P355" s="105"/>
      <c r="Q355" s="105"/>
      <c r="R355" s="105"/>
      <c r="S355" s="99"/>
      <c r="T355" s="105"/>
      <c r="U355" s="105"/>
      <c r="V355" s="105"/>
      <c r="W355" s="105"/>
      <c r="X355" s="105"/>
      <c r="Y355" s="105"/>
      <c r="Z355" s="105"/>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14"/>
      <c r="BK355" s="214"/>
    </row>
    <row r="356" spans="1:63" ht="12.75" hidden="1" customHeight="1" outlineLevel="1">
      <c r="A356" s="9"/>
      <c r="B356" s="44"/>
      <c r="C356" s="128">
        <f>Asset23</f>
        <v>0</v>
      </c>
      <c r="D356" s="9"/>
      <c r="E356" s="9"/>
      <c r="F356" s="139"/>
      <c r="G356" s="191">
        <f>Input!J30</f>
        <v>0</v>
      </c>
      <c r="H356" s="109">
        <f t="shared" ref="H356:H363" si="7">G356+G388+G420+G452+G484+G516</f>
        <v>0</v>
      </c>
      <c r="I356" s="119"/>
      <c r="J356" s="119"/>
      <c r="K356" s="119"/>
      <c r="L356" s="119"/>
      <c r="M356" s="105"/>
      <c r="N356" s="105"/>
      <c r="O356" s="105"/>
      <c r="P356" s="105"/>
      <c r="Q356" s="105"/>
      <c r="R356" s="105"/>
      <c r="S356" s="99"/>
      <c r="T356" s="105"/>
      <c r="U356" s="105"/>
      <c r="V356" s="105"/>
      <c r="W356" s="105"/>
      <c r="X356" s="105"/>
      <c r="Y356" s="105"/>
      <c r="Z356" s="105"/>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14"/>
      <c r="BK356" s="214"/>
    </row>
    <row r="357" spans="1:63" ht="12.75" hidden="1" customHeight="1" outlineLevel="1">
      <c r="A357" s="9"/>
      <c r="B357" s="44"/>
      <c r="C357" s="128">
        <f>Asset24</f>
        <v>0</v>
      </c>
      <c r="D357" s="9"/>
      <c r="E357" s="9"/>
      <c r="F357" s="139"/>
      <c r="G357" s="191">
        <f>Input!J31</f>
        <v>0</v>
      </c>
      <c r="H357" s="109">
        <f t="shared" si="7"/>
        <v>0</v>
      </c>
      <c r="I357" s="119"/>
      <c r="J357" s="119"/>
      <c r="K357" s="119"/>
      <c r="L357" s="119"/>
      <c r="M357" s="105"/>
      <c r="N357" s="105"/>
      <c r="O357" s="105"/>
      <c r="P357" s="105"/>
      <c r="Q357" s="105"/>
      <c r="R357" s="105"/>
      <c r="S357" s="99"/>
      <c r="T357" s="105"/>
      <c r="U357" s="105"/>
      <c r="V357" s="105"/>
      <c r="W357" s="105"/>
      <c r="X357" s="105"/>
      <c r="Y357" s="105"/>
      <c r="Z357" s="105"/>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14"/>
      <c r="BK357" s="214"/>
    </row>
    <row r="358" spans="1:63" ht="12.75" hidden="1" customHeight="1" outlineLevel="1">
      <c r="A358" s="9"/>
      <c r="B358" s="44"/>
      <c r="C358" s="128">
        <f>Asset25</f>
        <v>0</v>
      </c>
      <c r="D358" s="9"/>
      <c r="E358" s="9"/>
      <c r="F358" s="139"/>
      <c r="G358" s="191">
        <f>Input!J32</f>
        <v>0</v>
      </c>
      <c r="H358" s="109">
        <f t="shared" si="7"/>
        <v>0</v>
      </c>
      <c r="I358" s="119"/>
      <c r="J358" s="119"/>
      <c r="K358" s="119"/>
      <c r="L358" s="119"/>
      <c r="M358" s="105"/>
      <c r="N358" s="105"/>
      <c r="O358" s="105"/>
      <c r="P358" s="105"/>
      <c r="Q358" s="105"/>
      <c r="R358" s="105"/>
      <c r="S358" s="99"/>
      <c r="T358" s="105"/>
      <c r="U358" s="105"/>
      <c r="V358" s="105"/>
      <c r="W358" s="105"/>
      <c r="X358" s="105"/>
      <c r="Y358" s="105"/>
      <c r="Z358" s="105"/>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14"/>
      <c r="BK358" s="214"/>
    </row>
    <row r="359" spans="1:63" ht="12.75" hidden="1" customHeight="1" outlineLevel="1">
      <c r="A359" s="9"/>
      <c r="B359" s="44"/>
      <c r="C359" s="128">
        <f>Asset26</f>
        <v>0</v>
      </c>
      <c r="D359" s="9"/>
      <c r="E359" s="9"/>
      <c r="F359" s="139"/>
      <c r="G359" s="191">
        <f>Input!J33</f>
        <v>0</v>
      </c>
      <c r="H359" s="109">
        <f t="shared" si="7"/>
        <v>0</v>
      </c>
      <c r="I359" s="119"/>
      <c r="J359" s="119"/>
      <c r="K359" s="119"/>
      <c r="L359" s="119"/>
      <c r="M359" s="105"/>
      <c r="N359" s="105"/>
      <c r="O359" s="105"/>
      <c r="P359" s="105"/>
      <c r="Q359" s="105"/>
      <c r="R359" s="105"/>
      <c r="S359" s="99"/>
      <c r="T359" s="105"/>
      <c r="U359" s="105"/>
      <c r="V359" s="105"/>
      <c r="W359" s="105"/>
      <c r="X359" s="105"/>
      <c r="Y359" s="105"/>
      <c r="Z359" s="105"/>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14"/>
      <c r="BK359" s="214"/>
    </row>
    <row r="360" spans="1:63" ht="12.75" hidden="1" customHeight="1" outlineLevel="1">
      <c r="A360" s="9"/>
      <c r="B360" s="44"/>
      <c r="C360" s="128">
        <f>Asset27</f>
        <v>0</v>
      </c>
      <c r="D360" s="9"/>
      <c r="E360" s="9"/>
      <c r="F360" s="139"/>
      <c r="G360" s="191">
        <f>Input!J34</f>
        <v>0</v>
      </c>
      <c r="H360" s="109">
        <f t="shared" si="7"/>
        <v>0</v>
      </c>
      <c r="I360" s="119"/>
      <c r="J360" s="119"/>
      <c r="K360" s="119"/>
      <c r="L360" s="119"/>
      <c r="M360" s="105"/>
      <c r="N360" s="105"/>
      <c r="O360" s="105"/>
      <c r="P360" s="105"/>
      <c r="Q360" s="105"/>
      <c r="R360" s="105"/>
      <c r="S360" s="99"/>
      <c r="T360" s="105"/>
      <c r="U360" s="105"/>
      <c r="V360" s="105"/>
      <c r="W360" s="105"/>
      <c r="X360" s="105"/>
      <c r="Y360" s="105"/>
      <c r="Z360" s="105"/>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14"/>
      <c r="BK360" s="214"/>
    </row>
    <row r="361" spans="1:63" ht="12.75" hidden="1" customHeight="1" outlineLevel="1">
      <c r="A361" s="9"/>
      <c r="B361" s="44"/>
      <c r="C361" s="128">
        <f>Asset28</f>
        <v>0</v>
      </c>
      <c r="D361" s="9"/>
      <c r="E361" s="9"/>
      <c r="F361" s="139"/>
      <c r="G361" s="191">
        <f>Input!J35</f>
        <v>0</v>
      </c>
      <c r="H361" s="109">
        <f t="shared" si="7"/>
        <v>0</v>
      </c>
      <c r="I361" s="119"/>
      <c r="J361" s="119"/>
      <c r="K361" s="119"/>
      <c r="L361" s="119"/>
      <c r="M361" s="105"/>
      <c r="N361" s="105"/>
      <c r="O361" s="105"/>
      <c r="P361" s="105"/>
      <c r="Q361" s="105"/>
      <c r="R361" s="105"/>
      <c r="S361" s="99"/>
      <c r="T361" s="105"/>
      <c r="U361" s="105"/>
      <c r="V361" s="105"/>
      <c r="W361" s="105"/>
      <c r="X361" s="105"/>
      <c r="Y361" s="105"/>
      <c r="Z361" s="105"/>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14"/>
      <c r="BK361" s="214"/>
    </row>
    <row r="362" spans="1:63" ht="12.75" hidden="1" customHeight="1" outlineLevel="1">
      <c r="A362" s="9"/>
      <c r="B362" s="44"/>
      <c r="C362" s="128">
        <f>Asset29</f>
        <v>0</v>
      </c>
      <c r="D362" s="9"/>
      <c r="E362" s="9"/>
      <c r="F362" s="139"/>
      <c r="G362" s="191">
        <f>Input!J36</f>
        <v>0</v>
      </c>
      <c r="H362" s="109">
        <f t="shared" si="7"/>
        <v>0</v>
      </c>
      <c r="I362" s="119"/>
      <c r="J362" s="119"/>
      <c r="K362" s="119"/>
      <c r="L362" s="119"/>
      <c r="M362" s="105"/>
      <c r="N362" s="105"/>
      <c r="O362" s="105"/>
      <c r="P362" s="105"/>
      <c r="Q362" s="105"/>
      <c r="R362" s="105"/>
      <c r="S362" s="99"/>
      <c r="T362" s="105"/>
      <c r="U362" s="105"/>
      <c r="V362" s="105"/>
      <c r="W362" s="105"/>
      <c r="X362" s="105"/>
      <c r="Y362" s="105"/>
      <c r="Z362" s="105"/>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14"/>
      <c r="BK362" s="214"/>
    </row>
    <row r="363" spans="1:63" ht="12.75" hidden="1" customHeight="1" outlineLevel="1">
      <c r="A363" s="9"/>
      <c r="B363" s="44"/>
      <c r="C363" s="128">
        <f>Asset30</f>
        <v>0</v>
      </c>
      <c r="D363" s="9"/>
      <c r="E363" s="9"/>
      <c r="F363" s="139"/>
      <c r="G363" s="191">
        <f>Input!J37</f>
        <v>0</v>
      </c>
      <c r="H363" s="109">
        <f t="shared" si="7"/>
        <v>0</v>
      </c>
      <c r="I363" s="119"/>
      <c r="J363" s="119"/>
      <c r="K363" s="119"/>
      <c r="L363" s="119"/>
      <c r="M363" s="105"/>
      <c r="N363" s="105"/>
      <c r="O363" s="105"/>
      <c r="P363" s="105"/>
      <c r="Q363" s="105"/>
      <c r="R363" s="105"/>
      <c r="S363" s="99"/>
      <c r="T363" s="105"/>
      <c r="U363" s="105"/>
      <c r="V363" s="105"/>
      <c r="W363" s="105"/>
      <c r="X363" s="105"/>
      <c r="Y363" s="105"/>
      <c r="Z363" s="105"/>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14"/>
      <c r="BK363" s="214"/>
    </row>
    <row r="364" spans="1:63" collapsed="1">
      <c r="A364" s="9"/>
      <c r="B364" s="44"/>
      <c r="C364" s="128"/>
      <c r="D364" s="9"/>
      <c r="E364" s="9"/>
      <c r="F364" s="139"/>
      <c r="G364" s="191"/>
      <c r="H364" s="119"/>
      <c r="I364" s="119"/>
      <c r="J364" s="119"/>
      <c r="K364" s="119"/>
      <c r="L364" s="119"/>
      <c r="M364" s="105"/>
      <c r="N364" s="105"/>
      <c r="O364" s="105"/>
      <c r="P364" s="105"/>
      <c r="Q364" s="105"/>
      <c r="R364" s="105"/>
      <c r="S364" s="99"/>
      <c r="T364" s="105"/>
      <c r="U364" s="105"/>
      <c r="V364" s="105"/>
      <c r="W364" s="105"/>
      <c r="X364" s="105"/>
      <c r="Y364" s="105"/>
      <c r="Z364" s="105"/>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14"/>
      <c r="BK364" s="214"/>
    </row>
    <row r="365" spans="1:63">
      <c r="A365" s="9"/>
      <c r="B365" s="44" t="s">
        <v>45</v>
      </c>
      <c r="C365" s="9"/>
      <c r="D365" s="9"/>
      <c r="E365" s="9"/>
      <c r="F365" s="9"/>
      <c r="G365" s="192">
        <f>SUM(G366:G395)</f>
        <v>934.27028086116718</v>
      </c>
      <c r="H365" s="119"/>
      <c r="I365" s="119"/>
      <c r="J365" s="119"/>
      <c r="K365" s="119"/>
      <c r="L365" s="119"/>
      <c r="M365" s="105"/>
      <c r="N365" s="105"/>
      <c r="O365" s="105"/>
      <c r="P365" s="105"/>
      <c r="Q365" s="105"/>
      <c r="R365" s="105"/>
      <c r="S365" s="99"/>
      <c r="T365" s="105"/>
      <c r="U365" s="105"/>
      <c r="V365" s="105"/>
      <c r="W365" s="105"/>
      <c r="X365" s="105"/>
      <c r="Y365" s="105"/>
      <c r="Z365" s="105"/>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14"/>
      <c r="BK365" s="214"/>
    </row>
    <row r="366" spans="1:63" hidden="1" outlineLevel="1">
      <c r="A366" s="9"/>
      <c r="B366" s="44"/>
      <c r="C366" s="128" t="str">
        <f>Asset1</f>
        <v>Sub-transmission lines and cables</v>
      </c>
      <c r="D366" s="9"/>
      <c r="E366" s="9"/>
      <c r="F366" s="9"/>
      <c r="G366" s="194">
        <f>Input!M7</f>
        <v>0</v>
      </c>
      <c r="H366" s="119"/>
      <c r="I366" s="119"/>
      <c r="J366" s="119"/>
      <c r="K366" s="119"/>
      <c r="L366" s="119"/>
      <c r="M366" s="105"/>
      <c r="N366" s="105"/>
      <c r="O366" s="105"/>
      <c r="P366" s="105"/>
      <c r="Q366" s="105"/>
      <c r="R366" s="105"/>
      <c r="S366" s="99"/>
      <c r="T366" s="105"/>
      <c r="U366" s="105"/>
      <c r="V366" s="105"/>
      <c r="W366" s="105"/>
      <c r="X366" s="105"/>
      <c r="Y366" s="105"/>
      <c r="Z366" s="105"/>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14"/>
      <c r="BK366" s="214"/>
    </row>
    <row r="367" spans="1:63" hidden="1" outlineLevel="1">
      <c r="A367" s="9"/>
      <c r="B367" s="44"/>
      <c r="C367" s="128" t="str">
        <f>Asset2</f>
        <v>Cable tunnel (dx)</v>
      </c>
      <c r="D367" s="9"/>
      <c r="E367" s="9"/>
      <c r="F367" s="9"/>
      <c r="G367" s="194">
        <f>Input!M8</f>
        <v>29.58704874813581</v>
      </c>
      <c r="H367" s="119"/>
      <c r="I367" s="119"/>
      <c r="J367" s="119"/>
      <c r="K367" s="119"/>
      <c r="L367" s="119"/>
      <c r="M367" s="105"/>
      <c r="N367" s="105"/>
      <c r="O367" s="105"/>
      <c r="P367" s="105"/>
      <c r="Q367" s="105"/>
      <c r="R367" s="105"/>
      <c r="S367" s="99"/>
      <c r="T367" s="105"/>
      <c r="U367" s="105"/>
      <c r="V367" s="105"/>
      <c r="W367" s="105"/>
      <c r="X367" s="105"/>
      <c r="Y367" s="105"/>
      <c r="Z367" s="105"/>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14"/>
      <c r="BK367" s="214"/>
    </row>
    <row r="368" spans="1:63" hidden="1" outlineLevel="1">
      <c r="A368" s="9"/>
      <c r="B368" s="44"/>
      <c r="C368" s="128" t="str">
        <f>Asset3</f>
        <v>Distribution lines and cables</v>
      </c>
      <c r="D368" s="9"/>
      <c r="E368" s="9"/>
      <c r="F368" s="9"/>
      <c r="G368" s="194">
        <f>Input!M9</f>
        <v>189.88115007143207</v>
      </c>
      <c r="H368" s="119"/>
      <c r="I368" s="119"/>
      <c r="J368" s="119"/>
      <c r="K368" s="119"/>
      <c r="L368" s="119"/>
      <c r="M368" s="105"/>
      <c r="N368" s="105"/>
      <c r="O368" s="105"/>
      <c r="P368" s="105"/>
      <c r="Q368" s="105"/>
      <c r="R368" s="105"/>
      <c r="S368" s="99"/>
      <c r="T368" s="105"/>
      <c r="U368" s="105"/>
      <c r="V368" s="105"/>
      <c r="W368" s="105"/>
      <c r="X368" s="105"/>
      <c r="Y368" s="105"/>
      <c r="Z368" s="105"/>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14"/>
      <c r="BK368" s="214"/>
    </row>
    <row r="369" spans="1:63" hidden="1" outlineLevel="1">
      <c r="A369" s="9"/>
      <c r="B369" s="44"/>
      <c r="C369" s="128" t="str">
        <f>Asset4</f>
        <v>Substations</v>
      </c>
      <c r="D369" s="9"/>
      <c r="E369" s="9"/>
      <c r="F369" s="9"/>
      <c r="G369" s="194">
        <f>Input!M10</f>
        <v>329.36725338549758</v>
      </c>
      <c r="H369" s="119"/>
      <c r="I369" s="119"/>
      <c r="J369" s="119"/>
      <c r="K369" s="119"/>
      <c r="L369" s="119"/>
      <c r="M369" s="105"/>
      <c r="N369" s="105"/>
      <c r="O369" s="105"/>
      <c r="P369" s="105"/>
      <c r="Q369" s="105"/>
      <c r="R369" s="105"/>
      <c r="S369" s="99"/>
      <c r="T369" s="105"/>
      <c r="U369" s="105"/>
      <c r="V369" s="105"/>
      <c r="W369" s="105"/>
      <c r="X369" s="105"/>
      <c r="Y369" s="105"/>
      <c r="Z369" s="105"/>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14"/>
      <c r="BK369" s="214"/>
    </row>
    <row r="370" spans="1:63" hidden="1" outlineLevel="1">
      <c r="A370" s="9"/>
      <c r="B370" s="44"/>
      <c r="C370" s="128" t="str">
        <f>Asset5</f>
        <v>Transformers</v>
      </c>
      <c r="D370" s="9"/>
      <c r="E370" s="9"/>
      <c r="F370" s="9"/>
      <c r="G370" s="194">
        <f>Input!M11</f>
        <v>62.449806464815232</v>
      </c>
      <c r="H370" s="119"/>
      <c r="I370" s="119"/>
      <c r="J370" s="119"/>
      <c r="K370" s="119"/>
      <c r="L370" s="119"/>
      <c r="M370" s="105"/>
      <c r="N370" s="105"/>
      <c r="O370" s="105"/>
      <c r="P370" s="105"/>
      <c r="Q370" s="105"/>
      <c r="R370" s="105"/>
      <c r="S370" s="99"/>
      <c r="T370" s="105"/>
      <c r="U370" s="105"/>
      <c r="V370" s="105"/>
      <c r="W370" s="105"/>
      <c r="X370" s="105"/>
      <c r="Y370" s="105"/>
      <c r="Z370" s="105"/>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14"/>
      <c r="BK370" s="214"/>
    </row>
    <row r="371" spans="1:63" hidden="1" outlineLevel="1">
      <c r="A371" s="9"/>
      <c r="B371" s="44"/>
      <c r="C371" s="128" t="str">
        <f>Asset6</f>
        <v>Low Voltage Lines and Cables</v>
      </c>
      <c r="D371" s="9"/>
      <c r="E371" s="9"/>
      <c r="F371" s="9"/>
      <c r="G371" s="194">
        <f>Input!M12</f>
        <v>42.267212497336871</v>
      </c>
      <c r="H371" s="119"/>
      <c r="I371" s="119"/>
      <c r="J371" s="119"/>
      <c r="K371" s="119"/>
      <c r="L371" s="119"/>
      <c r="M371" s="105"/>
      <c r="N371" s="105"/>
      <c r="O371" s="105"/>
      <c r="P371" s="105"/>
      <c r="Q371" s="105"/>
      <c r="R371" s="105"/>
      <c r="S371" s="99"/>
      <c r="T371" s="105"/>
      <c r="U371" s="105"/>
      <c r="V371" s="105"/>
      <c r="W371" s="105"/>
      <c r="X371" s="105"/>
      <c r="Y371" s="105"/>
      <c r="Z371" s="105"/>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14"/>
      <c r="BK371" s="214"/>
    </row>
    <row r="372" spans="1:63" hidden="1" outlineLevel="1">
      <c r="A372" s="9"/>
      <c r="B372" s="44"/>
      <c r="C372" s="128" t="str">
        <f>Asset7</f>
        <v>Customer Metering and Load Control</v>
      </c>
      <c r="D372" s="9"/>
      <c r="E372" s="9"/>
      <c r="F372" s="9"/>
      <c r="G372" s="194">
        <f>Input!M13</f>
        <v>45.225917372150448</v>
      </c>
      <c r="H372" s="119"/>
      <c r="I372" s="119"/>
      <c r="J372" s="119"/>
      <c r="K372" s="119"/>
      <c r="L372" s="119"/>
      <c r="M372" s="105"/>
      <c r="N372" s="105"/>
      <c r="O372" s="105"/>
      <c r="P372" s="105"/>
      <c r="Q372" s="105"/>
      <c r="R372" s="105"/>
      <c r="S372" s="99"/>
      <c r="T372" s="105"/>
      <c r="U372" s="105"/>
      <c r="V372" s="105"/>
      <c r="W372" s="105"/>
      <c r="X372" s="105"/>
      <c r="Y372" s="105"/>
      <c r="Z372" s="105"/>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14"/>
      <c r="BK372" s="214"/>
    </row>
    <row r="373" spans="1:63" hidden="1" outlineLevel="1">
      <c r="A373" s="9"/>
      <c r="B373" s="44"/>
      <c r="C373" s="128" t="str">
        <f>Asset8</f>
        <v>Customer Metering (digital)</v>
      </c>
      <c r="D373" s="9"/>
      <c r="E373" s="9"/>
      <c r="F373" s="9"/>
      <c r="G373" s="194">
        <f>Input!M14</f>
        <v>0</v>
      </c>
      <c r="H373" s="119"/>
      <c r="I373" s="119"/>
      <c r="J373" s="119"/>
      <c r="K373" s="119"/>
      <c r="L373" s="119"/>
      <c r="M373" s="105"/>
      <c r="N373" s="105"/>
      <c r="O373" s="105"/>
      <c r="P373" s="105"/>
      <c r="Q373" s="105"/>
      <c r="R373" s="105"/>
      <c r="S373" s="99"/>
      <c r="T373" s="105"/>
      <c r="U373" s="105"/>
      <c r="V373" s="105"/>
      <c r="W373" s="105"/>
      <c r="X373" s="105"/>
      <c r="Y373" s="105"/>
      <c r="Z373" s="105"/>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14"/>
      <c r="BK373" s="214"/>
    </row>
    <row r="374" spans="1:63" hidden="1" outlineLevel="1">
      <c r="A374" s="9"/>
      <c r="B374" s="44"/>
      <c r="C374" s="128" t="str">
        <f>Asset9</f>
        <v>Communications (digital) - dx</v>
      </c>
      <c r="D374" s="9"/>
      <c r="E374" s="9"/>
      <c r="F374" s="9"/>
      <c r="G374" s="194">
        <f>Input!M15</f>
        <v>0</v>
      </c>
      <c r="H374" s="119"/>
      <c r="I374" s="119"/>
      <c r="J374" s="119"/>
      <c r="K374" s="119"/>
      <c r="L374" s="119"/>
      <c r="M374" s="105"/>
      <c r="N374" s="105"/>
      <c r="O374" s="105"/>
      <c r="P374" s="105"/>
      <c r="Q374" s="105"/>
      <c r="R374" s="105"/>
      <c r="S374" s="99"/>
      <c r="T374" s="105"/>
      <c r="U374" s="105"/>
      <c r="V374" s="105"/>
      <c r="W374" s="105"/>
      <c r="X374" s="105"/>
      <c r="Y374" s="105"/>
      <c r="Z374" s="105"/>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14"/>
      <c r="BK374" s="214"/>
    </row>
    <row r="375" spans="1:63" hidden="1" outlineLevel="1">
      <c r="A375" s="9"/>
      <c r="B375" s="44"/>
      <c r="C375" s="128" t="str">
        <f>Asset10</f>
        <v>Total Communications</v>
      </c>
      <c r="D375" s="9"/>
      <c r="E375" s="9"/>
      <c r="F375" s="9"/>
      <c r="G375" s="194">
        <f>Input!M16</f>
        <v>23.035630811048595</v>
      </c>
      <c r="H375" s="119"/>
      <c r="I375" s="119"/>
      <c r="J375" s="119"/>
      <c r="K375" s="119"/>
      <c r="L375" s="119"/>
      <c r="M375" s="105"/>
      <c r="N375" s="105"/>
      <c r="O375" s="105"/>
      <c r="P375" s="105"/>
      <c r="Q375" s="105"/>
      <c r="R375" s="105"/>
      <c r="S375" s="99"/>
      <c r="T375" s="105"/>
      <c r="U375" s="105"/>
      <c r="V375" s="105"/>
      <c r="W375" s="105"/>
      <c r="X375" s="105"/>
      <c r="Y375" s="105"/>
      <c r="Z375" s="105"/>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14"/>
      <c r="BK375" s="214"/>
    </row>
    <row r="376" spans="1:63" hidden="1" outlineLevel="1">
      <c r="A376" s="9"/>
      <c r="B376" s="44"/>
      <c r="C376" s="128" t="str">
        <f>Asset11</f>
        <v>System IT (dx)</v>
      </c>
      <c r="D376" s="9"/>
      <c r="E376" s="9"/>
      <c r="F376" s="9"/>
      <c r="G376" s="194">
        <f>Input!M17</f>
        <v>0</v>
      </c>
      <c r="H376" s="119"/>
      <c r="I376" s="119"/>
      <c r="J376" s="119"/>
      <c r="K376" s="119"/>
      <c r="L376" s="119"/>
      <c r="M376" s="105"/>
      <c r="N376" s="105"/>
      <c r="O376" s="105"/>
      <c r="P376" s="105"/>
      <c r="Q376" s="105"/>
      <c r="R376" s="105"/>
      <c r="S376" s="99"/>
      <c r="T376" s="105"/>
      <c r="U376" s="105"/>
      <c r="V376" s="105"/>
      <c r="W376" s="105"/>
      <c r="X376" s="105"/>
      <c r="Y376" s="105"/>
      <c r="Z376" s="105"/>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14"/>
      <c r="BK376" s="214"/>
    </row>
    <row r="377" spans="1:63" hidden="1" outlineLevel="1">
      <c r="A377" s="9"/>
      <c r="B377" s="44"/>
      <c r="C377" s="128" t="str">
        <f>Asset12</f>
        <v>Ancillary substation equipment (dx)</v>
      </c>
      <c r="D377" s="9"/>
      <c r="E377" s="9"/>
      <c r="F377" s="9"/>
      <c r="G377" s="194">
        <f>Input!M18</f>
        <v>0</v>
      </c>
      <c r="H377" s="119"/>
      <c r="I377" s="119"/>
      <c r="J377" s="119"/>
      <c r="K377" s="119"/>
      <c r="L377" s="119"/>
      <c r="M377" s="105"/>
      <c r="N377" s="105"/>
      <c r="O377" s="105"/>
      <c r="P377" s="105"/>
      <c r="Q377" s="105"/>
      <c r="R377" s="105"/>
      <c r="S377" s="99"/>
      <c r="T377" s="105"/>
      <c r="U377" s="105"/>
      <c r="V377" s="105"/>
      <c r="W377" s="105"/>
      <c r="X377" s="105"/>
      <c r="Y377" s="105"/>
      <c r="Z377" s="105"/>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14"/>
      <c r="BK377" s="214"/>
    </row>
    <row r="378" spans="1:63" hidden="1" outlineLevel="1">
      <c r="A378" s="9"/>
      <c r="B378" s="44"/>
      <c r="C378" s="128" t="str">
        <f>Asset13</f>
        <v>Land and Easements</v>
      </c>
      <c r="D378" s="9"/>
      <c r="E378" s="9"/>
      <c r="F378" s="9"/>
      <c r="G378" s="194">
        <f>Input!M19</f>
        <v>41.421868247390137</v>
      </c>
      <c r="H378" s="119"/>
      <c r="I378" s="119"/>
      <c r="J378" s="119"/>
      <c r="K378" s="119"/>
      <c r="L378" s="119"/>
      <c r="M378" s="105"/>
      <c r="N378" s="105"/>
      <c r="O378" s="105"/>
      <c r="P378" s="105"/>
      <c r="Q378" s="105"/>
      <c r="R378" s="105"/>
      <c r="S378" s="99"/>
      <c r="T378" s="105"/>
      <c r="U378" s="105"/>
      <c r="V378" s="105"/>
      <c r="W378" s="105"/>
      <c r="X378" s="105"/>
      <c r="Y378" s="105"/>
      <c r="Z378" s="105"/>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14"/>
      <c r="BK378" s="214"/>
    </row>
    <row r="379" spans="1:63" hidden="1" outlineLevel="1">
      <c r="A379" s="9"/>
      <c r="B379" s="44"/>
      <c r="C379" s="128" t="str">
        <f>Asset14</f>
        <v>Emergency Spares (Major Plant, Excludes Inventory)</v>
      </c>
      <c r="D379" s="9"/>
      <c r="E379" s="9"/>
      <c r="F379" s="9"/>
      <c r="G379" s="194">
        <f>Input!M20</f>
        <v>0</v>
      </c>
      <c r="H379" s="119"/>
      <c r="I379" s="119"/>
      <c r="J379" s="119"/>
      <c r="K379" s="119"/>
      <c r="L379" s="119"/>
      <c r="M379" s="105"/>
      <c r="N379" s="105"/>
      <c r="O379" s="105"/>
      <c r="P379" s="105"/>
      <c r="Q379" s="105"/>
      <c r="R379" s="105"/>
      <c r="S379" s="99"/>
      <c r="T379" s="105"/>
      <c r="U379" s="105"/>
      <c r="V379" s="105"/>
      <c r="W379" s="105"/>
      <c r="X379" s="105"/>
      <c r="Y379" s="105"/>
      <c r="Z379" s="105"/>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14"/>
      <c r="BK379" s="214"/>
    </row>
    <row r="380" spans="1:63" hidden="1" outlineLevel="1">
      <c r="A380" s="9"/>
      <c r="B380" s="44"/>
      <c r="C380" s="128" t="str">
        <f>Asset15</f>
        <v>Furniture, fittings, plant and equipment</v>
      </c>
      <c r="D380" s="9"/>
      <c r="E380" s="9"/>
      <c r="F380" s="9"/>
      <c r="G380" s="194">
        <f>Input!M21</f>
        <v>5.3811924881171107</v>
      </c>
      <c r="H380" s="119"/>
      <c r="I380" s="119"/>
      <c r="J380" s="119"/>
      <c r="K380" s="119"/>
      <c r="L380" s="119"/>
      <c r="M380" s="105"/>
      <c r="N380" s="105"/>
      <c r="O380" s="105"/>
      <c r="P380" s="105"/>
      <c r="Q380" s="105"/>
      <c r="R380" s="105"/>
      <c r="S380" s="99"/>
      <c r="T380" s="105"/>
      <c r="U380" s="105"/>
      <c r="V380" s="105"/>
      <c r="W380" s="105"/>
      <c r="X380" s="105"/>
      <c r="Y380" s="105"/>
      <c r="Z380" s="105"/>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14"/>
      <c r="BK380" s="214"/>
    </row>
    <row r="381" spans="1:63" hidden="1" outlineLevel="1">
      <c r="A381" s="9"/>
      <c r="B381" s="44"/>
      <c r="C381" s="128" t="str">
        <f>Asset16</f>
        <v>Land (non-system)</v>
      </c>
      <c r="D381" s="9"/>
      <c r="E381" s="9"/>
      <c r="F381" s="9"/>
      <c r="G381" s="194">
        <f>Input!M22</f>
        <v>24.640226043635298</v>
      </c>
      <c r="H381" s="119"/>
      <c r="I381" s="119"/>
      <c r="J381" s="119"/>
      <c r="K381" s="119"/>
      <c r="L381" s="119"/>
      <c r="M381" s="105"/>
      <c r="N381" s="105"/>
      <c r="O381" s="105"/>
      <c r="P381" s="105"/>
      <c r="Q381" s="105"/>
      <c r="R381" s="105"/>
      <c r="S381" s="99"/>
      <c r="T381" s="105"/>
      <c r="U381" s="105"/>
      <c r="V381" s="105"/>
      <c r="W381" s="105"/>
      <c r="X381" s="105"/>
      <c r="Y381" s="105"/>
      <c r="Z381" s="105"/>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14"/>
      <c r="BK381" s="214"/>
    </row>
    <row r="382" spans="1:63" hidden="1" outlineLevel="1">
      <c r="A382" s="9"/>
      <c r="B382" s="44"/>
      <c r="C382" s="128" t="str">
        <f>Asset17</f>
        <v>Other non system assets</v>
      </c>
      <c r="D382" s="9"/>
      <c r="E382" s="9"/>
      <c r="F382" s="9"/>
      <c r="G382" s="194">
        <f>Input!M23</f>
        <v>0</v>
      </c>
      <c r="H382" s="119"/>
      <c r="I382" s="119"/>
      <c r="J382" s="119"/>
      <c r="K382" s="119"/>
      <c r="L382" s="119"/>
      <c r="M382" s="105"/>
      <c r="N382" s="105"/>
      <c r="O382" s="105"/>
      <c r="P382" s="105"/>
      <c r="Q382" s="105"/>
      <c r="R382" s="105"/>
      <c r="S382" s="99"/>
      <c r="T382" s="105"/>
      <c r="U382" s="105"/>
      <c r="V382" s="105"/>
      <c r="W382" s="105"/>
      <c r="X382" s="105"/>
      <c r="Y382" s="105"/>
      <c r="Z382" s="105"/>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14"/>
      <c r="BK382" s="214"/>
    </row>
    <row r="383" spans="1:63" hidden="1" outlineLevel="1">
      <c r="A383" s="9"/>
      <c r="B383" s="44"/>
      <c r="C383" s="128" t="str">
        <f>Asset18</f>
        <v>IT systems</v>
      </c>
      <c r="D383" s="9"/>
      <c r="E383" s="9"/>
      <c r="F383" s="9"/>
      <c r="G383" s="194">
        <f>Input!M24</f>
        <v>61.480877112247526</v>
      </c>
      <c r="H383" s="119"/>
      <c r="I383" s="119"/>
      <c r="J383" s="119"/>
      <c r="K383" s="119"/>
      <c r="L383" s="119"/>
      <c r="M383" s="105"/>
      <c r="N383" s="105"/>
      <c r="O383" s="105"/>
      <c r="P383" s="105"/>
      <c r="Q383" s="105"/>
      <c r="R383" s="105"/>
      <c r="S383" s="99"/>
      <c r="T383" s="105"/>
      <c r="U383" s="105"/>
      <c r="V383" s="105"/>
      <c r="W383" s="105"/>
      <c r="X383" s="105"/>
      <c r="Y383" s="105"/>
      <c r="Z383" s="105"/>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14"/>
      <c r="BK383" s="214"/>
    </row>
    <row r="384" spans="1:63" hidden="1" outlineLevel="1">
      <c r="A384" s="9"/>
      <c r="B384" s="44"/>
      <c r="C384" s="128" t="str">
        <f>Asset19</f>
        <v>Motor vehicles</v>
      </c>
      <c r="D384" s="9"/>
      <c r="E384" s="9"/>
      <c r="F384" s="9"/>
      <c r="G384" s="194">
        <f>Input!M25</f>
        <v>22.631020279422213</v>
      </c>
      <c r="H384" s="119"/>
      <c r="I384" s="119"/>
      <c r="J384" s="119"/>
      <c r="K384" s="119"/>
      <c r="L384" s="119"/>
      <c r="M384" s="105"/>
      <c r="N384" s="105"/>
      <c r="O384" s="105"/>
      <c r="P384" s="105"/>
      <c r="Q384" s="105"/>
      <c r="R384" s="105"/>
      <c r="S384" s="99"/>
      <c r="T384" s="105"/>
      <c r="U384" s="105"/>
      <c r="V384" s="105"/>
      <c r="W384" s="105"/>
      <c r="X384" s="105"/>
      <c r="Y384" s="105"/>
      <c r="Z384" s="105"/>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14"/>
      <c r="BK384" s="214"/>
    </row>
    <row r="385" spans="1:63" hidden="1" outlineLevel="1">
      <c r="A385" s="9"/>
      <c r="B385" s="44"/>
      <c r="C385" s="128" t="str">
        <f>Asset20</f>
        <v>Buildings</v>
      </c>
      <c r="D385" s="9"/>
      <c r="E385" s="9"/>
      <c r="F385" s="9"/>
      <c r="G385" s="194">
        <f>Input!M26</f>
        <v>56.901077339938503</v>
      </c>
      <c r="H385" s="119"/>
      <c r="I385" s="119"/>
      <c r="J385" s="119"/>
      <c r="K385" s="119"/>
      <c r="L385" s="119"/>
      <c r="M385" s="105"/>
      <c r="N385" s="105"/>
      <c r="O385" s="105"/>
      <c r="P385" s="105"/>
      <c r="Q385" s="105"/>
      <c r="R385" s="105"/>
      <c r="S385" s="99"/>
      <c r="T385" s="105"/>
      <c r="U385" s="105"/>
      <c r="V385" s="105"/>
      <c r="W385" s="105"/>
      <c r="X385" s="105"/>
      <c r="Y385" s="105"/>
      <c r="Z385" s="105"/>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14"/>
      <c r="BK385" s="214"/>
    </row>
    <row r="386" spans="1:63" hidden="1" outlineLevel="1">
      <c r="A386" s="9"/>
      <c r="B386" s="44"/>
      <c r="C386" s="128" t="str">
        <f>Asset21</f>
        <v>Equity raising costs</v>
      </c>
      <c r="D386" s="9"/>
      <c r="E386" s="9"/>
      <c r="F386" s="9"/>
      <c r="G386" s="194">
        <f>Input!M27</f>
        <v>0</v>
      </c>
      <c r="H386" s="119"/>
      <c r="I386" s="119"/>
      <c r="J386" s="119"/>
      <c r="K386" s="119"/>
      <c r="L386" s="119"/>
      <c r="M386" s="105"/>
      <c r="N386" s="105"/>
      <c r="O386" s="105"/>
      <c r="P386" s="105"/>
      <c r="Q386" s="105"/>
      <c r="R386" s="105"/>
      <c r="S386" s="99"/>
      <c r="T386" s="105"/>
      <c r="U386" s="105"/>
      <c r="V386" s="105"/>
      <c r="W386" s="105"/>
      <c r="X386" s="105"/>
      <c r="Y386" s="105"/>
      <c r="Z386" s="105"/>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14"/>
      <c r="BK386" s="214"/>
    </row>
    <row r="387" spans="1:63" hidden="1" outlineLevel="1">
      <c r="A387" s="9"/>
      <c r="B387" s="44"/>
      <c r="C387" s="128">
        <f>Asset22</f>
        <v>0</v>
      </c>
      <c r="D387" s="9"/>
      <c r="E387" s="9"/>
      <c r="F387" s="9"/>
      <c r="G387" s="194">
        <f>Input!M29</f>
        <v>0</v>
      </c>
      <c r="H387" s="119"/>
      <c r="I387" s="119"/>
      <c r="J387" s="119"/>
      <c r="K387" s="119"/>
      <c r="L387" s="119"/>
      <c r="M387" s="105"/>
      <c r="N387" s="105"/>
      <c r="O387" s="105"/>
      <c r="P387" s="105"/>
      <c r="Q387" s="105"/>
      <c r="R387" s="105"/>
      <c r="S387" s="99"/>
      <c r="T387" s="105"/>
      <c r="U387" s="105"/>
      <c r="V387" s="105"/>
      <c r="W387" s="105"/>
      <c r="X387" s="105"/>
      <c r="Y387" s="105"/>
      <c r="Z387" s="105"/>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14"/>
      <c r="BK387" s="214"/>
    </row>
    <row r="388" spans="1:63" hidden="1" outlineLevel="1">
      <c r="A388" s="9"/>
      <c r="B388" s="44"/>
      <c r="C388" s="128">
        <f>Asset23</f>
        <v>0</v>
      </c>
      <c r="D388" s="9"/>
      <c r="E388" s="9"/>
      <c r="F388" s="9"/>
      <c r="G388" s="194">
        <f>Input!M30</f>
        <v>0</v>
      </c>
      <c r="H388" s="119"/>
      <c r="I388" s="119"/>
      <c r="J388" s="119"/>
      <c r="K388" s="119"/>
      <c r="L388" s="119"/>
      <c r="M388" s="105"/>
      <c r="N388" s="105"/>
      <c r="O388" s="105"/>
      <c r="P388" s="105"/>
      <c r="Q388" s="105"/>
      <c r="R388" s="105"/>
      <c r="S388" s="99"/>
      <c r="T388" s="105"/>
      <c r="U388" s="105"/>
      <c r="V388" s="105"/>
      <c r="W388" s="105"/>
      <c r="X388" s="105"/>
      <c r="Y388" s="105"/>
      <c r="Z388" s="105"/>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14"/>
      <c r="BK388" s="214"/>
    </row>
    <row r="389" spans="1:63" hidden="1" outlineLevel="1">
      <c r="A389" s="9"/>
      <c r="B389" s="44"/>
      <c r="C389" s="128">
        <f>Asset24</f>
        <v>0</v>
      </c>
      <c r="D389" s="9"/>
      <c r="E389" s="9"/>
      <c r="F389" s="9"/>
      <c r="G389" s="194">
        <f>Input!M31</f>
        <v>0</v>
      </c>
      <c r="H389" s="119"/>
      <c r="I389" s="119"/>
      <c r="J389" s="119"/>
      <c r="K389" s="119"/>
      <c r="L389" s="119"/>
      <c r="M389" s="105"/>
      <c r="N389" s="105"/>
      <c r="O389" s="105"/>
      <c r="P389" s="105"/>
      <c r="Q389" s="105"/>
      <c r="R389" s="105"/>
      <c r="S389" s="99"/>
      <c r="T389" s="105"/>
      <c r="U389" s="105"/>
      <c r="V389" s="105"/>
      <c r="W389" s="105"/>
      <c r="X389" s="105"/>
      <c r="Y389" s="105"/>
      <c r="Z389" s="105"/>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14"/>
      <c r="BK389" s="214"/>
    </row>
    <row r="390" spans="1:63" hidden="1" outlineLevel="1">
      <c r="A390" s="9"/>
      <c r="B390" s="44"/>
      <c r="C390" s="128">
        <f>Asset25</f>
        <v>0</v>
      </c>
      <c r="D390" s="9"/>
      <c r="E390" s="9"/>
      <c r="F390" s="9"/>
      <c r="G390" s="194">
        <f>Input!M32</f>
        <v>0</v>
      </c>
      <c r="H390" s="119"/>
      <c r="I390" s="119"/>
      <c r="J390" s="119"/>
      <c r="K390" s="119"/>
      <c r="L390" s="119"/>
      <c r="M390" s="105"/>
      <c r="N390" s="105"/>
      <c r="O390" s="105"/>
      <c r="P390" s="105"/>
      <c r="Q390" s="105"/>
      <c r="R390" s="105"/>
      <c r="S390" s="99"/>
      <c r="T390" s="105"/>
      <c r="U390" s="105"/>
      <c r="V390" s="105"/>
      <c r="W390" s="105"/>
      <c r="X390" s="105"/>
      <c r="Y390" s="105"/>
      <c r="Z390" s="105"/>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14"/>
      <c r="BK390" s="214"/>
    </row>
    <row r="391" spans="1:63" hidden="1" outlineLevel="1">
      <c r="A391" s="9"/>
      <c r="B391" s="44"/>
      <c r="C391" s="128">
        <f>Asset26</f>
        <v>0</v>
      </c>
      <c r="D391" s="9"/>
      <c r="E391" s="9"/>
      <c r="F391" s="9"/>
      <c r="G391" s="194">
        <f>Input!M33</f>
        <v>0</v>
      </c>
      <c r="H391" s="119"/>
      <c r="I391" s="119"/>
      <c r="J391" s="119"/>
      <c r="K391" s="119"/>
      <c r="L391" s="119"/>
      <c r="M391" s="105"/>
      <c r="N391" s="105"/>
      <c r="O391" s="105"/>
      <c r="P391" s="105"/>
      <c r="Q391" s="105"/>
      <c r="R391" s="105"/>
      <c r="S391" s="99"/>
      <c r="T391" s="105"/>
      <c r="U391" s="105"/>
      <c r="V391" s="105"/>
      <c r="W391" s="105"/>
      <c r="X391" s="105"/>
      <c r="Y391" s="105"/>
      <c r="Z391" s="105"/>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14"/>
      <c r="BK391" s="214"/>
    </row>
    <row r="392" spans="1:63" hidden="1" outlineLevel="1">
      <c r="A392" s="9"/>
      <c r="B392" s="44"/>
      <c r="C392" s="128">
        <f>Asset27</f>
        <v>0</v>
      </c>
      <c r="D392" s="9"/>
      <c r="E392" s="9"/>
      <c r="F392" s="9"/>
      <c r="G392" s="194">
        <f>Input!M34</f>
        <v>0</v>
      </c>
      <c r="H392" s="119"/>
      <c r="I392" s="119"/>
      <c r="J392" s="119"/>
      <c r="K392" s="119"/>
      <c r="L392" s="119"/>
      <c r="M392" s="105"/>
      <c r="N392" s="105"/>
      <c r="O392" s="105"/>
      <c r="P392" s="105"/>
      <c r="Q392" s="105"/>
      <c r="R392" s="105"/>
      <c r="S392" s="99"/>
      <c r="T392" s="105"/>
      <c r="U392" s="105"/>
      <c r="V392" s="105"/>
      <c r="W392" s="105"/>
      <c r="X392" s="105"/>
      <c r="Y392" s="105"/>
      <c r="Z392" s="105"/>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14"/>
      <c r="BK392" s="214"/>
    </row>
    <row r="393" spans="1:63" hidden="1" outlineLevel="1">
      <c r="A393" s="9"/>
      <c r="B393" s="44"/>
      <c r="C393" s="128">
        <f>Asset28</f>
        <v>0</v>
      </c>
      <c r="D393" s="9"/>
      <c r="E393" s="9"/>
      <c r="F393" s="9"/>
      <c r="G393" s="194">
        <f>Input!M35</f>
        <v>0</v>
      </c>
      <c r="H393" s="119"/>
      <c r="I393" s="119"/>
      <c r="J393" s="119"/>
      <c r="K393" s="119"/>
      <c r="L393" s="119"/>
      <c r="M393" s="105"/>
      <c r="N393" s="105"/>
      <c r="O393" s="105"/>
      <c r="P393" s="105"/>
      <c r="Q393" s="105"/>
      <c r="R393" s="105"/>
      <c r="S393" s="99"/>
      <c r="T393" s="105"/>
      <c r="U393" s="105"/>
      <c r="V393" s="105"/>
      <c r="W393" s="105"/>
      <c r="X393" s="105"/>
      <c r="Y393" s="105"/>
      <c r="Z393" s="105"/>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14"/>
      <c r="BK393" s="214"/>
    </row>
    <row r="394" spans="1:63" hidden="1" outlineLevel="1">
      <c r="A394" s="9"/>
      <c r="B394" s="44"/>
      <c r="C394" s="128">
        <f>Asset29</f>
        <v>0</v>
      </c>
      <c r="D394" s="9"/>
      <c r="E394" s="9"/>
      <c r="F394" s="9"/>
      <c r="G394" s="194">
        <f>Input!M36</f>
        <v>0</v>
      </c>
      <c r="H394" s="119"/>
      <c r="I394" s="119"/>
      <c r="J394" s="119"/>
      <c r="K394" s="119"/>
      <c r="L394" s="119"/>
      <c r="M394" s="105"/>
      <c r="N394" s="105"/>
      <c r="O394" s="105"/>
      <c r="P394" s="105"/>
      <c r="Q394" s="105"/>
      <c r="R394" s="105"/>
      <c r="S394" s="99"/>
      <c r="T394" s="105"/>
      <c r="U394" s="105"/>
      <c r="V394" s="105"/>
      <c r="W394" s="105"/>
      <c r="X394" s="105"/>
      <c r="Y394" s="105"/>
      <c r="Z394" s="105"/>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14"/>
      <c r="BK394" s="214"/>
    </row>
    <row r="395" spans="1:63" hidden="1" outlineLevel="1">
      <c r="A395" s="9"/>
      <c r="B395" s="44"/>
      <c r="C395" s="128">
        <f>Asset30</f>
        <v>0</v>
      </c>
      <c r="D395" s="9"/>
      <c r="E395" s="9"/>
      <c r="F395" s="9"/>
      <c r="G395" s="194">
        <f>Input!M37</f>
        <v>0</v>
      </c>
      <c r="H395" s="119"/>
      <c r="I395" s="119"/>
      <c r="J395" s="119"/>
      <c r="K395" s="119"/>
      <c r="L395" s="119"/>
      <c r="M395" s="105"/>
      <c r="N395" s="105"/>
      <c r="O395" s="105"/>
      <c r="P395" s="105"/>
      <c r="Q395" s="105"/>
      <c r="R395" s="105"/>
      <c r="S395" s="99"/>
      <c r="T395" s="105"/>
      <c r="U395" s="105"/>
      <c r="V395" s="105"/>
      <c r="W395" s="105"/>
      <c r="X395" s="105"/>
      <c r="Y395" s="105"/>
      <c r="Z395" s="105"/>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14"/>
      <c r="BK395" s="214"/>
    </row>
    <row r="396" spans="1:63" collapsed="1">
      <c r="A396" s="9"/>
      <c r="B396" s="44"/>
      <c r="C396" s="112"/>
      <c r="D396" s="9"/>
      <c r="E396" s="9"/>
      <c r="F396" s="27"/>
      <c r="G396" s="195"/>
      <c r="H396" s="119"/>
      <c r="I396" s="119"/>
      <c r="J396" s="119"/>
      <c r="K396" s="119"/>
      <c r="L396" s="119"/>
      <c r="M396" s="105"/>
      <c r="N396" s="105"/>
      <c r="O396" s="105"/>
      <c r="P396" s="105"/>
      <c r="Q396" s="105"/>
      <c r="R396" s="105"/>
      <c r="S396" s="105"/>
      <c r="T396" s="105"/>
      <c r="U396" s="105"/>
      <c r="V396" s="105"/>
      <c r="W396" s="105"/>
      <c r="X396" s="105"/>
      <c r="Y396" s="105"/>
      <c r="Z396" s="105"/>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14"/>
      <c r="BK396" s="214"/>
    </row>
    <row r="397" spans="1:63">
      <c r="A397" s="9"/>
      <c r="B397" s="88" t="s">
        <v>70</v>
      </c>
      <c r="C397" s="11"/>
      <c r="D397" s="9"/>
      <c r="E397" s="9"/>
      <c r="F397" s="9"/>
      <c r="G397" s="192">
        <f>SUM(G398:G427)</f>
        <v>7.6463264939134206</v>
      </c>
      <c r="H397" s="119"/>
      <c r="I397" s="119"/>
      <c r="J397" s="119"/>
      <c r="K397" s="119"/>
      <c r="L397" s="119"/>
      <c r="M397" s="105"/>
      <c r="N397" s="105"/>
      <c r="O397" s="105"/>
      <c r="P397" s="105"/>
      <c r="Q397" s="105"/>
      <c r="R397" s="105"/>
      <c r="S397" s="105"/>
      <c r="T397" s="105"/>
      <c r="U397" s="105"/>
      <c r="V397" s="105"/>
      <c r="W397" s="105"/>
      <c r="X397" s="105"/>
      <c r="Y397" s="105"/>
      <c r="Z397" s="105"/>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14"/>
      <c r="BK397" s="214"/>
    </row>
    <row r="398" spans="1:63" ht="12.75" hidden="1" customHeight="1" outlineLevel="1">
      <c r="A398" s="9"/>
      <c r="B398" s="44"/>
      <c r="C398" s="128" t="str">
        <f>Asset1</f>
        <v>Sub-transmission lines and cables</v>
      </c>
      <c r="D398" s="9"/>
      <c r="E398" s="9"/>
      <c r="F398" s="27"/>
      <c r="G398" s="194">
        <f>-Input!N7</f>
        <v>-3.4084223005991499</v>
      </c>
      <c r="H398" s="119"/>
      <c r="I398" s="119"/>
      <c r="J398" s="119"/>
      <c r="K398" s="119"/>
      <c r="L398" s="119"/>
      <c r="M398" s="105"/>
      <c r="N398" s="105"/>
      <c r="O398" s="105"/>
      <c r="P398" s="105"/>
      <c r="Q398" s="105"/>
      <c r="R398" s="105"/>
      <c r="S398" s="105"/>
      <c r="T398" s="105"/>
      <c r="U398" s="105"/>
      <c r="V398" s="105"/>
      <c r="W398" s="105"/>
      <c r="X398" s="105"/>
      <c r="Y398" s="105"/>
      <c r="Z398" s="105"/>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14"/>
      <c r="BK398" s="214"/>
    </row>
    <row r="399" spans="1:63" ht="12.75" hidden="1" customHeight="1" outlineLevel="1">
      <c r="A399" s="9"/>
      <c r="B399" s="44"/>
      <c r="C399" s="128" t="str">
        <f>Asset2</f>
        <v>Cable tunnel (dx)</v>
      </c>
      <c r="D399" s="9"/>
      <c r="E399" s="9"/>
      <c r="F399" s="27"/>
      <c r="G399" s="194">
        <f>-Input!N8</f>
        <v>0.98400254874549298</v>
      </c>
      <c r="H399" s="119"/>
      <c r="I399" s="119"/>
      <c r="J399" s="119"/>
      <c r="K399" s="119"/>
      <c r="L399" s="119"/>
      <c r="M399" s="105"/>
      <c r="N399" s="105"/>
      <c r="O399" s="105"/>
      <c r="P399" s="105"/>
      <c r="Q399" s="105"/>
      <c r="R399" s="105"/>
      <c r="S399" s="105"/>
      <c r="T399" s="105"/>
      <c r="U399" s="105"/>
      <c r="V399" s="105"/>
      <c r="W399" s="105"/>
      <c r="X399" s="105"/>
      <c r="Y399" s="105"/>
      <c r="Z399" s="105"/>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14"/>
      <c r="BK399" s="214"/>
    </row>
    <row r="400" spans="1:63" ht="12.75" hidden="1" customHeight="1" outlineLevel="1">
      <c r="A400" s="9"/>
      <c r="B400" s="44"/>
      <c r="C400" s="128" t="str">
        <f>Asset3</f>
        <v>Distribution lines and cables</v>
      </c>
      <c r="D400" s="9"/>
      <c r="E400" s="9"/>
      <c r="F400" s="27"/>
      <c r="G400" s="194">
        <f>-Input!N9</f>
        <v>32.3580732625907</v>
      </c>
      <c r="H400" s="119"/>
      <c r="I400" s="119"/>
      <c r="J400" s="119"/>
      <c r="K400" s="119"/>
      <c r="L400" s="119"/>
      <c r="M400" s="105"/>
      <c r="N400" s="105"/>
      <c r="O400" s="105"/>
      <c r="P400" s="105"/>
      <c r="Q400" s="105"/>
      <c r="R400" s="105"/>
      <c r="S400" s="105"/>
      <c r="T400" s="105"/>
      <c r="U400" s="105"/>
      <c r="V400" s="105"/>
      <c r="W400" s="105"/>
      <c r="X400" s="105"/>
      <c r="Y400" s="105"/>
      <c r="Z400" s="105"/>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14"/>
      <c r="BK400" s="214"/>
    </row>
    <row r="401" spans="1:63" ht="12.75" hidden="1" customHeight="1" outlineLevel="1">
      <c r="A401" s="9"/>
      <c r="B401" s="44"/>
      <c r="C401" s="128" t="str">
        <f>Asset4</f>
        <v>Substations</v>
      </c>
      <c r="D401" s="9"/>
      <c r="E401" s="9"/>
      <c r="F401" s="27"/>
      <c r="G401" s="194">
        <f>-Input!N10</f>
        <v>-2.4798460213513902</v>
      </c>
      <c r="H401" s="119"/>
      <c r="I401" s="119"/>
      <c r="J401" s="119"/>
      <c r="K401" s="119"/>
      <c r="L401" s="119"/>
      <c r="M401" s="105"/>
      <c r="N401" s="105"/>
      <c r="O401" s="105"/>
      <c r="P401" s="105"/>
      <c r="Q401" s="105"/>
      <c r="R401" s="105"/>
      <c r="S401" s="105"/>
      <c r="T401" s="105"/>
      <c r="U401" s="105"/>
      <c r="V401" s="105"/>
      <c r="W401" s="105"/>
      <c r="X401" s="105"/>
      <c r="Y401" s="105"/>
      <c r="Z401" s="105"/>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14"/>
      <c r="BK401" s="214"/>
    </row>
    <row r="402" spans="1:63" ht="12.75" hidden="1" customHeight="1" outlineLevel="1">
      <c r="A402" s="9"/>
      <c r="B402" s="44"/>
      <c r="C402" s="128" t="str">
        <f>Asset5</f>
        <v>Transformers</v>
      </c>
      <c r="D402" s="9"/>
      <c r="E402" s="9"/>
      <c r="F402" s="27"/>
      <c r="G402" s="194">
        <f>-Input!N11</f>
        <v>-2.1690686637323902</v>
      </c>
      <c r="H402" s="119"/>
      <c r="I402" s="119"/>
      <c r="J402" s="119"/>
      <c r="K402" s="119"/>
      <c r="L402" s="119"/>
      <c r="M402" s="105"/>
      <c r="N402" s="105"/>
      <c r="O402" s="105"/>
      <c r="P402" s="105"/>
      <c r="Q402" s="105"/>
      <c r="R402" s="105"/>
      <c r="S402" s="105"/>
      <c r="T402" s="105"/>
      <c r="U402" s="105"/>
      <c r="V402" s="105"/>
      <c r="W402" s="105"/>
      <c r="X402" s="105"/>
      <c r="Y402" s="105"/>
      <c r="Z402" s="105"/>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14"/>
      <c r="BK402" s="214"/>
    </row>
    <row r="403" spans="1:63" ht="12.75" hidden="1" customHeight="1" outlineLevel="1">
      <c r="A403" s="9"/>
      <c r="B403" s="44"/>
      <c r="C403" s="128" t="str">
        <f>Asset6</f>
        <v>Low Voltage Lines and Cables</v>
      </c>
      <c r="D403" s="9"/>
      <c r="E403" s="9"/>
      <c r="F403" s="27"/>
      <c r="G403" s="194">
        <f>-Input!N12</f>
        <v>9.1007699457152604</v>
      </c>
      <c r="H403" s="119"/>
      <c r="I403" s="119"/>
      <c r="J403" s="119"/>
      <c r="K403" s="119"/>
      <c r="L403" s="119"/>
      <c r="M403" s="105"/>
      <c r="N403" s="105"/>
      <c r="O403" s="105"/>
      <c r="P403" s="105"/>
      <c r="Q403" s="105"/>
      <c r="R403" s="105"/>
      <c r="S403" s="105"/>
      <c r="T403" s="105"/>
      <c r="U403" s="105"/>
      <c r="V403" s="105"/>
      <c r="W403" s="105"/>
      <c r="X403" s="105"/>
      <c r="Y403" s="105"/>
      <c r="Z403" s="105"/>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14"/>
      <c r="BK403" s="214"/>
    </row>
    <row r="404" spans="1:63" ht="12.75" hidden="1" customHeight="1" outlineLevel="1">
      <c r="A404" s="9"/>
      <c r="B404" s="44"/>
      <c r="C404" s="128" t="str">
        <f>Asset7</f>
        <v>Customer Metering and Load Control</v>
      </c>
      <c r="D404" s="9"/>
      <c r="E404" s="9"/>
      <c r="F404" s="27"/>
      <c r="G404" s="194">
        <f>-Input!N13</f>
        <v>-2.5794350532511898</v>
      </c>
      <c r="H404" s="119"/>
      <c r="I404" s="119"/>
      <c r="J404" s="119"/>
      <c r="K404" s="119"/>
      <c r="L404" s="119"/>
      <c r="M404" s="105"/>
      <c r="N404" s="105"/>
      <c r="O404" s="105"/>
      <c r="P404" s="105"/>
      <c r="Q404" s="105"/>
      <c r="R404" s="105"/>
      <c r="S404" s="105"/>
      <c r="T404" s="105"/>
      <c r="U404" s="105"/>
      <c r="V404" s="105"/>
      <c r="W404" s="105"/>
      <c r="X404" s="105"/>
      <c r="Y404" s="105"/>
      <c r="Z404" s="105"/>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14"/>
      <c r="BK404" s="214"/>
    </row>
    <row r="405" spans="1:63" ht="12.75" hidden="1" customHeight="1" outlineLevel="1">
      <c r="A405" s="9"/>
      <c r="B405" s="44"/>
      <c r="C405" s="128" t="str">
        <f>Asset8</f>
        <v>Customer Metering (digital)</v>
      </c>
      <c r="D405" s="9"/>
      <c r="E405" s="9"/>
      <c r="F405" s="27"/>
      <c r="G405" s="194">
        <f>-Input!N14</f>
        <v>0</v>
      </c>
      <c r="H405" s="119"/>
      <c r="I405" s="119"/>
      <c r="J405" s="119"/>
      <c r="K405" s="119"/>
      <c r="L405" s="119"/>
      <c r="M405" s="105"/>
      <c r="N405" s="105"/>
      <c r="O405" s="105"/>
      <c r="P405" s="105"/>
      <c r="Q405" s="105"/>
      <c r="R405" s="105"/>
      <c r="S405" s="105"/>
      <c r="T405" s="105"/>
      <c r="U405" s="105"/>
      <c r="V405" s="105"/>
      <c r="W405" s="105"/>
      <c r="X405" s="105"/>
      <c r="Y405" s="105"/>
      <c r="Z405" s="105"/>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14"/>
      <c r="BK405" s="214"/>
    </row>
    <row r="406" spans="1:63" ht="12.75" hidden="1" customHeight="1" outlineLevel="1">
      <c r="A406" s="9"/>
      <c r="B406" s="44"/>
      <c r="C406" s="128" t="str">
        <f>Asset9</f>
        <v>Communications (digital) - dx</v>
      </c>
      <c r="D406" s="9"/>
      <c r="E406" s="9"/>
      <c r="F406" s="27"/>
      <c r="G406" s="194">
        <f>-Input!N15</f>
        <v>0</v>
      </c>
      <c r="H406" s="119"/>
      <c r="I406" s="119"/>
      <c r="J406" s="119"/>
      <c r="K406" s="119"/>
      <c r="L406" s="119"/>
      <c r="M406" s="105"/>
      <c r="N406" s="105"/>
      <c r="O406" s="105"/>
      <c r="P406" s="105"/>
      <c r="Q406" s="105"/>
      <c r="R406" s="105"/>
      <c r="S406" s="105"/>
      <c r="T406" s="105"/>
      <c r="U406" s="105"/>
      <c r="V406" s="105"/>
      <c r="W406" s="105"/>
      <c r="X406" s="105"/>
      <c r="Y406" s="105"/>
      <c r="Z406" s="105"/>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14"/>
      <c r="BK406" s="214"/>
    </row>
    <row r="407" spans="1:63" ht="12.75" hidden="1" customHeight="1" outlineLevel="1">
      <c r="A407" s="9"/>
      <c r="B407" s="44"/>
      <c r="C407" s="128" t="str">
        <f>Asset10</f>
        <v>Total Communications</v>
      </c>
      <c r="D407" s="9"/>
      <c r="E407" s="9"/>
      <c r="F407" s="27"/>
      <c r="G407" s="194">
        <f>-Input!N16</f>
        <v>-11.1703111163889</v>
      </c>
      <c r="H407" s="119"/>
      <c r="I407" s="119"/>
      <c r="J407" s="119"/>
      <c r="K407" s="119"/>
      <c r="L407" s="119"/>
      <c r="M407" s="105"/>
      <c r="N407" s="105"/>
      <c r="O407" s="105"/>
      <c r="P407" s="105"/>
      <c r="Q407" s="105"/>
      <c r="R407" s="105"/>
      <c r="S407" s="105"/>
      <c r="T407" s="105"/>
      <c r="U407" s="105"/>
      <c r="V407" s="105"/>
      <c r="W407" s="105"/>
      <c r="X407" s="105"/>
      <c r="Y407" s="105"/>
      <c r="Z407" s="105"/>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14"/>
      <c r="BK407" s="214"/>
    </row>
    <row r="408" spans="1:63" ht="12.75" hidden="1" customHeight="1" outlineLevel="1">
      <c r="A408" s="9"/>
      <c r="B408" s="44"/>
      <c r="C408" s="128" t="str">
        <f>Asset11</f>
        <v>System IT (dx)</v>
      </c>
      <c r="D408" s="9"/>
      <c r="E408" s="9"/>
      <c r="F408" s="27"/>
      <c r="G408" s="194">
        <f>-Input!N17</f>
        <v>0</v>
      </c>
      <c r="H408" s="119"/>
      <c r="I408" s="119"/>
      <c r="J408" s="119"/>
      <c r="K408" s="119"/>
      <c r="L408" s="119"/>
      <c r="M408" s="105"/>
      <c r="N408" s="105"/>
      <c r="O408" s="105"/>
      <c r="P408" s="105"/>
      <c r="Q408" s="105"/>
      <c r="R408" s="105"/>
      <c r="S408" s="105"/>
      <c r="T408" s="105"/>
      <c r="U408" s="105"/>
      <c r="V408" s="105"/>
      <c r="W408" s="105"/>
      <c r="X408" s="105"/>
      <c r="Y408" s="105"/>
      <c r="Z408" s="105"/>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14"/>
      <c r="BK408" s="214"/>
    </row>
    <row r="409" spans="1:63" ht="12.75" hidden="1" customHeight="1" outlineLevel="1">
      <c r="A409" s="9"/>
      <c r="B409" s="44"/>
      <c r="C409" s="128" t="str">
        <f>Asset12</f>
        <v>Ancillary substation equipment (dx)</v>
      </c>
      <c r="D409" s="9"/>
      <c r="E409" s="9"/>
      <c r="F409" s="27"/>
      <c r="G409" s="194">
        <f>-Input!N18</f>
        <v>0</v>
      </c>
      <c r="H409" s="119"/>
      <c r="I409" s="119"/>
      <c r="J409" s="119"/>
      <c r="K409" s="119"/>
      <c r="L409" s="119"/>
      <c r="M409" s="105"/>
      <c r="N409" s="105"/>
      <c r="O409" s="105"/>
      <c r="P409" s="105"/>
      <c r="Q409" s="105"/>
      <c r="R409" s="105"/>
      <c r="S409" s="105"/>
      <c r="T409" s="105"/>
      <c r="U409" s="105"/>
      <c r="V409" s="105"/>
      <c r="W409" s="105"/>
      <c r="X409" s="105"/>
      <c r="Y409" s="105"/>
      <c r="Z409" s="105"/>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14"/>
      <c r="BK409" s="214"/>
    </row>
    <row r="410" spans="1:63" ht="12.75" hidden="1" customHeight="1" outlineLevel="1">
      <c r="A410" s="9"/>
      <c r="B410" s="44"/>
      <c r="C410" s="128" t="str">
        <f>Asset13</f>
        <v>Land and Easements</v>
      </c>
      <c r="D410" s="9"/>
      <c r="E410" s="9"/>
      <c r="F410" s="27"/>
      <c r="G410" s="194">
        <f>-Input!N19</f>
        <v>20.3952737522952</v>
      </c>
      <c r="H410" s="119"/>
      <c r="I410" s="119"/>
      <c r="J410" s="119"/>
      <c r="K410" s="119"/>
      <c r="L410" s="119"/>
      <c r="M410" s="105"/>
      <c r="N410" s="105"/>
      <c r="O410" s="105"/>
      <c r="P410" s="105"/>
      <c r="Q410" s="105"/>
      <c r="R410" s="105"/>
      <c r="S410" s="105"/>
      <c r="T410" s="105"/>
      <c r="U410" s="105"/>
      <c r="V410" s="105"/>
      <c r="W410" s="105"/>
      <c r="X410" s="105"/>
      <c r="Y410" s="105"/>
      <c r="Z410" s="105"/>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14"/>
      <c r="BK410" s="214"/>
    </row>
    <row r="411" spans="1:63" ht="12.75" hidden="1" customHeight="1" outlineLevel="1">
      <c r="A411" s="9"/>
      <c r="B411" s="44"/>
      <c r="C411" s="128" t="str">
        <f>Asset14</f>
        <v>Emergency Spares (Major Plant, Excludes Inventory)</v>
      </c>
      <c r="D411" s="9"/>
      <c r="E411" s="9"/>
      <c r="F411" s="27"/>
      <c r="G411" s="194">
        <f>-Input!N20</f>
        <v>2.4603671317953602</v>
      </c>
      <c r="H411" s="119"/>
      <c r="I411" s="119"/>
      <c r="J411" s="119"/>
      <c r="K411" s="119"/>
      <c r="L411" s="119"/>
      <c r="M411" s="105"/>
      <c r="N411" s="105"/>
      <c r="O411" s="105"/>
      <c r="P411" s="105"/>
      <c r="Q411" s="105"/>
      <c r="R411" s="105"/>
      <c r="S411" s="105"/>
      <c r="T411" s="105"/>
      <c r="U411" s="105"/>
      <c r="V411" s="105"/>
      <c r="W411" s="105"/>
      <c r="X411" s="105"/>
      <c r="Y411" s="105"/>
      <c r="Z411" s="105"/>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14"/>
      <c r="BK411" s="214"/>
    </row>
    <row r="412" spans="1:63" ht="12.75" hidden="1" customHeight="1" outlineLevel="1">
      <c r="A412" s="9"/>
      <c r="B412" s="44"/>
      <c r="C412" s="128" t="str">
        <f>Asset15</f>
        <v>Furniture, fittings, plant and equipment</v>
      </c>
      <c r="D412" s="9"/>
      <c r="E412" s="9"/>
      <c r="F412" s="27"/>
      <c r="G412" s="194">
        <f>-Input!N21</f>
        <v>-2.5768657614300801</v>
      </c>
      <c r="H412" s="119"/>
      <c r="I412" s="119"/>
      <c r="J412" s="119"/>
      <c r="K412" s="119"/>
      <c r="L412" s="119"/>
      <c r="M412" s="105"/>
      <c r="N412" s="105"/>
      <c r="O412" s="105"/>
      <c r="P412" s="105"/>
      <c r="Q412" s="105"/>
      <c r="R412" s="105"/>
      <c r="S412" s="105"/>
      <c r="T412" s="105"/>
      <c r="U412" s="105"/>
      <c r="V412" s="105"/>
      <c r="W412" s="105"/>
      <c r="X412" s="105"/>
      <c r="Y412" s="105"/>
      <c r="Z412" s="105"/>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14"/>
      <c r="BK412" s="214"/>
    </row>
    <row r="413" spans="1:63" ht="12.75" hidden="1" customHeight="1" outlineLevel="1">
      <c r="A413" s="9"/>
      <c r="B413" s="44"/>
      <c r="C413" s="128" t="str">
        <f>Asset16</f>
        <v>Land (non-system)</v>
      </c>
      <c r="D413" s="9"/>
      <c r="E413" s="9"/>
      <c r="F413" s="27"/>
      <c r="G413" s="194">
        <f>-Input!N22</f>
        <v>1.02416594458548</v>
      </c>
      <c r="H413" s="119"/>
      <c r="I413" s="119"/>
      <c r="J413" s="119"/>
      <c r="K413" s="119"/>
      <c r="L413" s="119"/>
      <c r="M413" s="105"/>
      <c r="N413" s="105"/>
      <c r="O413" s="105"/>
      <c r="P413" s="105"/>
      <c r="Q413" s="105"/>
      <c r="R413" s="105"/>
      <c r="S413" s="105"/>
      <c r="T413" s="105"/>
      <c r="U413" s="105"/>
      <c r="V413" s="105"/>
      <c r="W413" s="105"/>
      <c r="X413" s="105"/>
      <c r="Y413" s="105"/>
      <c r="Z413" s="105"/>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14"/>
      <c r="BK413" s="214"/>
    </row>
    <row r="414" spans="1:63" ht="12.75" hidden="1" customHeight="1" outlineLevel="1">
      <c r="A414" s="9"/>
      <c r="B414" s="44"/>
      <c r="C414" s="128" t="str">
        <f>Asset17</f>
        <v>Other non system assets</v>
      </c>
      <c r="D414" s="9"/>
      <c r="E414" s="9"/>
      <c r="F414" s="27"/>
      <c r="G414" s="194">
        <f>-Input!N23</f>
        <v>-4.0960644723242501</v>
      </c>
      <c r="H414" s="119"/>
      <c r="I414" s="119"/>
      <c r="J414" s="119"/>
      <c r="K414" s="119"/>
      <c r="L414" s="119"/>
      <c r="M414" s="105"/>
      <c r="N414" s="105"/>
      <c r="O414" s="105"/>
      <c r="P414" s="105"/>
      <c r="Q414" s="105"/>
      <c r="R414" s="105"/>
      <c r="S414" s="105"/>
      <c r="T414" s="105"/>
      <c r="U414" s="105"/>
      <c r="V414" s="105"/>
      <c r="W414" s="105"/>
      <c r="X414" s="105"/>
      <c r="Y414" s="105"/>
      <c r="Z414" s="105"/>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14"/>
      <c r="BK414" s="214"/>
    </row>
    <row r="415" spans="1:63" ht="12.75" hidden="1" customHeight="1" outlineLevel="1">
      <c r="A415" s="9"/>
      <c r="B415" s="44"/>
      <c r="C415" s="128" t="str">
        <f>Asset18</f>
        <v>IT systems</v>
      </c>
      <c r="D415" s="9"/>
      <c r="E415" s="9"/>
      <c r="F415" s="27"/>
      <c r="G415" s="194">
        <f>-Input!N24</f>
        <v>-29.814847967849801</v>
      </c>
      <c r="H415" s="119"/>
      <c r="I415" s="119"/>
      <c r="J415" s="119"/>
      <c r="K415" s="119"/>
      <c r="L415" s="119"/>
      <c r="M415" s="105"/>
      <c r="N415" s="105"/>
      <c r="O415" s="105"/>
      <c r="P415" s="105"/>
      <c r="Q415" s="105"/>
      <c r="R415" s="105"/>
      <c r="S415" s="105"/>
      <c r="T415" s="105"/>
      <c r="U415" s="105"/>
      <c r="V415" s="105"/>
      <c r="W415" s="105"/>
      <c r="X415" s="105"/>
      <c r="Y415" s="105"/>
      <c r="Z415" s="105"/>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14"/>
      <c r="BK415" s="214"/>
    </row>
    <row r="416" spans="1:63" ht="12.75" hidden="1" customHeight="1" outlineLevel="1">
      <c r="A416" s="9"/>
      <c r="B416" s="44"/>
      <c r="C416" s="128" t="str">
        <f>Asset19</f>
        <v>Motor vehicles</v>
      </c>
      <c r="D416" s="9"/>
      <c r="E416" s="9"/>
      <c r="F416" s="27"/>
      <c r="G416" s="194">
        <f>-Input!N25</f>
        <v>-12.2188805582015</v>
      </c>
      <c r="H416" s="119"/>
      <c r="I416" s="119"/>
      <c r="J416" s="119"/>
      <c r="K416" s="119"/>
      <c r="L416" s="119"/>
      <c r="M416" s="105"/>
      <c r="N416" s="105"/>
      <c r="O416" s="105"/>
      <c r="P416" s="105"/>
      <c r="Q416" s="105"/>
      <c r="R416" s="105"/>
      <c r="S416" s="105"/>
      <c r="T416" s="105"/>
      <c r="U416" s="105"/>
      <c r="V416" s="105"/>
      <c r="W416" s="105"/>
      <c r="X416" s="105"/>
      <c r="Y416" s="105"/>
      <c r="Z416" s="105"/>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14"/>
      <c r="BK416" s="214"/>
    </row>
    <row r="417" spans="1:63" ht="12.75" hidden="1" customHeight="1" outlineLevel="1">
      <c r="A417" s="9"/>
      <c r="B417" s="44"/>
      <c r="C417" s="128" t="str">
        <f>Asset20</f>
        <v>Buildings</v>
      </c>
      <c r="D417" s="9"/>
      <c r="E417" s="9"/>
      <c r="F417" s="27"/>
      <c r="G417" s="194">
        <f>-Input!N26</f>
        <v>0.65309237314368795</v>
      </c>
      <c r="H417" s="119"/>
      <c r="I417" s="119"/>
      <c r="J417" s="119"/>
      <c r="K417" s="119"/>
      <c r="L417" s="119"/>
      <c r="M417" s="105"/>
      <c r="N417" s="105"/>
      <c r="O417" s="105"/>
      <c r="P417" s="105"/>
      <c r="Q417" s="105"/>
      <c r="R417" s="105"/>
      <c r="S417" s="105"/>
      <c r="T417" s="105"/>
      <c r="U417" s="105"/>
      <c r="V417" s="105"/>
      <c r="W417" s="105"/>
      <c r="X417" s="105"/>
      <c r="Y417" s="105"/>
      <c r="Z417" s="105"/>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14"/>
      <c r="BK417" s="214"/>
    </row>
    <row r="418" spans="1:63" ht="12.75" hidden="1" customHeight="1" outlineLevel="1">
      <c r="A418" s="9"/>
      <c r="B418" s="44"/>
      <c r="C418" s="128" t="str">
        <f>Asset21</f>
        <v>Equity raising costs</v>
      </c>
      <c r="D418" s="9"/>
      <c r="E418" s="9"/>
      <c r="F418" s="27"/>
      <c r="G418" s="194">
        <f>-Input!N27</f>
        <v>0</v>
      </c>
      <c r="H418" s="119"/>
      <c r="I418" s="119"/>
      <c r="J418" s="119"/>
      <c r="K418" s="119"/>
      <c r="L418" s="119"/>
      <c r="M418" s="105"/>
      <c r="N418" s="105"/>
      <c r="O418" s="105"/>
      <c r="P418" s="105"/>
      <c r="Q418" s="105"/>
      <c r="R418" s="105"/>
      <c r="S418" s="105"/>
      <c r="T418" s="105"/>
      <c r="U418" s="105"/>
      <c r="V418" s="105"/>
      <c r="W418" s="105"/>
      <c r="X418" s="105"/>
      <c r="Y418" s="105"/>
      <c r="Z418" s="105"/>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14"/>
      <c r="BK418" s="214"/>
    </row>
    <row r="419" spans="1:63" ht="12.75" hidden="1" customHeight="1" outlineLevel="1">
      <c r="A419" s="9"/>
      <c r="B419" s="44"/>
      <c r="C419" s="128" t="str">
        <f>C355</f>
        <v>WIP</v>
      </c>
      <c r="D419" s="9"/>
      <c r="E419" s="9"/>
      <c r="F419" s="27"/>
      <c r="G419" s="194">
        <f>-Input!N28</f>
        <v>11.184323450170901</v>
      </c>
      <c r="H419" s="119"/>
      <c r="I419" s="119"/>
      <c r="J419" s="119"/>
      <c r="K419" s="119"/>
      <c r="L419" s="119"/>
      <c r="M419" s="105"/>
      <c r="N419" s="105"/>
      <c r="O419" s="105"/>
      <c r="P419" s="105"/>
      <c r="Q419" s="105"/>
      <c r="R419" s="105"/>
      <c r="S419" s="105"/>
      <c r="T419" s="105"/>
      <c r="U419" s="105"/>
      <c r="V419" s="105"/>
      <c r="W419" s="105"/>
      <c r="X419" s="105"/>
      <c r="Y419" s="105"/>
      <c r="Z419" s="105"/>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14"/>
      <c r="BK419" s="214"/>
    </row>
    <row r="420" spans="1:63" ht="12.75" hidden="1" customHeight="1" outlineLevel="1">
      <c r="A420" s="9"/>
      <c r="B420" s="44"/>
      <c r="C420" s="128">
        <f>Asset23</f>
        <v>0</v>
      </c>
      <c r="D420" s="9"/>
      <c r="E420" s="9"/>
      <c r="F420" s="27"/>
      <c r="G420" s="194">
        <f>-Input!N30</f>
        <v>0</v>
      </c>
      <c r="H420" s="119"/>
      <c r="I420" s="119"/>
      <c r="J420" s="119"/>
      <c r="K420" s="119"/>
      <c r="L420" s="119"/>
      <c r="M420" s="105"/>
      <c r="N420" s="105"/>
      <c r="O420" s="105"/>
      <c r="P420" s="105"/>
      <c r="Q420" s="105"/>
      <c r="R420" s="105"/>
      <c r="S420" s="105"/>
      <c r="T420" s="105"/>
      <c r="U420" s="105"/>
      <c r="V420" s="105"/>
      <c r="W420" s="105"/>
      <c r="X420" s="105"/>
      <c r="Y420" s="105"/>
      <c r="Z420" s="105"/>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14"/>
      <c r="BK420" s="214"/>
    </row>
    <row r="421" spans="1:63" ht="12.75" hidden="1" customHeight="1" outlineLevel="1">
      <c r="A421" s="9"/>
      <c r="B421" s="44"/>
      <c r="C421" s="128">
        <f>Asset24</f>
        <v>0</v>
      </c>
      <c r="D421" s="9"/>
      <c r="E421" s="9"/>
      <c r="F421" s="27"/>
      <c r="G421" s="194">
        <f>-Input!N31</f>
        <v>0</v>
      </c>
      <c r="H421" s="119"/>
      <c r="I421" s="119"/>
      <c r="J421" s="119"/>
      <c r="K421" s="119"/>
      <c r="L421" s="119"/>
      <c r="M421" s="105"/>
      <c r="N421" s="105"/>
      <c r="O421" s="105"/>
      <c r="P421" s="105"/>
      <c r="Q421" s="105"/>
      <c r="R421" s="105"/>
      <c r="S421" s="105"/>
      <c r="T421" s="105"/>
      <c r="U421" s="105"/>
      <c r="V421" s="105"/>
      <c r="W421" s="105"/>
      <c r="X421" s="105"/>
      <c r="Y421" s="105"/>
      <c r="Z421" s="105"/>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14"/>
      <c r="BK421" s="214"/>
    </row>
    <row r="422" spans="1:63" ht="12.75" hidden="1" customHeight="1" outlineLevel="1">
      <c r="A422" s="9"/>
      <c r="B422" s="44"/>
      <c r="C422" s="128">
        <f>Asset25</f>
        <v>0</v>
      </c>
      <c r="D422" s="9"/>
      <c r="E422" s="9"/>
      <c r="F422" s="27"/>
      <c r="G422" s="194">
        <f>-Input!N32</f>
        <v>0</v>
      </c>
      <c r="H422" s="119"/>
      <c r="I422" s="119"/>
      <c r="J422" s="119"/>
      <c r="K422" s="119"/>
      <c r="L422" s="119"/>
      <c r="M422" s="105"/>
      <c r="N422" s="105"/>
      <c r="O422" s="105"/>
      <c r="P422" s="105"/>
      <c r="Q422" s="105"/>
      <c r="R422" s="105"/>
      <c r="S422" s="105"/>
      <c r="T422" s="105"/>
      <c r="U422" s="105"/>
      <c r="V422" s="105"/>
      <c r="W422" s="105"/>
      <c r="X422" s="105"/>
      <c r="Y422" s="105"/>
      <c r="Z422" s="105"/>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14"/>
      <c r="BK422" s="214"/>
    </row>
    <row r="423" spans="1:63" ht="12.75" hidden="1" customHeight="1" outlineLevel="1">
      <c r="A423" s="9"/>
      <c r="B423" s="44"/>
      <c r="C423" s="128">
        <f>Asset26</f>
        <v>0</v>
      </c>
      <c r="D423" s="9"/>
      <c r="E423" s="9"/>
      <c r="F423" s="27"/>
      <c r="G423" s="194">
        <f>-Input!N33</f>
        <v>0</v>
      </c>
      <c r="H423" s="119"/>
      <c r="I423" s="119"/>
      <c r="J423" s="119"/>
      <c r="K423" s="119"/>
      <c r="L423" s="119"/>
      <c r="M423" s="105"/>
      <c r="N423" s="105"/>
      <c r="O423" s="105"/>
      <c r="P423" s="105"/>
      <c r="Q423" s="105"/>
      <c r="R423" s="105"/>
      <c r="S423" s="105"/>
      <c r="T423" s="105"/>
      <c r="U423" s="105"/>
      <c r="V423" s="105"/>
      <c r="W423" s="105"/>
      <c r="X423" s="105"/>
      <c r="Y423" s="105"/>
      <c r="Z423" s="105"/>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14"/>
      <c r="BK423" s="214"/>
    </row>
    <row r="424" spans="1:63" ht="12.75" hidden="1" customHeight="1" outlineLevel="1">
      <c r="A424" s="9"/>
      <c r="B424" s="44"/>
      <c r="C424" s="128">
        <f>Asset27</f>
        <v>0</v>
      </c>
      <c r="D424" s="9"/>
      <c r="E424" s="9"/>
      <c r="F424" s="27"/>
      <c r="G424" s="194">
        <f>-Input!N34</f>
        <v>0</v>
      </c>
      <c r="H424" s="119"/>
      <c r="I424" s="119"/>
      <c r="J424" s="119"/>
      <c r="K424" s="119"/>
      <c r="L424" s="119"/>
      <c r="M424" s="105"/>
      <c r="N424" s="105"/>
      <c r="O424" s="105"/>
      <c r="P424" s="105"/>
      <c r="Q424" s="105"/>
      <c r="R424" s="105"/>
      <c r="S424" s="105"/>
      <c r="T424" s="105"/>
      <c r="U424" s="105"/>
      <c r="V424" s="105"/>
      <c r="W424" s="105"/>
      <c r="X424" s="105"/>
      <c r="Y424" s="105"/>
      <c r="Z424" s="105"/>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14"/>
      <c r="BK424" s="214"/>
    </row>
    <row r="425" spans="1:63" ht="12.75" hidden="1" customHeight="1" outlineLevel="1">
      <c r="A425" s="9"/>
      <c r="B425" s="44"/>
      <c r="C425" s="128">
        <f>Asset28</f>
        <v>0</v>
      </c>
      <c r="D425" s="9"/>
      <c r="E425" s="9"/>
      <c r="F425" s="27"/>
      <c r="G425" s="194">
        <f>-Input!N35</f>
        <v>0</v>
      </c>
      <c r="H425" s="119"/>
      <c r="I425" s="119"/>
      <c r="J425" s="119"/>
      <c r="K425" s="119"/>
      <c r="L425" s="119"/>
      <c r="M425" s="105"/>
      <c r="N425" s="105"/>
      <c r="O425" s="105"/>
      <c r="P425" s="105"/>
      <c r="Q425" s="105"/>
      <c r="R425" s="105"/>
      <c r="S425" s="105"/>
      <c r="T425" s="105"/>
      <c r="U425" s="105"/>
      <c r="V425" s="105"/>
      <c r="W425" s="105"/>
      <c r="X425" s="105"/>
      <c r="Y425" s="105"/>
      <c r="Z425" s="105"/>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14"/>
      <c r="BK425" s="214"/>
    </row>
    <row r="426" spans="1:63" ht="12.75" hidden="1" customHeight="1" outlineLevel="1">
      <c r="A426" s="9"/>
      <c r="B426" s="44"/>
      <c r="C426" s="128">
        <f>Asset29</f>
        <v>0</v>
      </c>
      <c r="D426" s="9"/>
      <c r="E426" s="9"/>
      <c r="F426" s="27"/>
      <c r="G426" s="194">
        <f>-Input!N36</f>
        <v>0</v>
      </c>
      <c r="H426" s="119"/>
      <c r="I426" s="119"/>
      <c r="J426" s="119"/>
      <c r="K426" s="119"/>
      <c r="L426" s="119"/>
      <c r="M426" s="105"/>
      <c r="N426" s="105"/>
      <c r="O426" s="105"/>
      <c r="P426" s="105"/>
      <c r="Q426" s="105"/>
      <c r="R426" s="105"/>
      <c r="S426" s="105"/>
      <c r="T426" s="105"/>
      <c r="U426" s="105"/>
      <c r="V426" s="105"/>
      <c r="W426" s="105"/>
      <c r="X426" s="105"/>
      <c r="Y426" s="105"/>
      <c r="Z426" s="105"/>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14"/>
      <c r="BK426" s="214"/>
    </row>
    <row r="427" spans="1:63" ht="12.75" hidden="1" customHeight="1" outlineLevel="1">
      <c r="A427" s="9"/>
      <c r="B427" s="44"/>
      <c r="C427" s="128">
        <f>Asset30</f>
        <v>0</v>
      </c>
      <c r="D427" s="9"/>
      <c r="E427" s="9"/>
      <c r="F427" s="27"/>
      <c r="G427" s="194">
        <f>-Input!N37</f>
        <v>0</v>
      </c>
      <c r="H427" s="119"/>
      <c r="I427" s="119"/>
      <c r="J427" s="119"/>
      <c r="K427" s="119"/>
      <c r="L427" s="119"/>
      <c r="M427" s="105"/>
      <c r="N427" s="105"/>
      <c r="O427" s="105"/>
      <c r="P427" s="105"/>
      <c r="Q427" s="105"/>
      <c r="R427" s="105"/>
      <c r="S427" s="105"/>
      <c r="T427" s="105"/>
      <c r="U427" s="105"/>
      <c r="V427" s="105"/>
      <c r="W427" s="105"/>
      <c r="X427" s="105"/>
      <c r="Y427" s="105"/>
      <c r="Z427" s="105"/>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14"/>
      <c r="BK427" s="214"/>
    </row>
    <row r="428" spans="1:63" collapsed="1">
      <c r="A428" s="9"/>
      <c r="B428" s="44"/>
      <c r="C428" s="128"/>
      <c r="D428" s="9"/>
      <c r="E428" s="9"/>
      <c r="F428" s="27"/>
      <c r="G428" s="195"/>
      <c r="H428" s="119"/>
      <c r="I428" s="119"/>
      <c r="J428" s="119"/>
      <c r="K428" s="119"/>
      <c r="L428" s="119"/>
      <c r="M428" s="105"/>
      <c r="N428" s="105"/>
      <c r="O428" s="105"/>
      <c r="P428" s="105"/>
      <c r="Q428" s="105"/>
      <c r="R428" s="105"/>
      <c r="S428" s="105"/>
      <c r="T428" s="105"/>
      <c r="U428" s="105"/>
      <c r="V428" s="105"/>
      <c r="W428" s="105"/>
      <c r="X428" s="105"/>
      <c r="Y428" s="105"/>
      <c r="Z428" s="105"/>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14"/>
      <c r="BK428" s="214"/>
    </row>
    <row r="429" spans="1:63">
      <c r="A429" s="9"/>
      <c r="B429" s="345" t="s">
        <v>155</v>
      </c>
      <c r="C429" s="347"/>
      <c r="D429" s="346"/>
      <c r="E429" s="346"/>
      <c r="F429" s="354"/>
      <c r="G429" s="193">
        <f>SUM(G430:G459)</f>
        <v>27.129728637429164</v>
      </c>
      <c r="H429" s="119"/>
      <c r="I429" s="119"/>
      <c r="J429" s="119"/>
      <c r="K429" s="119"/>
      <c r="L429" s="119"/>
      <c r="M429" s="105"/>
      <c r="N429" s="105"/>
      <c r="O429" s="105"/>
      <c r="P429" s="105"/>
      <c r="Q429" s="105"/>
      <c r="R429" s="105"/>
      <c r="S429" s="105"/>
      <c r="T429" s="105"/>
      <c r="U429" s="105"/>
      <c r="V429" s="105"/>
      <c r="W429" s="105"/>
      <c r="X429" s="105"/>
      <c r="Y429" s="105"/>
      <c r="Z429" s="105"/>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14"/>
      <c r="BK429" s="214"/>
    </row>
    <row r="430" spans="1:63" hidden="1" outlineLevel="1">
      <c r="A430" s="9"/>
      <c r="B430" s="9"/>
      <c r="C430" s="128" t="str">
        <f>Asset1</f>
        <v>Sub-transmission lines and cables</v>
      </c>
      <c r="D430" s="9"/>
      <c r="E430" s="9"/>
      <c r="F430" s="139"/>
      <c r="G430" s="191">
        <f>Input!O7</f>
        <v>-13.906548058546541</v>
      </c>
      <c r="H430" s="119"/>
      <c r="I430" s="119"/>
      <c r="J430" s="119"/>
      <c r="K430" s="119"/>
      <c r="L430" s="119"/>
      <c r="M430" s="105"/>
      <c r="N430" s="105"/>
      <c r="O430" s="105"/>
      <c r="P430" s="105"/>
      <c r="Q430" s="105"/>
      <c r="R430" s="105"/>
      <c r="S430" s="105"/>
      <c r="T430" s="105"/>
      <c r="U430" s="105"/>
      <c r="V430" s="105"/>
      <c r="W430" s="105"/>
      <c r="X430" s="105"/>
      <c r="Y430" s="105"/>
      <c r="Z430" s="105"/>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14"/>
      <c r="BK430" s="214"/>
    </row>
    <row r="431" spans="1:63" hidden="1" outlineLevel="1">
      <c r="A431" s="9"/>
      <c r="B431" s="44"/>
      <c r="C431" s="128" t="str">
        <f>Asset2</f>
        <v>Cable tunnel (dx)</v>
      </c>
      <c r="D431" s="9"/>
      <c r="E431" s="9"/>
      <c r="F431" s="139"/>
      <c r="G431" s="191">
        <f>Input!O8</f>
        <v>0</v>
      </c>
      <c r="H431" s="119"/>
      <c r="I431" s="119"/>
      <c r="J431" s="119"/>
      <c r="K431" s="119"/>
      <c r="L431" s="119"/>
      <c r="M431" s="105"/>
      <c r="N431" s="105"/>
      <c r="O431" s="105"/>
      <c r="P431" s="105"/>
      <c r="Q431" s="105"/>
      <c r="R431" s="105"/>
      <c r="S431" s="105"/>
      <c r="T431" s="105"/>
      <c r="U431" s="105"/>
      <c r="V431" s="105"/>
      <c r="W431" s="105"/>
      <c r="X431" s="105"/>
      <c r="Y431" s="105"/>
      <c r="Z431" s="105"/>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14"/>
      <c r="BK431" s="214"/>
    </row>
    <row r="432" spans="1:63" hidden="1" outlineLevel="1">
      <c r="A432" s="9"/>
      <c r="B432" s="44"/>
      <c r="C432" s="128" t="str">
        <f>Asset3</f>
        <v>Distribution lines and cables</v>
      </c>
      <c r="D432" s="9"/>
      <c r="E432" s="9"/>
      <c r="F432" s="139"/>
      <c r="G432" s="191">
        <f>Input!O9</f>
        <v>12.2233474467562</v>
      </c>
      <c r="H432" s="119"/>
      <c r="I432" s="119"/>
      <c r="J432" s="119"/>
      <c r="K432" s="119"/>
      <c r="L432" s="119"/>
      <c r="M432" s="105"/>
      <c r="N432" s="105"/>
      <c r="O432" s="105"/>
      <c r="P432" s="105"/>
      <c r="Q432" s="105"/>
      <c r="R432" s="105"/>
      <c r="S432" s="105"/>
      <c r="T432" s="105"/>
      <c r="U432" s="105"/>
      <c r="V432" s="105"/>
      <c r="W432" s="105"/>
      <c r="X432" s="105"/>
      <c r="Y432" s="105"/>
      <c r="Z432" s="105"/>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14"/>
      <c r="BK432" s="214"/>
    </row>
    <row r="433" spans="1:63" hidden="1" outlineLevel="1">
      <c r="A433" s="9"/>
      <c r="B433" s="44"/>
      <c r="C433" s="128" t="str">
        <f>Asset4</f>
        <v>Substations</v>
      </c>
      <c r="D433" s="9"/>
      <c r="E433" s="9"/>
      <c r="F433" s="139"/>
      <c r="G433" s="191">
        <f>Input!O10</f>
        <v>55.805376788684697</v>
      </c>
      <c r="H433" s="119"/>
      <c r="I433" s="119"/>
      <c r="J433" s="119"/>
      <c r="K433" s="119"/>
      <c r="L433" s="119"/>
      <c r="M433" s="105"/>
      <c r="N433" s="105"/>
      <c r="O433" s="105"/>
      <c r="P433" s="105"/>
      <c r="Q433" s="105"/>
      <c r="R433" s="105"/>
      <c r="S433" s="105"/>
      <c r="T433" s="105"/>
      <c r="U433" s="105"/>
      <c r="V433" s="105"/>
      <c r="W433" s="105"/>
      <c r="X433" s="105"/>
      <c r="Y433" s="105"/>
      <c r="Z433" s="105"/>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14"/>
      <c r="BK433" s="214"/>
    </row>
    <row r="434" spans="1:63" hidden="1" outlineLevel="1">
      <c r="A434" s="9"/>
      <c r="B434" s="44"/>
      <c r="C434" s="128" t="str">
        <f>Asset5</f>
        <v>Transformers</v>
      </c>
      <c r="D434" s="9"/>
      <c r="E434" s="9"/>
      <c r="F434" s="139"/>
      <c r="G434" s="191">
        <f>Input!O11</f>
        <v>-5.3468658549369792</v>
      </c>
      <c r="H434" s="119"/>
      <c r="I434" s="119"/>
      <c r="J434" s="119"/>
      <c r="K434" s="119"/>
      <c r="L434" s="119"/>
      <c r="M434" s="105"/>
      <c r="N434" s="105"/>
      <c r="O434" s="105"/>
      <c r="P434" s="105"/>
      <c r="Q434" s="105"/>
      <c r="R434" s="105"/>
      <c r="S434" s="105"/>
      <c r="T434" s="105"/>
      <c r="U434" s="105"/>
      <c r="V434" s="105"/>
      <c r="W434" s="105"/>
      <c r="X434" s="105"/>
      <c r="Y434" s="105"/>
      <c r="Z434" s="105"/>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14"/>
      <c r="BK434" s="214"/>
    </row>
    <row r="435" spans="1:63" hidden="1" outlineLevel="1">
      <c r="A435" s="9"/>
      <c r="B435" s="44"/>
      <c r="C435" s="128" t="str">
        <f>Asset6</f>
        <v>Low Voltage Lines and Cables</v>
      </c>
      <c r="D435" s="9"/>
      <c r="E435" s="9"/>
      <c r="F435" s="139"/>
      <c r="G435" s="191">
        <f>Input!O12</f>
        <v>-14.408826893958135</v>
      </c>
      <c r="H435" s="119"/>
      <c r="I435" s="119"/>
      <c r="J435" s="119"/>
      <c r="K435" s="119"/>
      <c r="L435" s="119"/>
      <c r="M435" s="105"/>
      <c r="N435" s="105"/>
      <c r="O435" s="105"/>
      <c r="P435" s="105"/>
      <c r="Q435" s="105"/>
      <c r="R435" s="105"/>
      <c r="S435" s="105"/>
      <c r="T435" s="105"/>
      <c r="U435" s="105"/>
      <c r="V435" s="105"/>
      <c r="W435" s="105"/>
      <c r="X435" s="105"/>
      <c r="Y435" s="105"/>
      <c r="Z435" s="105"/>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14"/>
      <c r="BK435" s="214"/>
    </row>
    <row r="436" spans="1:63" hidden="1" outlineLevel="1">
      <c r="A436" s="9"/>
      <c r="B436" s="44"/>
      <c r="C436" s="128" t="str">
        <f>Asset7</f>
        <v>Customer Metering and Load Control</v>
      </c>
      <c r="D436" s="9"/>
      <c r="E436" s="9"/>
      <c r="F436" s="139"/>
      <c r="G436" s="191">
        <f>Input!O13</f>
        <v>3.612680543317369</v>
      </c>
      <c r="H436" s="119"/>
      <c r="I436" s="119"/>
      <c r="J436" s="119"/>
      <c r="K436" s="119"/>
      <c r="L436" s="119"/>
      <c r="M436" s="105"/>
      <c r="N436" s="105"/>
      <c r="O436" s="105"/>
      <c r="P436" s="105"/>
      <c r="Q436" s="105"/>
      <c r="R436" s="105"/>
      <c r="S436" s="105"/>
      <c r="T436" s="105"/>
      <c r="U436" s="105"/>
      <c r="V436" s="105"/>
      <c r="W436" s="105"/>
      <c r="X436" s="105"/>
      <c r="Y436" s="105"/>
      <c r="Z436" s="105"/>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14"/>
      <c r="BK436" s="214"/>
    </row>
    <row r="437" spans="1:63" hidden="1" outlineLevel="1">
      <c r="A437" s="9"/>
      <c r="B437" s="44"/>
      <c r="C437" s="128" t="str">
        <f>Asset8</f>
        <v>Customer Metering (digital)</v>
      </c>
      <c r="D437" s="9"/>
      <c r="E437" s="9"/>
      <c r="F437" s="139"/>
      <c r="G437" s="191">
        <f>Input!O14</f>
        <v>0</v>
      </c>
      <c r="H437" s="119"/>
      <c r="I437" s="119"/>
      <c r="J437" s="119"/>
      <c r="K437" s="119"/>
      <c r="L437" s="119"/>
      <c r="M437" s="105"/>
      <c r="N437" s="105"/>
      <c r="O437" s="105"/>
      <c r="P437" s="105"/>
      <c r="Q437" s="105"/>
      <c r="R437" s="105"/>
      <c r="S437" s="105"/>
      <c r="T437" s="105"/>
      <c r="U437" s="105"/>
      <c r="V437" s="105"/>
      <c r="W437" s="105"/>
      <c r="X437" s="105"/>
      <c r="Y437" s="105"/>
      <c r="Z437" s="105"/>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14"/>
      <c r="BK437" s="214"/>
    </row>
    <row r="438" spans="1:63" hidden="1" outlineLevel="1">
      <c r="A438" s="9"/>
      <c r="B438" s="44"/>
      <c r="C438" s="128" t="str">
        <f>Asset9</f>
        <v>Communications (digital) - dx</v>
      </c>
      <c r="D438" s="9"/>
      <c r="E438" s="9"/>
      <c r="F438" s="139"/>
      <c r="G438" s="191">
        <f>Input!O15</f>
        <v>0</v>
      </c>
      <c r="H438" s="119"/>
      <c r="I438" s="119"/>
      <c r="J438" s="119"/>
      <c r="K438" s="119"/>
      <c r="L438" s="119"/>
      <c r="M438" s="105"/>
      <c r="N438" s="105"/>
      <c r="O438" s="105"/>
      <c r="P438" s="105"/>
      <c r="Q438" s="105"/>
      <c r="R438" s="105"/>
      <c r="S438" s="105"/>
      <c r="T438" s="105"/>
      <c r="U438" s="105"/>
      <c r="V438" s="105"/>
      <c r="W438" s="105"/>
      <c r="X438" s="105"/>
      <c r="Y438" s="105"/>
      <c r="Z438" s="105"/>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14"/>
      <c r="BK438" s="214"/>
    </row>
    <row r="439" spans="1:63" hidden="1" outlineLevel="1">
      <c r="A439" s="9"/>
      <c r="B439" s="44"/>
      <c r="C439" s="128" t="str">
        <f>Asset10</f>
        <v>Total Communications</v>
      </c>
      <c r="D439" s="9"/>
      <c r="E439" s="9"/>
      <c r="F439" s="139"/>
      <c r="G439" s="191">
        <f>Input!O16</f>
        <v>6.7566642408488242</v>
      </c>
      <c r="H439" s="119"/>
      <c r="I439" s="119"/>
      <c r="J439" s="119"/>
      <c r="K439" s="119"/>
      <c r="L439" s="119"/>
      <c r="M439" s="105"/>
      <c r="N439" s="105"/>
      <c r="O439" s="105"/>
      <c r="P439" s="105"/>
      <c r="Q439" s="105"/>
      <c r="R439" s="105"/>
      <c r="S439" s="105"/>
      <c r="T439" s="105"/>
      <c r="U439" s="105"/>
      <c r="V439" s="105"/>
      <c r="W439" s="105"/>
      <c r="X439" s="105"/>
      <c r="Y439" s="105"/>
      <c r="Z439" s="105"/>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14"/>
      <c r="BK439" s="214"/>
    </row>
    <row r="440" spans="1:63" hidden="1" outlineLevel="1">
      <c r="A440" s="9"/>
      <c r="B440" s="44"/>
      <c r="C440" s="128" t="str">
        <f>Asset11</f>
        <v>System IT (dx)</v>
      </c>
      <c r="D440" s="9"/>
      <c r="E440" s="9"/>
      <c r="F440" s="139"/>
      <c r="G440" s="191">
        <f>Input!O17</f>
        <v>0</v>
      </c>
      <c r="H440" s="119"/>
      <c r="I440" s="119"/>
      <c r="J440" s="119"/>
      <c r="K440" s="119"/>
      <c r="L440" s="119"/>
      <c r="M440" s="105"/>
      <c r="N440" s="105"/>
      <c r="O440" s="105"/>
      <c r="P440" s="105"/>
      <c r="Q440" s="105"/>
      <c r="R440" s="105"/>
      <c r="S440" s="105"/>
      <c r="T440" s="105"/>
      <c r="U440" s="105"/>
      <c r="V440" s="105"/>
      <c r="W440" s="105"/>
      <c r="X440" s="105"/>
      <c r="Y440" s="105"/>
      <c r="Z440" s="105"/>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14"/>
      <c r="BK440" s="214"/>
    </row>
    <row r="441" spans="1:63" hidden="1" outlineLevel="1">
      <c r="A441" s="9"/>
      <c r="B441" s="44"/>
      <c r="C441" s="128" t="str">
        <f>Asset12</f>
        <v>Ancillary substation equipment (dx)</v>
      </c>
      <c r="D441" s="9"/>
      <c r="E441" s="9"/>
      <c r="F441" s="139"/>
      <c r="G441" s="191">
        <f>Input!O18</f>
        <v>0</v>
      </c>
      <c r="H441" s="119"/>
      <c r="I441" s="119"/>
      <c r="J441" s="119"/>
      <c r="K441" s="119"/>
      <c r="L441" s="119"/>
      <c r="M441" s="105"/>
      <c r="N441" s="105"/>
      <c r="O441" s="105"/>
      <c r="P441" s="105"/>
      <c r="Q441" s="105"/>
      <c r="R441" s="105"/>
      <c r="S441" s="105"/>
      <c r="T441" s="105"/>
      <c r="U441" s="105"/>
      <c r="V441" s="105"/>
      <c r="W441" s="105"/>
      <c r="X441" s="105"/>
      <c r="Y441" s="105"/>
      <c r="Z441" s="105"/>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14"/>
      <c r="BK441" s="214"/>
    </row>
    <row r="442" spans="1:63" hidden="1" outlineLevel="1">
      <c r="A442" s="9"/>
      <c r="B442" s="44"/>
      <c r="C442" s="128" t="str">
        <f>Asset13</f>
        <v>Land and Easements</v>
      </c>
      <c r="D442" s="9"/>
      <c r="E442" s="9"/>
      <c r="F442" s="139"/>
      <c r="G442" s="191">
        <f>Input!O19</f>
        <v>6.704083661215817</v>
      </c>
      <c r="H442" s="119"/>
      <c r="I442" s="119"/>
      <c r="J442" s="119"/>
      <c r="K442" s="119"/>
      <c r="L442" s="119"/>
      <c r="M442" s="105"/>
      <c r="N442" s="105"/>
      <c r="O442" s="105"/>
      <c r="P442" s="105"/>
      <c r="Q442" s="105"/>
      <c r="R442" s="105"/>
      <c r="S442" s="105"/>
      <c r="T442" s="105"/>
      <c r="U442" s="105"/>
      <c r="V442" s="105"/>
      <c r="W442" s="105"/>
      <c r="X442" s="105"/>
      <c r="Y442" s="105"/>
      <c r="Z442" s="105"/>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14"/>
      <c r="BK442" s="214"/>
    </row>
    <row r="443" spans="1:63" hidden="1" outlineLevel="1">
      <c r="A443" s="9"/>
      <c r="B443" s="44"/>
      <c r="C443" s="128" t="str">
        <f>Asset14</f>
        <v>Emergency Spares (Major Plant, Excludes Inventory)</v>
      </c>
      <c r="D443" s="9"/>
      <c r="E443" s="9"/>
      <c r="F443" s="139"/>
      <c r="G443" s="191">
        <f>Input!O20</f>
        <v>-12.028820812831013</v>
      </c>
      <c r="H443" s="119"/>
      <c r="I443" s="119"/>
      <c r="J443" s="119"/>
      <c r="K443" s="119"/>
      <c r="L443" s="119"/>
      <c r="M443" s="105"/>
      <c r="N443" s="105"/>
      <c r="O443" s="105"/>
      <c r="P443" s="105"/>
      <c r="Q443" s="105"/>
      <c r="R443" s="105"/>
      <c r="S443" s="105"/>
      <c r="T443" s="105"/>
      <c r="U443" s="105"/>
      <c r="V443" s="105"/>
      <c r="W443" s="105"/>
      <c r="X443" s="105"/>
      <c r="Y443" s="105"/>
      <c r="Z443" s="105"/>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14"/>
      <c r="BK443" s="214"/>
    </row>
    <row r="444" spans="1:63" hidden="1" outlineLevel="1">
      <c r="A444" s="9"/>
      <c r="B444" s="44"/>
      <c r="C444" s="128" t="str">
        <f>Asset15</f>
        <v>Furniture, fittings, plant and equipment</v>
      </c>
      <c r="D444" s="9"/>
      <c r="E444" s="9"/>
      <c r="F444" s="139"/>
      <c r="G444" s="191">
        <f>Input!O21</f>
        <v>-0.20017774486448836</v>
      </c>
      <c r="H444" s="119"/>
      <c r="I444" s="119"/>
      <c r="J444" s="119"/>
      <c r="K444" s="119"/>
      <c r="L444" s="119"/>
      <c r="M444" s="105"/>
      <c r="N444" s="105"/>
      <c r="O444" s="105"/>
      <c r="P444" s="105"/>
      <c r="Q444" s="105"/>
      <c r="R444" s="105"/>
      <c r="S444" s="105"/>
      <c r="T444" s="105"/>
      <c r="U444" s="105"/>
      <c r="V444" s="105"/>
      <c r="W444" s="105"/>
      <c r="X444" s="105"/>
      <c r="Y444" s="105"/>
      <c r="Z444" s="105"/>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14"/>
      <c r="BK444" s="214"/>
    </row>
    <row r="445" spans="1:63" hidden="1" outlineLevel="1">
      <c r="A445" s="9"/>
      <c r="B445" s="44"/>
      <c r="C445" s="128" t="str">
        <f>Asset16</f>
        <v>Land (non-system)</v>
      </c>
      <c r="D445" s="9"/>
      <c r="E445" s="9"/>
      <c r="F445" s="139"/>
      <c r="G445" s="191">
        <f>Input!O22</f>
        <v>-1.9608297201348512</v>
      </c>
      <c r="H445" s="119"/>
      <c r="I445" s="119"/>
      <c r="J445" s="119"/>
      <c r="K445" s="119"/>
      <c r="L445" s="119"/>
      <c r="M445" s="105"/>
      <c r="N445" s="105"/>
      <c r="O445" s="105"/>
      <c r="P445" s="105"/>
      <c r="Q445" s="105"/>
      <c r="R445" s="105"/>
      <c r="S445" s="105"/>
      <c r="T445" s="105"/>
      <c r="U445" s="105"/>
      <c r="V445" s="105"/>
      <c r="W445" s="105"/>
      <c r="X445" s="105"/>
      <c r="Y445" s="105"/>
      <c r="Z445" s="105"/>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14"/>
      <c r="BK445" s="214"/>
    </row>
    <row r="446" spans="1:63" hidden="1" outlineLevel="1">
      <c r="A446" s="9"/>
      <c r="B446" s="44"/>
      <c r="C446" s="128" t="str">
        <f>Asset17</f>
        <v>Other non system assets</v>
      </c>
      <c r="D446" s="9"/>
      <c r="E446" s="9"/>
      <c r="F446" s="139"/>
      <c r="G446" s="191">
        <f>Input!O23</f>
        <v>-3.4070576477654524</v>
      </c>
      <c r="H446" s="119"/>
      <c r="I446" s="119"/>
      <c r="J446" s="119"/>
      <c r="K446" s="119"/>
      <c r="L446" s="119"/>
      <c r="M446" s="105"/>
      <c r="N446" s="105"/>
      <c r="O446" s="105"/>
      <c r="P446" s="105"/>
      <c r="Q446" s="105"/>
      <c r="R446" s="105"/>
      <c r="S446" s="105"/>
      <c r="T446" s="105"/>
      <c r="U446" s="105"/>
      <c r="V446" s="105"/>
      <c r="W446" s="105"/>
      <c r="X446" s="105"/>
      <c r="Y446" s="105"/>
      <c r="Z446" s="105"/>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14"/>
      <c r="BK446" s="214"/>
    </row>
    <row r="447" spans="1:63" hidden="1" outlineLevel="1">
      <c r="A447" s="9"/>
      <c r="B447" s="44"/>
      <c r="C447" s="128" t="str">
        <f>Asset18</f>
        <v>IT systems</v>
      </c>
      <c r="D447" s="9"/>
      <c r="E447" s="9"/>
      <c r="F447" s="139"/>
      <c r="G447" s="191">
        <f>Input!O24</f>
        <v>-9.6860685290715409</v>
      </c>
      <c r="H447" s="119"/>
      <c r="I447" s="119"/>
      <c r="J447" s="119"/>
      <c r="K447" s="119"/>
      <c r="L447" s="119"/>
      <c r="M447" s="105"/>
      <c r="N447" s="105"/>
      <c r="O447" s="105"/>
      <c r="P447" s="105"/>
      <c r="Q447" s="105"/>
      <c r="R447" s="105"/>
      <c r="S447" s="105"/>
      <c r="T447" s="105"/>
      <c r="U447" s="105"/>
      <c r="V447" s="105"/>
      <c r="W447" s="105"/>
      <c r="X447" s="105"/>
      <c r="Y447" s="105"/>
      <c r="Z447" s="105"/>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14"/>
      <c r="BK447" s="214"/>
    </row>
    <row r="448" spans="1:63" hidden="1" outlineLevel="1">
      <c r="A448" s="9"/>
      <c r="B448" s="44"/>
      <c r="C448" s="128" t="str">
        <f>Asset19</f>
        <v>Motor vehicles</v>
      </c>
      <c r="D448" s="9"/>
      <c r="E448" s="9"/>
      <c r="F448" s="139"/>
      <c r="G448" s="191">
        <f>Input!O25</f>
        <v>2.2773040420221129</v>
      </c>
      <c r="H448" s="119"/>
      <c r="I448" s="119"/>
      <c r="J448" s="119"/>
      <c r="K448" s="119"/>
      <c r="L448" s="119"/>
      <c r="M448" s="105"/>
      <c r="N448" s="105"/>
      <c r="O448" s="105"/>
      <c r="P448" s="105"/>
      <c r="Q448" s="105"/>
      <c r="R448" s="105"/>
      <c r="S448" s="105"/>
      <c r="T448" s="105"/>
      <c r="U448" s="105"/>
      <c r="V448" s="105"/>
      <c r="W448" s="105"/>
      <c r="X448" s="105"/>
      <c r="Y448" s="105"/>
      <c r="Z448" s="105"/>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14"/>
      <c r="BK448" s="214"/>
    </row>
    <row r="449" spans="1:63" hidden="1" outlineLevel="1">
      <c r="A449" s="9"/>
      <c r="B449" s="44"/>
      <c r="C449" s="128" t="str">
        <f>Asset20</f>
        <v>Buildings</v>
      </c>
      <c r="D449" s="9"/>
      <c r="E449" s="9"/>
      <c r="F449" s="139"/>
      <c r="G449" s="191">
        <f>Input!O26</f>
        <v>0.69546717669315772</v>
      </c>
      <c r="H449" s="119"/>
      <c r="I449" s="119"/>
      <c r="J449" s="119"/>
      <c r="K449" s="119"/>
      <c r="L449" s="119"/>
      <c r="M449" s="105"/>
      <c r="N449" s="105"/>
      <c r="O449" s="105"/>
      <c r="P449" s="105"/>
      <c r="Q449" s="105"/>
      <c r="R449" s="105"/>
      <c r="S449" s="105"/>
      <c r="T449" s="105"/>
      <c r="U449" s="105"/>
      <c r="V449" s="105"/>
      <c r="W449" s="105"/>
      <c r="X449" s="105"/>
      <c r="Y449" s="105"/>
      <c r="Z449" s="105"/>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14"/>
      <c r="BK449" s="214"/>
    </row>
    <row r="450" spans="1:63" hidden="1" outlineLevel="1">
      <c r="A450" s="9"/>
      <c r="B450" s="44"/>
      <c r="C450" s="128" t="str">
        <f>Asset21</f>
        <v>Equity raising costs</v>
      </c>
      <c r="D450" s="9"/>
      <c r="E450" s="9"/>
      <c r="F450" s="139"/>
      <c r="G450" s="191">
        <f>Input!O27</f>
        <v>0</v>
      </c>
      <c r="H450" s="119"/>
      <c r="I450" s="119"/>
      <c r="J450" s="119"/>
      <c r="K450" s="119"/>
      <c r="L450" s="119"/>
      <c r="M450" s="105"/>
      <c r="N450" s="105"/>
      <c r="O450" s="105"/>
      <c r="P450" s="105"/>
      <c r="Q450" s="105"/>
      <c r="R450" s="105"/>
      <c r="S450" s="105"/>
      <c r="T450" s="105"/>
      <c r="U450" s="105"/>
      <c r="V450" s="105"/>
      <c r="W450" s="105"/>
      <c r="X450" s="105"/>
      <c r="Y450" s="105"/>
      <c r="Z450" s="105"/>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14"/>
      <c r="BK450" s="214"/>
    </row>
    <row r="451" spans="1:63" hidden="1" outlineLevel="1">
      <c r="A451" s="9"/>
      <c r="B451" s="44"/>
      <c r="C451" s="128" t="str">
        <f>C419</f>
        <v>WIP</v>
      </c>
      <c r="D451" s="9"/>
      <c r="E451" s="9"/>
      <c r="F451" s="139"/>
      <c r="G451" s="191">
        <f>Input!O28</f>
        <v>0</v>
      </c>
      <c r="H451" s="119"/>
      <c r="I451" s="119"/>
      <c r="J451" s="119"/>
      <c r="K451" s="119"/>
      <c r="L451" s="119"/>
      <c r="M451" s="105"/>
      <c r="N451" s="105"/>
      <c r="O451" s="105"/>
      <c r="P451" s="105"/>
      <c r="Q451" s="105"/>
      <c r="R451" s="105"/>
      <c r="S451" s="105"/>
      <c r="T451" s="105"/>
      <c r="U451" s="105"/>
      <c r="V451" s="105"/>
      <c r="W451" s="105"/>
      <c r="X451" s="105"/>
      <c r="Y451" s="105"/>
      <c r="Z451" s="105"/>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14"/>
      <c r="BK451" s="214"/>
    </row>
    <row r="452" spans="1:63" hidden="1" outlineLevel="1">
      <c r="A452" s="9"/>
      <c r="B452" s="44"/>
      <c r="C452" s="128">
        <f>Asset23</f>
        <v>0</v>
      </c>
      <c r="D452" s="9"/>
      <c r="E452" s="9"/>
      <c r="F452" s="139"/>
      <c r="G452" s="191">
        <f>Input!O30</f>
        <v>0</v>
      </c>
      <c r="H452" s="119"/>
      <c r="I452" s="119"/>
      <c r="J452" s="119"/>
      <c r="K452" s="119"/>
      <c r="L452" s="119"/>
      <c r="M452" s="105"/>
      <c r="N452" s="105"/>
      <c r="O452" s="105"/>
      <c r="P452" s="105"/>
      <c r="Q452" s="105"/>
      <c r="R452" s="105"/>
      <c r="S452" s="105"/>
      <c r="T452" s="105"/>
      <c r="U452" s="105"/>
      <c r="V452" s="105"/>
      <c r="W452" s="105"/>
      <c r="X452" s="105"/>
      <c r="Y452" s="105"/>
      <c r="Z452" s="105"/>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14"/>
      <c r="BK452" s="214"/>
    </row>
    <row r="453" spans="1:63" hidden="1" outlineLevel="1">
      <c r="A453" s="9"/>
      <c r="B453" s="44"/>
      <c r="C453" s="128">
        <f>Asset24</f>
        <v>0</v>
      </c>
      <c r="D453" s="9"/>
      <c r="E453" s="9"/>
      <c r="F453" s="139"/>
      <c r="G453" s="191">
        <f>Input!O31</f>
        <v>0</v>
      </c>
      <c r="H453" s="119"/>
      <c r="I453" s="119"/>
      <c r="J453" s="119"/>
      <c r="K453" s="119"/>
      <c r="L453" s="119"/>
      <c r="M453" s="105"/>
      <c r="N453" s="105"/>
      <c r="O453" s="105"/>
      <c r="P453" s="105"/>
      <c r="Q453" s="105"/>
      <c r="R453" s="105"/>
      <c r="S453" s="105"/>
      <c r="T453" s="105"/>
      <c r="U453" s="105"/>
      <c r="V453" s="105"/>
      <c r="W453" s="105"/>
      <c r="X453" s="105"/>
      <c r="Y453" s="105"/>
      <c r="Z453" s="105"/>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14"/>
      <c r="BK453" s="214"/>
    </row>
    <row r="454" spans="1:63" hidden="1" outlineLevel="1">
      <c r="A454" s="9"/>
      <c r="B454" s="44"/>
      <c r="C454" s="128">
        <f>Asset25</f>
        <v>0</v>
      </c>
      <c r="D454" s="9"/>
      <c r="E454" s="9"/>
      <c r="F454" s="139"/>
      <c r="G454" s="191">
        <f>Input!O32</f>
        <v>0</v>
      </c>
      <c r="H454" s="119"/>
      <c r="I454" s="119"/>
      <c r="J454" s="119"/>
      <c r="K454" s="119"/>
      <c r="L454" s="119"/>
      <c r="M454" s="105"/>
      <c r="N454" s="105"/>
      <c r="O454" s="105"/>
      <c r="P454" s="105"/>
      <c r="Q454" s="105"/>
      <c r="R454" s="105"/>
      <c r="S454" s="105"/>
      <c r="T454" s="105"/>
      <c r="U454" s="105"/>
      <c r="V454" s="105"/>
      <c r="W454" s="105"/>
      <c r="X454" s="105"/>
      <c r="Y454" s="105"/>
      <c r="Z454" s="105"/>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14"/>
      <c r="BK454" s="214"/>
    </row>
    <row r="455" spans="1:63" hidden="1" outlineLevel="1">
      <c r="A455" s="9"/>
      <c r="B455" s="44"/>
      <c r="C455" s="128">
        <f>Asset26</f>
        <v>0</v>
      </c>
      <c r="D455" s="9"/>
      <c r="E455" s="9"/>
      <c r="F455" s="139"/>
      <c r="G455" s="191">
        <f>Input!O33</f>
        <v>0</v>
      </c>
      <c r="H455" s="119"/>
      <c r="I455" s="119"/>
      <c r="J455" s="119"/>
      <c r="K455" s="119"/>
      <c r="L455" s="119"/>
      <c r="M455" s="105"/>
      <c r="N455" s="105"/>
      <c r="O455" s="105"/>
      <c r="P455" s="105"/>
      <c r="Q455" s="105"/>
      <c r="R455" s="105"/>
      <c r="S455" s="105"/>
      <c r="T455" s="105"/>
      <c r="U455" s="105"/>
      <c r="V455" s="105"/>
      <c r="W455" s="105"/>
      <c r="X455" s="105"/>
      <c r="Y455" s="105"/>
      <c r="Z455" s="105"/>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14"/>
      <c r="BK455" s="214"/>
    </row>
    <row r="456" spans="1:63" hidden="1" outlineLevel="1">
      <c r="A456" s="9"/>
      <c r="B456" s="44"/>
      <c r="C456" s="128">
        <f>Asset27</f>
        <v>0</v>
      </c>
      <c r="D456" s="9"/>
      <c r="E456" s="9"/>
      <c r="F456" s="139"/>
      <c r="G456" s="191">
        <f>Input!O34</f>
        <v>0</v>
      </c>
      <c r="H456" s="119"/>
      <c r="I456" s="119"/>
      <c r="J456" s="119"/>
      <c r="K456" s="119"/>
      <c r="L456" s="119"/>
      <c r="M456" s="105"/>
      <c r="N456" s="105"/>
      <c r="O456" s="105"/>
      <c r="P456" s="105"/>
      <c r="Q456" s="105"/>
      <c r="R456" s="105"/>
      <c r="S456" s="105"/>
      <c r="T456" s="105"/>
      <c r="U456" s="105"/>
      <c r="V456" s="105"/>
      <c r="W456" s="105"/>
      <c r="X456" s="105"/>
      <c r="Y456" s="105"/>
      <c r="Z456" s="105"/>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14"/>
      <c r="BK456" s="214"/>
    </row>
    <row r="457" spans="1:63" hidden="1" outlineLevel="1">
      <c r="A457" s="9"/>
      <c r="B457" s="44"/>
      <c r="C457" s="128">
        <f>Asset28</f>
        <v>0</v>
      </c>
      <c r="D457" s="9"/>
      <c r="E457" s="9"/>
      <c r="F457" s="139"/>
      <c r="G457" s="191">
        <f>Input!O35</f>
        <v>0</v>
      </c>
      <c r="H457" s="119"/>
      <c r="I457" s="119"/>
      <c r="J457" s="119"/>
      <c r="K457" s="119"/>
      <c r="L457" s="119"/>
      <c r="M457" s="105"/>
      <c r="N457" s="105"/>
      <c r="O457" s="105"/>
      <c r="P457" s="105"/>
      <c r="Q457" s="105"/>
      <c r="R457" s="105"/>
      <c r="S457" s="105"/>
      <c r="T457" s="105"/>
      <c r="U457" s="105"/>
      <c r="V457" s="105"/>
      <c r="W457" s="105"/>
      <c r="X457" s="105"/>
      <c r="Y457" s="105"/>
      <c r="Z457" s="105"/>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14"/>
      <c r="BK457" s="214"/>
    </row>
    <row r="458" spans="1:63" hidden="1" outlineLevel="1">
      <c r="A458" s="9"/>
      <c r="B458" s="44"/>
      <c r="C458" s="128">
        <f>Asset29</f>
        <v>0</v>
      </c>
      <c r="D458" s="9"/>
      <c r="E458" s="9"/>
      <c r="F458" s="139"/>
      <c r="G458" s="191">
        <f>Input!O36</f>
        <v>0</v>
      </c>
      <c r="H458" s="119"/>
      <c r="I458" s="119"/>
      <c r="J458" s="119"/>
      <c r="K458" s="119"/>
      <c r="L458" s="119"/>
      <c r="M458" s="105"/>
      <c r="N458" s="105"/>
      <c r="O458" s="105"/>
      <c r="P458" s="105"/>
      <c r="Q458" s="105"/>
      <c r="R458" s="105"/>
      <c r="S458" s="105"/>
      <c r="T458" s="105"/>
      <c r="U458" s="105"/>
      <c r="V458" s="105"/>
      <c r="W458" s="105"/>
      <c r="X458" s="105"/>
      <c r="Y458" s="105"/>
      <c r="Z458" s="105"/>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14"/>
      <c r="BK458" s="214"/>
    </row>
    <row r="459" spans="1:63" hidden="1" outlineLevel="1">
      <c r="A459" s="9"/>
      <c r="B459" s="44"/>
      <c r="C459" s="128">
        <f>Asset30</f>
        <v>0</v>
      </c>
      <c r="D459" s="9"/>
      <c r="E459" s="9"/>
      <c r="F459" s="139"/>
      <c r="G459" s="191">
        <f>Input!O37</f>
        <v>0</v>
      </c>
      <c r="H459" s="119"/>
      <c r="I459" s="119"/>
      <c r="J459" s="119"/>
      <c r="K459" s="119"/>
      <c r="L459" s="119"/>
      <c r="M459" s="105"/>
      <c r="N459" s="105"/>
      <c r="O459" s="105"/>
      <c r="P459" s="105"/>
      <c r="Q459" s="105"/>
      <c r="R459" s="105"/>
      <c r="S459" s="105"/>
      <c r="T459" s="105"/>
      <c r="U459" s="105"/>
      <c r="V459" s="105"/>
      <c r="W459" s="105"/>
      <c r="X459" s="105"/>
      <c r="Y459" s="105"/>
      <c r="Z459" s="105"/>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14"/>
      <c r="BK459" s="214"/>
    </row>
    <row r="460" spans="1:63" collapsed="1">
      <c r="A460" s="9"/>
      <c r="B460" s="44"/>
      <c r="C460" s="128"/>
      <c r="D460" s="9"/>
      <c r="E460" s="9"/>
      <c r="F460" s="139"/>
      <c r="G460" s="191"/>
      <c r="H460" s="119"/>
      <c r="I460" s="119"/>
      <c r="J460" s="119"/>
      <c r="K460" s="119"/>
      <c r="L460" s="119"/>
      <c r="M460" s="105"/>
      <c r="N460" s="105"/>
      <c r="O460" s="105"/>
      <c r="P460" s="105"/>
      <c r="Q460" s="105"/>
      <c r="R460" s="105"/>
      <c r="S460" s="105"/>
      <c r="T460" s="105"/>
      <c r="U460" s="105"/>
      <c r="V460" s="105"/>
      <c r="W460" s="105"/>
      <c r="X460" s="105"/>
      <c r="Y460" s="105"/>
      <c r="Z460" s="105"/>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14"/>
      <c r="BK460" s="214"/>
    </row>
    <row r="461" spans="1:63">
      <c r="A461" s="9"/>
      <c r="B461" s="345" t="s">
        <v>156</v>
      </c>
      <c r="C461" s="347"/>
      <c r="D461" s="346"/>
      <c r="E461" s="346"/>
      <c r="F461" s="354"/>
      <c r="G461" s="193">
        <f>SUM(G462:G491)</f>
        <v>17.076304825199475</v>
      </c>
      <c r="H461" s="119"/>
      <c r="I461" s="119"/>
      <c r="J461" s="119"/>
      <c r="K461" s="119"/>
      <c r="L461" s="119"/>
      <c r="M461" s="105"/>
      <c r="N461" s="105"/>
      <c r="O461" s="105"/>
      <c r="P461" s="105"/>
      <c r="Q461" s="105"/>
      <c r="R461" s="105"/>
      <c r="S461" s="105"/>
      <c r="T461" s="105"/>
      <c r="U461" s="105"/>
      <c r="V461" s="105"/>
      <c r="W461" s="105"/>
      <c r="X461" s="105"/>
      <c r="Y461" s="105"/>
      <c r="Z461" s="105"/>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14"/>
      <c r="BK461" s="214"/>
    </row>
    <row r="462" spans="1:63" ht="12.75" hidden="1" customHeight="1" outlineLevel="1">
      <c r="A462" s="9"/>
      <c r="B462" s="9"/>
      <c r="C462" s="128" t="str">
        <f>Asset1</f>
        <v>Sub-transmission lines and cables</v>
      </c>
      <c r="D462" s="9"/>
      <c r="E462" s="9"/>
      <c r="F462" s="139"/>
      <c r="G462" s="191">
        <f>Input!P7</f>
        <v>-8.7532189093259447</v>
      </c>
      <c r="H462" s="119"/>
      <c r="I462" s="119"/>
      <c r="J462" s="119"/>
      <c r="K462" s="119"/>
      <c r="L462" s="119"/>
      <c r="M462" s="105"/>
      <c r="N462" s="105"/>
      <c r="O462" s="105"/>
      <c r="P462" s="105"/>
      <c r="Q462" s="105"/>
      <c r="R462" s="105"/>
      <c r="S462" s="105"/>
      <c r="T462" s="105"/>
      <c r="U462" s="105"/>
      <c r="V462" s="105"/>
      <c r="W462" s="105"/>
      <c r="X462" s="105"/>
      <c r="Y462" s="105"/>
      <c r="Z462" s="105"/>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14"/>
      <c r="BK462" s="214"/>
    </row>
    <row r="463" spans="1:63" ht="12.75" hidden="1" customHeight="1" outlineLevel="1">
      <c r="A463" s="9"/>
      <c r="B463" s="44"/>
      <c r="C463" s="128" t="str">
        <f>Asset2</f>
        <v>Cable tunnel (dx)</v>
      </c>
      <c r="D463" s="9"/>
      <c r="E463" s="9"/>
      <c r="F463" s="139"/>
      <c r="G463" s="191">
        <f>Input!P8</f>
        <v>0</v>
      </c>
      <c r="H463" s="119"/>
      <c r="I463" s="119"/>
      <c r="J463" s="119"/>
      <c r="K463" s="119"/>
      <c r="L463" s="119"/>
      <c r="M463" s="105"/>
      <c r="N463" s="105"/>
      <c r="O463" s="105"/>
      <c r="P463" s="105"/>
      <c r="Q463" s="105"/>
      <c r="R463" s="105"/>
      <c r="S463" s="105"/>
      <c r="T463" s="105"/>
      <c r="U463" s="105"/>
      <c r="V463" s="105"/>
      <c r="W463" s="105"/>
      <c r="X463" s="105"/>
      <c r="Y463" s="105"/>
      <c r="Z463" s="105"/>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14"/>
      <c r="BK463" s="214"/>
    </row>
    <row r="464" spans="1:63" ht="12.75" hidden="1" customHeight="1" outlineLevel="1">
      <c r="A464" s="9"/>
      <c r="B464" s="44"/>
      <c r="C464" s="128" t="str">
        <f>Asset3</f>
        <v>Distribution lines and cables</v>
      </c>
      <c r="D464" s="9"/>
      <c r="E464" s="9"/>
      <c r="F464" s="139"/>
      <c r="G464" s="191">
        <f>Input!P9</f>
        <v>7.6937594833573622</v>
      </c>
      <c r="H464" s="119"/>
      <c r="I464" s="119"/>
      <c r="J464" s="119"/>
      <c r="K464" s="119"/>
      <c r="L464" s="119"/>
      <c r="M464" s="105"/>
      <c r="N464" s="105"/>
      <c r="O464" s="105"/>
      <c r="P464" s="105"/>
      <c r="Q464" s="105"/>
      <c r="R464" s="105"/>
      <c r="S464" s="105"/>
      <c r="T464" s="105"/>
      <c r="U464" s="105"/>
      <c r="V464" s="105"/>
      <c r="W464" s="105"/>
      <c r="X464" s="105"/>
      <c r="Y464" s="105"/>
      <c r="Z464" s="105"/>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14"/>
      <c r="BK464" s="214"/>
    </row>
    <row r="465" spans="1:63" ht="12.75" hidden="1" customHeight="1" outlineLevel="1">
      <c r="A465" s="9"/>
      <c r="B465" s="44"/>
      <c r="C465" s="128" t="str">
        <f>Asset4</f>
        <v>Substations</v>
      </c>
      <c r="D465" s="9"/>
      <c r="E465" s="9"/>
      <c r="F465" s="139"/>
      <c r="G465" s="191">
        <f>Input!P10</f>
        <v>35.125660033840759</v>
      </c>
      <c r="H465" s="119"/>
      <c r="I465" s="119"/>
      <c r="J465" s="119"/>
      <c r="K465" s="119"/>
      <c r="L465" s="119"/>
      <c r="M465" s="105"/>
      <c r="N465" s="105"/>
      <c r="O465" s="105"/>
      <c r="P465" s="105"/>
      <c r="Q465" s="105"/>
      <c r="R465" s="105"/>
      <c r="S465" s="105"/>
      <c r="T465" s="105"/>
      <c r="U465" s="105"/>
      <c r="V465" s="105"/>
      <c r="W465" s="105"/>
      <c r="X465" s="105"/>
      <c r="Y465" s="105"/>
      <c r="Z465" s="105"/>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14"/>
      <c r="BK465" s="214"/>
    </row>
    <row r="466" spans="1:63" ht="12.75" hidden="1" customHeight="1" outlineLevel="1">
      <c r="A466" s="9"/>
      <c r="B466" s="44"/>
      <c r="C466" s="128" t="str">
        <f>Asset5</f>
        <v>Transformers</v>
      </c>
      <c r="D466" s="9"/>
      <c r="E466" s="9"/>
      <c r="F466" s="139"/>
      <c r="G466" s="191">
        <f>Input!P11</f>
        <v>-3.3654856050564135</v>
      </c>
      <c r="H466" s="119"/>
      <c r="I466" s="119"/>
      <c r="J466" s="119"/>
      <c r="K466" s="119"/>
      <c r="L466" s="119"/>
      <c r="M466" s="105"/>
      <c r="N466" s="105"/>
      <c r="O466" s="105"/>
      <c r="P466" s="105"/>
      <c r="Q466" s="105"/>
      <c r="R466" s="105"/>
      <c r="S466" s="105"/>
      <c r="T466" s="105"/>
      <c r="U466" s="105"/>
      <c r="V466" s="105"/>
      <c r="W466" s="105"/>
      <c r="X466" s="105"/>
      <c r="Y466" s="105"/>
      <c r="Z466" s="105"/>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14"/>
      <c r="BK466" s="214"/>
    </row>
    <row r="467" spans="1:63" ht="12.75" hidden="1" customHeight="1" outlineLevel="1">
      <c r="A467" s="9"/>
      <c r="B467" s="44"/>
      <c r="C467" s="128" t="str">
        <f>Asset6</f>
        <v>Low Voltage Lines and Cables</v>
      </c>
      <c r="D467" s="9"/>
      <c r="E467" s="9"/>
      <c r="F467" s="139"/>
      <c r="G467" s="191">
        <f>Input!P12</f>
        <v>-9.0693690122392976</v>
      </c>
      <c r="H467" s="119"/>
      <c r="I467" s="119"/>
      <c r="J467" s="119"/>
      <c r="K467" s="119"/>
      <c r="L467" s="119"/>
      <c r="M467" s="105"/>
      <c r="N467" s="105"/>
      <c r="O467" s="105"/>
      <c r="P467" s="105"/>
      <c r="Q467" s="105"/>
      <c r="R467" s="105"/>
      <c r="S467" s="105"/>
      <c r="T467" s="105"/>
      <c r="U467" s="105"/>
      <c r="V467" s="105"/>
      <c r="W467" s="105"/>
      <c r="X467" s="105"/>
      <c r="Y467" s="105"/>
      <c r="Z467" s="105"/>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14"/>
      <c r="BK467" s="214"/>
    </row>
    <row r="468" spans="1:63" ht="12.75" hidden="1" customHeight="1" outlineLevel="1">
      <c r="A468" s="9"/>
      <c r="B468" s="44"/>
      <c r="C468" s="128" t="str">
        <f>Asset7</f>
        <v>Customer Metering and Load Control</v>
      </c>
      <c r="D468" s="9"/>
      <c r="E468" s="9"/>
      <c r="F468" s="139"/>
      <c r="G468" s="191">
        <f>Input!P13</f>
        <v>2.2739348048119852</v>
      </c>
      <c r="H468" s="119"/>
      <c r="I468" s="119"/>
      <c r="J468" s="119"/>
      <c r="K468" s="119"/>
      <c r="L468" s="119"/>
      <c r="M468" s="105"/>
      <c r="N468" s="105"/>
      <c r="O468" s="105"/>
      <c r="P468" s="105"/>
      <c r="Q468" s="105"/>
      <c r="R468" s="105"/>
      <c r="S468" s="105"/>
      <c r="T468" s="105"/>
      <c r="U468" s="105"/>
      <c r="V468" s="105"/>
      <c r="W468" s="105"/>
      <c r="X468" s="105"/>
      <c r="Y468" s="105"/>
      <c r="Z468" s="105"/>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14"/>
      <c r="BK468" s="214"/>
    </row>
    <row r="469" spans="1:63" ht="12.75" hidden="1" customHeight="1" outlineLevel="1">
      <c r="A469" s="9"/>
      <c r="B469" s="44"/>
      <c r="C469" s="128" t="str">
        <f>Asset8</f>
        <v>Customer Metering (digital)</v>
      </c>
      <c r="D469" s="9"/>
      <c r="E469" s="9"/>
      <c r="F469" s="139"/>
      <c r="G469" s="191">
        <f>Input!P14</f>
        <v>0</v>
      </c>
      <c r="H469" s="119"/>
      <c r="I469" s="119"/>
      <c r="J469" s="119"/>
      <c r="K469" s="119"/>
      <c r="L469" s="119"/>
      <c r="M469" s="105"/>
      <c r="N469" s="105"/>
      <c r="O469" s="105"/>
      <c r="P469" s="105"/>
      <c r="Q469" s="105"/>
      <c r="R469" s="105"/>
      <c r="S469" s="105"/>
      <c r="T469" s="105"/>
      <c r="U469" s="105"/>
      <c r="V469" s="105"/>
      <c r="W469" s="105"/>
      <c r="X469" s="105"/>
      <c r="Y469" s="105"/>
      <c r="Z469" s="105"/>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14"/>
      <c r="BK469" s="214"/>
    </row>
    <row r="470" spans="1:63" ht="12.75" hidden="1" customHeight="1" outlineLevel="1">
      <c r="A470" s="9"/>
      <c r="B470" s="44"/>
      <c r="C470" s="128" t="str">
        <f>Asset9</f>
        <v>Communications (digital) - dx</v>
      </c>
      <c r="D470" s="9"/>
      <c r="E470" s="9"/>
      <c r="F470" s="139"/>
      <c r="G470" s="191">
        <f>Input!P15</f>
        <v>0</v>
      </c>
      <c r="H470" s="119"/>
      <c r="I470" s="119"/>
      <c r="J470" s="119"/>
      <c r="K470" s="119"/>
      <c r="L470" s="119"/>
      <c r="M470" s="105"/>
      <c r="N470" s="105"/>
      <c r="O470" s="105"/>
      <c r="P470" s="105"/>
      <c r="Q470" s="105"/>
      <c r="R470" s="105"/>
      <c r="S470" s="105"/>
      <c r="T470" s="105"/>
      <c r="U470" s="105"/>
      <c r="V470" s="105"/>
      <c r="W470" s="105"/>
      <c r="X470" s="105"/>
      <c r="Y470" s="105"/>
      <c r="Z470" s="105"/>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14"/>
      <c r="BK470" s="214"/>
    </row>
    <row r="471" spans="1:63" ht="12.75" hidden="1" customHeight="1" outlineLevel="1">
      <c r="A471" s="9"/>
      <c r="B471" s="44"/>
      <c r="C471" s="128" t="str">
        <f>Asset10</f>
        <v>Total Communications</v>
      </c>
      <c r="D471" s="9"/>
      <c r="E471" s="9"/>
      <c r="F471" s="139"/>
      <c r="G471" s="191">
        <f>Input!P16</f>
        <v>4.2528570676183826</v>
      </c>
      <c r="H471" s="119"/>
      <c r="I471" s="119"/>
      <c r="J471" s="119"/>
      <c r="K471" s="119"/>
      <c r="L471" s="119"/>
      <c r="M471" s="105"/>
      <c r="N471" s="105"/>
      <c r="O471" s="105"/>
      <c r="P471" s="105"/>
      <c r="Q471" s="105"/>
      <c r="R471" s="105"/>
      <c r="S471" s="105"/>
      <c r="T471" s="105"/>
      <c r="U471" s="105"/>
      <c r="V471" s="105"/>
      <c r="W471" s="105"/>
      <c r="X471" s="105"/>
      <c r="Y471" s="105"/>
      <c r="Z471" s="105"/>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14"/>
      <c r="BK471" s="214"/>
    </row>
    <row r="472" spans="1:63" ht="12.75" hidden="1" customHeight="1" outlineLevel="1">
      <c r="A472" s="9"/>
      <c r="B472" s="44"/>
      <c r="C472" s="128" t="str">
        <f>Asset11</f>
        <v>System IT (dx)</v>
      </c>
      <c r="D472" s="9"/>
      <c r="E472" s="9"/>
      <c r="F472" s="139"/>
      <c r="G472" s="191">
        <f>Input!P17</f>
        <v>0</v>
      </c>
      <c r="H472" s="119"/>
      <c r="I472" s="119"/>
      <c r="J472" s="119"/>
      <c r="K472" s="119"/>
      <c r="L472" s="119"/>
      <c r="M472" s="105"/>
      <c r="N472" s="105"/>
      <c r="O472" s="105"/>
      <c r="P472" s="105"/>
      <c r="Q472" s="105"/>
      <c r="R472" s="105"/>
      <c r="S472" s="105"/>
      <c r="T472" s="105"/>
      <c r="U472" s="105"/>
      <c r="V472" s="105"/>
      <c r="W472" s="105"/>
      <c r="X472" s="105"/>
      <c r="Y472" s="105"/>
      <c r="Z472" s="105"/>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14"/>
      <c r="BK472" s="214"/>
    </row>
    <row r="473" spans="1:63" ht="12.75" hidden="1" customHeight="1" outlineLevel="1">
      <c r="A473" s="9"/>
      <c r="B473" s="44"/>
      <c r="C473" s="128" t="str">
        <f>Asset12</f>
        <v>Ancillary substation equipment (dx)</v>
      </c>
      <c r="D473" s="9"/>
      <c r="E473" s="9"/>
      <c r="F473" s="139"/>
      <c r="G473" s="191">
        <f>Input!P18</f>
        <v>0</v>
      </c>
      <c r="H473" s="119"/>
      <c r="I473" s="119"/>
      <c r="J473" s="119"/>
      <c r="K473" s="119"/>
      <c r="L473" s="119"/>
      <c r="M473" s="105"/>
      <c r="N473" s="105"/>
      <c r="O473" s="105"/>
      <c r="P473" s="105"/>
      <c r="Q473" s="105"/>
      <c r="R473" s="105"/>
      <c r="S473" s="105"/>
      <c r="T473" s="105"/>
      <c r="U473" s="105"/>
      <c r="V473" s="105"/>
      <c r="W473" s="105"/>
      <c r="X473" s="105"/>
      <c r="Y473" s="105"/>
      <c r="Z473" s="105"/>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14"/>
      <c r="BK473" s="214"/>
    </row>
    <row r="474" spans="1:63" ht="12.75" hidden="1" customHeight="1" outlineLevel="1">
      <c r="A474" s="9"/>
      <c r="B474" s="44"/>
      <c r="C474" s="128" t="str">
        <f>Asset13</f>
        <v>Land and Easements</v>
      </c>
      <c r="D474" s="9"/>
      <c r="E474" s="9"/>
      <c r="F474" s="139"/>
      <c r="G474" s="191">
        <f>Input!P19</f>
        <v>4.2197611963806532</v>
      </c>
      <c r="H474" s="119"/>
      <c r="I474" s="119"/>
      <c r="J474" s="119"/>
      <c r="K474" s="119"/>
      <c r="L474" s="119"/>
      <c r="M474" s="105"/>
      <c r="N474" s="105"/>
      <c r="O474" s="105"/>
      <c r="P474" s="105"/>
      <c r="Q474" s="105"/>
      <c r="R474" s="105"/>
      <c r="S474" s="105"/>
      <c r="T474" s="105"/>
      <c r="U474" s="105"/>
      <c r="V474" s="105"/>
      <c r="W474" s="105"/>
      <c r="X474" s="105"/>
      <c r="Y474" s="105"/>
      <c r="Z474" s="105"/>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14"/>
      <c r="BK474" s="214"/>
    </row>
    <row r="475" spans="1:63" ht="12.75" hidden="1" customHeight="1" outlineLevel="1">
      <c r="A475" s="9"/>
      <c r="B475" s="44"/>
      <c r="C475" s="128" t="str">
        <f>Asset14</f>
        <v>Emergency Spares (Major Plant, Excludes Inventory)</v>
      </c>
      <c r="D475" s="9"/>
      <c r="E475" s="9"/>
      <c r="F475" s="139"/>
      <c r="G475" s="191">
        <f>Input!P20</f>
        <v>-7.5713182992998274</v>
      </c>
      <c r="H475" s="119"/>
      <c r="I475" s="119"/>
      <c r="J475" s="119"/>
      <c r="K475" s="119"/>
      <c r="L475" s="119"/>
      <c r="M475" s="105"/>
      <c r="N475" s="105"/>
      <c r="O475" s="105"/>
      <c r="P475" s="105"/>
      <c r="Q475" s="105"/>
      <c r="R475" s="105"/>
      <c r="S475" s="105"/>
      <c r="T475" s="105"/>
      <c r="U475" s="105"/>
      <c r="V475" s="105"/>
      <c r="W475" s="105"/>
      <c r="X475" s="105"/>
      <c r="Y475" s="105"/>
      <c r="Z475" s="105"/>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14"/>
      <c r="BK475" s="214"/>
    </row>
    <row r="476" spans="1:63" ht="12.75" hidden="1" customHeight="1" outlineLevel="1">
      <c r="A476" s="9"/>
      <c r="B476" s="44"/>
      <c r="C476" s="128" t="str">
        <f>Asset15</f>
        <v>Furniture, fittings, plant and equipment</v>
      </c>
      <c r="D476" s="9"/>
      <c r="E476" s="9"/>
      <c r="F476" s="139"/>
      <c r="G476" s="191">
        <f>Input!P21</f>
        <v>-0.12599817109158268</v>
      </c>
      <c r="H476" s="119"/>
      <c r="I476" s="119"/>
      <c r="J476" s="119"/>
      <c r="K476" s="119"/>
      <c r="L476" s="119"/>
      <c r="M476" s="105"/>
      <c r="N476" s="105"/>
      <c r="O476" s="105"/>
      <c r="P476" s="105"/>
      <c r="Q476" s="105"/>
      <c r="R476" s="105"/>
      <c r="S476" s="105"/>
      <c r="T476" s="105"/>
      <c r="U476" s="105"/>
      <c r="V476" s="105"/>
      <c r="W476" s="105"/>
      <c r="X476" s="105"/>
      <c r="Y476" s="105"/>
      <c r="Z476" s="105"/>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14"/>
      <c r="BK476" s="214"/>
    </row>
    <row r="477" spans="1:63" ht="12.75" hidden="1" customHeight="1" outlineLevel="1">
      <c r="A477" s="9"/>
      <c r="B477" s="44"/>
      <c r="C477" s="128" t="str">
        <f>Asset16</f>
        <v>Land (non-system)</v>
      </c>
      <c r="D477" s="9"/>
      <c r="E477" s="9"/>
      <c r="F477" s="139"/>
      <c r="G477" s="191">
        <f>Input!P22</f>
        <v>-1.2342079221956501</v>
      </c>
      <c r="H477" s="119"/>
      <c r="I477" s="119"/>
      <c r="J477" s="119"/>
      <c r="K477" s="119"/>
      <c r="L477" s="119"/>
      <c r="M477" s="105"/>
      <c r="N477" s="105"/>
      <c r="O477" s="105"/>
      <c r="P477" s="105"/>
      <c r="Q477" s="105"/>
      <c r="R477" s="105"/>
      <c r="S477" s="105"/>
      <c r="T477" s="105"/>
      <c r="U477" s="105"/>
      <c r="V477" s="105"/>
      <c r="W477" s="105"/>
      <c r="X477" s="105"/>
      <c r="Y477" s="105"/>
      <c r="Z477" s="105"/>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14"/>
      <c r="BK477" s="214"/>
    </row>
    <row r="478" spans="1:63" ht="12.75" hidden="1" customHeight="1" outlineLevel="1">
      <c r="A478" s="9"/>
      <c r="B478" s="44"/>
      <c r="C478" s="128" t="str">
        <f>Asset17</f>
        <v>Other non system assets</v>
      </c>
      <c r="D478" s="9"/>
      <c r="E478" s="9"/>
      <c r="F478" s="139"/>
      <c r="G478" s="191">
        <f>Input!P23</f>
        <v>-2.1445092845493021</v>
      </c>
      <c r="H478" s="119"/>
      <c r="I478" s="119"/>
      <c r="J478" s="119"/>
      <c r="K478" s="119"/>
      <c r="L478" s="119"/>
      <c r="M478" s="105"/>
      <c r="N478" s="105"/>
      <c r="O478" s="105"/>
      <c r="P478" s="105"/>
      <c r="Q478" s="105"/>
      <c r="R478" s="105"/>
      <c r="S478" s="105"/>
      <c r="T478" s="105"/>
      <c r="U478" s="105"/>
      <c r="V478" s="105"/>
      <c r="W478" s="105"/>
      <c r="X478" s="105"/>
      <c r="Y478" s="105"/>
      <c r="Z478" s="105"/>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14"/>
      <c r="BK478" s="214"/>
    </row>
    <row r="479" spans="1:63" ht="12.75" hidden="1" customHeight="1" outlineLevel="1">
      <c r="A479" s="9"/>
      <c r="B479" s="44"/>
      <c r="C479" s="128" t="str">
        <f>Asset18</f>
        <v>IT systems</v>
      </c>
      <c r="D479" s="9"/>
      <c r="E479" s="9"/>
      <c r="F479" s="139"/>
      <c r="G479" s="191">
        <f>Input!P24</f>
        <v>-6.0967162985921668</v>
      </c>
      <c r="H479" s="119"/>
      <c r="I479" s="119"/>
      <c r="J479" s="119"/>
      <c r="K479" s="119"/>
      <c r="L479" s="119"/>
      <c r="M479" s="105"/>
      <c r="N479" s="105"/>
      <c r="O479" s="105"/>
      <c r="P479" s="105"/>
      <c r="Q479" s="105"/>
      <c r="R479" s="105"/>
      <c r="S479" s="105"/>
      <c r="T479" s="105"/>
      <c r="U479" s="105"/>
      <c r="V479" s="105"/>
      <c r="W479" s="105"/>
      <c r="X479" s="105"/>
      <c r="Y479" s="105"/>
      <c r="Z479" s="105"/>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14"/>
      <c r="BK479" s="214"/>
    </row>
    <row r="480" spans="1:63" ht="12.75" hidden="1" customHeight="1" outlineLevel="1">
      <c r="A480" s="9"/>
      <c r="B480" s="44"/>
      <c r="C480" s="128" t="str">
        <f>Asset19</f>
        <v>Motor vehicles</v>
      </c>
      <c r="D480" s="9"/>
      <c r="E480" s="9"/>
      <c r="F480" s="139"/>
      <c r="G480" s="191">
        <f>Input!P25</f>
        <v>1.4334068180681037</v>
      </c>
      <c r="H480" s="119"/>
      <c r="I480" s="119"/>
      <c r="J480" s="119"/>
      <c r="K480" s="119"/>
      <c r="L480" s="119"/>
      <c r="M480" s="105"/>
      <c r="N480" s="105"/>
      <c r="O480" s="105"/>
      <c r="P480" s="105"/>
      <c r="Q480" s="105"/>
      <c r="R480" s="105"/>
      <c r="S480" s="105"/>
      <c r="T480" s="105"/>
      <c r="U480" s="105"/>
      <c r="V480" s="105"/>
      <c r="W480" s="105"/>
      <c r="X480" s="105"/>
      <c r="Y480" s="105"/>
      <c r="Z480" s="105"/>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14"/>
      <c r="BK480" s="214"/>
    </row>
    <row r="481" spans="1:63" ht="12.75" hidden="1" customHeight="1" outlineLevel="1">
      <c r="A481" s="9"/>
      <c r="B481" s="44"/>
      <c r="C481" s="128" t="str">
        <f>Asset20</f>
        <v>Buildings</v>
      </c>
      <c r="D481" s="9"/>
      <c r="E481" s="9"/>
      <c r="F481" s="139"/>
      <c r="G481" s="191">
        <f>Input!P26</f>
        <v>0.43774892347240957</v>
      </c>
      <c r="H481" s="119"/>
      <c r="I481" s="119"/>
      <c r="J481" s="119"/>
      <c r="K481" s="119"/>
      <c r="L481" s="119"/>
      <c r="M481" s="105"/>
      <c r="N481" s="105"/>
      <c r="O481" s="105"/>
      <c r="P481" s="105"/>
      <c r="Q481" s="105"/>
      <c r="R481" s="105"/>
      <c r="S481" s="105"/>
      <c r="T481" s="105"/>
      <c r="U481" s="105"/>
      <c r="V481" s="105"/>
      <c r="W481" s="105"/>
      <c r="X481" s="105"/>
      <c r="Y481" s="105"/>
      <c r="Z481" s="105"/>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14"/>
      <c r="BK481" s="214"/>
    </row>
    <row r="482" spans="1:63" ht="12.75" hidden="1" customHeight="1" outlineLevel="1">
      <c r="A482" s="9"/>
      <c r="B482" s="44"/>
      <c r="C482" s="128" t="str">
        <f>Asset21</f>
        <v>Equity raising costs</v>
      </c>
      <c r="D482" s="9"/>
      <c r="E482" s="9"/>
      <c r="F482" s="139"/>
      <c r="G482" s="191">
        <f>Input!P27</f>
        <v>0</v>
      </c>
      <c r="H482" s="119"/>
      <c r="I482" s="119"/>
      <c r="J482" s="119"/>
      <c r="K482" s="119"/>
      <c r="L482" s="119"/>
      <c r="M482" s="105"/>
      <c r="N482" s="105"/>
      <c r="O482" s="105"/>
      <c r="P482" s="105"/>
      <c r="Q482" s="105"/>
      <c r="R482" s="105"/>
      <c r="S482" s="105"/>
      <c r="T482" s="105"/>
      <c r="U482" s="105"/>
      <c r="V482" s="105"/>
      <c r="W482" s="105"/>
      <c r="X482" s="105"/>
      <c r="Y482" s="105"/>
      <c r="Z482" s="105"/>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14"/>
      <c r="BK482" s="214"/>
    </row>
    <row r="483" spans="1:63" ht="12.75" hidden="1" customHeight="1" outlineLevel="1">
      <c r="A483" s="9"/>
      <c r="B483" s="44"/>
      <c r="C483" s="128" t="str">
        <f>C355</f>
        <v>WIP</v>
      </c>
      <c r="D483" s="9"/>
      <c r="E483" s="9"/>
      <c r="F483" s="139"/>
      <c r="G483" s="191">
        <f>Input!P28</f>
        <v>0</v>
      </c>
      <c r="H483" s="119"/>
      <c r="I483" s="119"/>
      <c r="J483" s="119"/>
      <c r="K483" s="119"/>
      <c r="L483" s="119"/>
      <c r="M483" s="105"/>
      <c r="N483" s="105"/>
      <c r="O483" s="105"/>
      <c r="P483" s="105"/>
      <c r="Q483" s="105"/>
      <c r="R483" s="105"/>
      <c r="S483" s="105"/>
      <c r="T483" s="105"/>
      <c r="U483" s="105"/>
      <c r="V483" s="105"/>
      <c r="W483" s="105"/>
      <c r="X483" s="105"/>
      <c r="Y483" s="105"/>
      <c r="Z483" s="105"/>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14"/>
      <c r="BK483" s="214"/>
    </row>
    <row r="484" spans="1:63" ht="12.75" hidden="1" customHeight="1" outlineLevel="1">
      <c r="A484" s="9"/>
      <c r="B484" s="44"/>
      <c r="C484" s="128">
        <f>Asset23</f>
        <v>0</v>
      </c>
      <c r="D484" s="9"/>
      <c r="E484" s="9"/>
      <c r="F484" s="139"/>
      <c r="G484" s="191">
        <f>Input!P30</f>
        <v>0</v>
      </c>
      <c r="H484" s="119"/>
      <c r="I484" s="119"/>
      <c r="J484" s="119"/>
      <c r="K484" s="119"/>
      <c r="L484" s="119"/>
      <c r="M484" s="105"/>
      <c r="N484" s="105"/>
      <c r="O484" s="105"/>
      <c r="P484" s="105"/>
      <c r="Q484" s="105"/>
      <c r="R484" s="105"/>
      <c r="S484" s="105"/>
      <c r="T484" s="105"/>
      <c r="U484" s="105"/>
      <c r="V484" s="105"/>
      <c r="W484" s="105"/>
      <c r="X484" s="105"/>
      <c r="Y484" s="105"/>
      <c r="Z484" s="105"/>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14"/>
      <c r="BK484" s="214"/>
    </row>
    <row r="485" spans="1:63" ht="12.75" hidden="1" customHeight="1" outlineLevel="1">
      <c r="A485" s="9"/>
      <c r="B485" s="44"/>
      <c r="C485" s="128">
        <f>Asset24</f>
        <v>0</v>
      </c>
      <c r="D485" s="9"/>
      <c r="E485" s="9"/>
      <c r="F485" s="139"/>
      <c r="G485" s="191">
        <f>Input!P31</f>
        <v>0</v>
      </c>
      <c r="H485" s="119"/>
      <c r="I485" s="119"/>
      <c r="J485" s="119"/>
      <c r="K485" s="119"/>
      <c r="L485" s="119"/>
      <c r="M485" s="105"/>
      <c r="N485" s="105"/>
      <c r="O485" s="105"/>
      <c r="P485" s="105"/>
      <c r="Q485" s="105"/>
      <c r="R485" s="105"/>
      <c r="S485" s="105"/>
      <c r="T485" s="105"/>
      <c r="U485" s="105"/>
      <c r="V485" s="105"/>
      <c r="W485" s="105"/>
      <c r="X485" s="105"/>
      <c r="Y485" s="105"/>
      <c r="Z485" s="105"/>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14"/>
      <c r="BK485" s="214"/>
    </row>
    <row r="486" spans="1:63" ht="12.75" hidden="1" customHeight="1" outlineLevel="1">
      <c r="A486" s="9"/>
      <c r="B486" s="44"/>
      <c r="C486" s="128">
        <f>Asset25</f>
        <v>0</v>
      </c>
      <c r="D486" s="9"/>
      <c r="E486" s="9"/>
      <c r="F486" s="139"/>
      <c r="G486" s="191">
        <f>Input!P32</f>
        <v>0</v>
      </c>
      <c r="H486" s="119"/>
      <c r="I486" s="119"/>
      <c r="J486" s="119"/>
      <c r="K486" s="119"/>
      <c r="L486" s="119"/>
      <c r="M486" s="105"/>
      <c r="N486" s="105"/>
      <c r="O486" s="105"/>
      <c r="P486" s="105"/>
      <c r="Q486" s="105"/>
      <c r="R486" s="105"/>
      <c r="S486" s="105"/>
      <c r="T486" s="105"/>
      <c r="U486" s="105"/>
      <c r="V486" s="105"/>
      <c r="W486" s="105"/>
      <c r="X486" s="105"/>
      <c r="Y486" s="105"/>
      <c r="Z486" s="105"/>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14"/>
      <c r="BK486" s="214"/>
    </row>
    <row r="487" spans="1:63" ht="12.75" hidden="1" customHeight="1" outlineLevel="1">
      <c r="A487" s="9"/>
      <c r="B487" s="44"/>
      <c r="C487" s="128">
        <f>Asset26</f>
        <v>0</v>
      </c>
      <c r="D487" s="9"/>
      <c r="E487" s="9"/>
      <c r="F487" s="139"/>
      <c r="G487" s="191">
        <f>Input!P33</f>
        <v>0</v>
      </c>
      <c r="H487" s="119"/>
      <c r="I487" s="119"/>
      <c r="J487" s="119"/>
      <c r="K487" s="119"/>
      <c r="L487" s="119"/>
      <c r="M487" s="105"/>
      <c r="N487" s="105"/>
      <c r="O487" s="105"/>
      <c r="P487" s="105"/>
      <c r="Q487" s="105"/>
      <c r="R487" s="105"/>
      <c r="S487" s="105"/>
      <c r="T487" s="105"/>
      <c r="U487" s="105"/>
      <c r="V487" s="105"/>
      <c r="W487" s="105"/>
      <c r="X487" s="105"/>
      <c r="Y487" s="105"/>
      <c r="Z487" s="105"/>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14"/>
      <c r="BK487" s="214"/>
    </row>
    <row r="488" spans="1:63" ht="12.75" hidden="1" customHeight="1" outlineLevel="1">
      <c r="A488" s="9"/>
      <c r="B488" s="44"/>
      <c r="C488" s="128">
        <f>Asset27</f>
        <v>0</v>
      </c>
      <c r="D488" s="9"/>
      <c r="E488" s="9"/>
      <c r="F488" s="139"/>
      <c r="G488" s="191">
        <f>Input!P34</f>
        <v>0</v>
      </c>
      <c r="H488" s="119"/>
      <c r="I488" s="119"/>
      <c r="J488" s="119"/>
      <c r="K488" s="119"/>
      <c r="L488" s="119"/>
      <c r="M488" s="105"/>
      <c r="N488" s="105"/>
      <c r="O488" s="105"/>
      <c r="P488" s="105"/>
      <c r="Q488" s="105"/>
      <c r="R488" s="105"/>
      <c r="S488" s="105"/>
      <c r="T488" s="105"/>
      <c r="U488" s="105"/>
      <c r="V488" s="105"/>
      <c r="W488" s="105"/>
      <c r="X488" s="105"/>
      <c r="Y488" s="105"/>
      <c r="Z488" s="105"/>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14"/>
      <c r="BK488" s="214"/>
    </row>
    <row r="489" spans="1:63" ht="12.75" hidden="1" customHeight="1" outlineLevel="1">
      <c r="A489" s="9"/>
      <c r="B489" s="44"/>
      <c r="C489" s="128">
        <f>Asset28</f>
        <v>0</v>
      </c>
      <c r="D489" s="9"/>
      <c r="E489" s="9"/>
      <c r="F489" s="139"/>
      <c r="G489" s="191">
        <f>Input!P35</f>
        <v>0</v>
      </c>
      <c r="H489" s="119"/>
      <c r="I489" s="119"/>
      <c r="J489" s="119"/>
      <c r="K489" s="119"/>
      <c r="L489" s="119"/>
      <c r="M489" s="105"/>
      <c r="N489" s="105"/>
      <c r="O489" s="105"/>
      <c r="P489" s="105"/>
      <c r="Q489" s="105"/>
      <c r="R489" s="105"/>
      <c r="S489" s="105"/>
      <c r="T489" s="105"/>
      <c r="U489" s="105"/>
      <c r="V489" s="105"/>
      <c r="W489" s="105"/>
      <c r="X489" s="105"/>
      <c r="Y489" s="105"/>
      <c r="Z489" s="105"/>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14"/>
      <c r="BK489" s="214"/>
    </row>
    <row r="490" spans="1:63" ht="12.75" hidden="1" customHeight="1" outlineLevel="1">
      <c r="A490" s="9"/>
      <c r="B490" s="44"/>
      <c r="C490" s="128">
        <f>Asset29</f>
        <v>0</v>
      </c>
      <c r="D490" s="9"/>
      <c r="E490" s="9"/>
      <c r="F490" s="139"/>
      <c r="G490" s="191">
        <f>Input!P36</f>
        <v>0</v>
      </c>
      <c r="H490" s="119"/>
      <c r="I490" s="119"/>
      <c r="J490" s="119"/>
      <c r="K490" s="119"/>
      <c r="L490" s="119"/>
      <c r="M490" s="105"/>
      <c r="N490" s="105"/>
      <c r="O490" s="105"/>
      <c r="P490" s="105"/>
      <c r="Q490" s="105"/>
      <c r="R490" s="105"/>
      <c r="S490" s="105"/>
      <c r="T490" s="105"/>
      <c r="U490" s="105"/>
      <c r="V490" s="105"/>
      <c r="W490" s="105"/>
      <c r="X490" s="105"/>
      <c r="Y490" s="105"/>
      <c r="Z490" s="105"/>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14"/>
      <c r="BK490" s="214"/>
    </row>
    <row r="491" spans="1:63" ht="12.75" hidden="1" customHeight="1" outlineLevel="1">
      <c r="A491" s="9"/>
      <c r="B491" s="44"/>
      <c r="C491" s="128">
        <f>Asset30</f>
        <v>0</v>
      </c>
      <c r="D491" s="9"/>
      <c r="E491" s="9"/>
      <c r="F491" s="139"/>
      <c r="G491" s="191">
        <f>Input!P37</f>
        <v>0</v>
      </c>
      <c r="H491" s="119"/>
      <c r="I491" s="119"/>
      <c r="J491" s="119"/>
      <c r="K491" s="119"/>
      <c r="L491" s="119"/>
      <c r="M491" s="105"/>
      <c r="N491" s="105"/>
      <c r="O491" s="105"/>
      <c r="P491" s="105"/>
      <c r="Q491" s="105"/>
      <c r="R491" s="105"/>
      <c r="S491" s="105"/>
      <c r="T491" s="105"/>
      <c r="U491" s="105"/>
      <c r="V491" s="105"/>
      <c r="W491" s="105"/>
      <c r="X491" s="105"/>
      <c r="Y491" s="105"/>
      <c r="Z491" s="105"/>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14"/>
      <c r="BK491" s="214"/>
    </row>
    <row r="492" spans="1:63" collapsed="1">
      <c r="A492" s="9"/>
      <c r="B492" s="44"/>
      <c r="C492" s="128"/>
      <c r="D492" s="9"/>
      <c r="E492" s="9"/>
      <c r="F492" s="139"/>
      <c r="G492" s="191"/>
      <c r="H492" s="119"/>
      <c r="I492" s="119"/>
      <c r="J492" s="119"/>
      <c r="K492" s="119"/>
      <c r="L492" s="119"/>
      <c r="M492" s="105"/>
      <c r="N492" s="105"/>
      <c r="O492" s="105"/>
      <c r="P492" s="105"/>
      <c r="Q492" s="105"/>
      <c r="R492" s="105"/>
      <c r="S492" s="105"/>
      <c r="T492" s="105"/>
      <c r="U492" s="105"/>
      <c r="V492" s="105"/>
      <c r="W492" s="105"/>
      <c r="X492" s="105"/>
      <c r="Y492" s="105"/>
      <c r="Z492" s="105"/>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14"/>
      <c r="BK492" s="214"/>
    </row>
    <row r="493" spans="1:63">
      <c r="A493" s="9"/>
      <c r="B493" s="345" t="s">
        <v>157</v>
      </c>
      <c r="C493" s="347"/>
      <c r="D493" s="346"/>
      <c r="E493" s="346"/>
      <c r="F493" s="354"/>
      <c r="G493" s="195">
        <f>SUM(G494:G523)</f>
        <v>-46.528595504163583</v>
      </c>
      <c r="H493" s="119"/>
      <c r="I493" s="119"/>
      <c r="J493" s="119"/>
      <c r="K493" s="119"/>
      <c r="L493" s="119"/>
      <c r="M493" s="105"/>
      <c r="N493" s="105"/>
      <c r="O493" s="105"/>
      <c r="P493" s="105"/>
      <c r="Q493" s="105"/>
      <c r="R493" s="105"/>
      <c r="S493" s="105"/>
      <c r="T493" s="105"/>
      <c r="U493" s="105"/>
      <c r="V493" s="105"/>
      <c r="W493" s="105"/>
      <c r="X493" s="105"/>
      <c r="Y493" s="105"/>
      <c r="Z493" s="105"/>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14"/>
      <c r="BK493" s="214"/>
    </row>
    <row r="494" spans="1:63" ht="12.75" hidden="1" customHeight="1" outlineLevel="1">
      <c r="A494" s="9"/>
      <c r="B494" s="44"/>
      <c r="C494" s="128" t="str">
        <f>Asset1</f>
        <v>Sub-transmission lines and cables</v>
      </c>
      <c r="D494" s="9"/>
      <c r="E494" s="9"/>
      <c r="F494" s="27"/>
      <c r="G494" s="194">
        <f>Input!Q7</f>
        <v>-1.6899431763238399</v>
      </c>
      <c r="H494" s="119"/>
      <c r="I494" s="119"/>
      <c r="J494" s="119"/>
      <c r="K494" s="119"/>
      <c r="L494" s="119"/>
      <c r="M494" s="105"/>
      <c r="N494" s="105"/>
      <c r="O494" s="105"/>
      <c r="P494" s="105"/>
      <c r="Q494" s="105"/>
      <c r="R494" s="105"/>
      <c r="S494" s="105"/>
      <c r="T494" s="105"/>
      <c r="U494" s="105"/>
      <c r="V494" s="105"/>
      <c r="W494" s="105"/>
      <c r="X494" s="105"/>
      <c r="Y494" s="105"/>
      <c r="Z494" s="105"/>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14"/>
      <c r="BK494" s="214"/>
    </row>
    <row r="495" spans="1:63" ht="12.75" hidden="1" customHeight="1" outlineLevel="1">
      <c r="A495" s="9"/>
      <c r="B495" s="44"/>
      <c r="C495" s="128" t="str">
        <f>Asset2</f>
        <v>Cable tunnel (dx)</v>
      </c>
      <c r="D495" s="9"/>
      <c r="E495" s="9"/>
      <c r="F495" s="27"/>
      <c r="G495" s="194">
        <f>Input!Q8</f>
        <v>0</v>
      </c>
      <c r="H495" s="119"/>
      <c r="I495" s="119"/>
      <c r="J495" s="119"/>
      <c r="K495" s="119"/>
      <c r="L495" s="119"/>
      <c r="M495" s="105"/>
      <c r="N495" s="105"/>
      <c r="O495" s="105"/>
      <c r="P495" s="105"/>
      <c r="Q495" s="105"/>
      <c r="R495" s="105"/>
      <c r="S495" s="105"/>
      <c r="T495" s="105"/>
      <c r="U495" s="105"/>
      <c r="V495" s="105"/>
      <c r="W495" s="105"/>
      <c r="X495" s="105"/>
      <c r="Y495" s="105"/>
      <c r="Z495" s="105"/>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14"/>
      <c r="BK495" s="214"/>
    </row>
    <row r="496" spans="1:63" ht="12.75" hidden="1" customHeight="1" outlineLevel="1">
      <c r="A496" s="9"/>
      <c r="B496" s="44"/>
      <c r="C496" s="128" t="str">
        <f>Asset3</f>
        <v>Distribution lines and cables</v>
      </c>
      <c r="D496" s="9"/>
      <c r="E496" s="9"/>
      <c r="F496" s="27"/>
      <c r="G496" s="194">
        <f>Input!Q9</f>
        <v>0</v>
      </c>
      <c r="H496" s="119"/>
      <c r="I496" s="119"/>
      <c r="J496" s="119"/>
      <c r="K496" s="119"/>
      <c r="L496" s="119"/>
      <c r="M496" s="105"/>
      <c r="N496" s="105"/>
      <c r="O496" s="105"/>
      <c r="P496" s="105"/>
      <c r="Q496" s="105"/>
      <c r="R496" s="105"/>
      <c r="S496" s="105"/>
      <c r="T496" s="105"/>
      <c r="U496" s="105"/>
      <c r="V496" s="105"/>
      <c r="W496" s="105"/>
      <c r="X496" s="105"/>
      <c r="Y496" s="105"/>
      <c r="Z496" s="105"/>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14"/>
      <c r="BK496" s="214"/>
    </row>
    <row r="497" spans="1:63" ht="12.75" hidden="1" customHeight="1" outlineLevel="1">
      <c r="A497" s="9"/>
      <c r="B497" s="44"/>
      <c r="C497" s="128" t="str">
        <f>Asset4</f>
        <v>Substations</v>
      </c>
      <c r="D497" s="9"/>
      <c r="E497" s="9"/>
      <c r="F497" s="27"/>
      <c r="G497" s="194">
        <f>Input!Q10</f>
        <v>-0.83023642406459597</v>
      </c>
      <c r="H497" s="119"/>
      <c r="I497" s="119"/>
      <c r="J497" s="119"/>
      <c r="K497" s="119"/>
      <c r="L497" s="119"/>
      <c r="M497" s="105"/>
      <c r="N497" s="105"/>
      <c r="O497" s="105"/>
      <c r="P497" s="105"/>
      <c r="Q497" s="105"/>
      <c r="R497" s="105"/>
      <c r="S497" s="105"/>
      <c r="T497" s="105"/>
      <c r="U497" s="105"/>
      <c r="V497" s="105"/>
      <c r="W497" s="105"/>
      <c r="X497" s="105"/>
      <c r="Y497" s="105"/>
      <c r="Z497" s="105"/>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14"/>
      <c r="BK497" s="214"/>
    </row>
    <row r="498" spans="1:63" ht="12.75" hidden="1" customHeight="1" outlineLevel="1">
      <c r="A498" s="9"/>
      <c r="B498" s="44"/>
      <c r="C498" s="128" t="str">
        <f>Asset5</f>
        <v>Transformers</v>
      </c>
      <c r="D498" s="9"/>
      <c r="E498" s="9"/>
      <c r="F498" s="27"/>
      <c r="G498" s="194">
        <f>Input!Q11</f>
        <v>-2.2706686955399</v>
      </c>
      <c r="H498" s="119"/>
      <c r="I498" s="119"/>
      <c r="J498" s="119"/>
      <c r="K498" s="119"/>
      <c r="L498" s="119"/>
      <c r="M498" s="105"/>
      <c r="N498" s="105"/>
      <c r="O498" s="105"/>
      <c r="P498" s="105"/>
      <c r="Q498" s="105"/>
      <c r="R498" s="105"/>
      <c r="S498" s="105"/>
      <c r="T498" s="105"/>
      <c r="U498" s="105"/>
      <c r="V498" s="105"/>
      <c r="W498" s="105"/>
      <c r="X498" s="105"/>
      <c r="Y498" s="105"/>
      <c r="Z498" s="105"/>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14"/>
      <c r="BK498" s="214"/>
    </row>
    <row r="499" spans="1:63" ht="12.75" hidden="1" customHeight="1" outlineLevel="1">
      <c r="A499" s="9"/>
      <c r="B499" s="44"/>
      <c r="C499" s="128" t="str">
        <f>Asset6</f>
        <v>Low Voltage Lines and Cables</v>
      </c>
      <c r="D499" s="9"/>
      <c r="E499" s="9"/>
      <c r="F499" s="27"/>
      <c r="G499" s="194">
        <f>Input!Q12</f>
        <v>0</v>
      </c>
      <c r="H499" s="119"/>
      <c r="I499" s="119"/>
      <c r="J499" s="119"/>
      <c r="K499" s="119"/>
      <c r="L499" s="119"/>
      <c r="M499" s="105"/>
      <c r="N499" s="105"/>
      <c r="O499" s="105"/>
      <c r="P499" s="105"/>
      <c r="Q499" s="105"/>
      <c r="R499" s="105"/>
      <c r="S499" s="105"/>
      <c r="T499" s="105"/>
      <c r="U499" s="105"/>
      <c r="V499" s="105"/>
      <c r="W499" s="105"/>
      <c r="X499" s="105"/>
      <c r="Y499" s="105"/>
      <c r="Z499" s="105"/>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14"/>
      <c r="BK499" s="214"/>
    </row>
    <row r="500" spans="1:63" ht="12.75" hidden="1" customHeight="1" outlineLevel="1">
      <c r="A500" s="9"/>
      <c r="B500" s="44"/>
      <c r="C500" s="128" t="str">
        <f>Asset7</f>
        <v>Customer Metering and Load Control</v>
      </c>
      <c r="D500" s="9"/>
      <c r="E500" s="9"/>
      <c r="F500" s="27"/>
      <c r="G500" s="194">
        <f>Input!Q13</f>
        <v>0</v>
      </c>
      <c r="H500" s="119"/>
      <c r="I500" s="119"/>
      <c r="J500" s="119"/>
      <c r="K500" s="119"/>
      <c r="L500" s="119"/>
      <c r="M500" s="105"/>
      <c r="N500" s="105"/>
      <c r="O500" s="105"/>
      <c r="P500" s="105"/>
      <c r="Q500" s="105"/>
      <c r="R500" s="105"/>
      <c r="S500" s="105"/>
      <c r="T500" s="105"/>
      <c r="U500" s="105"/>
      <c r="V500" s="105"/>
      <c r="W500" s="105"/>
      <c r="X500" s="105"/>
      <c r="Y500" s="105"/>
      <c r="Z500" s="105"/>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14"/>
      <c r="BK500" s="214"/>
    </row>
    <row r="501" spans="1:63" ht="12.75" hidden="1" customHeight="1" outlineLevel="1">
      <c r="A501" s="9"/>
      <c r="B501" s="44"/>
      <c r="C501" s="128" t="str">
        <f>Asset8</f>
        <v>Customer Metering (digital)</v>
      </c>
      <c r="D501" s="9"/>
      <c r="E501" s="9"/>
      <c r="F501" s="27"/>
      <c r="G501" s="194">
        <f>Input!Q14</f>
        <v>0</v>
      </c>
      <c r="H501" s="119"/>
      <c r="I501" s="119"/>
      <c r="J501" s="119"/>
      <c r="K501" s="119"/>
      <c r="L501" s="119"/>
      <c r="M501" s="105"/>
      <c r="N501" s="105"/>
      <c r="O501" s="105"/>
      <c r="P501" s="105"/>
      <c r="Q501" s="105"/>
      <c r="R501" s="105"/>
      <c r="S501" s="105"/>
      <c r="T501" s="105"/>
      <c r="U501" s="105"/>
      <c r="V501" s="105"/>
      <c r="W501" s="105"/>
      <c r="X501" s="105"/>
      <c r="Y501" s="105"/>
      <c r="Z501" s="105"/>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14"/>
      <c r="BK501" s="214"/>
    </row>
    <row r="502" spans="1:63" ht="12.75" hidden="1" customHeight="1" outlineLevel="1">
      <c r="A502" s="9"/>
      <c r="B502" s="44"/>
      <c r="C502" s="128" t="str">
        <f>Asset9</f>
        <v>Communications (digital) - dx</v>
      </c>
      <c r="D502" s="9"/>
      <c r="E502" s="9"/>
      <c r="F502" s="27"/>
      <c r="G502" s="194">
        <f>Input!Q15</f>
        <v>0</v>
      </c>
      <c r="H502" s="119"/>
      <c r="I502" s="119"/>
      <c r="J502" s="119"/>
      <c r="K502" s="119"/>
      <c r="L502" s="119"/>
      <c r="M502" s="105"/>
      <c r="N502" s="105"/>
      <c r="O502" s="105"/>
      <c r="P502" s="105"/>
      <c r="Q502" s="105"/>
      <c r="R502" s="105"/>
      <c r="S502" s="105"/>
      <c r="T502" s="105"/>
      <c r="U502" s="105"/>
      <c r="V502" s="105"/>
      <c r="W502" s="105"/>
      <c r="X502" s="105"/>
      <c r="Y502" s="105"/>
      <c r="Z502" s="105"/>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14"/>
      <c r="BK502" s="214"/>
    </row>
    <row r="503" spans="1:63" ht="12.75" hidden="1" customHeight="1" outlineLevel="1">
      <c r="A503" s="9"/>
      <c r="B503" s="44"/>
      <c r="C503" s="128" t="str">
        <f>Asset10</f>
        <v>Total Communications</v>
      </c>
      <c r="D503" s="9"/>
      <c r="E503" s="9"/>
      <c r="F503" s="27"/>
      <c r="G503" s="194">
        <f>Input!Q16</f>
        <v>0</v>
      </c>
      <c r="H503" s="119"/>
      <c r="I503" s="119"/>
      <c r="J503" s="119"/>
      <c r="K503" s="119"/>
      <c r="L503" s="119"/>
      <c r="M503" s="105"/>
      <c r="N503" s="105"/>
      <c r="O503" s="105"/>
      <c r="P503" s="105"/>
      <c r="Q503" s="105"/>
      <c r="R503" s="105"/>
      <c r="S503" s="105"/>
      <c r="T503" s="105"/>
      <c r="U503" s="105"/>
      <c r="V503" s="105"/>
      <c r="W503" s="105"/>
      <c r="X503" s="105"/>
      <c r="Y503" s="105"/>
      <c r="Z503" s="105"/>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14"/>
      <c r="BK503" s="214"/>
    </row>
    <row r="504" spans="1:63" ht="12.75" hidden="1" customHeight="1" outlineLevel="1">
      <c r="A504" s="9"/>
      <c r="B504" s="44"/>
      <c r="C504" s="128" t="str">
        <f>Asset11</f>
        <v>System IT (dx)</v>
      </c>
      <c r="D504" s="9"/>
      <c r="E504" s="9"/>
      <c r="F504" s="27"/>
      <c r="G504" s="194">
        <f>Input!Q17</f>
        <v>0</v>
      </c>
      <c r="H504" s="119"/>
      <c r="I504" s="119"/>
      <c r="J504" s="119"/>
      <c r="K504" s="119"/>
      <c r="L504" s="119"/>
      <c r="M504" s="105"/>
      <c r="N504" s="105"/>
      <c r="O504" s="105"/>
      <c r="P504" s="105"/>
      <c r="Q504" s="105"/>
      <c r="R504" s="105"/>
      <c r="S504" s="105"/>
      <c r="T504" s="105"/>
      <c r="U504" s="105"/>
      <c r="V504" s="105"/>
      <c r="W504" s="105"/>
      <c r="X504" s="105"/>
      <c r="Y504" s="105"/>
      <c r="Z504" s="105"/>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14"/>
      <c r="BK504" s="214"/>
    </row>
    <row r="505" spans="1:63" ht="12.75" hidden="1" customHeight="1" outlineLevel="1">
      <c r="A505" s="9"/>
      <c r="B505" s="44"/>
      <c r="C505" s="128" t="str">
        <f>Asset12</f>
        <v>Ancillary substation equipment (dx)</v>
      </c>
      <c r="D505" s="9"/>
      <c r="E505" s="9"/>
      <c r="F505" s="27"/>
      <c r="G505" s="194">
        <f>Input!Q18</f>
        <v>0</v>
      </c>
      <c r="H505" s="119"/>
      <c r="I505" s="119"/>
      <c r="J505" s="119"/>
      <c r="K505" s="119"/>
      <c r="L505" s="119"/>
      <c r="M505" s="105"/>
      <c r="N505" s="105"/>
      <c r="O505" s="105"/>
      <c r="P505" s="105"/>
      <c r="Q505" s="105"/>
      <c r="R505" s="105"/>
      <c r="S505" s="105"/>
      <c r="T505" s="105"/>
      <c r="U505" s="105"/>
      <c r="V505" s="105"/>
      <c r="W505" s="105"/>
      <c r="X505" s="105"/>
      <c r="Y505" s="105"/>
      <c r="Z505" s="105"/>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14"/>
      <c r="BK505" s="214"/>
    </row>
    <row r="506" spans="1:63" ht="12.75" hidden="1" customHeight="1" outlineLevel="1">
      <c r="A506" s="9"/>
      <c r="B506" s="44"/>
      <c r="C506" s="128" t="str">
        <f>Asset13</f>
        <v>Land and Easements</v>
      </c>
      <c r="D506" s="9"/>
      <c r="E506" s="9"/>
      <c r="F506" s="27"/>
      <c r="G506" s="194">
        <f>Input!Q19</f>
        <v>-52.979567800171701</v>
      </c>
      <c r="H506" s="119"/>
      <c r="I506" s="119"/>
      <c r="J506" s="119"/>
      <c r="K506" s="119"/>
      <c r="L506" s="119"/>
      <c r="M506" s="105"/>
      <c r="N506" s="105"/>
      <c r="O506" s="105"/>
      <c r="P506" s="105"/>
      <c r="Q506" s="105"/>
      <c r="R506" s="105"/>
      <c r="S506" s="105"/>
      <c r="T506" s="105"/>
      <c r="U506" s="105"/>
      <c r="V506" s="105"/>
      <c r="W506" s="105"/>
      <c r="X506" s="105"/>
      <c r="Y506" s="105"/>
      <c r="Z506" s="105"/>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14"/>
      <c r="BK506" s="214"/>
    </row>
    <row r="507" spans="1:63" ht="12.75" hidden="1" customHeight="1" outlineLevel="1">
      <c r="A507" s="9"/>
      <c r="B507" s="44"/>
      <c r="C507" s="128" t="str">
        <f>Asset14</f>
        <v>Emergency Spares (Major Plant, Excludes Inventory)</v>
      </c>
      <c r="D507" s="9"/>
      <c r="E507" s="9"/>
      <c r="F507" s="27"/>
      <c r="G507" s="194">
        <f>Input!Q20</f>
        <v>0</v>
      </c>
      <c r="H507" s="119"/>
      <c r="I507" s="119"/>
      <c r="J507" s="119"/>
      <c r="K507" s="119"/>
      <c r="L507" s="119"/>
      <c r="M507" s="105"/>
      <c r="N507" s="105"/>
      <c r="O507" s="105"/>
      <c r="P507" s="105"/>
      <c r="Q507" s="105"/>
      <c r="R507" s="105"/>
      <c r="S507" s="105"/>
      <c r="T507" s="105"/>
      <c r="U507" s="105"/>
      <c r="V507" s="105"/>
      <c r="W507" s="105"/>
      <c r="X507" s="105"/>
      <c r="Y507" s="105"/>
      <c r="Z507" s="105"/>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14"/>
      <c r="BK507" s="214"/>
    </row>
    <row r="508" spans="1:63" ht="12.75" hidden="1" customHeight="1" outlineLevel="1">
      <c r="A508" s="9"/>
      <c r="B508" s="44"/>
      <c r="C508" s="128" t="str">
        <f>Asset15</f>
        <v>Furniture, fittings, plant and equipment</v>
      </c>
      <c r="D508" s="9"/>
      <c r="E508" s="9"/>
      <c r="F508" s="27"/>
      <c r="G508" s="194">
        <f>Input!Q21</f>
        <v>0.60775456415614215</v>
      </c>
      <c r="H508" s="119"/>
      <c r="I508" s="119"/>
      <c r="J508" s="119"/>
      <c r="K508" s="119"/>
      <c r="L508" s="119"/>
      <c r="M508" s="105"/>
      <c r="N508" s="105"/>
      <c r="O508" s="105"/>
      <c r="P508" s="105"/>
      <c r="Q508" s="105"/>
      <c r="R508" s="105"/>
      <c r="S508" s="105"/>
      <c r="T508" s="105"/>
      <c r="U508" s="105"/>
      <c r="V508" s="105"/>
      <c r="W508" s="105"/>
      <c r="X508" s="105"/>
      <c r="Y508" s="105"/>
      <c r="Z508" s="105"/>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14"/>
      <c r="BK508" s="214"/>
    </row>
    <row r="509" spans="1:63" ht="12.75" hidden="1" customHeight="1" outlineLevel="1">
      <c r="A509" s="9"/>
      <c r="B509" s="44"/>
      <c r="C509" s="128" t="str">
        <f>Asset16</f>
        <v>Land (non-system)</v>
      </c>
      <c r="D509" s="9"/>
      <c r="E509" s="9"/>
      <c r="F509" s="27"/>
      <c r="G509" s="194">
        <f>Input!Q22</f>
        <v>1.0242978692249736</v>
      </c>
      <c r="H509" s="119"/>
      <c r="I509" s="119"/>
      <c r="J509" s="119"/>
      <c r="K509" s="119"/>
      <c r="L509" s="119"/>
      <c r="M509" s="105"/>
      <c r="N509" s="105"/>
      <c r="O509" s="105"/>
      <c r="P509" s="105"/>
      <c r="Q509" s="105"/>
      <c r="R509" s="105"/>
      <c r="S509" s="105"/>
      <c r="T509" s="105"/>
      <c r="U509" s="105"/>
      <c r="V509" s="105"/>
      <c r="W509" s="105"/>
      <c r="X509" s="105"/>
      <c r="Y509" s="105"/>
      <c r="Z509" s="105"/>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14"/>
      <c r="BK509" s="214"/>
    </row>
    <row r="510" spans="1:63" ht="12.75" hidden="1" customHeight="1" outlineLevel="1">
      <c r="A510" s="9"/>
      <c r="B510" s="44"/>
      <c r="C510" s="128" t="str">
        <f>Asset17</f>
        <v>Other non system assets</v>
      </c>
      <c r="D510" s="9"/>
      <c r="E510" s="9"/>
      <c r="F510" s="27"/>
      <c r="G510" s="194">
        <f>Input!Q23</f>
        <v>2.3402875492637634</v>
      </c>
      <c r="H510" s="119"/>
      <c r="I510" s="119"/>
      <c r="J510" s="119"/>
      <c r="K510" s="119"/>
      <c r="L510" s="119"/>
      <c r="M510" s="105"/>
      <c r="N510" s="105"/>
      <c r="O510" s="105"/>
      <c r="P510" s="105"/>
      <c r="Q510" s="105"/>
      <c r="R510" s="105"/>
      <c r="S510" s="105"/>
      <c r="T510" s="105"/>
      <c r="U510" s="105"/>
      <c r="V510" s="105"/>
      <c r="W510" s="105"/>
      <c r="X510" s="105"/>
      <c r="Y510" s="105"/>
      <c r="Z510" s="105"/>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14"/>
      <c r="BK510" s="214"/>
    </row>
    <row r="511" spans="1:63" ht="12.75" hidden="1" customHeight="1" outlineLevel="1">
      <c r="A511" s="9"/>
      <c r="B511" s="44"/>
      <c r="C511" s="128" t="str">
        <f>Asset18</f>
        <v>IT systems</v>
      </c>
      <c r="D511" s="9"/>
      <c r="E511" s="9"/>
      <c r="F511" s="27"/>
      <c r="G511" s="194">
        <f>Input!Q24</f>
        <v>2.5786222259441587</v>
      </c>
      <c r="H511" s="119"/>
      <c r="I511" s="119"/>
      <c r="J511" s="119"/>
      <c r="K511" s="119"/>
      <c r="L511" s="119"/>
      <c r="M511" s="105"/>
      <c r="N511" s="105"/>
      <c r="O511" s="105"/>
      <c r="P511" s="105"/>
      <c r="Q511" s="105"/>
      <c r="R511" s="105"/>
      <c r="S511" s="105"/>
      <c r="T511" s="105"/>
      <c r="U511" s="105"/>
      <c r="V511" s="105"/>
      <c r="W511" s="105"/>
      <c r="X511" s="105"/>
      <c r="Y511" s="105"/>
      <c r="Z511" s="105"/>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14"/>
      <c r="BK511" s="214"/>
    </row>
    <row r="512" spans="1:63" ht="12.75" hidden="1" customHeight="1" outlineLevel="1">
      <c r="A512" s="9"/>
      <c r="B512" s="44"/>
      <c r="C512" s="128" t="str">
        <f>Asset19</f>
        <v>Motor vehicles</v>
      </c>
      <c r="D512" s="9"/>
      <c r="E512" s="9"/>
      <c r="F512" s="27"/>
      <c r="G512" s="194">
        <f>Input!Q25</f>
        <v>1.9833372290151488</v>
      </c>
      <c r="H512" s="119"/>
      <c r="I512" s="119"/>
      <c r="J512" s="119"/>
      <c r="K512" s="119"/>
      <c r="L512" s="119"/>
      <c r="M512" s="105"/>
      <c r="N512" s="105"/>
      <c r="O512" s="105"/>
      <c r="P512" s="105"/>
      <c r="Q512" s="105"/>
      <c r="R512" s="105"/>
      <c r="S512" s="105"/>
      <c r="T512" s="105"/>
      <c r="U512" s="105"/>
      <c r="V512" s="105"/>
      <c r="W512" s="105"/>
      <c r="X512" s="105"/>
      <c r="Y512" s="105"/>
      <c r="Z512" s="105"/>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14"/>
      <c r="BK512" s="214"/>
    </row>
    <row r="513" spans="1:63" ht="12.75" hidden="1" customHeight="1" outlineLevel="1">
      <c r="A513" s="9"/>
      <c r="B513" s="44"/>
      <c r="C513" s="128" t="str">
        <f>Asset20</f>
        <v>Buildings</v>
      </c>
      <c r="D513" s="9"/>
      <c r="E513" s="9"/>
      <c r="F513" s="27"/>
      <c r="G513" s="194">
        <f>Input!Q26</f>
        <v>2.7075211543322695</v>
      </c>
      <c r="H513" s="119"/>
      <c r="I513" s="119"/>
      <c r="J513" s="119"/>
      <c r="K513" s="119"/>
      <c r="L513" s="119"/>
      <c r="M513" s="105"/>
      <c r="N513" s="105"/>
      <c r="O513" s="105"/>
      <c r="P513" s="105"/>
      <c r="Q513" s="105"/>
      <c r="R513" s="105"/>
      <c r="S513" s="105"/>
      <c r="T513" s="105"/>
      <c r="U513" s="105"/>
      <c r="V513" s="105"/>
      <c r="W513" s="105"/>
      <c r="X513" s="105"/>
      <c r="Y513" s="105"/>
      <c r="Z513" s="105"/>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14"/>
      <c r="BK513" s="214"/>
    </row>
    <row r="514" spans="1:63" ht="12.75" hidden="1" customHeight="1" outlineLevel="1">
      <c r="A514" s="9"/>
      <c r="B514" s="44"/>
      <c r="C514" s="128" t="str">
        <f>Asset21</f>
        <v>Equity raising costs</v>
      </c>
      <c r="D514" s="9"/>
      <c r="E514" s="9"/>
      <c r="F514" s="27"/>
      <c r="G514" s="194">
        <f>Input!Q27</f>
        <v>0</v>
      </c>
      <c r="H514" s="119"/>
      <c r="I514" s="119"/>
      <c r="J514" s="119"/>
      <c r="K514" s="119"/>
      <c r="L514" s="119"/>
      <c r="M514" s="105"/>
      <c r="N514" s="105"/>
      <c r="O514" s="105"/>
      <c r="P514" s="105"/>
      <c r="Q514" s="105"/>
      <c r="R514" s="105"/>
      <c r="S514" s="105"/>
      <c r="T514" s="105"/>
      <c r="U514" s="105"/>
      <c r="V514" s="105"/>
      <c r="W514" s="105"/>
      <c r="X514" s="105"/>
      <c r="Y514" s="105"/>
      <c r="Z514" s="105"/>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14"/>
      <c r="BK514" s="214"/>
    </row>
    <row r="515" spans="1:63" ht="12.75" hidden="1" customHeight="1" outlineLevel="1">
      <c r="A515" s="9"/>
      <c r="B515" s="44"/>
      <c r="C515" s="128" t="str">
        <f>C419</f>
        <v>WIP</v>
      </c>
      <c r="D515" s="9"/>
      <c r="E515" s="9"/>
      <c r="F515" s="27"/>
      <c r="G515" s="194">
        <f>Input!Q28</f>
        <v>0</v>
      </c>
      <c r="H515" s="119"/>
      <c r="I515" s="119"/>
      <c r="J515" s="119"/>
      <c r="K515" s="119"/>
      <c r="L515" s="119"/>
      <c r="M515" s="105"/>
      <c r="N515" s="105"/>
      <c r="O515" s="105"/>
      <c r="P515" s="105"/>
      <c r="Q515" s="105"/>
      <c r="R515" s="105"/>
      <c r="S515" s="105"/>
      <c r="T515" s="105"/>
      <c r="U515" s="105"/>
      <c r="V515" s="105"/>
      <c r="W515" s="105"/>
      <c r="X515" s="105"/>
      <c r="Y515" s="105"/>
      <c r="Z515" s="105"/>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14"/>
      <c r="BK515" s="214"/>
    </row>
    <row r="516" spans="1:63" ht="12.75" hidden="1" customHeight="1" outlineLevel="1">
      <c r="A516" s="9"/>
      <c r="B516" s="44"/>
      <c r="C516" s="128">
        <f>Asset23</f>
        <v>0</v>
      </c>
      <c r="D516" s="9"/>
      <c r="E516" s="9"/>
      <c r="F516" s="27"/>
      <c r="G516" s="194">
        <f>Input!Q30</f>
        <v>0</v>
      </c>
      <c r="H516" s="119"/>
      <c r="I516" s="119"/>
      <c r="J516" s="119"/>
      <c r="K516" s="119"/>
      <c r="L516" s="119"/>
      <c r="M516" s="105"/>
      <c r="N516" s="105"/>
      <c r="O516" s="105"/>
      <c r="P516" s="105"/>
      <c r="Q516" s="105"/>
      <c r="R516" s="105"/>
      <c r="S516" s="105"/>
      <c r="T516" s="105"/>
      <c r="U516" s="105"/>
      <c r="V516" s="105"/>
      <c r="W516" s="105"/>
      <c r="X516" s="105"/>
      <c r="Y516" s="105"/>
      <c r="Z516" s="105"/>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14"/>
      <c r="BK516" s="214"/>
    </row>
    <row r="517" spans="1:63" ht="12.75" hidden="1" customHeight="1" outlineLevel="1">
      <c r="A517" s="9"/>
      <c r="B517" s="44"/>
      <c r="C517" s="128">
        <f>Asset24</f>
        <v>0</v>
      </c>
      <c r="D517" s="9"/>
      <c r="E517" s="9"/>
      <c r="F517" s="27"/>
      <c r="G517" s="194">
        <f>Input!Q31</f>
        <v>0</v>
      </c>
      <c r="H517" s="119"/>
      <c r="I517" s="119"/>
      <c r="J517" s="119"/>
      <c r="K517" s="119"/>
      <c r="L517" s="119"/>
      <c r="M517" s="105"/>
      <c r="N517" s="105"/>
      <c r="O517" s="105"/>
      <c r="P517" s="105"/>
      <c r="Q517" s="105"/>
      <c r="R517" s="105"/>
      <c r="S517" s="105"/>
      <c r="T517" s="105"/>
      <c r="U517" s="105"/>
      <c r="V517" s="105"/>
      <c r="W517" s="105"/>
      <c r="X517" s="105"/>
      <c r="Y517" s="105"/>
      <c r="Z517" s="105"/>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14"/>
      <c r="BK517" s="214"/>
    </row>
    <row r="518" spans="1:63" ht="12.75" hidden="1" customHeight="1" outlineLevel="1">
      <c r="A518" s="9"/>
      <c r="B518" s="44"/>
      <c r="C518" s="128">
        <f>Asset25</f>
        <v>0</v>
      </c>
      <c r="D518" s="9"/>
      <c r="E518" s="9"/>
      <c r="F518" s="27"/>
      <c r="G518" s="194">
        <f>Input!Q32</f>
        <v>0</v>
      </c>
      <c r="H518" s="119"/>
      <c r="I518" s="119"/>
      <c r="J518" s="119"/>
      <c r="K518" s="119"/>
      <c r="L518" s="119"/>
      <c r="M518" s="105"/>
      <c r="N518" s="105"/>
      <c r="O518" s="105"/>
      <c r="P518" s="105"/>
      <c r="Q518" s="105"/>
      <c r="R518" s="105"/>
      <c r="S518" s="105"/>
      <c r="T518" s="105"/>
      <c r="U518" s="105"/>
      <c r="V518" s="105"/>
      <c r="W518" s="105"/>
      <c r="X518" s="105"/>
      <c r="Y518" s="105"/>
      <c r="Z518" s="105"/>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14"/>
      <c r="BK518" s="214"/>
    </row>
    <row r="519" spans="1:63" ht="12.75" hidden="1" customHeight="1" outlineLevel="1">
      <c r="A519" s="9"/>
      <c r="B519" s="44"/>
      <c r="C519" s="128">
        <f>Asset26</f>
        <v>0</v>
      </c>
      <c r="D519" s="9"/>
      <c r="E519" s="9"/>
      <c r="F519" s="27"/>
      <c r="G519" s="194">
        <f>Input!Q33</f>
        <v>0</v>
      </c>
      <c r="H519" s="119"/>
      <c r="I519" s="119"/>
      <c r="J519" s="119"/>
      <c r="K519" s="119"/>
      <c r="L519" s="119"/>
      <c r="M519" s="105"/>
      <c r="N519" s="105"/>
      <c r="O519" s="105"/>
      <c r="P519" s="105"/>
      <c r="Q519" s="105"/>
      <c r="R519" s="105"/>
      <c r="S519" s="105"/>
      <c r="T519" s="105"/>
      <c r="U519" s="105"/>
      <c r="V519" s="105"/>
      <c r="W519" s="105"/>
      <c r="X519" s="105"/>
      <c r="Y519" s="105"/>
      <c r="Z519" s="105"/>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14"/>
      <c r="BK519" s="214"/>
    </row>
    <row r="520" spans="1:63" ht="12.75" hidden="1" customHeight="1" outlineLevel="1">
      <c r="A520" s="9"/>
      <c r="B520" s="44"/>
      <c r="C520" s="128">
        <f>Asset27</f>
        <v>0</v>
      </c>
      <c r="D520" s="9"/>
      <c r="E520" s="9"/>
      <c r="F520" s="27"/>
      <c r="G520" s="194">
        <f>Input!Q34</f>
        <v>0</v>
      </c>
      <c r="H520" s="119"/>
      <c r="I520" s="119"/>
      <c r="J520" s="119"/>
      <c r="K520" s="119"/>
      <c r="L520" s="119"/>
      <c r="M520" s="105"/>
      <c r="N520" s="105"/>
      <c r="O520" s="105"/>
      <c r="P520" s="105"/>
      <c r="Q520" s="105"/>
      <c r="R520" s="105"/>
      <c r="S520" s="105"/>
      <c r="T520" s="105"/>
      <c r="U520" s="105"/>
      <c r="V520" s="105"/>
      <c r="W520" s="105"/>
      <c r="X520" s="105"/>
      <c r="Y520" s="105"/>
      <c r="Z520" s="105"/>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14"/>
      <c r="BK520" s="214"/>
    </row>
    <row r="521" spans="1:63" ht="12.75" hidden="1" customHeight="1" outlineLevel="1">
      <c r="A521" s="9"/>
      <c r="B521" s="44"/>
      <c r="C521" s="128">
        <f>Asset28</f>
        <v>0</v>
      </c>
      <c r="D521" s="9"/>
      <c r="E521" s="9"/>
      <c r="F521" s="27"/>
      <c r="G521" s="194">
        <f>Input!Q35</f>
        <v>0</v>
      </c>
      <c r="H521" s="119"/>
      <c r="I521" s="119"/>
      <c r="J521" s="119"/>
      <c r="K521" s="119"/>
      <c r="L521" s="119"/>
      <c r="M521" s="105"/>
      <c r="N521" s="105"/>
      <c r="O521" s="105"/>
      <c r="P521" s="105"/>
      <c r="Q521" s="105"/>
      <c r="R521" s="105"/>
      <c r="S521" s="105"/>
      <c r="T521" s="105"/>
      <c r="U521" s="105"/>
      <c r="V521" s="105"/>
      <c r="W521" s="105"/>
      <c r="X521" s="105"/>
      <c r="Y521" s="105"/>
      <c r="Z521" s="105"/>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14"/>
      <c r="BK521" s="214"/>
    </row>
    <row r="522" spans="1:63" ht="12.75" hidden="1" customHeight="1" outlineLevel="1">
      <c r="A522" s="9"/>
      <c r="B522" s="44"/>
      <c r="C522" s="128">
        <f>Asset29</f>
        <v>0</v>
      </c>
      <c r="D522" s="9"/>
      <c r="E522" s="9"/>
      <c r="F522" s="27"/>
      <c r="G522" s="194">
        <f>Input!Q36</f>
        <v>0</v>
      </c>
      <c r="H522" s="119"/>
      <c r="I522" s="119"/>
      <c r="J522" s="119"/>
      <c r="K522" s="119"/>
      <c r="L522" s="119"/>
      <c r="M522" s="105"/>
      <c r="N522" s="105"/>
      <c r="O522" s="105"/>
      <c r="P522" s="105"/>
      <c r="Q522" s="105"/>
      <c r="R522" s="105"/>
      <c r="S522" s="105"/>
      <c r="T522" s="105"/>
      <c r="U522" s="105"/>
      <c r="V522" s="105"/>
      <c r="W522" s="105"/>
      <c r="X522" s="105"/>
      <c r="Y522" s="105"/>
      <c r="Z522" s="105"/>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14"/>
      <c r="BK522" s="214"/>
    </row>
    <row r="523" spans="1:63" ht="12.75" hidden="1" customHeight="1" outlineLevel="1">
      <c r="A523" s="9"/>
      <c r="B523" s="44"/>
      <c r="C523" s="128">
        <f>Asset30</f>
        <v>0</v>
      </c>
      <c r="D523" s="9"/>
      <c r="E523" s="9"/>
      <c r="F523" s="27"/>
      <c r="G523" s="194">
        <f>Input!Q37</f>
        <v>0</v>
      </c>
      <c r="H523" s="119"/>
      <c r="I523" s="119"/>
      <c r="J523" s="119"/>
      <c r="K523" s="119"/>
      <c r="L523" s="119"/>
      <c r="M523" s="105"/>
      <c r="N523" s="105"/>
      <c r="O523" s="105"/>
      <c r="P523" s="105"/>
      <c r="Q523" s="105"/>
      <c r="R523" s="105"/>
      <c r="S523" s="105"/>
      <c r="T523" s="105"/>
      <c r="U523" s="105"/>
      <c r="V523" s="105"/>
      <c r="W523" s="105"/>
      <c r="X523" s="105"/>
      <c r="Y523" s="105"/>
      <c r="Z523" s="105"/>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14"/>
      <c r="BK523" s="214"/>
    </row>
    <row r="524" spans="1:63" collapsed="1">
      <c r="A524" s="9"/>
      <c r="B524" s="44"/>
      <c r="C524" s="128"/>
      <c r="D524" s="9"/>
      <c r="E524" s="9"/>
      <c r="F524" s="27"/>
      <c r="G524" s="119"/>
      <c r="H524" s="119"/>
      <c r="I524" s="119"/>
      <c r="J524" s="119"/>
      <c r="K524" s="119"/>
      <c r="L524" s="119"/>
      <c r="M524" s="105"/>
      <c r="N524" s="105"/>
      <c r="O524" s="105"/>
      <c r="P524" s="105"/>
      <c r="Q524" s="105"/>
      <c r="R524" s="105"/>
      <c r="S524" s="105"/>
      <c r="T524" s="105"/>
      <c r="U524" s="105"/>
      <c r="V524" s="105"/>
      <c r="W524" s="105"/>
      <c r="X524" s="105"/>
      <c r="Y524" s="105"/>
      <c r="Z524" s="105"/>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14"/>
      <c r="BK524" s="214"/>
    </row>
    <row r="525" spans="1:63">
      <c r="A525" s="9"/>
      <c r="B525" s="345" t="s">
        <v>158</v>
      </c>
      <c r="C525" s="346"/>
      <c r="D525" s="346"/>
      <c r="E525" s="346"/>
      <c r="F525" s="346"/>
      <c r="G525" s="348">
        <f>SUM(G526:G546)</f>
        <v>268.13907093446136</v>
      </c>
      <c r="H525" s="9"/>
      <c r="I525" s="9"/>
      <c r="J525" s="9"/>
      <c r="K525" s="9"/>
      <c r="L525" s="9"/>
      <c r="M525" s="9"/>
      <c r="N525" s="9"/>
      <c r="O525" s="9"/>
      <c r="P525" s="9"/>
      <c r="Q525" s="9"/>
      <c r="R525" s="9"/>
      <c r="S525" s="9"/>
      <c r="T525" s="9"/>
      <c r="U525" s="9"/>
      <c r="V525" s="9"/>
      <c r="W525" s="9"/>
      <c r="X525" s="9"/>
      <c r="Y525" s="9"/>
      <c r="Z525" s="9"/>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row>
    <row r="526" spans="1:63">
      <c r="A526" s="9"/>
      <c r="B526" s="346"/>
      <c r="C526" s="355" t="s">
        <v>115</v>
      </c>
      <c r="D526" s="346"/>
      <c r="E526" s="346"/>
      <c r="F526" s="346"/>
      <c r="G526" s="348">
        <v>27.995473990802182</v>
      </c>
      <c r="H526" s="9"/>
      <c r="I526" s="9"/>
      <c r="J526" s="9"/>
      <c r="K526" s="9"/>
      <c r="L526" s="9"/>
      <c r="M526" s="9"/>
      <c r="N526" s="9"/>
      <c r="O526" s="9"/>
      <c r="P526" s="9"/>
      <c r="Q526" s="9"/>
      <c r="R526" s="9"/>
      <c r="S526" s="9"/>
      <c r="T526" s="9"/>
      <c r="U526" s="9"/>
      <c r="V526" s="9"/>
      <c r="W526" s="9"/>
      <c r="X526" s="9"/>
      <c r="Y526" s="9"/>
      <c r="Z526" s="9"/>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row>
    <row r="527" spans="1:63">
      <c r="A527" s="9"/>
      <c r="B527" s="346"/>
      <c r="C527" s="355" t="s">
        <v>112</v>
      </c>
      <c r="D527" s="346"/>
      <c r="E527" s="346"/>
      <c r="F527" s="346"/>
      <c r="G527" s="348">
        <v>3.013100205789784</v>
      </c>
      <c r="H527" s="9"/>
      <c r="I527" s="9"/>
      <c r="J527" s="9"/>
      <c r="K527" s="9"/>
      <c r="L527" s="9"/>
      <c r="M527" s="9"/>
      <c r="N527" s="9"/>
      <c r="O527" s="9"/>
      <c r="P527" s="9"/>
      <c r="Q527" s="9"/>
      <c r="R527" s="9"/>
      <c r="S527" s="9"/>
      <c r="T527" s="9"/>
      <c r="U527" s="9"/>
      <c r="V527" s="9"/>
      <c r="W527" s="9"/>
      <c r="X527" s="9"/>
      <c r="Y527" s="9"/>
      <c r="Z527" s="9"/>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row>
    <row r="528" spans="1:63">
      <c r="A528" s="9"/>
      <c r="B528" s="346"/>
      <c r="C528" s="355" t="s">
        <v>117</v>
      </c>
      <c r="D528" s="346"/>
      <c r="E528" s="346"/>
      <c r="F528" s="346"/>
      <c r="G528" s="348">
        <v>85.449805456629733</v>
      </c>
      <c r="H528" s="9"/>
      <c r="I528" s="9"/>
      <c r="J528" s="9"/>
      <c r="K528" s="9"/>
      <c r="L528" s="9"/>
      <c r="M528" s="9"/>
      <c r="N528" s="9"/>
      <c r="O528" s="9"/>
      <c r="P528" s="9"/>
      <c r="Q528" s="9"/>
      <c r="R528" s="9"/>
      <c r="S528" s="9"/>
      <c r="T528" s="9"/>
      <c r="U528" s="9"/>
      <c r="V528" s="9"/>
      <c r="W528" s="9"/>
      <c r="X528" s="9"/>
      <c r="Y528" s="9"/>
      <c r="Z528" s="9"/>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row>
    <row r="529" spans="1:63">
      <c r="A529" s="9"/>
      <c r="B529" s="346"/>
      <c r="C529" s="355" t="s">
        <v>118</v>
      </c>
      <c r="D529" s="346"/>
      <c r="E529" s="346"/>
      <c r="F529" s="346"/>
      <c r="G529" s="348">
        <v>91.285085290485043</v>
      </c>
      <c r="H529" s="9"/>
      <c r="I529" s="9"/>
      <c r="J529" s="9"/>
      <c r="K529" s="9"/>
      <c r="L529" s="9"/>
      <c r="M529" s="9"/>
      <c r="N529" s="9"/>
      <c r="O529" s="9"/>
      <c r="P529" s="9"/>
      <c r="Q529" s="9"/>
      <c r="R529" s="9"/>
      <c r="S529" s="9"/>
      <c r="T529" s="9"/>
      <c r="U529" s="9"/>
      <c r="V529" s="9"/>
      <c r="W529" s="9"/>
      <c r="X529" s="9"/>
      <c r="Y529" s="9"/>
      <c r="Z529" s="9"/>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row>
    <row r="530" spans="1:63">
      <c r="A530" s="9"/>
      <c r="B530" s="346"/>
      <c r="C530" s="355" t="s">
        <v>119</v>
      </c>
      <c r="D530" s="346"/>
      <c r="E530" s="346"/>
      <c r="F530" s="346"/>
      <c r="G530" s="348">
        <v>20.828472568068101</v>
      </c>
      <c r="H530" s="9"/>
      <c r="I530" s="9"/>
      <c r="J530" s="9"/>
      <c r="K530" s="9"/>
      <c r="L530" s="9"/>
      <c r="M530" s="9"/>
      <c r="N530" s="9"/>
      <c r="O530" s="9"/>
      <c r="P530" s="9"/>
      <c r="Q530" s="9"/>
      <c r="R530" s="9"/>
      <c r="S530" s="9"/>
      <c r="T530" s="9"/>
      <c r="U530" s="9"/>
      <c r="V530" s="9"/>
      <c r="W530" s="9"/>
      <c r="X530" s="9"/>
      <c r="Y530" s="9"/>
      <c r="Z530" s="9"/>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row>
    <row r="531" spans="1:63">
      <c r="A531" s="9"/>
      <c r="B531" s="346"/>
      <c r="C531" s="355" t="s">
        <v>120</v>
      </c>
      <c r="D531" s="346"/>
      <c r="E531" s="346"/>
      <c r="F531" s="346"/>
      <c r="G531" s="348">
        <v>33.741272334456653</v>
      </c>
      <c r="H531" s="9"/>
      <c r="I531" s="9"/>
      <c r="J531" s="9"/>
      <c r="K531" s="9"/>
      <c r="L531" s="9"/>
      <c r="M531" s="9"/>
      <c r="N531" s="9"/>
      <c r="O531" s="9"/>
      <c r="P531" s="9"/>
      <c r="Q531" s="9"/>
      <c r="R531" s="9"/>
      <c r="S531" s="9"/>
      <c r="T531" s="9"/>
      <c r="U531" s="9"/>
      <c r="V531" s="9"/>
      <c r="W531" s="9"/>
      <c r="X531" s="9"/>
      <c r="Y531" s="9"/>
      <c r="Z531" s="9"/>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row>
    <row r="532" spans="1:63">
      <c r="A532" s="9"/>
      <c r="B532" s="346"/>
      <c r="C532" s="355" t="s">
        <v>121</v>
      </c>
      <c r="D532" s="346"/>
      <c r="E532" s="346"/>
      <c r="F532" s="346"/>
      <c r="G532" s="348">
        <v>0</v>
      </c>
      <c r="H532" s="9"/>
      <c r="I532" s="9"/>
      <c r="J532" s="9"/>
      <c r="K532" s="9"/>
      <c r="L532" s="9"/>
      <c r="M532" s="9"/>
      <c r="N532" s="9"/>
      <c r="O532" s="9"/>
      <c r="P532" s="9"/>
      <c r="Q532" s="9"/>
      <c r="R532" s="9"/>
      <c r="S532" s="9"/>
      <c r="T532" s="9"/>
      <c r="U532" s="9"/>
      <c r="V532" s="9"/>
      <c r="W532" s="9"/>
      <c r="X532" s="9"/>
      <c r="Y532" s="9"/>
      <c r="Z532" s="9"/>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row>
    <row r="533" spans="1:63">
      <c r="A533" s="9"/>
      <c r="B533" s="346"/>
      <c r="C533" s="355" t="s">
        <v>122</v>
      </c>
      <c r="D533" s="346"/>
      <c r="E533" s="346"/>
      <c r="F533" s="346"/>
      <c r="G533" s="348">
        <v>0</v>
      </c>
      <c r="H533" s="9"/>
      <c r="I533" s="9"/>
      <c r="J533" s="9"/>
      <c r="K533" s="9"/>
      <c r="L533" s="9"/>
      <c r="M533" s="9"/>
      <c r="N533" s="9"/>
      <c r="O533" s="9"/>
      <c r="P533" s="9"/>
      <c r="Q533" s="9"/>
      <c r="R533" s="9"/>
      <c r="S533" s="9"/>
      <c r="T533" s="9"/>
      <c r="U533" s="9"/>
      <c r="V533" s="9"/>
      <c r="W533" s="9"/>
      <c r="X533" s="9"/>
      <c r="Y533" s="9"/>
      <c r="Z533" s="9"/>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row>
    <row r="534" spans="1:63">
      <c r="A534" s="9"/>
      <c r="B534" s="346"/>
      <c r="C534" s="355" t="s">
        <v>116</v>
      </c>
      <c r="D534" s="346"/>
      <c r="E534" s="346"/>
      <c r="F534" s="346"/>
      <c r="G534" s="348">
        <v>0</v>
      </c>
      <c r="H534" s="9"/>
      <c r="I534" s="9"/>
      <c r="J534" s="9"/>
      <c r="K534" s="9"/>
      <c r="L534" s="9"/>
      <c r="M534" s="9"/>
      <c r="N534" s="9"/>
      <c r="O534" s="9"/>
      <c r="P534" s="9"/>
      <c r="Q534" s="9"/>
      <c r="R534" s="9"/>
      <c r="S534" s="9"/>
      <c r="T534" s="9"/>
      <c r="U534" s="9"/>
      <c r="V534" s="9"/>
      <c r="W534" s="9"/>
      <c r="X534" s="9"/>
      <c r="Y534" s="9"/>
      <c r="Z534" s="9"/>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row>
    <row r="535" spans="1:63">
      <c r="A535" s="9"/>
      <c r="B535" s="346"/>
      <c r="C535" s="355" t="s">
        <v>123</v>
      </c>
      <c r="D535" s="346"/>
      <c r="E535" s="346"/>
      <c r="F535" s="346"/>
      <c r="G535" s="348">
        <v>5.82586108822988</v>
      </c>
      <c r="H535" s="9"/>
      <c r="I535" s="9"/>
      <c r="J535" s="9"/>
      <c r="K535" s="9"/>
      <c r="L535" s="9"/>
      <c r="M535" s="9"/>
      <c r="N535" s="9"/>
      <c r="O535" s="9"/>
      <c r="P535" s="9"/>
      <c r="Q535" s="9"/>
      <c r="R535" s="9"/>
      <c r="S535" s="9"/>
      <c r="T535" s="9"/>
      <c r="U535" s="9"/>
      <c r="V535" s="9"/>
      <c r="W535" s="9"/>
      <c r="X535" s="9"/>
      <c r="Y535" s="9"/>
      <c r="Z535" s="9"/>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row>
    <row r="536" spans="1:63">
      <c r="A536" s="9"/>
      <c r="B536" s="346"/>
      <c r="C536" s="355" t="s">
        <v>113</v>
      </c>
      <c r="D536" s="346"/>
      <c r="E536" s="346"/>
      <c r="F536" s="346"/>
      <c r="G536" s="348">
        <v>0</v>
      </c>
      <c r="H536" s="9"/>
      <c r="I536" s="9"/>
      <c r="J536" s="9"/>
      <c r="K536" s="9"/>
      <c r="L536" s="9"/>
      <c r="M536" s="9"/>
      <c r="N536" s="9"/>
      <c r="O536" s="9"/>
      <c r="P536" s="9"/>
      <c r="Q536" s="9"/>
      <c r="R536" s="9"/>
      <c r="S536" s="9"/>
      <c r="T536" s="9"/>
      <c r="U536" s="9"/>
      <c r="V536" s="9"/>
      <c r="W536" s="9"/>
      <c r="X536" s="9"/>
      <c r="Y536" s="9"/>
      <c r="Z536" s="9"/>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row>
    <row r="537" spans="1:63">
      <c r="A537" s="9"/>
      <c r="B537" s="346"/>
      <c r="C537" s="355" t="s">
        <v>114</v>
      </c>
      <c r="D537" s="346"/>
      <c r="E537" s="346"/>
      <c r="F537" s="346"/>
      <c r="G537" s="348">
        <v>0</v>
      </c>
      <c r="H537" s="9"/>
      <c r="I537" s="9"/>
      <c r="J537" s="9"/>
      <c r="K537" s="9"/>
      <c r="L537" s="9"/>
      <c r="M537" s="9"/>
      <c r="N537" s="9"/>
      <c r="O537" s="9"/>
      <c r="P537" s="9"/>
      <c r="Q537" s="9"/>
      <c r="R537" s="9"/>
      <c r="S537" s="9"/>
      <c r="T537" s="9"/>
      <c r="U537" s="9"/>
      <c r="V537" s="9"/>
      <c r="W537" s="9"/>
      <c r="X537" s="9"/>
      <c r="Y537" s="9"/>
      <c r="Z537" s="9"/>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row>
    <row r="538" spans="1:63">
      <c r="A538" s="9"/>
      <c r="B538" s="346"/>
      <c r="C538" s="355" t="s">
        <v>124</v>
      </c>
      <c r="D538" s="346"/>
      <c r="E538" s="346"/>
      <c r="F538" s="346"/>
      <c r="G538" s="348">
        <v>0</v>
      </c>
      <c r="H538" s="9"/>
      <c r="I538" s="9"/>
      <c r="J538" s="9"/>
      <c r="K538" s="9"/>
      <c r="L538" s="9"/>
      <c r="M538" s="9"/>
      <c r="N538" s="9"/>
      <c r="O538" s="9"/>
      <c r="P538" s="9"/>
      <c r="Q538" s="9"/>
      <c r="R538" s="9"/>
      <c r="S538" s="9"/>
      <c r="T538" s="9"/>
      <c r="U538" s="9"/>
      <c r="V538" s="9"/>
      <c r="W538" s="9"/>
      <c r="X538" s="9"/>
      <c r="Y538" s="9"/>
      <c r="Z538" s="9"/>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row>
    <row r="539" spans="1:63">
      <c r="A539" s="9"/>
      <c r="B539" s="346"/>
      <c r="C539" s="355" t="s">
        <v>125</v>
      </c>
      <c r="D539" s="346"/>
      <c r="E539" s="346"/>
      <c r="F539" s="346"/>
      <c r="G539" s="348">
        <v>0</v>
      </c>
      <c r="H539" s="9"/>
      <c r="I539" s="9"/>
      <c r="J539" s="9"/>
      <c r="K539" s="9"/>
      <c r="L539" s="9"/>
      <c r="M539" s="9"/>
      <c r="N539" s="9"/>
      <c r="O539" s="9"/>
      <c r="P539" s="9"/>
      <c r="Q539" s="9"/>
      <c r="R539" s="9"/>
      <c r="S539" s="9"/>
      <c r="T539" s="9"/>
      <c r="U539" s="9"/>
      <c r="V539" s="9"/>
      <c r="W539" s="9"/>
      <c r="X539" s="9"/>
      <c r="Y539" s="9"/>
      <c r="Z539" s="9"/>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row>
    <row r="540" spans="1:63">
      <c r="A540" s="9"/>
      <c r="B540" s="346"/>
      <c r="C540" s="355" t="s">
        <v>126</v>
      </c>
      <c r="D540" s="346"/>
      <c r="E540" s="346"/>
      <c r="F540" s="346"/>
      <c r="G540" s="348">
        <v>0</v>
      </c>
      <c r="H540" s="9"/>
      <c r="I540" s="9"/>
      <c r="J540" s="9"/>
      <c r="K540" s="9"/>
      <c r="L540" s="9"/>
      <c r="M540" s="9"/>
      <c r="N540" s="9"/>
      <c r="O540" s="9"/>
      <c r="P540" s="9"/>
      <c r="Q540" s="9"/>
      <c r="R540" s="9"/>
      <c r="S540" s="9"/>
      <c r="T540" s="9"/>
      <c r="U540" s="9"/>
      <c r="V540" s="9"/>
      <c r="W540" s="9"/>
      <c r="X540" s="9"/>
      <c r="Y540" s="9"/>
      <c r="Z540" s="9"/>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row>
    <row r="541" spans="1:63">
      <c r="A541" s="9"/>
      <c r="B541" s="346"/>
      <c r="C541" s="355" t="s">
        <v>127</v>
      </c>
      <c r="D541" s="346"/>
      <c r="E541" s="346"/>
      <c r="F541" s="346"/>
      <c r="G541" s="348">
        <v>0</v>
      </c>
      <c r="H541" s="9"/>
      <c r="I541" s="9"/>
      <c r="J541" s="9"/>
      <c r="K541" s="9"/>
      <c r="L541" s="9"/>
      <c r="M541" s="9"/>
      <c r="N541" s="9"/>
      <c r="O541" s="9"/>
      <c r="P541" s="9"/>
      <c r="Q541" s="9"/>
      <c r="R541" s="9"/>
      <c r="S541" s="9"/>
      <c r="T541" s="9"/>
      <c r="U541" s="9"/>
      <c r="V541" s="9"/>
      <c r="W541" s="9"/>
      <c r="X541" s="9"/>
      <c r="Y541" s="9"/>
      <c r="Z541" s="9"/>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row>
    <row r="542" spans="1:63">
      <c r="A542" s="9"/>
      <c r="B542" s="346"/>
      <c r="C542" s="355" t="s">
        <v>128</v>
      </c>
      <c r="D542" s="346"/>
      <c r="E542" s="346"/>
      <c r="F542" s="346"/>
      <c r="G542" s="348">
        <v>0</v>
      </c>
      <c r="H542" s="9"/>
      <c r="I542" s="9"/>
      <c r="J542" s="9"/>
      <c r="K542" s="9"/>
      <c r="L542" s="9"/>
      <c r="M542" s="9"/>
      <c r="N542" s="9"/>
      <c r="O542" s="9"/>
      <c r="P542" s="9"/>
      <c r="Q542" s="9"/>
      <c r="R542" s="9"/>
      <c r="S542" s="9"/>
      <c r="T542" s="9"/>
      <c r="U542" s="9"/>
      <c r="V542" s="9"/>
      <c r="W542" s="9"/>
      <c r="X542" s="9"/>
      <c r="Y542" s="9"/>
      <c r="Z542" s="9"/>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row>
    <row r="543" spans="1:63">
      <c r="A543" s="9"/>
      <c r="B543" s="346"/>
      <c r="C543" s="355" t="s">
        <v>129</v>
      </c>
      <c r="D543" s="346"/>
      <c r="E543" s="346"/>
      <c r="F543" s="346"/>
      <c r="G543" s="348">
        <v>0</v>
      </c>
      <c r="H543" s="9"/>
      <c r="I543" s="9"/>
      <c r="J543" s="9"/>
      <c r="K543" s="9"/>
      <c r="L543" s="9"/>
      <c r="M543" s="9"/>
      <c r="N543" s="9"/>
      <c r="O543" s="9"/>
      <c r="P543" s="9"/>
      <c r="Q543" s="9"/>
      <c r="R543" s="9"/>
      <c r="S543" s="9"/>
      <c r="T543" s="9"/>
      <c r="U543" s="9"/>
      <c r="V543" s="9"/>
      <c r="W543" s="9"/>
      <c r="X543" s="9"/>
      <c r="Y543" s="9"/>
      <c r="Z543" s="9"/>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row>
    <row r="544" spans="1:63">
      <c r="A544" s="9"/>
      <c r="B544" s="346"/>
      <c r="C544" s="355" t="s">
        <v>130</v>
      </c>
      <c r="D544" s="346"/>
      <c r="E544" s="346"/>
      <c r="F544" s="346"/>
      <c r="G544" s="348">
        <v>0</v>
      </c>
      <c r="H544" s="9"/>
      <c r="I544" s="9"/>
      <c r="J544" s="9"/>
      <c r="K544" s="9"/>
      <c r="L544" s="9"/>
      <c r="M544" s="9"/>
      <c r="N544" s="9"/>
      <c r="O544" s="9"/>
      <c r="P544" s="9"/>
      <c r="Q544" s="9"/>
      <c r="R544" s="9"/>
      <c r="S544" s="9"/>
      <c r="T544" s="9"/>
      <c r="U544" s="9"/>
      <c r="V544" s="9"/>
      <c r="W544" s="9"/>
      <c r="X544" s="9"/>
      <c r="Y544" s="9"/>
      <c r="Z544" s="9"/>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row>
    <row r="545" spans="1:63">
      <c r="A545" s="9"/>
      <c r="B545" s="346"/>
      <c r="C545" s="355" t="s">
        <v>131</v>
      </c>
      <c r="D545" s="346"/>
      <c r="E545" s="346"/>
      <c r="F545" s="346"/>
      <c r="G545" s="348">
        <v>0</v>
      </c>
      <c r="H545" s="9"/>
      <c r="I545" s="9"/>
      <c r="J545" s="9"/>
      <c r="K545" s="9"/>
      <c r="L545" s="9"/>
      <c r="M545" s="9"/>
      <c r="N545" s="9"/>
      <c r="O545" s="9"/>
      <c r="P545" s="9"/>
      <c r="Q545" s="9"/>
      <c r="R545" s="9"/>
      <c r="S545" s="9"/>
      <c r="T545" s="9"/>
      <c r="U545" s="9"/>
      <c r="V545" s="9"/>
      <c r="W545" s="9"/>
      <c r="X545" s="9"/>
      <c r="Y545" s="9"/>
      <c r="Z545" s="9"/>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row>
    <row r="546" spans="1:63">
      <c r="A546" s="9"/>
      <c r="B546" s="346"/>
      <c r="C546" s="355" t="s">
        <v>139</v>
      </c>
      <c r="D546" s="346"/>
      <c r="E546" s="346"/>
      <c r="F546" s="346"/>
      <c r="G546" s="348">
        <v>0</v>
      </c>
      <c r="H546" s="9"/>
      <c r="I546" s="9"/>
      <c r="J546" s="9"/>
      <c r="K546" s="9"/>
      <c r="L546" s="9"/>
      <c r="M546" s="9"/>
      <c r="N546" s="9"/>
      <c r="O546" s="9"/>
      <c r="P546" s="9"/>
      <c r="Q546" s="9"/>
      <c r="R546" s="9"/>
      <c r="S546" s="9"/>
      <c r="T546" s="9"/>
      <c r="U546" s="9"/>
      <c r="V546" s="9"/>
      <c r="W546" s="9"/>
      <c r="X546" s="9"/>
      <c r="Y546" s="9"/>
      <c r="Z546" s="9"/>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row>
    <row r="547" spans="1:63">
      <c r="A547" s="9"/>
      <c r="B547" s="346"/>
      <c r="C547" s="355" t="s">
        <v>150</v>
      </c>
      <c r="D547" s="346"/>
      <c r="E547" s="346"/>
      <c r="F547" s="346"/>
      <c r="G547" s="348">
        <v>-268.13907093446136</v>
      </c>
      <c r="H547" s="9"/>
      <c r="I547" s="9"/>
      <c r="J547" s="9"/>
      <c r="K547" s="9"/>
      <c r="L547" s="9"/>
      <c r="M547" s="9"/>
      <c r="N547" s="9"/>
      <c r="O547" s="9"/>
      <c r="P547" s="9"/>
      <c r="Q547" s="9"/>
      <c r="R547" s="9"/>
      <c r="S547" s="9"/>
      <c r="T547" s="9"/>
      <c r="U547" s="9"/>
      <c r="V547" s="9"/>
      <c r="W547" s="9"/>
      <c r="X547" s="9"/>
      <c r="Y547" s="9"/>
      <c r="Z547" s="9"/>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row>
    <row r="569" spans="1:63">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row>
    <row r="570" spans="1:63">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row>
    <row r="571" spans="1:63">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row>
    <row r="572" spans="1:63">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row>
    <row r="573" spans="1:6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row>
    <row r="574" spans="1:63">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row>
    <row r="575" spans="1:63">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row>
    <row r="576" spans="1:63">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row>
    <row r="577" spans="1:7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row>
    <row r="578" spans="1:7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row>
    <row r="579" spans="1:7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row>
    <row r="580" spans="1:7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row>
    <row r="581" spans="1:7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row>
    <row r="582" spans="1:7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row>
    <row r="583" spans="1:7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row>
    <row r="584" spans="1:7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row>
    <row r="585" spans="1:7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row>
    <row r="586" spans="1:7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row>
    <row r="587" spans="1:7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row>
    <row r="588" spans="1:7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row>
    <row r="589" spans="1:7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row>
    <row r="590" spans="1:7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row>
    <row r="591" spans="1:7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row>
    <row r="592" spans="1:7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row>
    <row r="593" spans="1:7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row>
    <row r="594" spans="1:7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row>
    <row r="595" spans="1:7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row>
    <row r="596" spans="1:7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row>
    <row r="597" spans="1:7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row>
    <row r="598" spans="1:7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row>
    <row r="599" spans="1:7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row>
    <row r="600" spans="1:7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row>
    <row r="601" spans="1:7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row>
    <row r="602" spans="1:7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row>
    <row r="603" spans="1:7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row>
    <row r="604" spans="1:7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row>
    <row r="605" spans="1:7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row>
    <row r="606" spans="1:7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row>
    <row r="607" spans="1:7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row>
    <row r="608" spans="1:7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row>
    <row r="610" spans="1:7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row>
    <row r="611" spans="1:7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row>
    <row r="612" spans="1:7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row>
    <row r="613" spans="1:7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row>
    <row r="614" spans="1:7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row>
    <row r="615" spans="1:7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row>
    <row r="616" spans="1:7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row>
    <row r="617" spans="1:7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row>
    <row r="618" spans="1:7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row>
    <row r="619" spans="1:7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row>
    <row r="620" spans="1:7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row>
    <row r="621" spans="1:7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row>
    <row r="622" spans="1:7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row>
    <row r="623" spans="1:7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row>
    <row r="624" spans="1:7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row>
    <row r="625" spans="1:7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row>
    <row r="626" spans="1:7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row>
    <row r="627" spans="1:7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row>
    <row r="628" spans="1:7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row>
    <row r="629" spans="1:7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row>
    <row r="630" spans="1:7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row>
    <row r="631" spans="1:7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row>
    <row r="632" spans="1:7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row>
    <row r="633" spans="1:7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row>
    <row r="634" spans="1:7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row>
    <row r="635" spans="1:7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row>
    <row r="636" spans="1:7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row>
    <row r="638" spans="1:7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row>
    <row r="639" spans="1:7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row>
    <row r="640" spans="1:7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row>
    <row r="641" spans="1:7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row>
    <row r="642" spans="1:7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row>
    <row r="643" spans="1:7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row>
    <row r="644" spans="1:7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row>
    <row r="645" spans="1:7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row>
    <row r="646" spans="1:7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row>
    <row r="647" spans="1:7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row>
    <row r="648" spans="1:7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row>
    <row r="649" spans="1:7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row>
    <row r="650" spans="1:7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row>
    <row r="651" spans="1:7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row>
    <row r="652" spans="1:7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row>
    <row r="653" spans="1:7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row>
    <row r="654" spans="1:7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row>
    <row r="655" spans="1:7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row>
    <row r="656" spans="1:7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row>
    <row r="657" spans="1:7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row>
    <row r="658" spans="1:7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row>
    <row r="659" spans="1:7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row>
    <row r="660" spans="1:7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row>
    <row r="661" spans="1:7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row>
    <row r="662" spans="1:7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row>
    <row r="663" spans="1:7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row>
    <row r="664" spans="1:7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row>
    <row r="665" spans="1:7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row>
    <row r="666" spans="1:7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row>
    <row r="667" spans="1:7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row>
    <row r="668" spans="1:7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row>
    <row r="669" spans="1:7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row>
    <row r="670" spans="1:7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row>
    <row r="671" spans="1:7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BH671" s="185"/>
      <c r="BI671" s="185"/>
      <c r="BJ671" s="185"/>
      <c r="BK671" s="185"/>
      <c r="BL671" s="185"/>
      <c r="BM671" s="185"/>
      <c r="BN671" s="185"/>
      <c r="BO671" s="185"/>
      <c r="BP671" s="185"/>
      <c r="BQ671" s="185"/>
      <c r="BR671" s="185"/>
      <c r="BS671" s="185"/>
      <c r="BT671" s="185"/>
    </row>
    <row r="672" spans="1: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BH672" s="185"/>
      <c r="BI672" s="185"/>
      <c r="BJ672" s="185"/>
      <c r="BK672" s="185"/>
      <c r="BL672" s="185"/>
      <c r="BM672" s="185"/>
      <c r="BN672" s="185"/>
      <c r="BO672" s="185"/>
      <c r="BP672" s="185"/>
      <c r="BQ672" s="185"/>
      <c r="BR672" s="185"/>
      <c r="BS672" s="185"/>
      <c r="BT672" s="185"/>
    </row>
    <row r="673" spans="1:7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BH673" s="185"/>
      <c r="BI673" s="185"/>
      <c r="BJ673" s="185"/>
      <c r="BK673" s="185"/>
      <c r="BL673" s="185"/>
      <c r="BM673" s="185"/>
      <c r="BN673" s="185"/>
      <c r="BO673" s="185"/>
      <c r="BP673" s="185"/>
      <c r="BQ673" s="185"/>
      <c r="BR673" s="185"/>
      <c r="BS673" s="185"/>
      <c r="BT673" s="185"/>
    </row>
    <row r="674" spans="1:7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BH674" s="185"/>
      <c r="BI674" s="185"/>
      <c r="BJ674" s="185"/>
      <c r="BK674" s="185"/>
      <c r="BL674" s="185"/>
      <c r="BM674" s="185"/>
      <c r="BN674" s="185"/>
      <c r="BO674" s="185"/>
      <c r="BP674" s="185"/>
      <c r="BQ674" s="185"/>
      <c r="BR674" s="185"/>
      <c r="BS674" s="185"/>
      <c r="BT674" s="185"/>
    </row>
    <row r="675" spans="1:7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BH675" s="185"/>
      <c r="BI675" s="185"/>
      <c r="BJ675" s="185"/>
      <c r="BK675" s="185"/>
      <c r="BL675" s="185"/>
      <c r="BM675" s="185"/>
      <c r="BN675" s="185"/>
      <c r="BO675" s="185"/>
      <c r="BP675" s="185"/>
      <c r="BQ675" s="185"/>
      <c r="BR675" s="185"/>
      <c r="BS675" s="185"/>
      <c r="BT675" s="185"/>
    </row>
    <row r="676" spans="1:7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BH676" s="185"/>
      <c r="BI676" s="185"/>
      <c r="BJ676" s="185"/>
      <c r="BK676" s="185"/>
      <c r="BL676" s="185"/>
      <c r="BM676" s="185"/>
      <c r="BN676" s="185"/>
      <c r="BO676" s="185"/>
      <c r="BP676" s="185"/>
      <c r="BQ676" s="185"/>
      <c r="BR676" s="185"/>
      <c r="BS676" s="185"/>
      <c r="BT676" s="185"/>
    </row>
    <row r="677" spans="1:7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BH677" s="185"/>
      <c r="BI677" s="185"/>
      <c r="BJ677" s="185"/>
      <c r="BK677" s="185"/>
      <c r="BL677" s="185"/>
      <c r="BM677" s="185"/>
      <c r="BN677" s="185"/>
      <c r="BO677" s="185"/>
      <c r="BP677" s="185"/>
      <c r="BQ677" s="185"/>
      <c r="BR677" s="185"/>
      <c r="BS677" s="185"/>
      <c r="BT677" s="185"/>
    </row>
    <row r="678" spans="1:7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BH678" s="185"/>
      <c r="BI678" s="185"/>
      <c r="BJ678" s="185"/>
      <c r="BK678" s="185"/>
      <c r="BL678" s="185"/>
      <c r="BM678" s="185"/>
      <c r="BN678" s="185"/>
      <c r="BO678" s="185"/>
      <c r="BP678" s="185"/>
      <c r="BQ678" s="185"/>
      <c r="BR678" s="185"/>
      <c r="BS678" s="185"/>
      <c r="BT678" s="185"/>
    </row>
    <row r="679" spans="1:7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BH679" s="185"/>
      <c r="BI679" s="185"/>
      <c r="BJ679" s="185"/>
      <c r="BK679" s="185"/>
      <c r="BL679" s="185"/>
      <c r="BM679" s="185"/>
      <c r="BN679" s="185"/>
      <c r="BO679" s="185"/>
      <c r="BP679" s="185"/>
      <c r="BQ679" s="185"/>
      <c r="BR679" s="185"/>
      <c r="BS679" s="185"/>
      <c r="BT679" s="185"/>
    </row>
    <row r="680" spans="1:7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BH680" s="185"/>
      <c r="BI680" s="185"/>
      <c r="BJ680" s="185"/>
      <c r="BK680" s="185"/>
      <c r="BL680" s="185"/>
      <c r="BM680" s="185"/>
      <c r="BN680" s="185"/>
      <c r="BO680" s="185"/>
      <c r="BP680" s="185"/>
      <c r="BQ680" s="185"/>
      <c r="BR680" s="185"/>
      <c r="BS680" s="185"/>
      <c r="BT680" s="185"/>
    </row>
    <row r="681" spans="1:7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BH681" s="185"/>
      <c r="BI681" s="185"/>
      <c r="BJ681" s="185"/>
      <c r="BK681" s="185"/>
      <c r="BL681" s="185"/>
      <c r="BM681" s="185"/>
      <c r="BN681" s="185"/>
      <c r="BO681" s="185"/>
      <c r="BP681" s="185"/>
      <c r="BQ681" s="185"/>
      <c r="BR681" s="185"/>
      <c r="BS681" s="185"/>
      <c r="BT681" s="185"/>
    </row>
    <row r="682" spans="1:7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BH682" s="185"/>
      <c r="BI682" s="185"/>
      <c r="BJ682" s="185"/>
      <c r="BK682" s="185"/>
      <c r="BL682" s="185"/>
      <c r="BM682" s="185"/>
      <c r="BN682" s="185"/>
      <c r="BO682" s="185"/>
      <c r="BP682" s="185"/>
      <c r="BQ682" s="185"/>
      <c r="BR682" s="185"/>
      <c r="BS682" s="185"/>
      <c r="BT682" s="185"/>
    </row>
    <row r="683" spans="1:7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BH683" s="185"/>
      <c r="BI683" s="185"/>
      <c r="BJ683" s="185"/>
      <c r="BK683" s="185"/>
      <c r="BL683" s="185"/>
      <c r="BM683" s="185"/>
      <c r="BN683" s="185"/>
      <c r="BO683" s="185"/>
      <c r="BP683" s="185"/>
      <c r="BQ683" s="185"/>
      <c r="BR683" s="185"/>
      <c r="BS683" s="185"/>
      <c r="BT683" s="185"/>
    </row>
    <row r="684" spans="1:7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BH684" s="185"/>
      <c r="BI684" s="185"/>
      <c r="BJ684" s="185"/>
      <c r="BK684" s="185"/>
      <c r="BL684" s="185"/>
      <c r="BM684" s="185"/>
      <c r="BN684" s="185"/>
      <c r="BO684" s="185"/>
      <c r="BP684" s="185"/>
      <c r="BQ684" s="185"/>
      <c r="BR684" s="185"/>
      <c r="BS684" s="185"/>
      <c r="BT684" s="185"/>
    </row>
    <row r="685" spans="1:7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BH685" s="185"/>
      <c r="BI685" s="185"/>
      <c r="BJ685" s="185"/>
      <c r="BK685" s="185"/>
      <c r="BL685" s="185"/>
      <c r="BM685" s="185"/>
      <c r="BN685" s="185"/>
      <c r="BO685" s="185"/>
      <c r="BP685" s="185"/>
      <c r="BQ685" s="185"/>
      <c r="BR685" s="185"/>
      <c r="BS685" s="185"/>
      <c r="BT685" s="185"/>
    </row>
    <row r="686" spans="1:7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BH686" s="185"/>
      <c r="BI686" s="185"/>
      <c r="BJ686" s="185"/>
      <c r="BK686" s="185"/>
      <c r="BL686" s="185"/>
      <c r="BM686" s="185"/>
      <c r="BN686" s="185"/>
      <c r="BO686" s="185"/>
      <c r="BP686" s="185"/>
      <c r="BQ686" s="185"/>
      <c r="BR686" s="185"/>
      <c r="BS686" s="185"/>
      <c r="BT686" s="185"/>
    </row>
    <row r="687" spans="1:7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BH687" s="185"/>
      <c r="BI687" s="185"/>
      <c r="BJ687" s="185"/>
      <c r="BK687" s="185"/>
      <c r="BL687" s="185"/>
      <c r="BM687" s="185"/>
      <c r="BN687" s="185"/>
      <c r="BO687" s="185"/>
      <c r="BP687" s="185"/>
      <c r="BQ687" s="185"/>
      <c r="BR687" s="185"/>
      <c r="BS687" s="185"/>
      <c r="BT687" s="185"/>
    </row>
    <row r="688" spans="1:7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BH688" s="185"/>
      <c r="BI688" s="185"/>
      <c r="BJ688" s="185"/>
      <c r="BK688" s="185"/>
      <c r="BL688" s="185"/>
      <c r="BM688" s="185"/>
      <c r="BN688" s="185"/>
      <c r="BO688" s="185"/>
      <c r="BP688" s="185"/>
      <c r="BQ688" s="185"/>
      <c r="BR688" s="185"/>
      <c r="BS688" s="185"/>
      <c r="BT688" s="185"/>
    </row>
    <row r="689" spans="1:7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BH689" s="185"/>
      <c r="BI689" s="185"/>
      <c r="BJ689" s="185"/>
      <c r="BK689" s="185"/>
      <c r="BL689" s="185"/>
      <c r="BM689" s="185"/>
      <c r="BN689" s="185"/>
      <c r="BO689" s="185"/>
      <c r="BP689" s="185"/>
      <c r="BQ689" s="185"/>
      <c r="BR689" s="185"/>
      <c r="BS689" s="185"/>
      <c r="BT689" s="185"/>
    </row>
    <row r="690" spans="1:7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BH690" s="185"/>
      <c r="BI690" s="185"/>
      <c r="BJ690" s="185"/>
      <c r="BK690" s="185"/>
      <c r="BL690" s="185"/>
      <c r="BM690" s="185"/>
      <c r="BN690" s="185"/>
      <c r="BO690" s="185"/>
      <c r="BP690" s="185"/>
      <c r="BQ690" s="185"/>
      <c r="BR690" s="185"/>
      <c r="BS690" s="185"/>
      <c r="BT690" s="185"/>
    </row>
    <row r="691" spans="1:7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BH691" s="185"/>
      <c r="BI691" s="185"/>
      <c r="BJ691" s="185"/>
      <c r="BK691" s="185"/>
      <c r="BL691" s="185"/>
      <c r="BM691" s="185"/>
      <c r="BN691" s="185"/>
      <c r="BO691" s="185"/>
      <c r="BP691" s="185"/>
      <c r="BQ691" s="185"/>
      <c r="BR691" s="185"/>
      <c r="BS691" s="185"/>
      <c r="BT691" s="185"/>
    </row>
    <row r="692" spans="1:7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BH692" s="185"/>
      <c r="BI692" s="185"/>
      <c r="BJ692" s="185"/>
      <c r="BK692" s="185"/>
      <c r="BL692" s="185"/>
      <c r="BM692" s="185"/>
      <c r="BN692" s="185"/>
      <c r="BO692" s="185"/>
      <c r="BP692" s="185"/>
      <c r="BQ692" s="185"/>
      <c r="BR692" s="185"/>
      <c r="BS692" s="185"/>
      <c r="BT692" s="185"/>
    </row>
    <row r="693" spans="1:7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BH693" s="185"/>
      <c r="BI693" s="185"/>
      <c r="BJ693" s="185"/>
      <c r="BK693" s="185"/>
      <c r="BL693" s="185"/>
      <c r="BM693" s="185"/>
      <c r="BN693" s="185"/>
      <c r="BO693" s="185"/>
      <c r="BP693" s="185"/>
      <c r="BQ693" s="185"/>
      <c r="BR693" s="185"/>
      <c r="BS693" s="185"/>
      <c r="BT693" s="185"/>
    </row>
    <row r="694" spans="1:7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BH694" s="185"/>
      <c r="BI694" s="185"/>
      <c r="BJ694" s="185"/>
      <c r="BK694" s="185"/>
      <c r="BL694" s="185"/>
      <c r="BM694" s="185"/>
      <c r="BN694" s="185"/>
      <c r="BO694" s="185"/>
      <c r="BP694" s="185"/>
      <c r="BQ694" s="185"/>
      <c r="BR694" s="185"/>
      <c r="BS694" s="185"/>
      <c r="BT694" s="185"/>
    </row>
    <row r="695" spans="1:7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BH695" s="185"/>
      <c r="BI695" s="185"/>
      <c r="BJ695" s="185"/>
      <c r="BK695" s="185"/>
      <c r="BL695" s="185"/>
      <c r="BM695" s="185"/>
      <c r="BN695" s="185"/>
      <c r="BO695" s="185"/>
      <c r="BP695" s="185"/>
      <c r="BQ695" s="185"/>
      <c r="BR695" s="185"/>
      <c r="BS695" s="185"/>
      <c r="BT695" s="185"/>
    </row>
    <row r="696" spans="1:7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BH696" s="185"/>
      <c r="BI696" s="185"/>
      <c r="BJ696" s="185"/>
      <c r="BK696" s="185"/>
      <c r="BL696" s="185"/>
      <c r="BM696" s="185"/>
      <c r="BN696" s="185"/>
      <c r="BO696" s="185"/>
      <c r="BP696" s="185"/>
      <c r="BQ696" s="185"/>
      <c r="BR696" s="185"/>
      <c r="BS696" s="185"/>
      <c r="BT696" s="185"/>
    </row>
    <row r="697" spans="1:7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BH697" s="185"/>
      <c r="BI697" s="185"/>
      <c r="BJ697" s="185"/>
      <c r="BK697" s="185"/>
      <c r="BL697" s="185"/>
      <c r="BM697" s="185"/>
      <c r="BN697" s="185"/>
      <c r="BO697" s="185"/>
      <c r="BP697" s="185"/>
      <c r="BQ697" s="185"/>
      <c r="BR697" s="185"/>
      <c r="BS697" s="185"/>
      <c r="BT697" s="185"/>
    </row>
    <row r="698" spans="1:7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BH698" s="185"/>
      <c r="BI698" s="185"/>
      <c r="BJ698" s="185"/>
      <c r="BK698" s="185"/>
      <c r="BL698" s="185"/>
      <c r="BM698" s="185"/>
      <c r="BN698" s="185"/>
      <c r="BO698" s="185"/>
      <c r="BP698" s="185"/>
      <c r="BQ698" s="185"/>
      <c r="BR698" s="185"/>
      <c r="BS698" s="185"/>
      <c r="BT698" s="185"/>
    </row>
    <row r="699" spans="1:7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BH699" s="185"/>
      <c r="BI699" s="185"/>
      <c r="BJ699" s="185"/>
      <c r="BK699" s="185"/>
      <c r="BL699" s="185"/>
      <c r="BM699" s="185"/>
      <c r="BN699" s="185"/>
      <c r="BO699" s="185"/>
      <c r="BP699" s="185"/>
      <c r="BQ699" s="185"/>
      <c r="BR699" s="185"/>
      <c r="BS699" s="185"/>
      <c r="BT699" s="185"/>
    </row>
    <row r="700" spans="1:7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BH700" s="185"/>
      <c r="BI700" s="185"/>
      <c r="BJ700" s="185"/>
      <c r="BK700" s="185"/>
      <c r="BL700" s="185"/>
      <c r="BM700" s="185"/>
      <c r="BN700" s="185"/>
      <c r="BO700" s="185"/>
      <c r="BP700" s="185"/>
      <c r="BQ700" s="185"/>
      <c r="BR700" s="185"/>
      <c r="BS700" s="185"/>
      <c r="BT700" s="185"/>
    </row>
    <row r="701" spans="1:7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BH701" s="185"/>
      <c r="BI701" s="185"/>
      <c r="BJ701" s="185"/>
      <c r="BK701" s="185"/>
      <c r="BL701" s="185"/>
      <c r="BM701" s="185"/>
      <c r="BN701" s="185"/>
      <c r="BO701" s="185"/>
      <c r="BP701" s="185"/>
      <c r="BQ701" s="185"/>
      <c r="BR701" s="185"/>
      <c r="BS701" s="185"/>
      <c r="BT701" s="185"/>
    </row>
    <row r="702" spans="1:7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BH702" s="185"/>
      <c r="BI702" s="185"/>
      <c r="BJ702" s="185"/>
      <c r="BK702" s="185"/>
      <c r="BL702" s="185"/>
      <c r="BM702" s="185"/>
      <c r="BN702" s="185"/>
      <c r="BO702" s="185"/>
      <c r="BP702" s="185"/>
      <c r="BQ702" s="185"/>
      <c r="BR702" s="185"/>
      <c r="BS702" s="185"/>
      <c r="BT702" s="185"/>
    </row>
    <row r="703" spans="1:7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BH703" s="185"/>
      <c r="BI703" s="185"/>
      <c r="BJ703" s="185"/>
      <c r="BK703" s="185"/>
      <c r="BL703" s="185"/>
      <c r="BM703" s="185"/>
      <c r="BN703" s="185"/>
      <c r="BO703" s="185"/>
      <c r="BP703" s="185"/>
      <c r="BQ703" s="185"/>
      <c r="BR703" s="185"/>
      <c r="BS703" s="185"/>
      <c r="BT703" s="185"/>
    </row>
    <row r="704" spans="1:7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BH704" s="185"/>
      <c r="BI704" s="185"/>
      <c r="BJ704" s="185"/>
      <c r="BK704" s="185"/>
      <c r="BL704" s="185"/>
      <c r="BM704" s="185"/>
      <c r="BN704" s="185"/>
      <c r="BO704" s="185"/>
      <c r="BP704" s="185"/>
      <c r="BQ704" s="185"/>
      <c r="BR704" s="185"/>
      <c r="BS704" s="185"/>
      <c r="BT704" s="185"/>
    </row>
    <row r="705" spans="1:7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BH705" s="185"/>
      <c r="BI705" s="185"/>
      <c r="BJ705" s="185"/>
      <c r="BK705" s="185"/>
      <c r="BL705" s="185"/>
      <c r="BM705" s="185"/>
      <c r="BN705" s="185"/>
      <c r="BO705" s="185"/>
      <c r="BP705" s="185"/>
      <c r="BQ705" s="185"/>
      <c r="BR705" s="185"/>
      <c r="BS705" s="185"/>
      <c r="BT705" s="185"/>
    </row>
    <row r="706" spans="1:7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BH706" s="185"/>
      <c r="BI706" s="185"/>
      <c r="BJ706" s="185"/>
      <c r="BK706" s="185"/>
      <c r="BL706" s="185"/>
      <c r="BM706" s="185"/>
      <c r="BN706" s="185"/>
      <c r="BO706" s="185"/>
      <c r="BP706" s="185"/>
      <c r="BQ706" s="185"/>
      <c r="BR706" s="185"/>
      <c r="BS706" s="185"/>
      <c r="BT706" s="185"/>
    </row>
    <row r="707" spans="1:7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BH707" s="185"/>
      <c r="BI707" s="185"/>
      <c r="BJ707" s="185"/>
      <c r="BK707" s="185"/>
      <c r="BL707" s="185"/>
      <c r="BM707" s="185"/>
      <c r="BN707" s="185"/>
      <c r="BO707" s="185"/>
      <c r="BP707" s="185"/>
      <c r="BQ707" s="185"/>
      <c r="BR707" s="185"/>
      <c r="BS707" s="185"/>
      <c r="BT707" s="185"/>
    </row>
    <row r="708" spans="1:7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BH708" s="185"/>
      <c r="BI708" s="185"/>
      <c r="BJ708" s="185"/>
      <c r="BK708" s="185"/>
      <c r="BL708" s="185"/>
      <c r="BM708" s="185"/>
      <c r="BN708" s="185"/>
      <c r="BO708" s="185"/>
      <c r="BP708" s="185"/>
      <c r="BQ708" s="185"/>
      <c r="BR708" s="185"/>
      <c r="BS708" s="185"/>
      <c r="BT708" s="185"/>
    </row>
    <row r="709" spans="1:7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BH709" s="185"/>
      <c r="BI709" s="185"/>
      <c r="BJ709" s="185"/>
      <c r="BK709" s="185"/>
      <c r="BL709" s="185"/>
      <c r="BM709" s="185"/>
      <c r="BN709" s="185"/>
      <c r="BO709" s="185"/>
      <c r="BP709" s="185"/>
      <c r="BQ709" s="185"/>
      <c r="BR709" s="185"/>
      <c r="BS709" s="185"/>
      <c r="BT709" s="185"/>
    </row>
    <row r="710" spans="1:7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BH710" s="185"/>
      <c r="BI710" s="185"/>
      <c r="BJ710" s="185"/>
      <c r="BK710" s="185"/>
      <c r="BL710" s="185"/>
      <c r="BM710" s="185"/>
      <c r="BN710" s="185"/>
      <c r="BO710" s="185"/>
      <c r="BP710" s="185"/>
      <c r="BQ710" s="185"/>
      <c r="BR710" s="185"/>
      <c r="BS710" s="185"/>
      <c r="BT710" s="185"/>
    </row>
    <row r="711" spans="1:7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BH711" s="185"/>
      <c r="BI711" s="185"/>
      <c r="BJ711" s="185"/>
      <c r="BK711" s="185"/>
      <c r="BL711" s="185"/>
      <c r="BM711" s="185"/>
      <c r="BN711" s="185"/>
      <c r="BO711" s="185"/>
      <c r="BP711" s="185"/>
      <c r="BQ711" s="185"/>
      <c r="BR711" s="185"/>
      <c r="BS711" s="185"/>
      <c r="BT711" s="185"/>
    </row>
    <row r="712" spans="1:7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BH712" s="185"/>
      <c r="BI712" s="185"/>
      <c r="BJ712" s="185"/>
      <c r="BK712" s="185"/>
      <c r="BL712" s="185"/>
      <c r="BM712" s="185"/>
      <c r="BN712" s="185"/>
      <c r="BO712" s="185"/>
      <c r="BP712" s="185"/>
      <c r="BQ712" s="185"/>
      <c r="BR712" s="185"/>
      <c r="BS712" s="185"/>
      <c r="BT712" s="185"/>
    </row>
    <row r="713" spans="1:7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BH713" s="185"/>
      <c r="BI713" s="185"/>
      <c r="BJ713" s="185"/>
      <c r="BK713" s="185"/>
      <c r="BL713" s="185"/>
      <c r="BM713" s="185"/>
      <c r="BN713" s="185"/>
      <c r="BO713" s="185"/>
      <c r="BP713" s="185"/>
      <c r="BQ713" s="185"/>
      <c r="BR713" s="185"/>
      <c r="BS713" s="185"/>
      <c r="BT713" s="185"/>
    </row>
    <row r="714" spans="1:7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BH714" s="185"/>
      <c r="BI714" s="185"/>
      <c r="BJ714" s="185"/>
      <c r="BK714" s="185"/>
      <c r="BL714" s="185"/>
      <c r="BM714" s="185"/>
      <c r="BN714" s="185"/>
      <c r="BO714" s="185"/>
      <c r="BP714" s="185"/>
      <c r="BQ714" s="185"/>
      <c r="BR714" s="185"/>
      <c r="BS714" s="185"/>
      <c r="BT714" s="185"/>
    </row>
    <row r="715" spans="1:7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BH715" s="185"/>
      <c r="BI715" s="185"/>
      <c r="BJ715" s="185"/>
      <c r="BK715" s="185"/>
      <c r="BL715" s="185"/>
      <c r="BM715" s="185"/>
      <c r="BN715" s="185"/>
      <c r="BO715" s="185"/>
      <c r="BP715" s="185"/>
      <c r="BQ715" s="185"/>
      <c r="BR715" s="185"/>
      <c r="BS715" s="185"/>
      <c r="BT715" s="185"/>
    </row>
    <row r="716" spans="1:7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BH716" s="185"/>
      <c r="BI716" s="185"/>
      <c r="BJ716" s="185"/>
      <c r="BK716" s="185"/>
      <c r="BL716" s="185"/>
      <c r="BM716" s="185"/>
      <c r="BN716" s="185"/>
      <c r="BO716" s="185"/>
      <c r="BP716" s="185"/>
      <c r="BQ716" s="185"/>
      <c r="BR716" s="185"/>
      <c r="BS716" s="185"/>
      <c r="BT716" s="185"/>
    </row>
    <row r="717" spans="1:7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BH717" s="185"/>
      <c r="BI717" s="185"/>
      <c r="BJ717" s="185"/>
      <c r="BK717" s="185"/>
      <c r="BL717" s="185"/>
      <c r="BM717" s="185"/>
      <c r="BN717" s="185"/>
      <c r="BO717" s="185"/>
      <c r="BP717" s="185"/>
      <c r="BQ717" s="185"/>
      <c r="BR717" s="185"/>
      <c r="BS717" s="185"/>
      <c r="BT717" s="185"/>
    </row>
    <row r="718" spans="1:7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BH718" s="185"/>
      <c r="BI718" s="185"/>
      <c r="BJ718" s="185"/>
      <c r="BK718" s="185"/>
      <c r="BL718" s="185"/>
      <c r="BM718" s="185"/>
      <c r="BN718" s="185"/>
      <c r="BO718" s="185"/>
      <c r="BP718" s="185"/>
      <c r="BQ718" s="185"/>
      <c r="BR718" s="185"/>
      <c r="BS718" s="185"/>
      <c r="BT718" s="185"/>
    </row>
    <row r="719" spans="1:7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BH719" s="185"/>
      <c r="BI719" s="185"/>
      <c r="BJ719" s="185"/>
      <c r="BK719" s="185"/>
      <c r="BL719" s="185"/>
      <c r="BM719" s="185"/>
      <c r="BN719" s="185"/>
      <c r="BO719" s="185"/>
      <c r="BP719" s="185"/>
      <c r="BQ719" s="185"/>
      <c r="BR719" s="185"/>
      <c r="BS719" s="185"/>
      <c r="BT719" s="185"/>
    </row>
    <row r="720" spans="1:7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BH720" s="185"/>
      <c r="BI720" s="185"/>
      <c r="BJ720" s="185"/>
      <c r="BK720" s="185"/>
      <c r="BL720" s="185"/>
      <c r="BM720" s="185"/>
      <c r="BN720" s="185"/>
      <c r="BO720" s="185"/>
      <c r="BP720" s="185"/>
      <c r="BQ720" s="185"/>
      <c r="BR720" s="185"/>
      <c r="BS720" s="185"/>
      <c r="BT720" s="185"/>
    </row>
    <row r="721" spans="1:7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BH721" s="185"/>
      <c r="BI721" s="185"/>
      <c r="BJ721" s="185"/>
      <c r="BK721" s="185"/>
      <c r="BL721" s="185"/>
      <c r="BM721" s="185"/>
      <c r="BN721" s="185"/>
      <c r="BO721" s="185"/>
      <c r="BP721" s="185"/>
      <c r="BQ721" s="185"/>
      <c r="BR721" s="185"/>
      <c r="BS721" s="185"/>
      <c r="BT721" s="185"/>
    </row>
    <row r="722" spans="1:7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BH722" s="185"/>
      <c r="BI722" s="185"/>
      <c r="BJ722" s="185"/>
      <c r="BK722" s="185"/>
      <c r="BL722" s="185"/>
      <c r="BM722" s="185"/>
      <c r="BN722" s="185"/>
      <c r="BO722" s="185"/>
      <c r="BP722" s="185"/>
      <c r="BQ722" s="185"/>
      <c r="BR722" s="185"/>
      <c r="BS722" s="185"/>
      <c r="BT722" s="185"/>
    </row>
    <row r="723" spans="1:7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BH723" s="185"/>
      <c r="BI723" s="185"/>
      <c r="BJ723" s="185"/>
      <c r="BK723" s="185"/>
      <c r="BL723" s="185"/>
      <c r="BM723" s="185"/>
      <c r="BN723" s="185"/>
      <c r="BO723" s="185"/>
      <c r="BP723" s="185"/>
      <c r="BQ723" s="185"/>
      <c r="BR723" s="185"/>
      <c r="BS723" s="185"/>
      <c r="BT723" s="185"/>
    </row>
    <row r="724" spans="1:7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BH724" s="185"/>
      <c r="BI724" s="185"/>
      <c r="BJ724" s="185"/>
      <c r="BK724" s="185"/>
      <c r="BL724" s="185"/>
      <c r="BM724" s="185"/>
      <c r="BN724" s="185"/>
      <c r="BO724" s="185"/>
      <c r="BP724" s="185"/>
      <c r="BQ724" s="185"/>
      <c r="BR724" s="185"/>
      <c r="BS724" s="185"/>
      <c r="BT724" s="185"/>
    </row>
    <row r="725" spans="1:7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BH725" s="185"/>
      <c r="BI725" s="185"/>
      <c r="BJ725" s="185"/>
      <c r="BK725" s="185"/>
      <c r="BL725" s="185"/>
      <c r="BM725" s="185"/>
      <c r="BN725" s="185"/>
      <c r="BO725" s="185"/>
      <c r="BP725" s="185"/>
      <c r="BQ725" s="185"/>
      <c r="BR725" s="185"/>
      <c r="BS725" s="185"/>
      <c r="BT725" s="185"/>
    </row>
    <row r="726" spans="1:7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BH726" s="185"/>
      <c r="BI726" s="185"/>
      <c r="BJ726" s="185"/>
      <c r="BK726" s="185"/>
      <c r="BL726" s="185"/>
      <c r="BM726" s="185"/>
      <c r="BN726" s="185"/>
      <c r="BO726" s="185"/>
      <c r="BP726" s="185"/>
      <c r="BQ726" s="185"/>
      <c r="BR726" s="185"/>
      <c r="BS726" s="185"/>
      <c r="BT726" s="185"/>
    </row>
    <row r="727" spans="1:7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BH727" s="185"/>
      <c r="BI727" s="185"/>
      <c r="BJ727" s="185"/>
      <c r="BK727" s="185"/>
      <c r="BL727" s="185"/>
      <c r="BM727" s="185"/>
      <c r="BN727" s="185"/>
      <c r="BO727" s="185"/>
      <c r="BP727" s="185"/>
      <c r="BQ727" s="185"/>
      <c r="BR727" s="185"/>
      <c r="BS727" s="185"/>
      <c r="BT727" s="185"/>
    </row>
    <row r="728" spans="1:7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BH728" s="185"/>
      <c r="BI728" s="185"/>
      <c r="BJ728" s="185"/>
      <c r="BK728" s="185"/>
      <c r="BL728" s="185"/>
      <c r="BM728" s="185"/>
      <c r="BN728" s="185"/>
      <c r="BO728" s="185"/>
      <c r="BP728" s="185"/>
      <c r="BQ728" s="185"/>
      <c r="BR728" s="185"/>
      <c r="BS728" s="185"/>
      <c r="BT728" s="185"/>
    </row>
    <row r="729" spans="1:7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BH729" s="185"/>
      <c r="BI729" s="185"/>
      <c r="BJ729" s="185"/>
      <c r="BK729" s="185"/>
      <c r="BL729" s="185"/>
      <c r="BM729" s="185"/>
      <c r="BN729" s="185"/>
      <c r="BO729" s="185"/>
      <c r="BP729" s="185"/>
      <c r="BQ729" s="185"/>
      <c r="BR729" s="185"/>
      <c r="BS729" s="185"/>
      <c r="BT729" s="185"/>
    </row>
    <row r="730" spans="1:7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BH730" s="185"/>
      <c r="BI730" s="185"/>
      <c r="BJ730" s="185"/>
      <c r="BK730" s="185"/>
      <c r="BL730" s="185"/>
      <c r="BM730" s="185"/>
      <c r="BN730" s="185"/>
      <c r="BO730" s="185"/>
      <c r="BP730" s="185"/>
      <c r="BQ730" s="185"/>
      <c r="BR730" s="185"/>
      <c r="BS730" s="185"/>
      <c r="BT730" s="185"/>
    </row>
    <row r="731" spans="1:7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BH731" s="185"/>
      <c r="BI731" s="185"/>
      <c r="BJ731" s="185"/>
      <c r="BK731" s="185"/>
      <c r="BL731" s="185"/>
      <c r="BM731" s="185"/>
      <c r="BN731" s="185"/>
      <c r="BO731" s="185"/>
      <c r="BP731" s="185"/>
      <c r="BQ731" s="185"/>
      <c r="BR731" s="185"/>
      <c r="BS731" s="185"/>
      <c r="BT731" s="185"/>
    </row>
    <row r="732" spans="1:7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BH732" s="185"/>
      <c r="BI732" s="185"/>
      <c r="BJ732" s="185"/>
      <c r="BK732" s="185"/>
      <c r="BL732" s="185"/>
      <c r="BM732" s="185"/>
      <c r="BN732" s="185"/>
      <c r="BO732" s="185"/>
      <c r="BP732" s="185"/>
      <c r="BQ732" s="185"/>
      <c r="BR732" s="185"/>
      <c r="BS732" s="185"/>
      <c r="BT732" s="185"/>
    </row>
    <row r="733" spans="1:7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BH733" s="185"/>
      <c r="BI733" s="185"/>
      <c r="BJ733" s="185"/>
      <c r="BK733" s="185"/>
      <c r="BL733" s="185"/>
      <c r="BM733" s="185"/>
      <c r="BN733" s="185"/>
      <c r="BO733" s="185"/>
      <c r="BP733" s="185"/>
      <c r="BQ733" s="185"/>
      <c r="BR733" s="185"/>
      <c r="BS733" s="185"/>
      <c r="BT733" s="185"/>
    </row>
    <row r="734" spans="1:7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BH734" s="185"/>
      <c r="BI734" s="185"/>
      <c r="BJ734" s="185"/>
      <c r="BK734" s="185"/>
      <c r="BL734" s="185"/>
      <c r="BM734" s="185"/>
      <c r="BN734" s="185"/>
      <c r="BO734" s="185"/>
      <c r="BP734" s="185"/>
      <c r="BQ734" s="185"/>
      <c r="BR734" s="185"/>
      <c r="BS734" s="185"/>
      <c r="BT734" s="185"/>
    </row>
    <row r="735" spans="1:7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BH735" s="185"/>
      <c r="BI735" s="185"/>
      <c r="BJ735" s="185"/>
      <c r="BK735" s="185"/>
      <c r="BL735" s="185"/>
      <c r="BM735" s="185"/>
      <c r="BN735" s="185"/>
      <c r="BO735" s="185"/>
      <c r="BP735" s="185"/>
      <c r="BQ735" s="185"/>
      <c r="BR735" s="185"/>
      <c r="BS735" s="185"/>
      <c r="BT735" s="185"/>
    </row>
    <row r="736" spans="1:7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BH736" s="185"/>
      <c r="BI736" s="185"/>
      <c r="BJ736" s="185"/>
      <c r="BK736" s="185"/>
      <c r="BL736" s="185"/>
      <c r="BM736" s="185"/>
      <c r="BN736" s="185"/>
      <c r="BO736" s="185"/>
      <c r="BP736" s="185"/>
      <c r="BQ736" s="185"/>
      <c r="BR736" s="185"/>
      <c r="BS736" s="185"/>
      <c r="BT736" s="185"/>
    </row>
    <row r="737" spans="1:7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BH737" s="185"/>
      <c r="BI737" s="185"/>
      <c r="BJ737" s="185"/>
      <c r="BK737" s="185"/>
      <c r="BL737" s="185"/>
      <c r="BM737" s="185"/>
      <c r="BN737" s="185"/>
      <c r="BO737" s="185"/>
      <c r="BP737" s="185"/>
      <c r="BQ737" s="185"/>
      <c r="BR737" s="185"/>
      <c r="BS737" s="185"/>
      <c r="BT737" s="185"/>
    </row>
    <row r="738" spans="1:7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BH738" s="185"/>
      <c r="BI738" s="185"/>
      <c r="BJ738" s="185"/>
      <c r="BK738" s="185"/>
      <c r="BL738" s="185"/>
      <c r="BM738" s="185"/>
      <c r="BN738" s="185"/>
      <c r="BO738" s="185"/>
      <c r="BP738" s="185"/>
      <c r="BQ738" s="185"/>
      <c r="BR738" s="185"/>
      <c r="BS738" s="185"/>
      <c r="BT738" s="185"/>
    </row>
    <row r="739" spans="1:7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BH739" s="185"/>
      <c r="BI739" s="185"/>
      <c r="BJ739" s="185"/>
      <c r="BK739" s="185"/>
      <c r="BL739" s="185"/>
      <c r="BM739" s="185"/>
      <c r="BN739" s="185"/>
      <c r="BO739" s="185"/>
      <c r="BP739" s="185"/>
      <c r="BQ739" s="185"/>
      <c r="BR739" s="185"/>
      <c r="BS739" s="185"/>
      <c r="BT739" s="185"/>
    </row>
    <row r="740" spans="1:7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BH740" s="185"/>
      <c r="BI740" s="185"/>
      <c r="BJ740" s="185"/>
      <c r="BK740" s="185"/>
      <c r="BL740" s="185"/>
      <c r="BM740" s="185"/>
      <c r="BN740" s="185"/>
      <c r="BO740" s="185"/>
      <c r="BP740" s="185"/>
      <c r="BQ740" s="185"/>
      <c r="BR740" s="185"/>
      <c r="BS740" s="185"/>
      <c r="BT740" s="185"/>
    </row>
    <row r="741" spans="1:7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BH741" s="185"/>
      <c r="BI741" s="185"/>
      <c r="BJ741" s="185"/>
      <c r="BK741" s="185"/>
      <c r="BL741" s="185"/>
      <c r="BM741" s="185"/>
      <c r="BN741" s="185"/>
      <c r="BO741" s="185"/>
      <c r="BP741" s="185"/>
      <c r="BQ741" s="185"/>
      <c r="BR741" s="185"/>
      <c r="BS741" s="185"/>
      <c r="BT741" s="185"/>
    </row>
    <row r="742" spans="1:7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BH742" s="185"/>
      <c r="BI742" s="185"/>
      <c r="BJ742" s="185"/>
      <c r="BK742" s="185"/>
      <c r="BL742" s="185"/>
      <c r="BM742" s="185"/>
      <c r="BN742" s="185"/>
      <c r="BO742" s="185"/>
      <c r="BP742" s="185"/>
      <c r="BQ742" s="185"/>
      <c r="BR742" s="185"/>
      <c r="BS742" s="185"/>
      <c r="BT742" s="185"/>
    </row>
    <row r="743" spans="1:7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BH743" s="185"/>
      <c r="BI743" s="185"/>
      <c r="BJ743" s="185"/>
      <c r="BK743" s="185"/>
      <c r="BL743" s="185"/>
      <c r="BM743" s="185"/>
      <c r="BN743" s="185"/>
      <c r="BO743" s="185"/>
      <c r="BP743" s="185"/>
      <c r="BQ743" s="185"/>
      <c r="BR743" s="185"/>
      <c r="BS743" s="185"/>
      <c r="BT743" s="185"/>
    </row>
    <row r="744" spans="1:72">
      <c r="BH744" s="185"/>
      <c r="BI744" s="185"/>
      <c r="BJ744" s="185"/>
      <c r="BK744" s="185"/>
      <c r="BL744" s="185"/>
      <c r="BM744" s="185"/>
      <c r="BN744" s="185"/>
      <c r="BO744" s="185"/>
      <c r="BP744" s="185"/>
      <c r="BQ744" s="185"/>
      <c r="BR744" s="185"/>
      <c r="BS744" s="185"/>
      <c r="BT744" s="185"/>
    </row>
    <row r="745" spans="1:72">
      <c r="BH745" s="185"/>
      <c r="BI745" s="185"/>
      <c r="BJ745" s="185"/>
      <c r="BK745" s="185"/>
      <c r="BL745" s="185"/>
      <c r="BM745" s="185"/>
      <c r="BN745" s="185"/>
      <c r="BO745" s="185"/>
      <c r="BP745" s="185"/>
      <c r="BQ745" s="185"/>
      <c r="BR745" s="185"/>
      <c r="BS745" s="185"/>
      <c r="BT745" s="185"/>
    </row>
    <row r="746" spans="1:72">
      <c r="BH746" s="185"/>
      <c r="BI746" s="185"/>
      <c r="BJ746" s="185"/>
      <c r="BK746" s="185"/>
      <c r="BL746" s="185"/>
      <c r="BM746" s="185"/>
      <c r="BN746" s="185"/>
      <c r="BO746" s="185"/>
      <c r="BP746" s="185"/>
      <c r="BQ746" s="185"/>
      <c r="BR746" s="185"/>
      <c r="BS746" s="185"/>
      <c r="BT746" s="185"/>
    </row>
    <row r="747" spans="1:72">
      <c r="BH747" s="185"/>
      <c r="BI747" s="185"/>
      <c r="BJ747" s="185"/>
      <c r="BK747" s="185"/>
      <c r="BL747" s="185"/>
      <c r="BM747" s="185"/>
      <c r="BN747" s="185"/>
      <c r="BO747" s="185"/>
      <c r="BP747" s="185"/>
      <c r="BQ747" s="185"/>
      <c r="BR747" s="185"/>
      <c r="BS747" s="185"/>
      <c r="BT747" s="185"/>
    </row>
    <row r="748" spans="1:72">
      <c r="BH748" s="185"/>
      <c r="BI748" s="185"/>
      <c r="BJ748" s="185"/>
      <c r="BK748" s="185"/>
      <c r="BL748" s="185"/>
      <c r="BM748" s="185"/>
      <c r="BN748" s="185"/>
      <c r="BO748" s="185"/>
      <c r="BP748" s="185"/>
      <c r="BQ748" s="185"/>
      <c r="BR748" s="185"/>
      <c r="BS748" s="185"/>
      <c r="BT748" s="185"/>
    </row>
    <row r="749" spans="1:72">
      <c r="BH749" s="185"/>
      <c r="BI749" s="185"/>
      <c r="BJ749" s="185"/>
      <c r="BK749" s="185"/>
      <c r="BL749" s="185"/>
      <c r="BM749" s="185"/>
      <c r="BN749" s="185"/>
      <c r="BO749" s="185"/>
      <c r="BP749" s="185"/>
      <c r="BQ749" s="185"/>
      <c r="BR749" s="185"/>
      <c r="BS749" s="185"/>
      <c r="BT749" s="185"/>
    </row>
    <row r="750" spans="1:72">
      <c r="BH750" s="185"/>
      <c r="BI750" s="185"/>
      <c r="BJ750" s="185"/>
      <c r="BK750" s="185"/>
      <c r="BL750" s="185"/>
      <c r="BM750" s="185"/>
      <c r="BN750" s="185"/>
      <c r="BO750" s="185"/>
      <c r="BP750" s="185"/>
      <c r="BQ750" s="185"/>
      <c r="BR750" s="185"/>
      <c r="BS750" s="185"/>
      <c r="BT750" s="185"/>
    </row>
    <row r="751" spans="1:72">
      <c r="BH751" s="185"/>
      <c r="BI751" s="185"/>
      <c r="BJ751" s="185"/>
      <c r="BK751" s="185"/>
      <c r="BL751" s="185"/>
      <c r="BM751" s="185"/>
      <c r="BN751" s="185"/>
      <c r="BO751" s="185"/>
      <c r="BP751" s="185"/>
      <c r="BQ751" s="185"/>
      <c r="BR751" s="185"/>
      <c r="BS751" s="185"/>
      <c r="BT751" s="185"/>
    </row>
    <row r="752" spans="1:72">
      <c r="BH752" s="185"/>
      <c r="BI752" s="185"/>
      <c r="BJ752" s="185"/>
      <c r="BK752" s="185"/>
      <c r="BL752" s="185"/>
      <c r="BM752" s="185"/>
      <c r="BN752" s="185"/>
      <c r="BO752" s="185"/>
      <c r="BP752" s="185"/>
      <c r="BQ752" s="185"/>
      <c r="BR752" s="185"/>
      <c r="BS752" s="185"/>
      <c r="BT752" s="185"/>
    </row>
    <row r="753" spans="60:72">
      <c r="BH753" s="185"/>
      <c r="BI753" s="185"/>
      <c r="BJ753" s="185"/>
      <c r="BK753" s="185"/>
      <c r="BL753" s="185"/>
      <c r="BM753" s="185"/>
      <c r="BN753" s="185"/>
      <c r="BO753" s="185"/>
      <c r="BP753" s="185"/>
      <c r="BQ753" s="185"/>
      <c r="BR753" s="185"/>
      <c r="BS753" s="185"/>
      <c r="BT753" s="185"/>
    </row>
    <row r="754" spans="60:72">
      <c r="BH754" s="185"/>
      <c r="BI754" s="185"/>
      <c r="BJ754" s="185"/>
      <c r="BK754" s="185"/>
      <c r="BL754" s="185"/>
      <c r="BM754" s="185"/>
      <c r="BN754" s="185"/>
      <c r="BO754" s="185"/>
      <c r="BP754" s="185"/>
      <c r="BQ754" s="185"/>
      <c r="BR754" s="185"/>
      <c r="BS754" s="185"/>
      <c r="BT754" s="185"/>
    </row>
    <row r="755" spans="60:72">
      <c r="BH755" s="185"/>
      <c r="BI755" s="185"/>
      <c r="BJ755" s="185"/>
      <c r="BK755" s="185"/>
      <c r="BL755" s="185"/>
      <c r="BM755" s="185"/>
      <c r="BN755" s="185"/>
      <c r="BO755" s="185"/>
      <c r="BP755" s="185"/>
      <c r="BQ755" s="185"/>
      <c r="BR755" s="185"/>
      <c r="BS755" s="185"/>
      <c r="BT755" s="185"/>
    </row>
    <row r="756" spans="60:72">
      <c r="BH756" s="185"/>
      <c r="BI756" s="185"/>
      <c r="BJ756" s="185"/>
      <c r="BK756" s="185"/>
      <c r="BL756" s="185"/>
      <c r="BM756" s="185"/>
      <c r="BN756" s="185"/>
      <c r="BO756" s="185"/>
      <c r="BP756" s="185"/>
      <c r="BQ756" s="185"/>
      <c r="BR756" s="185"/>
      <c r="BS756" s="185"/>
      <c r="BT756" s="185"/>
    </row>
    <row r="757" spans="60:72">
      <c r="BH757" s="185"/>
      <c r="BI757" s="185"/>
      <c r="BJ757" s="185"/>
      <c r="BK757" s="185"/>
      <c r="BL757" s="185"/>
      <c r="BM757" s="185"/>
      <c r="BN757" s="185"/>
      <c r="BO757" s="185"/>
      <c r="BP757" s="185"/>
      <c r="BQ757" s="185"/>
      <c r="BR757" s="185"/>
      <c r="BS757" s="185"/>
      <c r="BT757" s="185"/>
    </row>
    <row r="758" spans="60:72">
      <c r="BH758" s="185"/>
      <c r="BI758" s="185"/>
      <c r="BJ758" s="185"/>
      <c r="BK758" s="185"/>
      <c r="BL758" s="185"/>
      <c r="BM758" s="185"/>
      <c r="BN758" s="185"/>
      <c r="BO758" s="185"/>
      <c r="BP758" s="185"/>
      <c r="BQ758" s="185"/>
      <c r="BR758" s="185"/>
      <c r="BS758" s="185"/>
      <c r="BT758" s="185"/>
    </row>
    <row r="759" spans="60:72">
      <c r="BH759" s="185"/>
      <c r="BI759" s="185"/>
      <c r="BJ759" s="185"/>
      <c r="BK759" s="185"/>
      <c r="BL759" s="185"/>
      <c r="BM759" s="185"/>
      <c r="BN759" s="185"/>
      <c r="BO759" s="185"/>
      <c r="BP759" s="185"/>
      <c r="BQ759" s="185"/>
      <c r="BR759" s="185"/>
      <c r="BS759" s="185"/>
      <c r="BT759" s="185"/>
    </row>
    <row r="760" spans="60:72">
      <c r="BH760" s="185"/>
      <c r="BI760" s="185"/>
      <c r="BJ760" s="185"/>
      <c r="BK760" s="185"/>
      <c r="BL760" s="185"/>
      <c r="BM760" s="185"/>
      <c r="BN760" s="185"/>
      <c r="BO760" s="185"/>
      <c r="BP760" s="185"/>
      <c r="BQ760" s="185"/>
      <c r="BR760" s="185"/>
      <c r="BS760" s="185"/>
      <c r="BT760" s="185"/>
    </row>
    <row r="761" spans="60:72">
      <c r="BH761" s="185"/>
      <c r="BI761" s="185"/>
      <c r="BJ761" s="185"/>
      <c r="BK761" s="185"/>
      <c r="BL761" s="185"/>
      <c r="BM761" s="185"/>
      <c r="BN761" s="185"/>
      <c r="BO761" s="185"/>
      <c r="BP761" s="185"/>
      <c r="BQ761" s="185"/>
      <c r="BR761" s="185"/>
      <c r="BS761" s="185"/>
      <c r="BT761" s="185"/>
    </row>
    <row r="762" spans="60:72">
      <c r="BH762" s="185"/>
      <c r="BI762" s="185"/>
      <c r="BJ762" s="185"/>
      <c r="BK762" s="185"/>
      <c r="BL762" s="185"/>
      <c r="BM762" s="185"/>
      <c r="BN762" s="185"/>
      <c r="BO762" s="185"/>
      <c r="BP762" s="185"/>
      <c r="BQ762" s="185"/>
      <c r="BR762" s="185"/>
      <c r="BS762" s="185"/>
      <c r="BT762" s="185"/>
    </row>
    <row r="763" spans="60:72">
      <c r="BH763" s="185"/>
      <c r="BI763" s="185"/>
      <c r="BJ763" s="185"/>
      <c r="BK763" s="185"/>
      <c r="BL763" s="185"/>
      <c r="BM763" s="185"/>
      <c r="BN763" s="185"/>
      <c r="BO763" s="185"/>
      <c r="BP763" s="185"/>
      <c r="BQ763" s="185"/>
      <c r="BR763" s="185"/>
      <c r="BS763" s="185"/>
      <c r="BT763" s="185"/>
    </row>
    <row r="764" spans="60:72">
      <c r="BH764" s="185"/>
      <c r="BI764" s="185"/>
      <c r="BJ764" s="185"/>
      <c r="BK764" s="185"/>
      <c r="BL764" s="185"/>
      <c r="BM764" s="185"/>
      <c r="BN764" s="185"/>
      <c r="BO764" s="185"/>
      <c r="BP764" s="185"/>
      <c r="BQ764" s="185"/>
      <c r="BR764" s="185"/>
      <c r="BS764" s="185"/>
      <c r="BT764" s="185"/>
    </row>
    <row r="765" spans="60:72">
      <c r="BH765" s="185"/>
      <c r="BI765" s="185"/>
      <c r="BJ765" s="185"/>
      <c r="BK765" s="185"/>
      <c r="BL765" s="185"/>
      <c r="BM765" s="185"/>
      <c r="BN765" s="185"/>
      <c r="BO765" s="185"/>
      <c r="BP765" s="185"/>
      <c r="BQ765" s="185"/>
      <c r="BR765" s="185"/>
      <c r="BS765" s="185"/>
      <c r="BT765" s="185"/>
    </row>
    <row r="766" spans="60:72">
      <c r="BH766" s="185"/>
      <c r="BI766" s="185"/>
      <c r="BJ766" s="185"/>
      <c r="BK766" s="185"/>
      <c r="BL766" s="185"/>
      <c r="BM766" s="185"/>
      <c r="BN766" s="185"/>
      <c r="BO766" s="185"/>
      <c r="BP766" s="185"/>
      <c r="BQ766" s="185"/>
      <c r="BR766" s="185"/>
      <c r="BS766" s="185"/>
      <c r="BT766" s="185"/>
    </row>
    <row r="767" spans="60:72">
      <c r="BH767" s="185"/>
      <c r="BI767" s="185"/>
      <c r="BJ767" s="185"/>
      <c r="BK767" s="185"/>
      <c r="BL767" s="185"/>
      <c r="BM767" s="185"/>
      <c r="BN767" s="185"/>
      <c r="BO767" s="185"/>
      <c r="BP767" s="185"/>
      <c r="BQ767" s="185"/>
      <c r="BR767" s="185"/>
      <c r="BS767" s="185"/>
      <c r="BT767" s="185"/>
    </row>
    <row r="768" spans="60:72">
      <c r="BH768" s="185"/>
      <c r="BI768" s="185"/>
      <c r="BJ768" s="185"/>
      <c r="BK768" s="185"/>
      <c r="BL768" s="185"/>
      <c r="BM768" s="185"/>
      <c r="BN768" s="185"/>
      <c r="BO768" s="185"/>
      <c r="BP768" s="185"/>
      <c r="BQ768" s="185"/>
      <c r="BR768" s="185"/>
      <c r="BS768" s="185"/>
      <c r="BT768" s="185"/>
    </row>
    <row r="769" spans="60:72">
      <c r="BH769" s="185"/>
      <c r="BI769" s="185"/>
      <c r="BJ769" s="185"/>
      <c r="BK769" s="185"/>
      <c r="BL769" s="185"/>
      <c r="BM769" s="185"/>
      <c r="BN769" s="185"/>
      <c r="BO769" s="185"/>
      <c r="BP769" s="185"/>
      <c r="BQ769" s="185"/>
      <c r="BR769" s="185"/>
      <c r="BS769" s="185"/>
      <c r="BT769" s="185"/>
    </row>
    <row r="770" spans="60:72">
      <c r="BH770" s="185"/>
      <c r="BI770" s="185"/>
      <c r="BJ770" s="185"/>
      <c r="BK770" s="185"/>
      <c r="BL770" s="185"/>
      <c r="BM770" s="185"/>
      <c r="BN770" s="185"/>
      <c r="BO770" s="185"/>
      <c r="BP770" s="185"/>
      <c r="BQ770" s="185"/>
      <c r="BR770" s="185"/>
      <c r="BS770" s="185"/>
      <c r="BT770" s="185"/>
    </row>
    <row r="771" spans="60:72">
      <c r="BH771" s="185"/>
      <c r="BI771" s="185"/>
      <c r="BJ771" s="185"/>
      <c r="BK771" s="185"/>
      <c r="BL771" s="185"/>
      <c r="BM771" s="185"/>
      <c r="BN771" s="185"/>
      <c r="BO771" s="185"/>
      <c r="BP771" s="185"/>
      <c r="BQ771" s="185"/>
      <c r="BR771" s="185"/>
      <c r="BS771" s="185"/>
      <c r="BT771" s="185"/>
    </row>
    <row r="772" spans="60:72">
      <c r="BH772" s="185"/>
      <c r="BI772" s="185"/>
      <c r="BJ772" s="185"/>
      <c r="BK772" s="185"/>
      <c r="BL772" s="185"/>
      <c r="BM772" s="185"/>
      <c r="BN772" s="185"/>
      <c r="BO772" s="185"/>
      <c r="BP772" s="185"/>
      <c r="BQ772" s="185"/>
      <c r="BR772" s="185"/>
      <c r="BS772" s="185"/>
      <c r="BT772" s="185"/>
    </row>
    <row r="773" spans="60:72">
      <c r="BH773" s="185"/>
      <c r="BI773" s="185"/>
      <c r="BJ773" s="185"/>
      <c r="BK773" s="185"/>
      <c r="BL773" s="185"/>
      <c r="BM773" s="185"/>
      <c r="BN773" s="185"/>
      <c r="BO773" s="185"/>
      <c r="BP773" s="185"/>
      <c r="BQ773" s="185"/>
      <c r="BR773" s="185"/>
      <c r="BS773" s="185"/>
      <c r="BT773" s="185"/>
    </row>
    <row r="774" spans="60:72">
      <c r="BH774" s="185"/>
      <c r="BI774" s="185"/>
      <c r="BJ774" s="185"/>
      <c r="BK774" s="185"/>
      <c r="BL774" s="185"/>
      <c r="BM774" s="185"/>
      <c r="BN774" s="185"/>
      <c r="BO774" s="185"/>
      <c r="BP774" s="185"/>
      <c r="BQ774" s="185"/>
      <c r="BR774" s="185"/>
      <c r="BS774" s="185"/>
      <c r="BT774" s="185"/>
    </row>
    <row r="775" spans="60:72">
      <c r="BH775" s="185"/>
      <c r="BI775" s="185"/>
      <c r="BJ775" s="185"/>
      <c r="BK775" s="185"/>
      <c r="BL775" s="185"/>
      <c r="BM775" s="185"/>
      <c r="BN775" s="185"/>
      <c r="BO775" s="185"/>
      <c r="BP775" s="185"/>
      <c r="BQ775" s="185"/>
      <c r="BR775" s="185"/>
      <c r="BS775" s="185"/>
      <c r="BT775" s="185"/>
    </row>
    <row r="776" spans="60:72">
      <c r="BH776" s="185"/>
      <c r="BI776" s="185"/>
      <c r="BJ776" s="185"/>
      <c r="BK776" s="185"/>
      <c r="BL776" s="185"/>
      <c r="BM776" s="185"/>
      <c r="BN776" s="185"/>
      <c r="BO776" s="185"/>
      <c r="BP776" s="185"/>
      <c r="BQ776" s="185"/>
      <c r="BR776" s="185"/>
      <c r="BS776" s="185"/>
      <c r="BT776" s="185"/>
    </row>
    <row r="777" spans="60:72">
      <c r="BH777" s="185"/>
      <c r="BI777" s="185"/>
      <c r="BJ777" s="185"/>
      <c r="BK777" s="185"/>
      <c r="BL777" s="185"/>
      <c r="BM777" s="185"/>
      <c r="BN777" s="185"/>
      <c r="BO777" s="185"/>
      <c r="BP777" s="185"/>
      <c r="BQ777" s="185"/>
      <c r="BR777" s="185"/>
      <c r="BS777" s="185"/>
      <c r="BT777" s="185"/>
    </row>
    <row r="778" spans="60:72">
      <c r="BH778" s="185"/>
      <c r="BI778" s="185"/>
      <c r="BJ778" s="185"/>
      <c r="BK778" s="185"/>
      <c r="BL778" s="185"/>
      <c r="BM778" s="185"/>
      <c r="BN778" s="185"/>
      <c r="BO778" s="185"/>
      <c r="BP778" s="185"/>
      <c r="BQ778" s="185"/>
      <c r="BR778" s="185"/>
      <c r="BS778" s="185"/>
      <c r="BT778" s="185"/>
    </row>
    <row r="779" spans="60:72">
      <c r="BH779" s="185"/>
      <c r="BI779" s="185"/>
      <c r="BJ779" s="185"/>
      <c r="BK779" s="185"/>
      <c r="BL779" s="185"/>
      <c r="BM779" s="185"/>
      <c r="BN779" s="185"/>
      <c r="BO779" s="185"/>
      <c r="BP779" s="185"/>
      <c r="BQ779" s="185"/>
      <c r="BR779" s="185"/>
      <c r="BS779" s="185"/>
      <c r="BT779" s="185"/>
    </row>
    <row r="780" spans="60:72">
      <c r="BH780" s="185"/>
      <c r="BI780" s="185"/>
      <c r="BJ780" s="185"/>
      <c r="BK780" s="185"/>
      <c r="BL780" s="185"/>
      <c r="BM780" s="185"/>
      <c r="BN780" s="185"/>
      <c r="BO780" s="185"/>
      <c r="BP780" s="185"/>
      <c r="BQ780" s="185"/>
      <c r="BR780" s="185"/>
      <c r="BS780" s="185"/>
      <c r="BT780" s="185"/>
    </row>
    <row r="781" spans="60:72">
      <c r="BH781" s="185"/>
      <c r="BI781" s="185"/>
      <c r="BJ781" s="185"/>
      <c r="BK781" s="185"/>
      <c r="BL781" s="185"/>
      <c r="BM781" s="185"/>
      <c r="BN781" s="185"/>
      <c r="BO781" s="185"/>
      <c r="BP781" s="185"/>
      <c r="BQ781" s="185"/>
      <c r="BR781" s="185"/>
      <c r="BS781" s="185"/>
      <c r="BT781" s="185"/>
    </row>
    <row r="782" spans="60:72">
      <c r="BH782" s="185"/>
      <c r="BI782" s="185"/>
      <c r="BJ782" s="185"/>
      <c r="BK782" s="185"/>
      <c r="BL782" s="185"/>
      <c r="BM782" s="185"/>
      <c r="BN782" s="185"/>
      <c r="BO782" s="185"/>
      <c r="BP782" s="185"/>
      <c r="BQ782" s="185"/>
      <c r="BR782" s="185"/>
      <c r="BS782" s="185"/>
      <c r="BT782" s="185"/>
    </row>
    <row r="783" spans="60:72">
      <c r="BH783" s="185"/>
      <c r="BI783" s="185"/>
      <c r="BJ783" s="185"/>
      <c r="BK783" s="185"/>
      <c r="BL783" s="185"/>
      <c r="BM783" s="185"/>
      <c r="BN783" s="185"/>
      <c r="BO783" s="185"/>
      <c r="BP783" s="185"/>
      <c r="BQ783" s="185"/>
      <c r="BR783" s="185"/>
      <c r="BS783" s="185"/>
      <c r="BT783" s="185"/>
    </row>
    <row r="784" spans="60:72">
      <c r="BH784" s="185"/>
      <c r="BI784" s="185"/>
      <c r="BJ784" s="185"/>
      <c r="BK784" s="185"/>
      <c r="BL784" s="185"/>
      <c r="BM784" s="185"/>
      <c r="BN784" s="185"/>
      <c r="BO784" s="185"/>
      <c r="BP784" s="185"/>
      <c r="BQ784" s="185"/>
      <c r="BR784" s="185"/>
      <c r="BS784" s="185"/>
      <c r="BT784" s="185"/>
    </row>
    <row r="785" spans="60:72">
      <c r="BH785" s="185"/>
      <c r="BI785" s="185"/>
      <c r="BJ785" s="185"/>
      <c r="BK785" s="185"/>
      <c r="BL785" s="185"/>
      <c r="BM785" s="185"/>
      <c r="BN785" s="185"/>
      <c r="BO785" s="185"/>
      <c r="BP785" s="185"/>
      <c r="BQ785" s="185"/>
      <c r="BR785" s="185"/>
      <c r="BS785" s="185"/>
      <c r="BT785" s="185"/>
    </row>
    <row r="786" spans="60:72">
      <c r="BH786" s="185"/>
      <c r="BI786" s="185"/>
      <c r="BJ786" s="185"/>
      <c r="BK786" s="185"/>
      <c r="BL786" s="185"/>
      <c r="BM786" s="185"/>
      <c r="BN786" s="185"/>
      <c r="BO786" s="185"/>
      <c r="BP786" s="185"/>
      <c r="BQ786" s="185"/>
      <c r="BR786" s="185"/>
      <c r="BS786" s="185"/>
      <c r="BT786" s="185"/>
    </row>
    <row r="787" spans="60:72">
      <c r="BH787" s="185"/>
      <c r="BI787" s="185"/>
      <c r="BJ787" s="185"/>
      <c r="BK787" s="185"/>
      <c r="BL787" s="185"/>
      <c r="BM787" s="185"/>
      <c r="BN787" s="185"/>
      <c r="BO787" s="185"/>
      <c r="BP787" s="185"/>
      <c r="BQ787" s="185"/>
      <c r="BR787" s="185"/>
      <c r="BS787" s="185"/>
      <c r="BT787" s="185"/>
    </row>
    <row r="788" spans="60:72">
      <c r="BH788" s="185"/>
      <c r="BI788" s="185"/>
      <c r="BJ788" s="185"/>
      <c r="BK788" s="185"/>
      <c r="BL788" s="185"/>
      <c r="BM788" s="185"/>
      <c r="BN788" s="185"/>
      <c r="BO788" s="185"/>
      <c r="BP788" s="185"/>
      <c r="BQ788" s="185"/>
      <c r="BR788" s="185"/>
      <c r="BS788" s="185"/>
      <c r="BT788" s="185"/>
    </row>
    <row r="789" spans="60:72">
      <c r="BH789" s="185"/>
      <c r="BI789" s="185"/>
      <c r="BJ789" s="185"/>
      <c r="BK789" s="185"/>
      <c r="BL789" s="185"/>
      <c r="BM789" s="185"/>
      <c r="BN789" s="185"/>
      <c r="BO789" s="185"/>
      <c r="BP789" s="185"/>
      <c r="BQ789" s="185"/>
      <c r="BR789" s="185"/>
      <c r="BS789" s="185"/>
      <c r="BT789" s="185"/>
    </row>
    <row r="790" spans="60:72">
      <c r="BH790" s="185"/>
      <c r="BI790" s="185"/>
      <c r="BJ790" s="185"/>
      <c r="BK790" s="185"/>
      <c r="BL790" s="185"/>
      <c r="BM790" s="185"/>
      <c r="BN790" s="185"/>
      <c r="BO790" s="185"/>
      <c r="BP790" s="185"/>
      <c r="BQ790" s="185"/>
      <c r="BR790" s="185"/>
      <c r="BS790" s="185"/>
      <c r="BT790" s="185"/>
    </row>
    <row r="791" spans="60:72">
      <c r="BH791" s="185"/>
      <c r="BI791" s="185"/>
      <c r="BJ791" s="185"/>
      <c r="BK791" s="185"/>
      <c r="BL791" s="185"/>
      <c r="BM791" s="185"/>
      <c r="BN791" s="185"/>
      <c r="BO791" s="185"/>
      <c r="BP791" s="185"/>
      <c r="BQ791" s="185"/>
      <c r="BR791" s="185"/>
      <c r="BS791" s="185"/>
      <c r="BT791" s="185"/>
    </row>
    <row r="792" spans="60:72">
      <c r="BH792" s="185"/>
      <c r="BI792" s="185"/>
      <c r="BJ792" s="185"/>
      <c r="BK792" s="185"/>
      <c r="BL792" s="185"/>
      <c r="BM792" s="185"/>
      <c r="BN792" s="185"/>
      <c r="BO792" s="185"/>
      <c r="BP792" s="185"/>
      <c r="BQ792" s="185"/>
      <c r="BR792" s="185"/>
      <c r="BS792" s="185"/>
      <c r="BT792" s="185"/>
    </row>
    <row r="793" spans="60:72">
      <c r="BH793" s="185"/>
      <c r="BI793" s="185"/>
      <c r="BJ793" s="185"/>
      <c r="BK793" s="185"/>
      <c r="BL793" s="185"/>
      <c r="BM793" s="185"/>
      <c r="BN793" s="185"/>
      <c r="BO793" s="185"/>
      <c r="BP793" s="185"/>
      <c r="BQ793" s="185"/>
      <c r="BR793" s="185"/>
      <c r="BS793" s="185"/>
      <c r="BT793" s="185"/>
    </row>
    <row r="794" spans="60:72">
      <c r="BH794" s="185"/>
      <c r="BI794" s="185"/>
      <c r="BJ794" s="185"/>
      <c r="BK794" s="185"/>
      <c r="BL794" s="185"/>
      <c r="BM794" s="185"/>
      <c r="BN794" s="185"/>
      <c r="BO794" s="185"/>
      <c r="BP794" s="185"/>
      <c r="BQ794" s="185"/>
      <c r="BR794" s="185"/>
      <c r="BS794" s="185"/>
      <c r="BT794" s="185"/>
    </row>
    <row r="795" spans="60:72">
      <c r="BH795" s="185"/>
      <c r="BI795" s="185"/>
      <c r="BJ795" s="185"/>
      <c r="BK795" s="185"/>
      <c r="BL795" s="185"/>
      <c r="BM795" s="185"/>
      <c r="BN795" s="185"/>
      <c r="BO795" s="185"/>
      <c r="BP795" s="185"/>
      <c r="BQ795" s="185"/>
      <c r="BR795" s="185"/>
      <c r="BS795" s="185"/>
      <c r="BT795" s="185"/>
    </row>
    <row r="796" spans="60:72">
      <c r="BH796" s="185"/>
      <c r="BI796" s="185"/>
      <c r="BJ796" s="185"/>
      <c r="BK796" s="185"/>
      <c r="BL796" s="185"/>
      <c r="BM796" s="185"/>
      <c r="BN796" s="185"/>
      <c r="BO796" s="185"/>
      <c r="BP796" s="185"/>
      <c r="BQ796" s="185"/>
      <c r="BR796" s="185"/>
      <c r="BS796" s="185"/>
      <c r="BT796" s="185"/>
    </row>
    <row r="797" spans="60:72">
      <c r="BH797" s="185"/>
      <c r="BI797" s="185"/>
      <c r="BJ797" s="185"/>
      <c r="BK797" s="185"/>
      <c r="BL797" s="185"/>
      <c r="BM797" s="185"/>
      <c r="BN797" s="185"/>
      <c r="BO797" s="185"/>
      <c r="BP797" s="185"/>
      <c r="BQ797" s="185"/>
      <c r="BR797" s="185"/>
      <c r="BS797" s="185"/>
      <c r="BT797" s="185"/>
    </row>
    <row r="798" spans="60:72">
      <c r="BH798" s="185"/>
      <c r="BI798" s="185"/>
      <c r="BJ798" s="185"/>
      <c r="BK798" s="185"/>
      <c r="BL798" s="185"/>
      <c r="BM798" s="185"/>
      <c r="BN798" s="185"/>
      <c r="BO798" s="185"/>
      <c r="BP798" s="185"/>
      <c r="BQ798" s="185"/>
      <c r="BR798" s="185"/>
      <c r="BS798" s="185"/>
      <c r="BT798" s="185"/>
    </row>
    <row r="799" spans="60:72">
      <c r="BH799" s="185"/>
      <c r="BI799" s="185"/>
      <c r="BJ799" s="185"/>
      <c r="BK799" s="185"/>
      <c r="BL799" s="185"/>
      <c r="BM799" s="185"/>
      <c r="BN799" s="185"/>
      <c r="BO799" s="185"/>
      <c r="BP799" s="185"/>
      <c r="BQ799" s="185"/>
      <c r="BR799" s="185"/>
      <c r="BS799" s="185"/>
      <c r="BT799" s="185"/>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 sqref="G525"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2"/>
  <sheetViews>
    <sheetView zoomScaleNormal="100"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0" width="10" customWidth="1"/>
    <col min="11" max="11" width="10.85546875" customWidth="1"/>
    <col min="12" max="12" width="10.5703125"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50"/>
      <c r="BE1" s="50"/>
      <c r="BF1" s="50"/>
      <c r="BG1" s="50"/>
      <c r="BH1" s="50"/>
      <c r="BI1" s="50"/>
      <c r="BJ1" s="50"/>
      <c r="BK1" s="11"/>
      <c r="BL1" s="11"/>
    </row>
    <row r="2" spans="1:256" ht="15.75">
      <c r="A2" s="9"/>
      <c r="B2" s="9"/>
      <c r="C2" s="55"/>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11"/>
      <c r="BE2" s="11"/>
      <c r="BF2" s="11"/>
      <c r="BG2" s="11"/>
      <c r="BH2" s="11"/>
      <c r="BI2" s="11"/>
      <c r="BJ2" s="11"/>
      <c r="BK2" s="11"/>
      <c r="BL2" s="11"/>
    </row>
    <row r="3" spans="1:256" s="1" customFormat="1">
      <c r="A3" s="56"/>
      <c r="B3" s="56"/>
      <c r="C3" s="57"/>
      <c r="D3" s="56"/>
      <c r="E3" s="56"/>
      <c r="F3" s="56"/>
      <c r="G3" s="305">
        <v>0</v>
      </c>
      <c r="H3" s="305">
        <f t="shared" ref="H3:R3" si="0">G3+1</f>
        <v>1</v>
      </c>
      <c r="I3" s="305">
        <f t="shared" si="0"/>
        <v>2</v>
      </c>
      <c r="J3" s="305">
        <f t="shared" si="0"/>
        <v>3</v>
      </c>
      <c r="K3" s="305">
        <f t="shared" si="0"/>
        <v>4</v>
      </c>
      <c r="L3" s="305">
        <f t="shared" si="0"/>
        <v>5</v>
      </c>
      <c r="M3" s="305">
        <f t="shared" si="0"/>
        <v>6</v>
      </c>
      <c r="N3" s="230">
        <f t="shared" si="0"/>
        <v>7</v>
      </c>
      <c r="O3" s="230">
        <f t="shared" si="0"/>
        <v>8</v>
      </c>
      <c r="P3" s="230">
        <f t="shared" si="0"/>
        <v>9</v>
      </c>
      <c r="Q3" s="230">
        <f t="shared" si="0"/>
        <v>10</v>
      </c>
      <c r="R3" s="230">
        <f t="shared" si="0"/>
        <v>11</v>
      </c>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t="str">
        <f>CONCATENATE(LEFT(Q4, 4)+1 &amp;"-" &amp;IF(Q4&gt;"2007-08",,"0") &amp;RIGHT(Q4,2)+1)</f>
        <v>2019-20</v>
      </c>
      <c r="S4" s="144"/>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47"/>
      <c r="G6" s="196">
        <f>Input!G178</f>
        <v>4.3526432415321059E-2</v>
      </c>
      <c r="H6" s="20">
        <f>Input!H178</f>
        <v>1.8201122402548231E-2</v>
      </c>
      <c r="I6" s="20">
        <f>Input!I178</f>
        <v>2.845225681513508E-2</v>
      </c>
      <c r="J6" s="20">
        <f>Input!J178</f>
        <v>3.3893395133255844E-2</v>
      </c>
      <c r="K6" s="20">
        <f>Input!K178</f>
        <v>1.76278015613196E-2</v>
      </c>
      <c r="L6" s="20">
        <f>Input!L178</f>
        <v>2.4498886414253906E-2</v>
      </c>
      <c r="M6" s="20">
        <f>Input!M178</f>
        <v>0</v>
      </c>
      <c r="N6" s="20">
        <f>Input!N178</f>
        <v>0</v>
      </c>
      <c r="O6" s="20">
        <f>Input!O178</f>
        <v>0</v>
      </c>
      <c r="P6" s="20">
        <f>Input!P178</f>
        <v>0</v>
      </c>
      <c r="Q6" s="20">
        <f>Input!Q178</f>
        <v>0</v>
      </c>
      <c r="R6" s="20"/>
      <c r="S6" s="84"/>
      <c r="T6" s="84"/>
      <c r="U6" s="84"/>
      <c r="V6" s="84"/>
      <c r="W6" s="84"/>
      <c r="X6" s="84"/>
      <c r="Y6" s="84"/>
      <c r="Z6" s="84"/>
      <c r="AA6" s="84"/>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4"/>
      <c r="BE6" s="84"/>
      <c r="BF6" s="84"/>
      <c r="BG6" s="84"/>
      <c r="BH6" s="84"/>
      <c r="BI6" s="84"/>
      <c r="BJ6" s="84"/>
      <c r="BK6" s="11"/>
      <c r="BL6" s="11"/>
    </row>
    <row r="7" spans="1:256">
      <c r="A7" s="9"/>
      <c r="B7" s="9"/>
      <c r="C7" s="9" t="s">
        <v>73</v>
      </c>
      <c r="D7" s="9"/>
      <c r="E7" s="9"/>
      <c r="F7" s="9"/>
      <c r="G7" s="197">
        <f>Input!G179</f>
        <v>1</v>
      </c>
      <c r="H7" s="231">
        <f>Input!H179</f>
        <v>1.0435264324153211</v>
      </c>
      <c r="I7" s="232">
        <f>Input!I179</f>
        <v>1.0625197847420067</v>
      </c>
      <c r="J7" s="232">
        <f>Input!J179</f>
        <v>1.0927508705286484</v>
      </c>
      <c r="K7" s="232">
        <f>Input!K179</f>
        <v>1.1297879075656851</v>
      </c>
      <c r="L7" s="232">
        <f>Input!L179</f>
        <v>1.1497035846066315</v>
      </c>
      <c r="M7" s="232">
        <f>Input!M179</f>
        <v>1.1778700421359698</v>
      </c>
      <c r="N7" s="232">
        <f>Input!N179</f>
        <v>1.1778700421359698</v>
      </c>
      <c r="O7" s="232">
        <f>Input!O179</f>
        <v>1.1778700421359698</v>
      </c>
      <c r="P7" s="232">
        <f>Input!P179</f>
        <v>1.1778700421359698</v>
      </c>
      <c r="Q7" s="232">
        <f>Input!Q179</f>
        <v>1.1778700421359698</v>
      </c>
      <c r="R7" s="21"/>
      <c r="S7" s="98"/>
      <c r="T7" s="98"/>
      <c r="U7" s="98"/>
      <c r="V7" s="98"/>
      <c r="W7" s="98"/>
      <c r="X7" s="98"/>
      <c r="Y7" s="98"/>
      <c r="Z7" s="98"/>
      <c r="AA7" s="98"/>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98"/>
      <c r="BE8" s="98"/>
      <c r="BF8" s="98"/>
      <c r="BG8" s="98"/>
      <c r="BH8" s="98"/>
      <c r="BI8" s="98"/>
      <c r="BJ8" s="98"/>
      <c r="BK8" s="11"/>
      <c r="BL8" s="11"/>
    </row>
    <row r="9" spans="1:256">
      <c r="A9" s="79"/>
      <c r="B9" s="79"/>
      <c r="C9" s="79" t="s">
        <v>30</v>
      </c>
      <c r="D9" s="107"/>
      <c r="E9" s="107"/>
      <c r="F9" s="107"/>
      <c r="G9" s="107"/>
      <c r="H9" s="107"/>
      <c r="I9" s="72"/>
      <c r="J9" s="72"/>
      <c r="K9" s="72"/>
      <c r="L9" s="72"/>
      <c r="M9" s="72"/>
      <c r="N9" s="72"/>
      <c r="O9" s="72"/>
      <c r="P9" s="72"/>
      <c r="Q9" s="72"/>
      <c r="R9" s="72"/>
      <c r="S9" s="72"/>
      <c r="T9" s="98"/>
      <c r="U9" s="98"/>
      <c r="V9" s="98"/>
      <c r="W9" s="98"/>
      <c r="X9" s="98"/>
      <c r="Y9" s="98"/>
      <c r="Z9" s="98"/>
      <c r="AA9" s="98"/>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98"/>
      <c r="BE9" s="98"/>
      <c r="BF9" s="98"/>
      <c r="BG9" s="98"/>
      <c r="BH9" s="98"/>
      <c r="BI9" s="98"/>
      <c r="BJ9" s="98"/>
      <c r="BK9" s="11"/>
      <c r="BL9" s="11"/>
    </row>
    <row r="10" spans="1:256">
      <c r="A10" s="9"/>
      <c r="B10" s="16"/>
      <c r="C10" s="16"/>
      <c r="D10" s="308">
        <v>1</v>
      </c>
      <c r="E10" s="308">
        <v>2</v>
      </c>
      <c r="F10" s="308">
        <v>3</v>
      </c>
      <c r="G10" s="308">
        <v>4</v>
      </c>
      <c r="H10" s="308">
        <v>5</v>
      </c>
      <c r="I10" s="308">
        <v>6</v>
      </c>
      <c r="J10" s="308">
        <v>7</v>
      </c>
      <c r="K10" s="308">
        <v>8</v>
      </c>
      <c r="L10" s="308">
        <v>9</v>
      </c>
      <c r="M10" s="11"/>
      <c r="N10" s="11"/>
      <c r="O10" s="11"/>
      <c r="P10" s="11"/>
      <c r="Q10" s="11"/>
      <c r="R10" s="11"/>
      <c r="S10" s="98"/>
      <c r="T10" s="98"/>
      <c r="U10" s="98"/>
      <c r="V10" s="98"/>
      <c r="W10" s="98"/>
      <c r="X10" s="98"/>
      <c r="Y10" s="98"/>
      <c r="Z10" s="98"/>
      <c r="AA10" s="98"/>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98"/>
      <c r="BE10" s="98"/>
      <c r="BF10" s="98"/>
      <c r="BG10" s="98"/>
      <c r="BH10" s="98"/>
      <c r="BI10" s="98"/>
      <c r="BJ10" s="98"/>
      <c r="BK10" s="11"/>
      <c r="BL10" s="11"/>
    </row>
    <row r="11" spans="1:256">
      <c r="A11" s="9"/>
      <c r="B11" s="9"/>
      <c r="C11" s="44" t="s">
        <v>34</v>
      </c>
      <c r="D11" s="9"/>
      <c r="E11" s="9"/>
      <c r="F11" s="9"/>
      <c r="G11" s="36"/>
      <c r="H11" s="36">
        <f t="shared" ref="H11:P11" si="1">SUM(H12:H41)</f>
        <v>1082.0758603494016</v>
      </c>
      <c r="I11" s="36">
        <f t="shared" si="1"/>
        <v>1227.9052902651215</v>
      </c>
      <c r="J11" s="36">
        <f t="shared" si="1"/>
        <v>1272.8834521572389</v>
      </c>
      <c r="K11" s="36">
        <f t="shared" si="1"/>
        <v>928.66721586431356</v>
      </c>
      <c r="L11" s="36">
        <f>SUM(L12:L41)</f>
        <v>526.56281672401087</v>
      </c>
      <c r="M11" s="36">
        <f t="shared" si="1"/>
        <v>0</v>
      </c>
      <c r="N11" s="36">
        <f t="shared" si="1"/>
        <v>0</v>
      </c>
      <c r="O11" s="36">
        <f t="shared" si="1"/>
        <v>0</v>
      </c>
      <c r="P11" s="36">
        <f t="shared" si="1"/>
        <v>0</v>
      </c>
      <c r="Q11" s="36">
        <f>SUM(Q12:Q41)</f>
        <v>0</v>
      </c>
      <c r="R11" s="28"/>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99"/>
      <c r="BE11" s="99"/>
      <c r="BF11" s="99"/>
      <c r="BG11" s="99"/>
      <c r="BH11" s="99"/>
      <c r="BI11" s="99"/>
      <c r="BJ11" s="99"/>
      <c r="BK11" s="11"/>
      <c r="BL11" s="11"/>
    </row>
    <row r="12" spans="1:256" hidden="1" outlineLevel="1">
      <c r="A12" s="9"/>
      <c r="B12" s="9"/>
      <c r="C12" s="44"/>
      <c r="D12" s="128" t="str">
        <f>Asset1</f>
        <v>Sub-transmission lines and cables</v>
      </c>
      <c r="E12" s="9"/>
      <c r="F12" s="9"/>
      <c r="G12" s="122"/>
      <c r="H12" s="109">
        <f>Input!H144*(1+vanilla1)^0.5</f>
        <v>113.34811932707761</v>
      </c>
      <c r="I12" s="109">
        <f>Input!I144*(1+vanilla2)^0.5</f>
        <v>116.86898553002402</v>
      </c>
      <c r="J12" s="109">
        <f>Input!J144*(1+vanilla3)^0.5</f>
        <v>121.2091560286123</v>
      </c>
      <c r="K12" s="109">
        <f>Input!K144*(1+vanilla4)^0.5</f>
        <v>88.972403473503988</v>
      </c>
      <c r="L12" s="109">
        <f>Input!L144*(1+vanilla5)^0.5</f>
        <v>49.174797708133234</v>
      </c>
      <c r="M12" s="109">
        <f>Input!M144*(1+vanilla6)^0.5</f>
        <v>0</v>
      </c>
      <c r="N12" s="109">
        <f>Input!N144*(1+vanilla7)^0.5</f>
        <v>0</v>
      </c>
      <c r="O12" s="109">
        <f>Input!O144*(1+vanilla8)^0.5</f>
        <v>0</v>
      </c>
      <c r="P12" s="109">
        <f>Input!P144*(1+vanilla9)^0.5</f>
        <v>0</v>
      </c>
      <c r="Q12" s="109">
        <f>Input!Q144*(1+vanilla10)^0.5</f>
        <v>0</v>
      </c>
      <c r="R12" s="28"/>
      <c r="S12" s="99"/>
      <c r="T12" s="99"/>
      <c r="U12" s="99"/>
      <c r="V12" s="250"/>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99"/>
      <c r="BE12" s="99"/>
      <c r="BF12" s="99"/>
      <c r="BG12" s="99"/>
      <c r="BH12" s="99"/>
      <c r="BI12" s="99"/>
      <c r="BJ12" s="99"/>
      <c r="BK12" s="11"/>
      <c r="BL12" s="11"/>
    </row>
    <row r="13" spans="1:256" hidden="1" outlineLevel="1">
      <c r="A13" s="9"/>
      <c r="B13" s="9"/>
      <c r="C13" s="44"/>
      <c r="D13" s="128" t="str">
        <f>Asset2</f>
        <v>Cable tunnel (dx)</v>
      </c>
      <c r="E13" s="9"/>
      <c r="F13" s="9"/>
      <c r="G13" s="122"/>
      <c r="H13" s="109">
        <f>Input!H145*(1+vanilla1)^0.5</f>
        <v>1.0408238639812695</v>
      </c>
      <c r="I13" s="109">
        <f>Input!I145*(1+vanilla2)^0.5</f>
        <v>0.23568933940905581</v>
      </c>
      <c r="J13" s="109">
        <f>Input!J145*(1+vanilla3)^0.5</f>
        <v>3.8378084442321478E-2</v>
      </c>
      <c r="K13" s="109">
        <f>Input!K145*(1+vanilla4)^0.5</f>
        <v>52.661062765892552</v>
      </c>
      <c r="L13" s="109">
        <f>Input!L145*(1+vanilla5)^0.5</f>
        <v>40.60805514259858</v>
      </c>
      <c r="M13" s="109">
        <f>Input!M145*(1+vanilla6)^0.5</f>
        <v>0</v>
      </c>
      <c r="N13" s="109">
        <f>Input!N145*(1+vanilla7)^0.5</f>
        <v>0</v>
      </c>
      <c r="O13" s="109">
        <f>Input!O145*(1+vanilla8)^0.5</f>
        <v>0</v>
      </c>
      <c r="P13" s="109">
        <f>Input!P145*(1+vanilla9)^0.5</f>
        <v>0</v>
      </c>
      <c r="Q13" s="109">
        <f>Input!Q145*(1+vanilla10)^0.5</f>
        <v>0</v>
      </c>
      <c r="R13" s="28"/>
      <c r="S13" s="99"/>
      <c r="T13" s="99"/>
      <c r="U13" s="99"/>
      <c r="V13" s="98"/>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99"/>
      <c r="BE13" s="99"/>
      <c r="BF13" s="99"/>
      <c r="BG13" s="99"/>
      <c r="BH13" s="99"/>
      <c r="BI13" s="99"/>
      <c r="BJ13" s="99"/>
      <c r="BK13" s="11"/>
      <c r="BL13" s="11"/>
    </row>
    <row r="14" spans="1:256" hidden="1" outlineLevel="1">
      <c r="A14" s="9"/>
      <c r="B14" s="9"/>
      <c r="C14" s="44"/>
      <c r="D14" s="128" t="str">
        <f>Asset3</f>
        <v>Distribution lines and cables</v>
      </c>
      <c r="E14" s="9"/>
      <c r="F14" s="9"/>
      <c r="G14" s="122"/>
      <c r="H14" s="109">
        <f>Input!H146*(1+vanilla1)^0.5</f>
        <v>174.87568486467441</v>
      </c>
      <c r="I14" s="109">
        <f>Input!I146*(1+vanilla2)^0.5</f>
        <v>274.85155330728793</v>
      </c>
      <c r="J14" s="109">
        <f>Input!J146*(1+vanilla3)^0.5</f>
        <v>287.51512993130717</v>
      </c>
      <c r="K14" s="109">
        <f>Input!K146*(1+vanilla4)^0.5</f>
        <v>243.51910346297066</v>
      </c>
      <c r="L14" s="109">
        <f>Input!L146*(1+vanilla5)^0.5</f>
        <v>160.3692685424862</v>
      </c>
      <c r="M14" s="109">
        <f>Input!M146*(1+vanilla6)^0.5</f>
        <v>0</v>
      </c>
      <c r="N14" s="109">
        <f>Input!N146*(1+vanilla7)^0.5</f>
        <v>0</v>
      </c>
      <c r="O14" s="109">
        <f>Input!O146*(1+vanilla8)^0.5</f>
        <v>0</v>
      </c>
      <c r="P14" s="109">
        <f>Input!P146*(1+vanilla9)^0.5</f>
        <v>0</v>
      </c>
      <c r="Q14" s="109">
        <f>Input!Q146*(1+vanilla10)^0.5</f>
        <v>0</v>
      </c>
      <c r="R14" s="28"/>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99"/>
      <c r="BE14" s="99"/>
      <c r="BF14" s="99"/>
      <c r="BG14" s="99"/>
      <c r="BH14" s="99"/>
      <c r="BI14" s="99"/>
      <c r="BJ14" s="99"/>
      <c r="BK14" s="11"/>
      <c r="BL14" s="11"/>
    </row>
    <row r="15" spans="1:256" hidden="1" outlineLevel="1">
      <c r="A15" s="9"/>
      <c r="B15" s="9"/>
      <c r="C15" s="44"/>
      <c r="D15" s="128" t="str">
        <f>Asset4</f>
        <v>Substations</v>
      </c>
      <c r="E15" s="9"/>
      <c r="F15" s="9"/>
      <c r="G15" s="122"/>
      <c r="H15" s="109">
        <f>Input!H147*(1+vanilla1)^0.5</f>
        <v>297.9066135279831</v>
      </c>
      <c r="I15" s="109">
        <f>Input!I147*(1+vanilla2)^0.5</f>
        <v>332.09407431853242</v>
      </c>
      <c r="J15" s="109">
        <f>Input!J147*(1+vanilla3)^0.5</f>
        <v>397.48618381588238</v>
      </c>
      <c r="K15" s="109">
        <f>Input!K147*(1+vanilla4)^0.5</f>
        <v>241.35462335245356</v>
      </c>
      <c r="L15" s="109">
        <f>Input!L147*(1+vanilla5)^0.5</f>
        <v>150.64406907091325</v>
      </c>
      <c r="M15" s="109">
        <f>Input!M147*(1+vanilla6)^0.5</f>
        <v>0</v>
      </c>
      <c r="N15" s="109">
        <f>Input!N147*(1+vanilla7)^0.5</f>
        <v>0</v>
      </c>
      <c r="O15" s="109">
        <f>Input!O147*(1+vanilla8)^0.5</f>
        <v>0</v>
      </c>
      <c r="P15" s="109">
        <f>Input!P147*(1+vanilla9)^0.5</f>
        <v>0</v>
      </c>
      <c r="Q15" s="109">
        <f>Input!Q147*(1+vanilla10)^0.5</f>
        <v>0</v>
      </c>
      <c r="R15" s="28"/>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99"/>
      <c r="BE15" s="99"/>
      <c r="BF15" s="99"/>
      <c r="BG15" s="99"/>
      <c r="BH15" s="99"/>
      <c r="BI15" s="99"/>
      <c r="BJ15" s="99"/>
      <c r="BK15" s="11"/>
      <c r="BL15" s="11"/>
    </row>
    <row r="16" spans="1:256" hidden="1" outlineLevel="1">
      <c r="A16" s="9"/>
      <c r="B16" s="9"/>
      <c r="C16" s="44"/>
      <c r="D16" s="128" t="str">
        <f>Asset5</f>
        <v>Transformers</v>
      </c>
      <c r="E16" s="9"/>
      <c r="F16" s="9"/>
      <c r="G16" s="122"/>
      <c r="H16" s="109">
        <f>Input!H148*(1+vanilla1)^0.5</f>
        <v>56.605329761794003</v>
      </c>
      <c r="I16" s="109">
        <f>Input!I148*(1+vanilla2)^0.5</f>
        <v>76.799623243457489</v>
      </c>
      <c r="J16" s="109">
        <f>Input!J148*(1+vanilla3)^0.5</f>
        <v>50.473124903304374</v>
      </c>
      <c r="K16" s="109">
        <f>Input!K148*(1+vanilla4)^0.5</f>
        <v>37.326101435378746</v>
      </c>
      <c r="L16" s="109">
        <f>Input!L148*(1+vanilla5)^0.5</f>
        <v>28.104925004406205</v>
      </c>
      <c r="M16" s="109">
        <f>Input!M148*(1+vanilla6)^0.5</f>
        <v>0</v>
      </c>
      <c r="N16" s="109">
        <f>Input!N148*(1+vanilla7)^0.5</f>
        <v>0</v>
      </c>
      <c r="O16" s="109">
        <f>Input!O148*(1+vanilla8)^0.5</f>
        <v>0</v>
      </c>
      <c r="P16" s="109">
        <f>Input!P148*(1+vanilla9)^0.5</f>
        <v>0</v>
      </c>
      <c r="Q16" s="109">
        <f>Input!Q148*(1+vanilla10)^0.5</f>
        <v>0</v>
      </c>
      <c r="R16" s="28"/>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99"/>
      <c r="BE16" s="99"/>
      <c r="BF16" s="99"/>
      <c r="BG16" s="99"/>
      <c r="BH16" s="99"/>
      <c r="BI16" s="99"/>
      <c r="BJ16" s="99"/>
      <c r="BK16" s="11"/>
      <c r="BL16" s="11"/>
    </row>
    <row r="17" spans="1:64" hidden="1" outlineLevel="1">
      <c r="A17" s="9"/>
      <c r="B17" s="9"/>
      <c r="C17" s="44"/>
      <c r="D17" s="128" t="str">
        <f>Asset6</f>
        <v>Low Voltage Lines and Cables</v>
      </c>
      <c r="E17" s="9"/>
      <c r="F17" s="9"/>
      <c r="G17" s="122"/>
      <c r="H17" s="109">
        <f>Input!H149*(1+vanilla1)^0.5</f>
        <v>120.47293963841798</v>
      </c>
      <c r="I17" s="109">
        <f>Input!I149*(1+vanilla2)^0.5</f>
        <v>146.2290318436587</v>
      </c>
      <c r="J17" s="109">
        <f>Input!J149*(1+vanilla3)^0.5</f>
        <v>176.32511984752659</v>
      </c>
      <c r="K17" s="109">
        <f>Input!K149*(1+vanilla4)^0.5</f>
        <v>133.01583870796597</v>
      </c>
      <c r="L17" s="109">
        <f>Input!L149*(1+vanilla5)^0.5</f>
        <v>111.96180492367587</v>
      </c>
      <c r="M17" s="109">
        <f>Input!M149*(1+vanilla6)^0.5</f>
        <v>0</v>
      </c>
      <c r="N17" s="109">
        <f>Input!N149*(1+vanilla7)^0.5</f>
        <v>0</v>
      </c>
      <c r="O17" s="109">
        <f>Input!O149*(1+vanilla8)^0.5</f>
        <v>0</v>
      </c>
      <c r="P17" s="109">
        <f>Input!P149*(1+vanilla9)^0.5</f>
        <v>0</v>
      </c>
      <c r="Q17" s="109">
        <f>Input!Q149*(1+vanilla10)^0.5</f>
        <v>0</v>
      </c>
      <c r="R17" s="28"/>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99"/>
      <c r="BE17" s="99"/>
      <c r="BF17" s="99"/>
      <c r="BG17" s="99"/>
      <c r="BH17" s="99"/>
      <c r="BI17" s="99"/>
      <c r="BJ17" s="99"/>
      <c r="BK17" s="11"/>
      <c r="BL17" s="11"/>
    </row>
    <row r="18" spans="1:64" hidden="1" outlineLevel="1">
      <c r="A18" s="9"/>
      <c r="B18" s="9"/>
      <c r="C18" s="44"/>
      <c r="D18" s="128" t="str">
        <f>Asset7</f>
        <v>Customer Metering and Load Control</v>
      </c>
      <c r="E18" s="9"/>
      <c r="F18" s="9"/>
      <c r="G18" s="122"/>
      <c r="H18" s="109">
        <f>Input!H150*(1+vanilla1)^0.5</f>
        <v>0.42540657115305525</v>
      </c>
      <c r="I18" s="109">
        <f>Input!I150*(1+vanilla2)^0.5</f>
        <v>0</v>
      </c>
      <c r="J18" s="109">
        <f>Input!J150*(1+vanilla3)^0.5</f>
        <v>0</v>
      </c>
      <c r="K18" s="109">
        <f>Input!K150*(1+vanilla4)^0.5</f>
        <v>0</v>
      </c>
      <c r="L18" s="109">
        <f>Input!L150*(1+vanilla5)^0.5</f>
        <v>0</v>
      </c>
      <c r="M18" s="109">
        <f>Input!M150*(1+vanilla6)^0.5</f>
        <v>0</v>
      </c>
      <c r="N18" s="109">
        <f>Input!N150*(1+vanilla7)^0.5</f>
        <v>0</v>
      </c>
      <c r="O18" s="109">
        <f>Input!O150*(1+vanilla8)^0.5</f>
        <v>0</v>
      </c>
      <c r="P18" s="109">
        <f>Input!P150*(1+vanilla9)^0.5</f>
        <v>0</v>
      </c>
      <c r="Q18" s="109">
        <f>Input!Q150*(1+vanilla10)^0.5</f>
        <v>0</v>
      </c>
      <c r="R18" s="28"/>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99"/>
      <c r="BE18" s="99"/>
      <c r="BF18" s="99"/>
      <c r="BG18" s="99"/>
      <c r="BH18" s="99"/>
      <c r="BI18" s="99"/>
      <c r="BJ18" s="99"/>
      <c r="BK18" s="11"/>
      <c r="BL18" s="11"/>
    </row>
    <row r="19" spans="1:64" ht="12.75" hidden="1" customHeight="1" outlineLevel="1">
      <c r="A19" s="9"/>
      <c r="B19" s="9"/>
      <c r="C19" s="44"/>
      <c r="D19" s="128" t="str">
        <f>Asset8</f>
        <v>Customer Metering (digital)</v>
      </c>
      <c r="E19" s="9"/>
      <c r="F19" s="9"/>
      <c r="G19" s="122"/>
      <c r="H19" s="109">
        <f>Input!H151*(1+vanilla1)^0.5</f>
        <v>22.46849355102712</v>
      </c>
      <c r="I19" s="109">
        <f>Input!I151*(1+vanilla2)^0.5</f>
        <v>29.301896085107863</v>
      </c>
      <c r="J19" s="109">
        <f>Input!J151*(1+vanilla3)^0.5</f>
        <v>21.042785543910764</v>
      </c>
      <c r="K19" s="109">
        <f>Input!K151*(1+vanilla4)^0.5</f>
        <v>15.040109653155586</v>
      </c>
      <c r="L19" s="109">
        <f>Input!L151*(1+vanilla5)^0.5</f>
        <v>15.594148059976847</v>
      </c>
      <c r="M19" s="109">
        <f>Input!M151*(1+vanilla6)^0.5</f>
        <v>0</v>
      </c>
      <c r="N19" s="109">
        <f>Input!N151*(1+vanilla7)^0.5</f>
        <v>0</v>
      </c>
      <c r="O19" s="109">
        <f>Input!O151*(1+vanilla8)^0.5</f>
        <v>0</v>
      </c>
      <c r="P19" s="109">
        <f>Input!P151*(1+vanilla9)^0.5</f>
        <v>0</v>
      </c>
      <c r="Q19" s="109">
        <f>Input!Q151*(1+vanilla10)^0.5</f>
        <v>0</v>
      </c>
      <c r="R19" s="28"/>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99"/>
      <c r="BE19" s="99"/>
      <c r="BF19" s="99"/>
      <c r="BG19" s="99"/>
      <c r="BH19" s="99"/>
      <c r="BI19" s="99"/>
      <c r="BJ19" s="99"/>
      <c r="BK19" s="11"/>
      <c r="BL19" s="11"/>
    </row>
    <row r="20" spans="1:64" ht="12.75" hidden="1" customHeight="1" outlineLevel="1">
      <c r="A20" s="9"/>
      <c r="B20" s="9"/>
      <c r="C20" s="44"/>
      <c r="D20" s="128" t="str">
        <f>Asset9</f>
        <v>Communications (digital) - dx</v>
      </c>
      <c r="E20" s="9"/>
      <c r="F20" s="9"/>
      <c r="G20" s="122"/>
      <c r="H20" s="109">
        <f>Input!H152*(1+vanilla1)^0.5</f>
        <v>21.306151420881175</v>
      </c>
      <c r="I20" s="109">
        <f>Input!I152*(1+vanilla2)^0.5</f>
        <v>1.1474424640498422</v>
      </c>
      <c r="J20" s="109">
        <f>Input!J152*(1+vanilla3)^0.5</f>
        <v>1.0021456567063141</v>
      </c>
      <c r="K20" s="109">
        <f>Input!K152*(1+vanilla4)^0.5</f>
        <v>-2.967187463343155</v>
      </c>
      <c r="L20" s="109">
        <f>Input!L152*(1+vanilla5)^0.5</f>
        <v>0.34452275487314404</v>
      </c>
      <c r="M20" s="109">
        <f>Input!M152*(1+vanilla6)^0.5</f>
        <v>0</v>
      </c>
      <c r="N20" s="109">
        <f>Input!N152*(1+vanilla7)^0.5</f>
        <v>0</v>
      </c>
      <c r="O20" s="109">
        <f>Input!O152*(1+vanilla8)^0.5</f>
        <v>0</v>
      </c>
      <c r="P20" s="109">
        <f>Input!P152*(1+vanilla9)^0.5</f>
        <v>0</v>
      </c>
      <c r="Q20" s="109">
        <f>Input!Q152*(1+vanilla10)^0.5</f>
        <v>0</v>
      </c>
      <c r="R20" s="28"/>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99"/>
      <c r="BE20" s="99"/>
      <c r="BF20" s="99"/>
      <c r="BG20" s="99"/>
      <c r="BH20" s="99"/>
      <c r="BI20" s="99"/>
      <c r="BJ20" s="99"/>
      <c r="BK20" s="11"/>
      <c r="BL20" s="11"/>
    </row>
    <row r="21" spans="1:64" ht="12.75" hidden="1" customHeight="1" outlineLevel="1">
      <c r="A21" s="9"/>
      <c r="B21" s="9"/>
      <c r="C21" s="44"/>
      <c r="D21" s="128" t="str">
        <f>Asset10</f>
        <v>Total Communications</v>
      </c>
      <c r="E21" s="9"/>
      <c r="F21" s="9"/>
      <c r="G21" s="122"/>
      <c r="H21" s="109">
        <f>Input!H153*(1+vanilla1)^0.5</f>
        <v>2.1769934289900075</v>
      </c>
      <c r="I21" s="109">
        <f>Input!I153*(1+vanilla2)^0.5</f>
        <v>0</v>
      </c>
      <c r="J21" s="109">
        <f>Input!J153*(1+vanilla3)^0.5</f>
        <v>0</v>
      </c>
      <c r="K21" s="109">
        <f>Input!K153*(1+vanilla4)^0.5</f>
        <v>0</v>
      </c>
      <c r="L21" s="109">
        <f>Input!L153*(1+vanilla5)^0.5</f>
        <v>0</v>
      </c>
      <c r="M21" s="109">
        <f>Input!M153*(1+vanilla6)^0.5</f>
        <v>0</v>
      </c>
      <c r="N21" s="109">
        <f>Input!N153*(1+vanilla7)^0.5</f>
        <v>0</v>
      </c>
      <c r="O21" s="109">
        <f>Input!O153*(1+vanilla8)^0.5</f>
        <v>0</v>
      </c>
      <c r="P21" s="109">
        <f>Input!P153*(1+vanilla9)^0.5</f>
        <v>0</v>
      </c>
      <c r="Q21" s="109">
        <f>Input!Q153*(1+vanilla10)^0.5</f>
        <v>0</v>
      </c>
      <c r="R21" s="28"/>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99"/>
      <c r="BE21" s="99"/>
      <c r="BF21" s="99"/>
      <c r="BG21" s="99"/>
      <c r="BH21" s="99"/>
      <c r="BI21" s="99"/>
      <c r="BJ21" s="99"/>
      <c r="BK21" s="11"/>
      <c r="BL21" s="11"/>
    </row>
    <row r="22" spans="1:64" ht="12.75" hidden="1" customHeight="1" outlineLevel="1">
      <c r="A22" s="9"/>
      <c r="B22" s="9"/>
      <c r="C22" s="44"/>
      <c r="D22" s="128" t="str">
        <f>Asset11</f>
        <v>System IT (dx)</v>
      </c>
      <c r="E22" s="9"/>
      <c r="F22" s="9"/>
      <c r="G22" s="122"/>
      <c r="H22" s="109">
        <f>Input!H154*(1+vanilla1)^0.5</f>
        <v>28.955928269255207</v>
      </c>
      <c r="I22" s="109">
        <f>Input!I154*(1+vanilla2)^0.5</f>
        <v>99.79199456019532</v>
      </c>
      <c r="J22" s="109">
        <f>Input!J154*(1+vanilla3)^0.5</f>
        <v>88.402770542023717</v>
      </c>
      <c r="K22" s="109">
        <f>Input!K154*(1+vanilla4)^0.5</f>
        <v>48.527907290935161</v>
      </c>
      <c r="L22" s="109">
        <f>Input!L154*(1+vanilla5)^0.5</f>
        <v>8.4904217398238888</v>
      </c>
      <c r="M22" s="109">
        <f>Input!M154*(1+vanilla6)^0.5</f>
        <v>0</v>
      </c>
      <c r="N22" s="109">
        <f>Input!N154*(1+vanilla7)^0.5</f>
        <v>0</v>
      </c>
      <c r="O22" s="109">
        <f>Input!O154*(1+vanilla8)^0.5</f>
        <v>0</v>
      </c>
      <c r="P22" s="109">
        <f>Input!P154*(1+vanilla9)^0.5</f>
        <v>0</v>
      </c>
      <c r="Q22" s="109">
        <f>Input!Q154*(1+vanilla10)^0.5</f>
        <v>0</v>
      </c>
      <c r="R22" s="28"/>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99"/>
      <c r="BE22" s="99"/>
      <c r="BF22" s="99"/>
      <c r="BG22" s="99"/>
      <c r="BH22" s="99"/>
      <c r="BI22" s="99"/>
      <c r="BJ22" s="99"/>
      <c r="BK22" s="11"/>
      <c r="BL22" s="11"/>
    </row>
    <row r="23" spans="1:64" ht="12.75" hidden="1" customHeight="1" outlineLevel="1">
      <c r="A23" s="9"/>
      <c r="B23" s="9"/>
      <c r="C23" s="44"/>
      <c r="D23" s="128" t="str">
        <f>Asset12</f>
        <v>Ancillary substation equipment (dx)</v>
      </c>
      <c r="E23" s="9"/>
      <c r="F23" s="9"/>
      <c r="G23" s="122"/>
      <c r="H23" s="109">
        <f>Input!H155*(1+vanilla1)^0.5</f>
        <v>27.03937508382575</v>
      </c>
      <c r="I23" s="109">
        <f>Input!I155*(1+vanilla2)^0.5</f>
        <v>6.8998366724032216</v>
      </c>
      <c r="J23" s="109">
        <f>Input!J155*(1+vanilla3)^0.5</f>
        <v>13.979431586395144</v>
      </c>
      <c r="K23" s="109">
        <f>Input!K155*(1+vanilla4)^0.5</f>
        <v>8.1645849540121329</v>
      </c>
      <c r="L23" s="109">
        <f>Input!L155*(1+vanilla5)^0.5</f>
        <v>4.7765807090343673</v>
      </c>
      <c r="M23" s="109">
        <f>Input!M155*(1+vanilla6)^0.5</f>
        <v>0</v>
      </c>
      <c r="N23" s="109">
        <f>Input!N155*(1+vanilla7)^0.5</f>
        <v>0</v>
      </c>
      <c r="O23" s="109">
        <f>Input!O155*(1+vanilla8)^0.5</f>
        <v>0</v>
      </c>
      <c r="P23" s="109">
        <f>Input!P155*(1+vanilla9)^0.5</f>
        <v>0</v>
      </c>
      <c r="Q23" s="109">
        <f>Input!Q155*(1+vanilla10)^0.5</f>
        <v>0</v>
      </c>
      <c r="R23" s="28"/>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99"/>
      <c r="BE23" s="99"/>
      <c r="BF23" s="99"/>
      <c r="BG23" s="99"/>
      <c r="BH23" s="99"/>
      <c r="BI23" s="99"/>
      <c r="BJ23" s="99"/>
      <c r="BK23" s="11"/>
      <c r="BL23" s="11"/>
    </row>
    <row r="24" spans="1:64" ht="12.75" hidden="1" customHeight="1" outlineLevel="1">
      <c r="A24" s="9"/>
      <c r="B24" s="9"/>
      <c r="C24" s="44"/>
      <c r="D24" s="128" t="str">
        <f>Asset13</f>
        <v>Land and Easements</v>
      </c>
      <c r="E24" s="9"/>
      <c r="F24" s="9"/>
      <c r="G24" s="122"/>
      <c r="H24" s="109">
        <f>Input!H156*(1+vanilla1)^0.5</f>
        <v>33.10680992426763</v>
      </c>
      <c r="I24" s="109">
        <f>Input!I156*(1+vanilla2)^0.5</f>
        <v>16.260668684212643</v>
      </c>
      <c r="J24" s="109">
        <f>Input!J156*(1+vanilla3)^0.5</f>
        <v>14.67736575249223</v>
      </c>
      <c r="K24" s="109">
        <f>Input!K156*(1+vanilla4)^0.5</f>
        <v>8.9317895022162386</v>
      </c>
      <c r="L24" s="109">
        <f>Input!L156*(1+vanilla5)^0.5</f>
        <v>6.6653888935533558</v>
      </c>
      <c r="M24" s="109">
        <f>Input!M156*(1+vanilla6)^0.5</f>
        <v>0</v>
      </c>
      <c r="N24" s="109">
        <f>Input!N156*(1+vanilla7)^0.5</f>
        <v>0</v>
      </c>
      <c r="O24" s="109">
        <f>Input!O156*(1+vanilla8)^0.5</f>
        <v>0</v>
      </c>
      <c r="P24" s="109">
        <f>Input!P156*(1+vanilla9)^0.5</f>
        <v>0</v>
      </c>
      <c r="Q24" s="109">
        <f>Input!Q156*(1+vanilla10)^0.5</f>
        <v>0</v>
      </c>
      <c r="R24" s="28"/>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99"/>
      <c r="BE24" s="99"/>
      <c r="BF24" s="99"/>
      <c r="BG24" s="99"/>
      <c r="BH24" s="99"/>
      <c r="BI24" s="99"/>
      <c r="BJ24" s="99"/>
      <c r="BK24" s="11"/>
      <c r="BL24" s="11"/>
    </row>
    <row r="25" spans="1:64" ht="12.75" hidden="1" customHeight="1" outlineLevel="1">
      <c r="A25" s="9"/>
      <c r="B25" s="9"/>
      <c r="C25" s="44"/>
      <c r="D25" s="128" t="str">
        <f>Asset14</f>
        <v>Emergency Spares (Major Plant, Excludes Inventory)</v>
      </c>
      <c r="E25" s="9"/>
      <c r="F25" s="9"/>
      <c r="G25" s="122"/>
      <c r="H25" s="109">
        <f>Input!H157*(1+vanilla1)^0.5</f>
        <v>0</v>
      </c>
      <c r="I25" s="109">
        <f>Input!I157*(1+vanilla2)^0.5</f>
        <v>0</v>
      </c>
      <c r="J25" s="109">
        <f>Input!J157*(1+vanilla3)^0.5</f>
        <v>0</v>
      </c>
      <c r="K25" s="109">
        <f>Input!K157*(1+vanilla4)^0.5</f>
        <v>0</v>
      </c>
      <c r="L25" s="109">
        <f>Input!L157*(1+vanilla5)^0.5</f>
        <v>0</v>
      </c>
      <c r="M25" s="109">
        <f>Input!M157*(1+vanilla6)^0.5</f>
        <v>0</v>
      </c>
      <c r="N25" s="109">
        <f>Input!N157*(1+vanilla7)^0.5</f>
        <v>0</v>
      </c>
      <c r="O25" s="109">
        <f>Input!O157*(1+vanilla8)^0.5</f>
        <v>0</v>
      </c>
      <c r="P25" s="109">
        <f>Input!P157*(1+vanilla9)^0.5</f>
        <v>0</v>
      </c>
      <c r="Q25" s="109">
        <f>Input!Q157*(1+vanilla10)^0.5</f>
        <v>0</v>
      </c>
      <c r="R25" s="28"/>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99"/>
      <c r="BE25" s="99"/>
      <c r="BF25" s="99"/>
      <c r="BG25" s="99"/>
      <c r="BH25" s="99"/>
      <c r="BI25" s="99"/>
      <c r="BJ25" s="99"/>
      <c r="BK25" s="11"/>
      <c r="BL25" s="11"/>
    </row>
    <row r="26" spans="1:64" ht="12.75" hidden="1" customHeight="1" outlineLevel="1">
      <c r="A26" s="9"/>
      <c r="B26" s="9"/>
      <c r="C26" s="44"/>
      <c r="D26" s="128" t="str">
        <f>Asset15</f>
        <v>Furniture, fittings, plant and equipment</v>
      </c>
      <c r="E26" s="9"/>
      <c r="F26" s="9"/>
      <c r="G26" s="122"/>
      <c r="H26" s="109">
        <f>Input!H158*(1+vanilla1)^0.5</f>
        <v>7.0832596750890193</v>
      </c>
      <c r="I26" s="109">
        <f>Input!I158*(1+vanilla2)^0.5</f>
        <v>6.5162581629740108</v>
      </c>
      <c r="J26" s="109">
        <f>Input!J158*(1+vanilla3)^0.5</f>
        <v>6.5468920970807751</v>
      </c>
      <c r="K26" s="109">
        <f>Input!K158*(1+vanilla4)^0.5</f>
        <v>3.8930046500287818</v>
      </c>
      <c r="L26" s="109">
        <f>Input!L158*(1+vanilla5)^0.5</f>
        <v>3.5131689135340793</v>
      </c>
      <c r="M26" s="109">
        <f>Input!M158*(1+vanilla6)^0.5</f>
        <v>0</v>
      </c>
      <c r="N26" s="109">
        <f>Input!N158*(1+vanilla7)^0.5</f>
        <v>0</v>
      </c>
      <c r="O26" s="109">
        <f>Input!O158*(1+vanilla8)^0.5</f>
        <v>0</v>
      </c>
      <c r="P26" s="109">
        <f>Input!P158*(1+vanilla9)^0.5</f>
        <v>0</v>
      </c>
      <c r="Q26" s="109">
        <f>Input!Q158*(1+vanilla10)^0.5</f>
        <v>0</v>
      </c>
      <c r="R26" s="28"/>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99"/>
      <c r="BE26" s="99"/>
      <c r="BF26" s="99"/>
      <c r="BG26" s="99"/>
      <c r="BH26" s="99"/>
      <c r="BI26" s="99"/>
      <c r="BJ26" s="99"/>
      <c r="BK26" s="11"/>
      <c r="BL26" s="11"/>
    </row>
    <row r="27" spans="1:64" ht="12.75" hidden="1" customHeight="1" outlineLevel="1">
      <c r="A27" s="9"/>
      <c r="B27" s="9"/>
      <c r="C27" s="44"/>
      <c r="D27" s="128" t="str">
        <f>Asset16</f>
        <v>Land (non-system)</v>
      </c>
      <c r="E27" s="9"/>
      <c r="F27" s="9"/>
      <c r="G27" s="122"/>
      <c r="H27" s="109">
        <f>Input!H159*(1+vanilla1)^0.5</f>
        <v>18.66270330158914</v>
      </c>
      <c r="I27" s="109">
        <f>Input!I159*(1+vanilla2)^0.5</f>
        <v>6.1181278063907927</v>
      </c>
      <c r="J27" s="109">
        <f>Input!J159*(1+vanilla3)^0.5</f>
        <v>7.6549934727893367</v>
      </c>
      <c r="K27" s="109">
        <f>Input!K159*(1+vanilla4)^0.5</f>
        <v>-0.10268345413200161</v>
      </c>
      <c r="L27" s="109">
        <f>Input!L159*(1+vanilla5)^0.5</f>
        <v>-49.311904694031455</v>
      </c>
      <c r="M27" s="109">
        <f>Input!M159*(1+vanilla6)^0.5</f>
        <v>0</v>
      </c>
      <c r="N27" s="109">
        <f>Input!N159*(1+vanilla7)^0.5</f>
        <v>0</v>
      </c>
      <c r="O27" s="109">
        <f>Input!O159*(1+vanilla8)^0.5</f>
        <v>0</v>
      </c>
      <c r="P27" s="109">
        <f>Input!P159*(1+vanilla9)^0.5</f>
        <v>0</v>
      </c>
      <c r="Q27" s="109">
        <f>Input!Q159*(1+vanilla10)^0.5</f>
        <v>0</v>
      </c>
      <c r="R27" s="28"/>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99"/>
      <c r="BE27" s="99"/>
      <c r="BF27" s="99"/>
      <c r="BG27" s="99"/>
      <c r="BH27" s="99"/>
      <c r="BI27" s="99"/>
      <c r="BJ27" s="99"/>
      <c r="BK27" s="11"/>
      <c r="BL27" s="11"/>
    </row>
    <row r="28" spans="1:64" ht="12.75" hidden="1" customHeight="1" outlineLevel="1">
      <c r="A28" s="9"/>
      <c r="B28" s="9"/>
      <c r="C28" s="44"/>
      <c r="D28" s="128" t="str">
        <f>Asset17</f>
        <v>Other non system assets</v>
      </c>
      <c r="E28" s="9"/>
      <c r="F28" s="9"/>
      <c r="G28" s="122"/>
      <c r="H28" s="109">
        <f>Input!H160*(1+vanilla1)^0.5</f>
        <v>0.33650805756943253</v>
      </c>
      <c r="I28" s="109">
        <f>Input!I160*(1+vanilla2)^0.5</f>
        <v>8.3959456229585575E-2</v>
      </c>
      <c r="J28" s="109">
        <f>Input!J160*(1+vanilla3)^0.5</f>
        <v>1.0497960411549063</v>
      </c>
      <c r="K28" s="109">
        <f>Input!K160*(1+vanilla4)^0.5</f>
        <v>0.14861177746411813</v>
      </c>
      <c r="L28" s="109">
        <f>Input!L160*(1+vanilla5)^0.5</f>
        <v>0.50616322296899052</v>
      </c>
      <c r="M28" s="109">
        <f>Input!M160*(1+vanilla6)^0.5</f>
        <v>0</v>
      </c>
      <c r="N28" s="109">
        <f>Input!N160*(1+vanilla7)^0.5</f>
        <v>0</v>
      </c>
      <c r="O28" s="109">
        <f>Input!O160*(1+vanilla8)^0.5</f>
        <v>0</v>
      </c>
      <c r="P28" s="109">
        <f>Input!P160*(1+vanilla9)^0.5</f>
        <v>0</v>
      </c>
      <c r="Q28" s="109">
        <f>Input!Q160*(1+vanilla10)^0.5</f>
        <v>0</v>
      </c>
      <c r="R28" s="28"/>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99"/>
      <c r="BE28" s="99"/>
      <c r="BF28" s="99"/>
      <c r="BG28" s="99"/>
      <c r="BH28" s="99"/>
      <c r="BI28" s="99"/>
      <c r="BJ28" s="99"/>
      <c r="BK28" s="11"/>
      <c r="BL28" s="11"/>
    </row>
    <row r="29" spans="1:64" ht="12.75" hidden="1" customHeight="1" outlineLevel="1">
      <c r="A29" s="9"/>
      <c r="B29" s="9"/>
      <c r="C29" s="44"/>
      <c r="D29" s="128" t="str">
        <f>Asset18</f>
        <v>IT systems</v>
      </c>
      <c r="E29" s="9"/>
      <c r="F29" s="9"/>
      <c r="G29" s="122"/>
      <c r="H29" s="109">
        <f>Input!H161*(1+vanilla1)^0.5</f>
        <v>44.40874125070733</v>
      </c>
      <c r="I29" s="109">
        <f>Input!I161*(1+vanilla2)^0.5</f>
        <v>49.432150367919064</v>
      </c>
      <c r="J29" s="109">
        <f>Input!J161*(1+vanilla3)^0.5</f>
        <v>31.082637051008444</v>
      </c>
      <c r="K29" s="109">
        <f>Input!K161*(1+vanilla4)^0.5</f>
        <v>23.043225519983867</v>
      </c>
      <c r="L29" s="109">
        <f>Input!L161*(1+vanilla5)^0.5</f>
        <v>22.761350102216969</v>
      </c>
      <c r="M29" s="109">
        <f>Input!M161*(1+vanilla6)^0.5</f>
        <v>0</v>
      </c>
      <c r="N29" s="109">
        <f>Input!N161*(1+vanilla7)^0.5</f>
        <v>0</v>
      </c>
      <c r="O29" s="109">
        <f>Input!O161*(1+vanilla8)^0.5</f>
        <v>0</v>
      </c>
      <c r="P29" s="109">
        <f>Input!P161*(1+vanilla9)^0.5</f>
        <v>0</v>
      </c>
      <c r="Q29" s="109">
        <f>Input!Q161*(1+vanilla10)^0.5</f>
        <v>0</v>
      </c>
      <c r="R29" s="28"/>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99"/>
      <c r="BE29" s="99"/>
      <c r="BF29" s="99"/>
      <c r="BG29" s="99"/>
      <c r="BH29" s="99"/>
      <c r="BI29" s="99"/>
      <c r="BJ29" s="99"/>
      <c r="BK29" s="11"/>
      <c r="BL29" s="11"/>
    </row>
    <row r="30" spans="1:64" ht="12.75" hidden="1" customHeight="1" outlineLevel="1">
      <c r="A30" s="9"/>
      <c r="B30" s="9"/>
      <c r="C30" s="44"/>
      <c r="D30" s="128" t="str">
        <f>Asset19</f>
        <v>Motor vehicles</v>
      </c>
      <c r="E30" s="9"/>
      <c r="F30" s="9"/>
      <c r="G30" s="122"/>
      <c r="H30" s="109">
        <f>Input!H162*(1+vanilla1)^0.5</f>
        <v>23.088373581328501</v>
      </c>
      <c r="I30" s="109">
        <f>Input!I162*(1+vanilla2)^0.5</f>
        <v>24.346945587204697</v>
      </c>
      <c r="J30" s="109">
        <f>Input!J162*(1+vanilla3)^0.5</f>
        <v>25.932309637762124</v>
      </c>
      <c r="K30" s="109">
        <f>Input!K162*(1+vanilla4)^0.5</f>
        <v>10.552328408660268</v>
      </c>
      <c r="L30" s="109">
        <f>Input!L162*(1+vanilla5)^0.5</f>
        <v>6.2268159340279015</v>
      </c>
      <c r="M30" s="109">
        <f>Input!M162*(1+vanilla6)^0.5</f>
        <v>0</v>
      </c>
      <c r="N30" s="109">
        <f>Input!N162*(1+vanilla7)^0.5</f>
        <v>0</v>
      </c>
      <c r="O30" s="109">
        <f>Input!O162*(1+vanilla8)^0.5</f>
        <v>0</v>
      </c>
      <c r="P30" s="109">
        <f>Input!P162*(1+vanilla9)^0.5</f>
        <v>0</v>
      </c>
      <c r="Q30" s="109">
        <f>Input!Q162*(1+vanilla10)^0.5</f>
        <v>0</v>
      </c>
      <c r="R30" s="28"/>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99"/>
      <c r="BE30" s="99"/>
      <c r="BF30" s="99"/>
      <c r="BG30" s="99"/>
      <c r="BH30" s="99"/>
      <c r="BI30" s="99"/>
      <c r="BJ30" s="99"/>
      <c r="BK30" s="11"/>
      <c r="BL30" s="11"/>
    </row>
    <row r="31" spans="1:64" ht="12.75" hidden="1" customHeight="1" outlineLevel="1">
      <c r="A31" s="9"/>
      <c r="B31" s="9"/>
      <c r="C31" s="44"/>
      <c r="D31" s="128" t="str">
        <f>Asset20</f>
        <v>Buildings</v>
      </c>
      <c r="E31" s="9"/>
      <c r="F31" s="9"/>
      <c r="G31" s="122"/>
      <c r="H31" s="109">
        <f>Input!H163*(1+vanilla1)^0.5</f>
        <v>62.89921351627541</v>
      </c>
      <c r="I31" s="109">
        <f>Input!I163*(1+vanilla2)^0.5</f>
        <v>40.927052836064902</v>
      </c>
      <c r="J31" s="109">
        <f>Input!J163*(1+vanilla3)^0.5</f>
        <v>28.465232164840206</v>
      </c>
      <c r="K31" s="109">
        <f>Input!K163*(1+vanilla4)^0.5</f>
        <v>16.586391827167269</v>
      </c>
      <c r="L31" s="109">
        <f>Input!L163*(1+vanilla5)^0.5</f>
        <v>-33.866759304180654</v>
      </c>
      <c r="M31" s="109">
        <f>Input!M163*(1+vanilla6)^0.5</f>
        <v>0</v>
      </c>
      <c r="N31" s="109">
        <f>Input!N163*(1+vanilla7)^0.5</f>
        <v>0</v>
      </c>
      <c r="O31" s="109">
        <f>Input!O163*(1+vanilla8)^0.5</f>
        <v>0</v>
      </c>
      <c r="P31" s="109">
        <f>Input!P163*(1+vanilla9)^0.5</f>
        <v>0</v>
      </c>
      <c r="Q31" s="109">
        <f>Input!Q163*(1+vanilla10)^0.5</f>
        <v>0</v>
      </c>
      <c r="R31" s="28"/>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99"/>
      <c r="BE31" s="99"/>
      <c r="BF31" s="99"/>
      <c r="BG31" s="99"/>
      <c r="BH31" s="99"/>
      <c r="BI31" s="99"/>
      <c r="BJ31" s="99"/>
      <c r="BK31" s="11"/>
      <c r="BL31" s="11"/>
    </row>
    <row r="32" spans="1:64" ht="11.25" hidden="1" customHeight="1" outlineLevel="1">
      <c r="A32" s="9"/>
      <c r="B32" s="9"/>
      <c r="C32" s="44"/>
      <c r="D32" s="128" t="str">
        <f>Asset21</f>
        <v>Equity raising costs</v>
      </c>
      <c r="E32" s="9"/>
      <c r="F32" s="9"/>
      <c r="G32" s="122"/>
      <c r="H32" s="109">
        <f>Input!H164*(1+vanilla1)^0.5</f>
        <v>25.868391733514489</v>
      </c>
      <c r="I32" s="109">
        <f>Input!I164*(1+vanilla2)^0.5</f>
        <v>0</v>
      </c>
      <c r="J32" s="109">
        <f>Input!J164*(1+vanilla3)^0.5</f>
        <v>0</v>
      </c>
      <c r="K32" s="109">
        <f>Input!K164*(1+vanilla4)^0.5</f>
        <v>0</v>
      </c>
      <c r="L32" s="109">
        <f>Input!L164*(1+vanilla5)^0.5</f>
        <v>0</v>
      </c>
      <c r="M32" s="109">
        <f>Input!M164*(1+vanilla6)^0.5</f>
        <v>0</v>
      </c>
      <c r="N32" s="109">
        <f>Input!N164*(1+vanilla7)^0.5</f>
        <v>0</v>
      </c>
      <c r="O32" s="109">
        <f>Input!O164*(1+vanilla8)^0.5</f>
        <v>0</v>
      </c>
      <c r="P32" s="109">
        <f>Input!P164*(1+vanilla9)^0.5</f>
        <v>0</v>
      </c>
      <c r="Q32" s="109">
        <f>Input!Q164*(1+vanilla10)^0.5</f>
        <v>0</v>
      </c>
      <c r="R32" s="28"/>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99"/>
      <c r="BE32" s="99"/>
      <c r="BF32" s="99"/>
      <c r="BG32" s="99"/>
      <c r="BH32" s="99"/>
      <c r="BI32" s="99"/>
      <c r="BJ32" s="99"/>
      <c r="BK32" s="11"/>
      <c r="BL32" s="11"/>
    </row>
    <row r="33" spans="1:256" ht="4.5" hidden="1" customHeight="1" outlineLevel="1">
      <c r="A33" s="9"/>
      <c r="B33" s="9"/>
      <c r="C33" s="44"/>
      <c r="D33" s="128">
        <f>Asset22</f>
        <v>0</v>
      </c>
      <c r="E33" s="9"/>
      <c r="F33" s="9"/>
      <c r="G33" s="122"/>
      <c r="H33" s="109">
        <f>Input!H165*(1+vanilla1)^0.5</f>
        <v>0</v>
      </c>
      <c r="I33" s="109">
        <f>Input!I165*(1+vanilla2)^0.5</f>
        <v>0</v>
      </c>
      <c r="J33" s="109">
        <f>Input!J165*(1+vanilla3)^0.5</f>
        <v>0</v>
      </c>
      <c r="K33" s="109">
        <f>Input!K165*(1+vanilla4)^0.5</f>
        <v>0</v>
      </c>
      <c r="L33" s="109">
        <f>Input!L165*(1+vanilla5)^0.5</f>
        <v>0</v>
      </c>
      <c r="M33" s="109">
        <f>Input!M165*(1+vanilla6)^0.5</f>
        <v>0</v>
      </c>
      <c r="N33" s="109">
        <f>Input!N165*(1+vanilla7)^0.5</f>
        <v>0</v>
      </c>
      <c r="O33" s="109">
        <f>Input!O165*(1+vanilla8)^0.5</f>
        <v>0</v>
      </c>
      <c r="P33" s="109">
        <f>Input!P165*(1+vanilla9)^0.5</f>
        <v>0</v>
      </c>
      <c r="Q33" s="109">
        <f>Input!Q165*(1+vanilla10)^0.5</f>
        <v>0</v>
      </c>
      <c r="R33" s="28"/>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99"/>
      <c r="BE33" s="99"/>
      <c r="BF33" s="99"/>
      <c r="BG33" s="99"/>
      <c r="BH33" s="99"/>
      <c r="BI33" s="99"/>
      <c r="BJ33" s="99"/>
      <c r="BK33" s="11"/>
      <c r="BL33" s="11"/>
    </row>
    <row r="34" spans="1:256" ht="4.5" hidden="1" customHeight="1" outlineLevel="1">
      <c r="A34" s="9"/>
      <c r="B34" s="9"/>
      <c r="C34" s="44"/>
      <c r="D34" s="128">
        <f>Asset23</f>
        <v>0</v>
      </c>
      <c r="E34" s="9"/>
      <c r="F34" s="9"/>
      <c r="G34" s="122"/>
      <c r="H34" s="109">
        <f>Input!H166*(1+vanilla1)^0.5</f>
        <v>0</v>
      </c>
      <c r="I34" s="109">
        <f>Input!I166*(1+vanilla2)^0.5</f>
        <v>0</v>
      </c>
      <c r="J34" s="109">
        <f>Input!J166*(1+vanilla3)^0.5</f>
        <v>0</v>
      </c>
      <c r="K34" s="109">
        <f>Input!K166*(1+vanilla4)^0.5</f>
        <v>0</v>
      </c>
      <c r="L34" s="109">
        <f>Input!L166*(1+vanilla5)^0.5</f>
        <v>0</v>
      </c>
      <c r="M34" s="109">
        <f>Input!M166*(1+vanilla6)^0.5</f>
        <v>0</v>
      </c>
      <c r="N34" s="109">
        <f>Input!N166*(1+vanilla7)^0.5</f>
        <v>0</v>
      </c>
      <c r="O34" s="109">
        <f>Input!O166*(1+vanilla8)^0.5</f>
        <v>0</v>
      </c>
      <c r="P34" s="109">
        <f>Input!P166*(1+vanilla9)^0.5</f>
        <v>0</v>
      </c>
      <c r="Q34" s="109">
        <f>Input!Q166*(1+vanilla10)^0.5</f>
        <v>0</v>
      </c>
      <c r="R34" s="28"/>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99"/>
      <c r="BE34" s="99"/>
      <c r="BF34" s="99"/>
      <c r="BG34" s="99"/>
      <c r="BH34" s="99"/>
      <c r="BI34" s="99"/>
      <c r="BJ34" s="99"/>
      <c r="BK34" s="11"/>
      <c r="BL34" s="11"/>
    </row>
    <row r="35" spans="1:256" ht="4.5" hidden="1" customHeight="1" outlineLevel="1">
      <c r="A35" s="9"/>
      <c r="B35" s="9"/>
      <c r="C35" s="44"/>
      <c r="D35" s="128">
        <f>Asset24</f>
        <v>0</v>
      </c>
      <c r="E35" s="9"/>
      <c r="F35" s="9"/>
      <c r="G35" s="122"/>
      <c r="H35" s="109">
        <f>Input!H167*(1+vanilla1)^0.5</f>
        <v>0</v>
      </c>
      <c r="I35" s="109">
        <f>Input!I167*(1+vanilla2)^0.5</f>
        <v>0</v>
      </c>
      <c r="J35" s="109">
        <f>Input!J167*(1+vanilla3)^0.5</f>
        <v>0</v>
      </c>
      <c r="K35" s="109">
        <f>Input!K167*(1+vanilla4)^0.5</f>
        <v>0</v>
      </c>
      <c r="L35" s="109">
        <f>Input!L167*(1+vanilla5)^0.5</f>
        <v>0</v>
      </c>
      <c r="M35" s="109">
        <f>Input!M167*(1+vanilla6)^0.5</f>
        <v>0</v>
      </c>
      <c r="N35" s="109">
        <f>Input!N167*(1+vanilla7)^0.5</f>
        <v>0</v>
      </c>
      <c r="O35" s="109">
        <f>Input!O167*(1+vanilla8)^0.5</f>
        <v>0</v>
      </c>
      <c r="P35" s="109">
        <f>Input!P167*(1+vanilla9)^0.5</f>
        <v>0</v>
      </c>
      <c r="Q35" s="109">
        <f>Input!Q167*(1+vanilla10)^0.5</f>
        <v>0</v>
      </c>
      <c r="R35" s="28"/>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99"/>
      <c r="BE35" s="99"/>
      <c r="BF35" s="99"/>
      <c r="BG35" s="99"/>
      <c r="BH35" s="99"/>
      <c r="BI35" s="99"/>
      <c r="BJ35" s="99"/>
      <c r="BK35" s="11"/>
      <c r="BL35" s="11"/>
    </row>
    <row r="36" spans="1:256" ht="4.5" hidden="1" customHeight="1" outlineLevel="1">
      <c r="A36" s="9"/>
      <c r="B36" s="9"/>
      <c r="C36" s="44"/>
      <c r="D36" s="128">
        <f>Asset25</f>
        <v>0</v>
      </c>
      <c r="E36" s="9"/>
      <c r="F36" s="9"/>
      <c r="G36" s="122"/>
      <c r="H36" s="109">
        <f>Input!H168*(1+vanilla1)^0.5</f>
        <v>0</v>
      </c>
      <c r="I36" s="109">
        <f>Input!I168*(1+vanilla2)^0.5</f>
        <v>0</v>
      </c>
      <c r="J36" s="109">
        <f>Input!J168*(1+vanilla3)^0.5</f>
        <v>0</v>
      </c>
      <c r="K36" s="109">
        <f>Input!K168*(1+vanilla4)^0.5</f>
        <v>0</v>
      </c>
      <c r="L36" s="109">
        <f>Input!L168*(1+vanilla5)^0.5</f>
        <v>0</v>
      </c>
      <c r="M36" s="109">
        <f>Input!M168*(1+vanilla6)^0.5</f>
        <v>0</v>
      </c>
      <c r="N36" s="109">
        <f>Input!N168*(1+vanilla7)^0.5</f>
        <v>0</v>
      </c>
      <c r="O36" s="109">
        <f>Input!O168*(1+vanilla8)^0.5</f>
        <v>0</v>
      </c>
      <c r="P36" s="109">
        <f>Input!P168*(1+vanilla9)^0.5</f>
        <v>0</v>
      </c>
      <c r="Q36" s="109">
        <f>Input!Q168*(1+vanilla10)^0.5</f>
        <v>0</v>
      </c>
      <c r="R36" s="28"/>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99"/>
      <c r="BE36" s="99"/>
      <c r="BF36" s="99"/>
      <c r="BG36" s="99"/>
      <c r="BH36" s="99"/>
      <c r="BI36" s="99"/>
      <c r="BJ36" s="99"/>
      <c r="BK36" s="11"/>
      <c r="BL36" s="11"/>
    </row>
    <row r="37" spans="1:256" ht="4.5" hidden="1" customHeight="1" outlineLevel="1">
      <c r="A37" s="9"/>
      <c r="B37" s="9"/>
      <c r="C37" s="44"/>
      <c r="D37" s="128">
        <f>Asset26</f>
        <v>0</v>
      </c>
      <c r="E37" s="9"/>
      <c r="F37" s="9"/>
      <c r="G37" s="122"/>
      <c r="H37" s="109">
        <f>Input!H169*(1+vanilla1)^0.5</f>
        <v>0</v>
      </c>
      <c r="I37" s="109">
        <f>Input!I169*(1+vanilla2)^0.5</f>
        <v>0</v>
      </c>
      <c r="J37" s="109">
        <f>Input!J169*(1+vanilla3)^0.5</f>
        <v>0</v>
      </c>
      <c r="K37" s="109">
        <f>Input!K169*(1+vanilla4)^0.5</f>
        <v>0</v>
      </c>
      <c r="L37" s="109">
        <f>Input!L169*(1+vanilla5)^0.5</f>
        <v>0</v>
      </c>
      <c r="M37" s="109">
        <f>Input!M169*(1+vanilla6)^0.5</f>
        <v>0</v>
      </c>
      <c r="N37" s="109">
        <f>Input!N169*(1+vanilla7)^0.5</f>
        <v>0</v>
      </c>
      <c r="O37" s="109">
        <f>Input!O169*(1+vanilla8)^0.5</f>
        <v>0</v>
      </c>
      <c r="P37" s="109">
        <f>Input!P169*(1+vanilla9)^0.5</f>
        <v>0</v>
      </c>
      <c r="Q37" s="109">
        <f>Input!Q169*(1+vanilla10)^0.5</f>
        <v>0</v>
      </c>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99"/>
      <c r="BE37" s="99"/>
      <c r="BF37" s="99"/>
      <c r="BG37" s="99"/>
      <c r="BH37" s="99"/>
      <c r="BI37" s="99"/>
      <c r="BJ37" s="99"/>
      <c r="BK37" s="11"/>
      <c r="BL37" s="11"/>
    </row>
    <row r="38" spans="1:256" ht="4.5" hidden="1" customHeight="1" outlineLevel="1">
      <c r="A38" s="9"/>
      <c r="B38" s="9"/>
      <c r="C38" s="44"/>
      <c r="D38" s="128">
        <f>Asset27</f>
        <v>0</v>
      </c>
      <c r="E38" s="9"/>
      <c r="F38" s="9"/>
      <c r="G38" s="122"/>
      <c r="H38" s="109">
        <f>Input!H170*(1+vanilla1)^0.5</f>
        <v>0</v>
      </c>
      <c r="I38" s="109">
        <f>Input!I170*(1+vanilla2)^0.5</f>
        <v>0</v>
      </c>
      <c r="J38" s="109">
        <f>Input!J170*(1+vanilla3)^0.5</f>
        <v>0</v>
      </c>
      <c r="K38" s="109">
        <f>Input!K170*(1+vanilla4)^0.5</f>
        <v>0</v>
      </c>
      <c r="L38" s="109">
        <f>Input!L170*(1+vanilla5)^0.5</f>
        <v>0</v>
      </c>
      <c r="M38" s="109">
        <f>Input!M170*(1+vanilla6)^0.5</f>
        <v>0</v>
      </c>
      <c r="N38" s="109">
        <f>Input!N170*(1+vanilla7)^0.5</f>
        <v>0</v>
      </c>
      <c r="O38" s="109">
        <f>Input!O170*(1+vanilla8)^0.5</f>
        <v>0</v>
      </c>
      <c r="P38" s="109">
        <f>Input!P170*(1+vanilla9)^0.5</f>
        <v>0</v>
      </c>
      <c r="Q38" s="109">
        <f>Input!Q170*(1+vanilla10)^0.5</f>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99"/>
      <c r="BE38" s="99"/>
      <c r="BF38" s="99"/>
      <c r="BG38" s="99"/>
      <c r="BH38" s="99"/>
      <c r="BI38" s="99"/>
      <c r="BJ38" s="99"/>
      <c r="BK38" s="11"/>
      <c r="BL38" s="11"/>
    </row>
    <row r="39" spans="1:256" ht="4.5" hidden="1" customHeight="1" outlineLevel="1">
      <c r="A39" s="9"/>
      <c r="B39" s="9"/>
      <c r="C39" s="44"/>
      <c r="D39" s="128">
        <f>Asset28</f>
        <v>0</v>
      </c>
      <c r="E39" s="9"/>
      <c r="F39" s="9"/>
      <c r="G39" s="122"/>
      <c r="H39" s="109">
        <f>Input!H171*(1+vanilla1)^0.5</f>
        <v>0</v>
      </c>
      <c r="I39" s="109">
        <f>Input!I171*(1+vanilla2)^0.5</f>
        <v>0</v>
      </c>
      <c r="J39" s="109">
        <f>Input!J171*(1+vanilla3)^0.5</f>
        <v>0</v>
      </c>
      <c r="K39" s="109">
        <f>Input!K171*(1+vanilla4)^0.5</f>
        <v>0</v>
      </c>
      <c r="L39" s="109">
        <f>Input!L171*(1+vanilla5)^0.5</f>
        <v>0</v>
      </c>
      <c r="M39" s="109">
        <f>Input!M171*(1+vanilla6)^0.5</f>
        <v>0</v>
      </c>
      <c r="N39" s="109">
        <f>Input!N171*(1+vanilla7)^0.5</f>
        <v>0</v>
      </c>
      <c r="O39" s="109">
        <f>Input!O171*(1+vanilla8)^0.5</f>
        <v>0</v>
      </c>
      <c r="P39" s="109">
        <f>Input!P171*(1+vanilla9)^0.5</f>
        <v>0</v>
      </c>
      <c r="Q39" s="109">
        <f>Input!Q171*(1+vanilla10)^0.5</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99"/>
      <c r="BE39" s="99"/>
      <c r="BF39" s="99"/>
      <c r="BG39" s="99"/>
      <c r="BH39" s="99"/>
      <c r="BI39" s="99"/>
      <c r="BJ39" s="99"/>
      <c r="BK39" s="11"/>
      <c r="BL39" s="11"/>
    </row>
    <row r="40" spans="1:256" ht="4.5" hidden="1" customHeight="1" outlineLevel="1">
      <c r="A40" s="9"/>
      <c r="B40" s="9"/>
      <c r="C40" s="44"/>
      <c r="D40" s="128">
        <f>Asset29</f>
        <v>0</v>
      </c>
      <c r="E40" s="9"/>
      <c r="F40" s="9"/>
      <c r="G40" s="122"/>
      <c r="H40" s="109">
        <f>Input!H172*(1+vanilla1)^0.5</f>
        <v>0</v>
      </c>
      <c r="I40" s="109">
        <f>Input!I172*(1+vanilla2)^0.5</f>
        <v>0</v>
      </c>
      <c r="J40" s="109">
        <f>Input!J172*(1+vanilla3)^0.5</f>
        <v>0</v>
      </c>
      <c r="K40" s="109">
        <f>Input!K172*(1+vanilla4)^0.5</f>
        <v>0</v>
      </c>
      <c r="L40" s="109">
        <f>Input!L172*(1+vanilla5)^0.5</f>
        <v>0</v>
      </c>
      <c r="M40" s="109">
        <f>Input!M172*(1+vanilla6)^0.5</f>
        <v>0</v>
      </c>
      <c r="N40" s="109">
        <f>Input!N172*(1+vanilla7)^0.5</f>
        <v>0</v>
      </c>
      <c r="O40" s="109">
        <f>Input!O172*(1+vanilla8)^0.5</f>
        <v>0</v>
      </c>
      <c r="P40" s="109">
        <f>Input!P172*(1+vanilla9)^0.5</f>
        <v>0</v>
      </c>
      <c r="Q40" s="109">
        <f>Input!Q172*(1+vanilla10)^0.5</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99"/>
      <c r="BE40" s="99"/>
      <c r="BF40" s="99"/>
      <c r="BG40" s="99"/>
      <c r="BH40" s="99"/>
      <c r="BI40" s="99"/>
      <c r="BJ40" s="99"/>
      <c r="BK40" s="11"/>
      <c r="BL40" s="11"/>
    </row>
    <row r="41" spans="1:256" ht="14.25" hidden="1" customHeight="1" outlineLevel="1">
      <c r="A41" s="9"/>
      <c r="B41" s="9"/>
      <c r="C41" s="44"/>
      <c r="D41" s="128">
        <f>Asset30</f>
        <v>0</v>
      </c>
      <c r="E41" s="9"/>
      <c r="F41" s="9"/>
      <c r="G41" s="122"/>
      <c r="H41" s="109">
        <f>Input!H173*(1+vanilla1)^0.5</f>
        <v>0</v>
      </c>
      <c r="I41" s="109">
        <f>Input!I173*(1+vanilla2)^0.5</f>
        <v>0</v>
      </c>
      <c r="J41" s="109">
        <f>Input!J173*(1+vanilla3)^0.5</f>
        <v>0</v>
      </c>
      <c r="K41" s="109">
        <f>Input!K173*(1+vanilla4)^0.5</f>
        <v>0</v>
      </c>
      <c r="L41" s="109">
        <f>Input!L173*(1+vanilla5)^0.5</f>
        <v>0</v>
      </c>
      <c r="M41" s="109">
        <f>Input!M173*(1+vanilla6)^0.5</f>
        <v>0</v>
      </c>
      <c r="N41" s="109">
        <f>Input!N173*(1+vanilla7)^0.5</f>
        <v>0</v>
      </c>
      <c r="O41" s="109">
        <f>Input!O173*(1+vanilla8)^0.5</f>
        <v>0</v>
      </c>
      <c r="P41" s="109">
        <f>Input!P173*(1+vanilla9)^0.5</f>
        <v>0</v>
      </c>
      <c r="Q41" s="109">
        <f>Input!Q173*(1+vanilla10)^0.5</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99"/>
      <c r="BE41" s="99"/>
      <c r="BF41" s="99"/>
      <c r="BG41" s="99"/>
      <c r="BH41" s="99"/>
      <c r="BI41" s="99"/>
      <c r="BJ41" s="99"/>
      <c r="BK41" s="11"/>
      <c r="BL41" s="11"/>
    </row>
    <row r="42" spans="1:256" collapsed="1">
      <c r="A42" s="9"/>
      <c r="B42" s="9"/>
      <c r="C42" s="44"/>
      <c r="D42" s="112"/>
      <c r="E42" s="9"/>
      <c r="F42" s="9"/>
      <c r="G42" s="27"/>
      <c r="H42" s="288"/>
      <c r="I42" s="288"/>
      <c r="J42" s="288"/>
      <c r="K42" s="288"/>
      <c r="L42" s="288"/>
      <c r="M42" s="36"/>
      <c r="N42" s="108"/>
      <c r="O42" s="28"/>
      <c r="P42" s="28"/>
      <c r="Q42" s="28"/>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99"/>
      <c r="BE42" s="99"/>
      <c r="BF42" s="99"/>
      <c r="BG42" s="99"/>
      <c r="BH42" s="99"/>
      <c r="BI42" s="99"/>
      <c r="BJ42" s="99"/>
      <c r="BK42" s="11"/>
      <c r="BL42" s="11"/>
    </row>
    <row r="43" spans="1:256">
      <c r="A43" s="9"/>
      <c r="B43" s="9"/>
      <c r="C43" s="9" t="s">
        <v>35</v>
      </c>
      <c r="D43" s="9"/>
      <c r="E43" s="9"/>
      <c r="F43" s="9"/>
      <c r="G43" s="115"/>
      <c r="H43" s="115">
        <f>H56+H69+H82+H95+H108+H121+H134+H147+H160+H173+H186+H199+H212+H225+H238+H251+H264+H277+H290+H303+H316+H329+H342+H355+H368+H381+H394+H407+H420+H433</f>
        <v>-250.3582610866392</v>
      </c>
      <c r="I43" s="115">
        <f t="shared" ref="I43:Q43" si="2">I56+I69+I82+I95+I108+I121+I134+I147+I160+I173+I186+I199+I212+I225+I238+I251+I264+I277+I290+I303+I316+I329+I342+I355+I368+I381+I394+I407+I420+I433</f>
        <v>-289.38900450856806</v>
      </c>
      <c r="J43" s="115">
        <f t="shared" si="2"/>
        <v>-338.78731341196738</v>
      </c>
      <c r="K43" s="115">
        <f t="shared" si="2"/>
        <v>-384.34723760565697</v>
      </c>
      <c r="L43" s="115">
        <f t="shared" si="2"/>
        <v>-390.15179121678534</v>
      </c>
      <c r="M43" s="115">
        <f t="shared" si="2"/>
        <v>0</v>
      </c>
      <c r="N43" s="115">
        <f t="shared" si="2"/>
        <v>0</v>
      </c>
      <c r="O43" s="115">
        <f t="shared" si="2"/>
        <v>0</v>
      </c>
      <c r="P43" s="115">
        <f t="shared" si="2"/>
        <v>0</v>
      </c>
      <c r="Q43" s="115">
        <f t="shared" si="2"/>
        <v>0</v>
      </c>
      <c r="R43" s="9"/>
      <c r="S43" s="9"/>
      <c r="T43" s="9"/>
      <c r="U43" s="9"/>
      <c r="V43" s="9"/>
      <c r="W43" s="9"/>
      <c r="X43" s="9"/>
      <c r="Y43" s="9"/>
      <c r="Z43" s="9"/>
      <c r="AA43" s="9"/>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9"/>
      <c r="BE43" s="9"/>
      <c r="BF43" s="9"/>
      <c r="BG43" s="9"/>
      <c r="BH43" s="9"/>
      <c r="BI43" s="9"/>
      <c r="BJ43" s="9"/>
      <c r="BK43" s="9"/>
      <c r="BL43" s="9"/>
    </row>
    <row r="44" spans="1:256" s="5" customFormat="1" ht="12.75" hidden="1" customHeight="1" outlineLevel="2">
      <c r="A44" s="9"/>
      <c r="B44" s="9"/>
      <c r="C44" s="31" t="str">
        <f>Asset1</f>
        <v>Sub-transmission lines and cables</v>
      </c>
      <c r="D44" s="32"/>
      <c r="E44" s="33" t="s">
        <v>28</v>
      </c>
      <c r="F44" s="32"/>
      <c r="G44" s="34"/>
      <c r="H44" s="66">
        <f>IF(H$3&gt;A1remlife,A1value-SUM($G44:G44),IF(A1remlife="N/A","n/a",A1value/A1remlife))</f>
        <v>22.585438329835128</v>
      </c>
      <c r="I44" s="66">
        <f>IF(I$3&gt;A1remlife,A1value-SUM($G44:H44),IF(A1remlife="N/A","n/a",A1value/A1remlife))</f>
        <v>22.585438329835128</v>
      </c>
      <c r="J44" s="66">
        <f>IF(J$3&gt;A1remlife,A1value-SUM($G44:I44),IF(A1remlife="N/A","n/a",A1value/A1remlife))</f>
        <v>22.585438329835128</v>
      </c>
      <c r="K44" s="66">
        <f>IF(K$3&gt;A1remlife,A1value-SUM($G44:J44),IF(A1remlife="N/A","n/a",A1value/A1remlife))</f>
        <v>22.585438329835128</v>
      </c>
      <c r="L44" s="66">
        <f>IF(L$3&gt;A1remlife,A1value-SUM($G44:K44),IF(A1remlife="N/A","n/a",A1value/A1remlife))</f>
        <v>22.585438329835128</v>
      </c>
      <c r="M44" s="66">
        <f>IF(M$3&gt;A1remlife,A1value-SUM($G44:L44),IF(A1remlife="N/A","n/a",A1value/A1remlife))</f>
        <v>22.585438329835128</v>
      </c>
      <c r="N44" s="66">
        <f>IF(N$3&gt;A1remlife,A1value-SUM($G44:M44),IF(A1remlife="N/A","n/a",A1value/A1remlife))</f>
        <v>22.585438329835128</v>
      </c>
      <c r="O44" s="66">
        <f>IF(O$3&gt;A1remlife,A1value-SUM($G44:N44),IF(A1remlife="N/A","n/a",A1value/A1remlife))</f>
        <v>22.585438329835128</v>
      </c>
      <c r="P44" s="66">
        <f>IF(P$3&gt;A1remlife,A1value-SUM($G44:O44),IF(A1remlife="N/A","n/a",A1value/A1remlife))</f>
        <v>22.585438329835128</v>
      </c>
      <c r="Q44" s="66">
        <f>IF(Q$3&gt;A1remlife,A1value-SUM($G44:P44),IF(A1remlife="N/A","n/a",A1value/A1remlife))</f>
        <v>22.585438329835128</v>
      </c>
      <c r="R44" s="35"/>
      <c r="S44" s="100"/>
      <c r="T44" s="100"/>
      <c r="U44" s="100"/>
      <c r="V44" s="100"/>
      <c r="W44" s="100"/>
      <c r="X44" s="100"/>
      <c r="Y44" s="100"/>
      <c r="Z44" s="100"/>
      <c r="AA44" s="100"/>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100"/>
      <c r="BE44" s="100"/>
      <c r="BF44" s="100"/>
      <c r="BG44" s="100"/>
      <c r="BH44" s="100"/>
      <c r="BI44" s="100"/>
      <c r="BJ44" s="100"/>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5"/>
      <c r="D45" s="24"/>
      <c r="E45" s="481" t="s">
        <v>83</v>
      </c>
      <c r="F45" s="85">
        <v>0</v>
      </c>
      <c r="G45" s="26"/>
      <c r="H45" s="116"/>
      <c r="I45" s="116"/>
      <c r="J45" s="116"/>
      <c r="K45" s="116"/>
      <c r="L45" s="116"/>
      <c r="M45" s="116"/>
      <c r="N45" s="45"/>
      <c r="O45" s="45"/>
      <c r="P45" s="45"/>
      <c r="Q45" s="45"/>
      <c r="R45" s="45"/>
      <c r="S45" s="100"/>
      <c r="T45" s="100"/>
      <c r="U45" s="100"/>
      <c r="V45" s="100"/>
      <c r="W45" s="100"/>
      <c r="X45" s="100"/>
      <c r="Y45" s="100"/>
      <c r="Z45" s="100"/>
      <c r="AA45" s="100"/>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100"/>
      <c r="BE45" s="100"/>
      <c r="BF45" s="100"/>
      <c r="BG45" s="100"/>
      <c r="BH45" s="100"/>
      <c r="BI45" s="100"/>
      <c r="BJ45" s="100"/>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5"/>
      <c r="D46" s="24"/>
      <c r="E46" s="482"/>
      <c r="F46" s="85">
        <v>1</v>
      </c>
      <c r="G46" s="26"/>
      <c r="H46" s="145"/>
      <c r="I46" s="67">
        <f>IF(A1stdlife="n/a","n/a",IF(I$3&gt;(A1stdlife+$F46),(Input!$H$144*(1+vanilla1)^0.5)-SUM($H46:H46),(Input!$H$144*(1+vanilla1)^0.5)/A1stdlife))</f>
        <v>2.4481789770827698</v>
      </c>
      <c r="J46" s="67">
        <f>IF(A1stdlife="n/a","n/a",IF(J$3&gt;(A1stdlife+$F46),(Input!$H$144*(1+vanilla1)^0.5)-SUM($H46:I46),(Input!$H$144*(1+vanilla1)^0.5)/A1stdlife))</f>
        <v>2.4481789770827698</v>
      </c>
      <c r="K46" s="67">
        <f>IF(A1stdlife="n/a","n/a",IF(K$3&gt;(A1stdlife+$F46),(Input!$H$144*(1+vanilla1)^0.5)-SUM($H46:J46),(Input!$H$144*(1+vanilla1)^0.5)/A1stdlife))</f>
        <v>2.4481789770827698</v>
      </c>
      <c r="L46" s="67">
        <f>IF(A1stdlife="n/a","n/a",IF(L$3&gt;(A1stdlife+$F46),(Input!$H$144*(1+vanilla1)^0.5)-SUM($H46:K46),(Input!$H$144*(1+vanilla1)^0.5)/A1stdlife))</f>
        <v>2.4481789770827698</v>
      </c>
      <c r="M46" s="67">
        <f>IF(A1stdlife="n/a","n/a",IF(M$3&gt;(A1stdlife+$F46),(Input!$H$144*(1+vanilla1)^0.5)-SUM($H46:L46),(Input!$H$144*(1+vanilla1)^0.5)/A1stdlife))</f>
        <v>2.4481789770827698</v>
      </c>
      <c r="N46" s="67">
        <f>IF(A1stdlife="n/a","n/a",IF(N$3&gt;(A1stdlife+$F46),(Input!$H$144*(1+vanilla1)^0.5)-SUM($H46:M46),(Input!$H$144*(1+vanilla1)^0.5)/A1stdlife))</f>
        <v>2.4481789770827698</v>
      </c>
      <c r="O46" s="67">
        <f>IF(A1stdlife="n/a","n/a",IF(O$3&gt;(A1stdlife+$F46),(Input!$H$144*(1+vanilla1)^0.5)-SUM($H46:N46),(Input!$H$144*(1+vanilla1)^0.5)/A1stdlife))</f>
        <v>2.4481789770827698</v>
      </c>
      <c r="P46" s="67">
        <f>IF(A1stdlife="n/a","n/a",IF(P$3&gt;(A1stdlife+$F46),(Input!$H$144*(1+vanilla1)^0.5)-SUM($H46:O46),(Input!$H$144*(1+vanilla1)^0.5)/A1stdlife))</f>
        <v>2.4481789770827698</v>
      </c>
      <c r="Q46" s="67">
        <f>IF(A1stdlife="n/a","n/a",IF(Q$3&gt;(A1stdlife+$F46),(Input!$H$144*(1+vanilla1)^0.5)-SUM($H46:P46),(Input!$H$144*(1+vanilla1)^0.5)/A1stdlife))</f>
        <v>2.4481789770827698</v>
      </c>
      <c r="R46" s="29"/>
      <c r="S46" s="100"/>
      <c r="T46" s="100"/>
      <c r="U46" s="100"/>
      <c r="V46" s="100"/>
      <c r="W46" s="100"/>
      <c r="X46" s="100"/>
      <c r="Y46" s="100"/>
      <c r="Z46" s="100"/>
      <c r="AA46" s="100"/>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100"/>
      <c r="BE46" s="100"/>
      <c r="BF46" s="100"/>
      <c r="BG46" s="100"/>
      <c r="BH46" s="100"/>
      <c r="BI46" s="100"/>
      <c r="BJ46" s="100"/>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5"/>
      <c r="D47" s="24"/>
      <c r="E47" s="482"/>
      <c r="F47" s="85">
        <v>2</v>
      </c>
      <c r="G47" s="26"/>
      <c r="H47" s="146"/>
      <c r="I47" s="147"/>
      <c r="J47" s="67">
        <f>IF(A1stdlife="n/a","n/a",IF(J$3&gt;(A1stdlife+$F47),(Input!$I$144*(1+vanilla2)^0.5)-SUM($I47:I47),(Input!$I$144*(1+vanilla2)^0.5)/A1stdlife))</f>
        <v>2.5242253258916243</v>
      </c>
      <c r="K47" s="67">
        <f>IF(A1stdlife="n/a","n/a",IF(K$3&gt;(A1stdlife+$F47),(Input!$I$144*(1+vanilla2)^0.5)-SUM($I47:J47),(Input!$I$144*(1+vanilla2)^0.5)/A1stdlife))</f>
        <v>2.5242253258916243</v>
      </c>
      <c r="L47" s="67">
        <f>IF(A1stdlife="n/a","n/a",IF(L$3&gt;(A1stdlife+$F47),(Input!$I$144*(1+vanilla2)^0.5)-SUM($I47:K47),(Input!$I$144*(1+vanilla2)^0.5)/A1stdlife))</f>
        <v>2.5242253258916243</v>
      </c>
      <c r="M47" s="67">
        <f>IF(A1stdlife="n/a","n/a",IF(M$3&gt;(A1stdlife+$F47),(Input!$I$144*(1+vanilla2)^0.5)-SUM($I47:L47),(Input!$I$144*(1+vanilla2)^0.5)/A1stdlife))</f>
        <v>2.5242253258916243</v>
      </c>
      <c r="N47" s="67">
        <f>IF(A1stdlife="n/a","n/a",IF(N$3&gt;(A1stdlife+$F47),(Input!$I$144*(1+vanilla2)^0.5)-SUM($I47:M47),(Input!$I$144*(1+vanilla2)^0.5)/A1stdlife))</f>
        <v>2.5242253258916243</v>
      </c>
      <c r="O47" s="67">
        <f>IF(A1stdlife="n/a","n/a",IF(O$3&gt;(A1stdlife+$F47),(Input!$I$144*(1+vanilla2)^0.5)-SUM($I47:N47),(Input!$I$144*(1+vanilla2)^0.5)/A1stdlife))</f>
        <v>2.5242253258916243</v>
      </c>
      <c r="P47" s="67">
        <f>IF(A1stdlife="n/a","n/a",IF(P$3&gt;(A1stdlife+$F47),(Input!$I$144*(1+vanilla2)^0.5)-SUM($I47:O47),(Input!$I$144*(1+vanilla2)^0.5)/A1stdlife))</f>
        <v>2.5242253258916243</v>
      </c>
      <c r="Q47" s="67">
        <f>IF(A1stdlife="n/a","n/a",IF(Q$3&gt;(A1stdlife+$F47),(Input!$I$144*(1+vanilla2)^0.5)-SUM($I47:P47),(Input!$I$144*(1+vanilla2)^0.5)/A1stdlife))</f>
        <v>2.5242253258916243</v>
      </c>
      <c r="R47" s="29"/>
      <c r="S47" s="100"/>
      <c r="T47" s="100"/>
      <c r="U47" s="100"/>
      <c r="V47" s="100"/>
      <c r="W47" s="100"/>
      <c r="X47" s="100"/>
      <c r="Y47" s="100"/>
      <c r="Z47" s="100"/>
      <c r="AA47" s="100"/>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100"/>
      <c r="BE47" s="100"/>
      <c r="BF47" s="100"/>
      <c r="BG47" s="100"/>
      <c r="BH47" s="100"/>
      <c r="BI47" s="100"/>
      <c r="BJ47" s="100"/>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5"/>
      <c r="D48" s="24"/>
      <c r="E48" s="482"/>
      <c r="F48" s="85">
        <v>3</v>
      </c>
      <c r="G48" s="26"/>
      <c r="H48" s="146"/>
      <c r="I48" s="148"/>
      <c r="J48" s="147"/>
      <c r="K48" s="67">
        <f>IF(A1stdlife="n/a","n/a",IF(K$3&gt;(A1stdlife+$F48),(Input!$J$144*(1+vanilla3)^0.5)-SUM($J48:J48),(Input!$J$144*(1+vanilla3)^0.5)/A1stdlife))</f>
        <v>2.6179676326425434</v>
      </c>
      <c r="L48" s="67">
        <f>IF(A1stdlife="n/a","n/a",IF(L$3&gt;(A1stdlife+$F48),(Input!$J$144*(1+vanilla3)^0.5)-SUM($J48:K48),(Input!$J$144*(1+vanilla3)^0.5)/A1stdlife))</f>
        <v>2.6179676326425434</v>
      </c>
      <c r="M48" s="67">
        <f>IF(A1stdlife="n/a","n/a",IF(M$3&gt;(A1stdlife+$F48),(Input!$J$144*(1+vanilla3)^0.5)-SUM($J48:L48),(Input!$J$144*(1+vanilla3)^0.5)/A1stdlife))</f>
        <v>2.6179676326425434</v>
      </c>
      <c r="N48" s="67">
        <f>IF(A1stdlife="n/a","n/a",IF(N$3&gt;(A1stdlife+$F48),(Input!$J$144*(1+vanilla3)^0.5)-SUM($J48:M48),(Input!$J$144*(1+vanilla3)^0.5)/A1stdlife))</f>
        <v>2.6179676326425434</v>
      </c>
      <c r="O48" s="67">
        <f>IF(A1stdlife="n/a","n/a",IF(O$3&gt;(A1stdlife+$F48),(Input!$J$144*(1+vanilla3)^0.5)-SUM($J48:N48),(Input!$J$144*(1+vanilla3)^0.5)/A1stdlife))</f>
        <v>2.6179676326425434</v>
      </c>
      <c r="P48" s="67">
        <f>IF(A1stdlife="n/a","n/a",IF(P$3&gt;(A1stdlife+$F48),(Input!$J$144*(1+vanilla3)^0.5)-SUM($J48:O48),(Input!$J$144*(1+vanilla3)^0.5)/A1stdlife))</f>
        <v>2.6179676326425434</v>
      </c>
      <c r="Q48" s="67">
        <f>IF(A1stdlife="n/a","n/a",IF(Q$3&gt;(A1stdlife+$F48),(Input!$J$144*(1+vanilla3)^0.5)-SUM($J48:P48),(Input!$J$144*(1+vanilla3)^0.5)/A1stdlife))</f>
        <v>2.6179676326425434</v>
      </c>
      <c r="R48" s="29"/>
      <c r="S48" s="100"/>
      <c r="T48" s="100"/>
      <c r="U48" s="100"/>
      <c r="V48" s="100"/>
      <c r="W48" s="100"/>
      <c r="X48" s="100"/>
      <c r="Y48" s="100"/>
      <c r="Z48" s="100"/>
      <c r="AA48" s="100"/>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100"/>
      <c r="BE48" s="100"/>
      <c r="BF48" s="100"/>
      <c r="BG48" s="100"/>
      <c r="BH48" s="100"/>
      <c r="BI48" s="100"/>
      <c r="BJ48" s="100"/>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5"/>
      <c r="D49" s="24"/>
      <c r="E49" s="482"/>
      <c r="F49" s="85">
        <v>4</v>
      </c>
      <c r="G49" s="26"/>
      <c r="H49" s="146"/>
      <c r="I49" s="148"/>
      <c r="J49" s="148"/>
      <c r="K49" s="147"/>
      <c r="L49" s="67">
        <f>IF(A1stdlife="n/a","n/a",IF(L$3&gt;(A1stdlife+$F49),(Input!$K$144*(1+vanilla4)^0.5)-SUM($K49:K49),(Input!$K$144*(1+vanilla4)^0.5)/A1stdlife))</f>
        <v>1.9216937079989433</v>
      </c>
      <c r="M49" s="67">
        <f>IF(A1stdlife="n/a","n/a",IF(M$3&gt;(A1stdlife+$F49),(Input!$K$144*(1+vanilla4)^0.5)-SUM($K49:L49),(Input!$K$144*(1+vanilla4)^0.5)/A1stdlife))</f>
        <v>1.9216937079989433</v>
      </c>
      <c r="N49" s="67">
        <f>IF(A1stdlife="n/a","n/a",IF(N$3&gt;(A1stdlife+$F49),(Input!$K$144*(1+vanilla4)^0.5)-SUM($K49:M49),(Input!$K$144*(1+vanilla4)^0.5)/A1stdlife))</f>
        <v>1.9216937079989433</v>
      </c>
      <c r="O49" s="67">
        <f>IF(A1stdlife="n/a","n/a",IF(O$3&gt;(A1stdlife+$F49),(Input!$K$144*(1+vanilla4)^0.5)-SUM($K49:N49),(Input!$K$144*(1+vanilla4)^0.5)/A1stdlife))</f>
        <v>1.9216937079989433</v>
      </c>
      <c r="P49" s="67">
        <f>IF(A1stdlife="n/a","n/a",IF(P$3&gt;(A1stdlife+$F49),(Input!$K$144*(1+vanilla4)^0.5)-SUM($K49:O49),(Input!$K$144*(1+vanilla4)^0.5)/A1stdlife))</f>
        <v>1.9216937079989433</v>
      </c>
      <c r="Q49" s="67">
        <f>IF(A1stdlife="n/a","n/a",IF(Q$3&gt;(A1stdlife+$F49),(Input!$K$144*(1+vanilla4)^0.5)-SUM($K49:P49),(Input!$K$144*(1+vanilla4)^0.5)/A1stdlife))</f>
        <v>1.9216937079989433</v>
      </c>
      <c r="R49" s="29"/>
      <c r="S49" s="100"/>
      <c r="T49" s="100"/>
      <c r="U49" s="100"/>
      <c r="V49" s="100"/>
      <c r="W49" s="100"/>
      <c r="X49" s="100"/>
      <c r="Y49" s="100"/>
      <c r="Z49" s="100"/>
      <c r="AA49" s="100"/>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100"/>
      <c r="BE49" s="100"/>
      <c r="BF49" s="100"/>
      <c r="BG49" s="100"/>
      <c r="BH49" s="100"/>
      <c r="BI49" s="100"/>
      <c r="BJ49" s="100"/>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5"/>
      <c r="D50" s="24"/>
      <c r="E50" s="482"/>
      <c r="F50" s="85">
        <v>5</v>
      </c>
      <c r="G50" s="26"/>
      <c r="H50" s="215"/>
      <c r="I50" s="216"/>
      <c r="J50" s="216"/>
      <c r="K50" s="216"/>
      <c r="L50" s="217"/>
      <c r="M50" s="29">
        <f>IF(A1stdlife="n/a","n/a",IF(M$3&gt;(A1stdlife+$F50),(Input!$L$144*(1+vanilla5)^0.5)-SUM($L50:L50),(Input!$L$144*(1+vanilla5)^0.5)/A1stdlife))</f>
        <v>1.0621147193801761</v>
      </c>
      <c r="N50" s="29">
        <f>IF(A1stdlife="n/a","n/a",IF(N$3&gt;(A1stdlife+$F50),(Input!$L$144*(1+vanilla5)^0.5)-SUM($L50:M50),(Input!$L$144*(1+vanilla5)^0.5)/A1stdlife))</f>
        <v>1.0621147193801761</v>
      </c>
      <c r="O50" s="29">
        <f>IF(A1stdlife="n/a","n/a",IF(O$3&gt;(A1stdlife+$F50),(Input!$L$144*(1+vanilla5)^0.5)-SUM($L50:N50),(Input!$L$144*(1+vanilla5)^0.5)/A1stdlife))</f>
        <v>1.0621147193801761</v>
      </c>
      <c r="P50" s="29">
        <f>IF(A1stdlife="n/a","n/a",IF(P$3&gt;(A1stdlife+$F50),(Input!$L$144*(1+vanilla5)^0.5)-SUM($L50:O50),(Input!$L$144*(1+vanilla5)^0.5)/A1stdlife))</f>
        <v>1.0621147193801761</v>
      </c>
      <c r="Q50" s="29">
        <f>IF(A1stdlife="n/a","n/a",IF(Q$3&gt;(A1stdlife+$F50),(Input!$L$144*(1+vanilla5)^0.5)-SUM($L50:P50),(Input!$L$144*(1+vanilla5)^0.5)/A1stdlife))</f>
        <v>1.0621147193801761</v>
      </c>
      <c r="R50" s="29"/>
      <c r="S50" s="100"/>
      <c r="T50" s="100"/>
      <c r="U50" s="100"/>
      <c r="V50" s="100"/>
      <c r="W50" s="100"/>
      <c r="X50" s="100"/>
      <c r="Y50" s="100"/>
      <c r="Z50" s="100"/>
      <c r="AA50" s="100"/>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100"/>
      <c r="BE50" s="100"/>
      <c r="BF50" s="100"/>
      <c r="BG50" s="100"/>
      <c r="BH50" s="100"/>
      <c r="BI50" s="100"/>
      <c r="BJ50" s="100"/>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5"/>
      <c r="D51" s="24"/>
      <c r="E51" s="482"/>
      <c r="F51" s="85">
        <v>6</v>
      </c>
      <c r="G51" s="26"/>
      <c r="H51" s="215"/>
      <c r="I51" s="216"/>
      <c r="J51" s="216"/>
      <c r="K51" s="216"/>
      <c r="L51" s="216"/>
      <c r="M51" s="217"/>
      <c r="N51" s="29">
        <f>IF(A1stdlife="n/a","n/a",IF(N$3&gt;(A1stdlife+$F51),(Input!$M$144*(1+vanilla6)^0.5)-SUM($M51:M51),(Input!$M$144*(1+vanilla6)^0.5)/A1stdlife))</f>
        <v>0</v>
      </c>
      <c r="O51" s="29">
        <f>IF(A1stdlife="n/a","n/a",IF(O$3&gt;(A1stdlife+$F51),(Input!$M$144*(1+vanilla6)^0.5)-SUM($M51:N51),(Input!$M$144*(1+vanilla6)^0.5)/A1stdlife))</f>
        <v>0</v>
      </c>
      <c r="P51" s="29">
        <f>IF(A1stdlife="n/a","n/a",IF(P$3&gt;(A1stdlife+$F51),(Input!$M$144*(1+vanilla6)^0.5)-SUM($M51:O51),(Input!$M$144*(1+vanilla6)^0.5)/A1stdlife))</f>
        <v>0</v>
      </c>
      <c r="Q51" s="29">
        <f>IF(A1stdlife="n/a","n/a",IF(Q$3&gt;(A1stdlife+$F51),(Input!$M$144*(1+vanilla6)^0.5)-SUM($M51:P51),(Input!$M$144*(1+vanilla6)^0.5)/A1stdlife))</f>
        <v>0</v>
      </c>
      <c r="R51" s="29"/>
      <c r="S51" s="100"/>
      <c r="T51" s="100"/>
      <c r="U51" s="100"/>
      <c r="V51" s="100"/>
      <c r="W51" s="100"/>
      <c r="X51" s="100"/>
      <c r="Y51" s="100"/>
      <c r="Z51" s="100"/>
      <c r="AA51" s="100"/>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100"/>
      <c r="BE51" s="100"/>
      <c r="BF51" s="100"/>
      <c r="BG51" s="100"/>
      <c r="BH51" s="100"/>
      <c r="BI51" s="100"/>
      <c r="BJ51" s="100"/>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5"/>
      <c r="D52" s="24"/>
      <c r="E52" s="482"/>
      <c r="F52" s="85">
        <v>7</v>
      </c>
      <c r="G52" s="26"/>
      <c r="H52" s="215"/>
      <c r="I52" s="216"/>
      <c r="J52" s="216"/>
      <c r="K52" s="216"/>
      <c r="L52" s="216"/>
      <c r="M52" s="216"/>
      <c r="N52" s="217"/>
      <c r="O52" s="29">
        <f>IF(A1stdlife="n/a","n/a",IF(O$3&gt;(A1stdlife+$F52),(Input!$N$144*(1+vanilla7)^0.5)-SUM($N52:N52),(Input!$N$144*(1+vanilla7)^0.5)/A1stdlife))</f>
        <v>0</v>
      </c>
      <c r="P52" s="29">
        <f>IF(A1stdlife="n/a","n/a",IF(P$3&gt;(A1stdlife+$F52),(Input!$N$144*(1+vanilla7)^0.5)-SUM($N52:O52),(Input!$N$144*(1+vanilla7)^0.5)/A1stdlife))</f>
        <v>0</v>
      </c>
      <c r="Q52" s="29">
        <f>IF(A1stdlife="n/a","n/a",IF(Q$3&gt;(A1stdlife+$F52),(Input!$N$144*(1+vanilla7)^0.5)-SUM($N52:P52),(Input!$N$144*(1+vanilla7)^0.5)/A1stdlife))</f>
        <v>0</v>
      </c>
      <c r="R52" s="29"/>
      <c r="S52" s="100"/>
      <c r="T52" s="100"/>
      <c r="U52" s="100"/>
      <c r="V52" s="100"/>
      <c r="W52" s="100"/>
      <c r="X52" s="100"/>
      <c r="Y52" s="100"/>
      <c r="Z52" s="100"/>
      <c r="AA52" s="100"/>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100"/>
      <c r="BE52" s="100"/>
      <c r="BF52" s="100"/>
      <c r="BG52" s="100"/>
      <c r="BH52" s="100"/>
      <c r="BI52" s="100"/>
      <c r="BJ52" s="100"/>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5"/>
      <c r="D53" s="24"/>
      <c r="E53" s="482"/>
      <c r="F53" s="85">
        <v>8</v>
      </c>
      <c r="G53" s="26"/>
      <c r="H53" s="215"/>
      <c r="I53" s="216"/>
      <c r="J53" s="216"/>
      <c r="K53" s="216"/>
      <c r="L53" s="216"/>
      <c r="M53" s="216"/>
      <c r="N53" s="216"/>
      <c r="O53" s="217"/>
      <c r="P53" s="29">
        <f>IF(A1stdlife="n/a","n/a",IF(P$3&gt;(A1stdlife+$F53),(Input!$O$144*(1+vanilla8)^0.5)-SUM($O53:O53),(Input!$O$144*(1+vanilla8)^0.5)/A1stdlife))</f>
        <v>0</v>
      </c>
      <c r="Q53" s="29">
        <f>IF(A1stdlife="n/a","n/a",IF(Q$3&gt;(A1stdlife+$F53),(Input!$O$144*(1+vanilla8)^0.5)-SUM($O53:P53),(Input!$O$144*(1+vanilla8)^0.5)/A1stdlife))</f>
        <v>0</v>
      </c>
      <c r="R53" s="29"/>
      <c r="S53" s="100"/>
      <c r="T53" s="100"/>
      <c r="U53" s="100"/>
      <c r="V53" s="100"/>
      <c r="W53" s="100"/>
      <c r="X53" s="100"/>
      <c r="Y53" s="100"/>
      <c r="Z53" s="100"/>
      <c r="AA53" s="100"/>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100"/>
      <c r="BE53" s="100"/>
      <c r="BF53" s="100"/>
      <c r="BG53" s="100"/>
      <c r="BH53" s="100"/>
      <c r="BI53" s="100"/>
      <c r="BJ53" s="100"/>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5"/>
      <c r="D54" s="24"/>
      <c r="E54" s="482"/>
      <c r="F54" s="85">
        <v>9</v>
      </c>
      <c r="G54" s="26"/>
      <c r="H54" s="215"/>
      <c r="I54" s="216"/>
      <c r="J54" s="216"/>
      <c r="K54" s="216"/>
      <c r="L54" s="216"/>
      <c r="M54" s="216"/>
      <c r="N54" s="216"/>
      <c r="O54" s="216"/>
      <c r="P54" s="217"/>
      <c r="Q54" s="29">
        <f>IF(A1stdlife="n/a","n/a",IF(Q$3&gt;(A1stdlife+$F54),(Input!$P$144*(1+vanilla9)^0.5)-SUM($P54:P54),(Input!$P$144*(1+vanilla9)^0.5)/A1stdlife))</f>
        <v>0</v>
      </c>
      <c r="R54" s="29"/>
      <c r="S54" s="100"/>
      <c r="T54" s="100"/>
      <c r="U54" s="100"/>
      <c r="V54" s="100"/>
      <c r="W54" s="100"/>
      <c r="X54" s="100"/>
      <c r="Y54" s="100"/>
      <c r="Z54" s="100"/>
      <c r="AA54" s="100"/>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100"/>
      <c r="BE54" s="100"/>
      <c r="BF54" s="100"/>
      <c r="BG54" s="100"/>
      <c r="BH54" s="100"/>
      <c r="BI54" s="100"/>
      <c r="BJ54" s="100"/>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5"/>
      <c r="D55" s="24"/>
      <c r="E55" s="482"/>
      <c r="F55" s="86">
        <v>10</v>
      </c>
      <c r="G55" s="26"/>
      <c r="H55" s="215"/>
      <c r="I55" s="216"/>
      <c r="J55" s="216"/>
      <c r="K55" s="216"/>
      <c r="L55" s="216"/>
      <c r="M55" s="216"/>
      <c r="N55" s="216"/>
      <c r="O55" s="216"/>
      <c r="P55" s="216"/>
      <c r="Q55" s="217"/>
      <c r="R55" s="29"/>
      <c r="S55" s="100"/>
      <c r="T55" s="100"/>
      <c r="U55" s="100"/>
      <c r="V55" s="100"/>
      <c r="W55" s="100"/>
      <c r="X55" s="100"/>
      <c r="Y55" s="100"/>
      <c r="Z55" s="100"/>
      <c r="AA55" s="100"/>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100"/>
      <c r="BE55" s="100"/>
      <c r="BF55" s="100"/>
      <c r="BG55" s="100"/>
      <c r="BH55" s="100"/>
      <c r="BI55" s="100"/>
      <c r="BJ55" s="100"/>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hidden="1" customHeight="1" outlineLevel="1">
      <c r="A56" s="9"/>
      <c r="B56" s="9"/>
      <c r="C56" s="9"/>
      <c r="D56" s="25" t="str">
        <f>Asset1</f>
        <v>Sub-transmission lines and cables</v>
      </c>
      <c r="E56" s="9"/>
      <c r="F56" s="9"/>
      <c r="G56" s="122"/>
      <c r="H56" s="164">
        <f>-SUM(H44:H55)</f>
        <v>-22.585438329835128</v>
      </c>
      <c r="I56" s="164">
        <f>-SUM(I44:I55)</f>
        <v>-25.033617306917897</v>
      </c>
      <c r="J56" s="164">
        <f>-SUM(J44:J55)</f>
        <v>-27.557842632809521</v>
      </c>
      <c r="K56" s="164">
        <f>-SUM(K44:K55)</f>
        <v>-30.175810265452064</v>
      </c>
      <c r="L56" s="164">
        <f>-SUM(L44:L55)</f>
        <v>-32.097503973451005</v>
      </c>
      <c r="M56" s="164">
        <f>IF(Input!M174&gt;0, -SUM(M44:M55), 0)</f>
        <v>0</v>
      </c>
      <c r="N56" s="164">
        <f>IF(Input!N174&gt;0, -SUM(N44:N55), 0)</f>
        <v>0</v>
      </c>
      <c r="O56" s="164">
        <f>IF(Input!O174&gt;0, -SUM(O44:O55), 0)</f>
        <v>0</v>
      </c>
      <c r="P56" s="164">
        <f>IF(Input!P174&gt;0, -SUM(P44:P55), 0)</f>
        <v>0</v>
      </c>
      <c r="Q56" s="164">
        <f>IF(Input!Q174&gt;0, -SUM(Q44:Q55), 0)</f>
        <v>0</v>
      </c>
      <c r="R56" s="63"/>
      <c r="S56" s="101"/>
      <c r="T56" s="101"/>
      <c r="U56" s="101"/>
      <c r="V56" s="101"/>
      <c r="W56" s="101"/>
      <c r="X56" s="101"/>
      <c r="Y56" s="101"/>
      <c r="Z56" s="101"/>
      <c r="AA56" s="10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101"/>
      <c r="BE56" s="101"/>
      <c r="BF56" s="101"/>
      <c r="BG56" s="101"/>
      <c r="BH56" s="101"/>
      <c r="BI56" s="101"/>
      <c r="BJ56" s="101"/>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hidden="1" customHeight="1" outlineLevel="2">
      <c r="A57" s="9"/>
      <c r="B57" s="9"/>
      <c r="C57" s="31" t="str">
        <f>Asset2</f>
        <v>Cable tunnel (dx)</v>
      </c>
      <c r="D57" s="161"/>
      <c r="E57" s="33" t="s">
        <v>28</v>
      </c>
      <c r="F57" s="32"/>
      <c r="G57" s="174"/>
      <c r="H57" s="66">
        <f>IF(H$3&gt;A2remlife,A2value-SUM($G57:G57),IF(A2remlife="N/A","n/a",A2value/A2remlife))</f>
        <v>0.9735566440941712</v>
      </c>
      <c r="I57" s="66">
        <f>IF(I$3&gt;A2remlife,A2value-SUM($G57:H57),IF(A2remlife="N/A","n/a",A2value/A2remlife))</f>
        <v>0.9735566440941712</v>
      </c>
      <c r="J57" s="66">
        <f>IF(J$3&gt;A2remlife,A2value-SUM($G57:I57),IF(A2remlife="N/A","n/a",A2value/A2remlife))</f>
        <v>0.9735566440941712</v>
      </c>
      <c r="K57" s="66">
        <f>IF(K$3&gt;A2remlife,A2value-SUM($G57:J57),IF(A2remlife="N/A","n/a",A2value/A2remlife))</f>
        <v>0.9735566440941712</v>
      </c>
      <c r="L57" s="66">
        <f>IF(L$3&gt;A2remlife,A2value-SUM($G57:K57),IF(A2remlife="N/A","n/a",A2value/A2remlife))</f>
        <v>0.9735566440941712</v>
      </c>
      <c r="M57" s="66">
        <f>IF(M$3&gt;A2remlife,A2value-SUM($G57:L57),IF(A2remlife="N/A","n/a",A2value/A2remlife))</f>
        <v>0.9735566440941712</v>
      </c>
      <c r="N57" s="66">
        <f>IF(N$3&gt;A2remlife,A2value-SUM($G57:M57),IF(A2remlife="N/A","n/a",A2value/A2remlife))</f>
        <v>0.9735566440941712</v>
      </c>
      <c r="O57" s="66">
        <f>IF(O$3&gt;A2remlife,A2value-SUM($G57:N57),IF(A2remlife="N/A","n/a",A2value/A2remlife))</f>
        <v>0.9735566440941712</v>
      </c>
      <c r="P57" s="66">
        <f>IF(P$3&gt;A2remlife,A2value-SUM($G57:O57),IF(A2remlife="N/A","n/a",A2value/A2remlife))</f>
        <v>0.9735566440941712</v>
      </c>
      <c r="Q57" s="66">
        <f>IF(Q$3&gt;A2remlife,A2value-SUM($G57:P57),IF(A2remlife="N/A","n/a",A2value/A2remlife))</f>
        <v>0.9735566440941712</v>
      </c>
      <c r="R57" s="66"/>
      <c r="S57" s="102"/>
      <c r="T57" s="102"/>
      <c r="U57" s="102"/>
      <c r="V57" s="102"/>
      <c r="W57" s="102"/>
      <c r="X57" s="102"/>
      <c r="Y57" s="102"/>
      <c r="Z57" s="102"/>
      <c r="AA57" s="102"/>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102"/>
      <c r="BE57" s="102"/>
      <c r="BF57" s="102"/>
      <c r="BG57" s="102"/>
      <c r="BH57" s="102"/>
      <c r="BI57" s="102"/>
      <c r="BJ57" s="102"/>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5"/>
      <c r="E58" s="481" t="s">
        <v>83</v>
      </c>
      <c r="F58" s="85">
        <v>0</v>
      </c>
      <c r="G58" s="122"/>
      <c r="H58" s="67"/>
      <c r="I58" s="67"/>
      <c r="J58" s="67"/>
      <c r="K58" s="67"/>
      <c r="L58" s="67"/>
      <c r="M58" s="163"/>
      <c r="N58" s="111"/>
      <c r="O58" s="67"/>
      <c r="P58" s="67"/>
      <c r="Q58" s="67"/>
      <c r="R58" s="67"/>
      <c r="S58" s="102"/>
      <c r="T58" s="102"/>
      <c r="U58" s="102"/>
      <c r="V58" s="102"/>
      <c r="W58" s="102"/>
      <c r="X58" s="102"/>
      <c r="Y58" s="102"/>
      <c r="Z58" s="102"/>
      <c r="AA58" s="102"/>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102"/>
      <c r="BE58" s="102"/>
      <c r="BF58" s="102"/>
      <c r="BG58" s="102"/>
      <c r="BH58" s="102"/>
      <c r="BI58" s="102"/>
      <c r="BJ58" s="102"/>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hidden="1" customHeight="1" outlineLevel="2">
      <c r="A59" s="9"/>
      <c r="B59" s="9"/>
      <c r="C59" s="9"/>
      <c r="D59" s="25"/>
      <c r="E59" s="482"/>
      <c r="F59" s="85">
        <v>1</v>
      </c>
      <c r="G59" s="122"/>
      <c r="H59" s="145"/>
      <c r="I59" s="67">
        <f>IF(A2stdlife="n/a","n/a",IF(I$3&gt;(A2stdlife+$F59),(Input!$H$145*(1+vanilla1)^0.5)-SUM($H59:H59),(Input!$H$145*(1+vanilla1)^0.5)/A2stdlife))</f>
        <v>1.4868912342589564E-2</v>
      </c>
      <c r="J59" s="67">
        <f>IF(A2stdlife="n/a","n/a",IF(J$3&gt;(A2stdlife+$F59),(Input!$H$145*(1+vanilla1)^0.5)-SUM($H59:I59),(Input!$H$145*(1+vanilla1)^0.5)/A2stdlife))</f>
        <v>1.4868912342589564E-2</v>
      </c>
      <c r="K59" s="67">
        <f>IF(A2stdlife="n/a","n/a",IF(K$3&gt;(A2stdlife+$F59),(Input!$H$145*(1+vanilla1)^0.5)-SUM($H59:J59),(Input!$H$145*(1+vanilla1)^0.5)/A2stdlife))</f>
        <v>1.4868912342589564E-2</v>
      </c>
      <c r="L59" s="67">
        <f>IF(A2stdlife="n/a","n/a",IF(L$3&gt;(A2stdlife+$F59),(Input!$H$145*(1+vanilla1)^0.5)-SUM($H59:K59),(Input!$H$145*(1+vanilla1)^0.5)/A2stdlife))</f>
        <v>1.4868912342589564E-2</v>
      </c>
      <c r="M59" s="67">
        <f>IF(A2stdlife="n/a","n/a",IF(M$3&gt;(A2stdlife+$F59),(Input!$H$145*(1+vanilla1)^0.5)-SUM($H59:L59),(Input!$H$145*(1+vanilla1)^0.5)/A2stdlife))</f>
        <v>1.4868912342589564E-2</v>
      </c>
      <c r="N59" s="67">
        <f>IF(A2stdlife="n/a","n/a",IF(N$3&gt;(A2stdlife+$F59),(Input!$H$145*(1+vanilla1)^0.5)-SUM($H59:M59),(Input!$H$145*(1+vanilla1)^0.5)/A2stdlife))</f>
        <v>1.4868912342589564E-2</v>
      </c>
      <c r="O59" s="67">
        <f>IF(A2stdlife="n/a","n/a",IF(O$3&gt;(A2stdlife+$F59),(Input!$H$145*(1+vanilla1)^0.5)-SUM($H59:N59),(Input!$H$145*(1+vanilla1)^0.5)/A2stdlife))</f>
        <v>1.4868912342589564E-2</v>
      </c>
      <c r="P59" s="67">
        <f>IF(A2stdlife="n/a","n/a",IF(P$3&gt;(A2stdlife+$F59),(Input!$H$145*(1+vanilla1)^0.5)-SUM($H59:O59),(Input!$H$145*(1+vanilla1)^0.5)/A2stdlife))</f>
        <v>1.4868912342589564E-2</v>
      </c>
      <c r="Q59" s="67">
        <f>IF(A2stdlife="n/a","n/a",IF(Q$3&gt;(A2stdlife+$F59),(Input!$H$145*(1+vanilla1)^0.5)-SUM($H59:P59),(Input!$H$145*(1+vanilla1)^0.5)/A2stdlife))</f>
        <v>1.4868912342589564E-2</v>
      </c>
      <c r="R59" s="67"/>
      <c r="S59" s="102"/>
      <c r="T59" s="102"/>
      <c r="U59" s="102"/>
      <c r="V59" s="102"/>
      <c r="W59" s="102"/>
      <c r="X59" s="102"/>
      <c r="Y59" s="102"/>
      <c r="Z59" s="102"/>
      <c r="AA59" s="102"/>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102"/>
      <c r="BE59" s="102"/>
      <c r="BF59" s="102"/>
      <c r="BG59" s="102"/>
      <c r="BH59" s="102"/>
      <c r="BI59" s="102"/>
      <c r="BJ59" s="102"/>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9"/>
      <c r="D60" s="25"/>
      <c r="E60" s="482"/>
      <c r="F60" s="85">
        <v>2</v>
      </c>
      <c r="G60" s="122"/>
      <c r="H60" s="146"/>
      <c r="I60" s="147"/>
      <c r="J60" s="67">
        <f>IF(A2stdlife="n/a","n/a",IF(J$3&gt;(A2stdlife+$F60),(Input!$I$145*(1+vanilla2)^0.5)-SUM($I60:I60),(Input!$I$145*(1+vanilla2)^0.5)/A2stdlife))</f>
        <v>3.3669905629865118E-3</v>
      </c>
      <c r="K60" s="67">
        <f>IF(A2stdlife="n/a","n/a",IF(K$3&gt;(A2stdlife+$F60),(Input!$I$145*(1+vanilla2)^0.5)-SUM($I60:J60),(Input!$I$145*(1+vanilla2)^0.5)/A2stdlife))</f>
        <v>3.3669905629865118E-3</v>
      </c>
      <c r="L60" s="67">
        <f>IF(A2stdlife="n/a","n/a",IF(L$3&gt;(A2stdlife+$F60),(Input!$I$145*(1+vanilla2)^0.5)-SUM($I60:K60),(Input!$I$145*(1+vanilla2)^0.5)/A2stdlife))</f>
        <v>3.3669905629865118E-3</v>
      </c>
      <c r="M60" s="67">
        <f>IF(A2stdlife="n/a","n/a",IF(M$3&gt;(A2stdlife+$F60),(Input!$I$145*(1+vanilla2)^0.5)-SUM($I60:L60),(Input!$I$145*(1+vanilla2)^0.5)/A2stdlife))</f>
        <v>3.3669905629865118E-3</v>
      </c>
      <c r="N60" s="67">
        <f>IF(A2stdlife="n/a","n/a",IF(N$3&gt;(A2stdlife+$F60),(Input!$I$145*(1+vanilla2)^0.5)-SUM($I60:M60),(Input!$I$145*(1+vanilla2)^0.5)/A2stdlife))</f>
        <v>3.3669905629865118E-3</v>
      </c>
      <c r="O60" s="67">
        <f>IF(A2stdlife="n/a","n/a",IF(O$3&gt;(A2stdlife+$F60),(Input!$I$145*(1+vanilla2)^0.5)-SUM($I60:N60),(Input!$I$145*(1+vanilla2)^0.5)/A2stdlife))</f>
        <v>3.3669905629865118E-3</v>
      </c>
      <c r="P60" s="67">
        <f>IF(A2stdlife="n/a","n/a",IF(P$3&gt;(A2stdlife+$F60),(Input!$I$145*(1+vanilla2)^0.5)-SUM($I60:O60),(Input!$I$145*(1+vanilla2)^0.5)/A2stdlife))</f>
        <v>3.3669905629865118E-3</v>
      </c>
      <c r="Q60" s="67">
        <f>IF(A2stdlife="n/a","n/a",IF(Q$3&gt;(A2stdlife+$F60),(Input!$I$145*(1+vanilla2)^0.5)-SUM($I60:P60),(Input!$I$145*(1+vanilla2)^0.5)/A2stdlife))</f>
        <v>3.3669905629865118E-3</v>
      </c>
      <c r="R60" s="67"/>
      <c r="S60" s="102"/>
      <c r="T60" s="102"/>
      <c r="U60" s="102"/>
      <c r="V60" s="102"/>
      <c r="W60" s="102"/>
      <c r="X60" s="102"/>
      <c r="Y60" s="102"/>
      <c r="Z60" s="102"/>
      <c r="AA60" s="102"/>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102"/>
      <c r="BE60" s="102"/>
      <c r="BF60" s="102"/>
      <c r="BG60" s="102"/>
      <c r="BH60" s="102"/>
      <c r="BI60" s="102"/>
      <c r="BJ60" s="102"/>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9"/>
      <c r="D61" s="25"/>
      <c r="E61" s="482"/>
      <c r="F61" s="85">
        <v>3</v>
      </c>
      <c r="G61" s="122"/>
      <c r="H61" s="146"/>
      <c r="I61" s="148"/>
      <c r="J61" s="147"/>
      <c r="K61" s="67">
        <f>IF(A2stdlife="n/a","n/a",IF(K$3&gt;(A2stdlife+$F61),(Input!$J$145*(1+vanilla3)^0.5)-SUM($J61:J61),(Input!$J$145*(1+vanilla3)^0.5)/A2stdlife))</f>
        <v>5.4825834917602114E-4</v>
      </c>
      <c r="L61" s="67">
        <f>IF(A2stdlife="n/a","n/a",IF(L$3&gt;(A2stdlife+$F61),(Input!$J$145*(1+vanilla3)^0.5)-SUM($J61:K61),(Input!$J$145*(1+vanilla3)^0.5)/A2stdlife))</f>
        <v>5.4825834917602114E-4</v>
      </c>
      <c r="M61" s="67">
        <f>IF(A2stdlife="n/a","n/a",IF(M$3&gt;(A2stdlife+$F61),(Input!$J$145*(1+vanilla3)^0.5)-SUM($J61:L61),(Input!$J$145*(1+vanilla3)^0.5)/A2stdlife))</f>
        <v>5.4825834917602114E-4</v>
      </c>
      <c r="N61" s="67">
        <f>IF(A2stdlife="n/a","n/a",IF(N$3&gt;(A2stdlife+$F61),(Input!$J$145*(1+vanilla3)^0.5)-SUM($J61:M61),(Input!$J$145*(1+vanilla3)^0.5)/A2stdlife))</f>
        <v>5.4825834917602114E-4</v>
      </c>
      <c r="O61" s="67">
        <f>IF(A2stdlife="n/a","n/a",IF(O$3&gt;(A2stdlife+$F61),(Input!$J$145*(1+vanilla3)^0.5)-SUM($J61:N61),(Input!$J$145*(1+vanilla3)^0.5)/A2stdlife))</f>
        <v>5.4825834917602114E-4</v>
      </c>
      <c r="P61" s="67">
        <f>IF(A2stdlife="n/a","n/a",IF(P$3&gt;(A2stdlife+$F61),(Input!$J$145*(1+vanilla3)^0.5)-SUM($J61:O61),(Input!$J$145*(1+vanilla3)^0.5)/A2stdlife))</f>
        <v>5.4825834917602114E-4</v>
      </c>
      <c r="Q61" s="67">
        <f>IF(A2stdlife="n/a","n/a",IF(Q$3&gt;(A2stdlife+$F61),(Input!$J$145*(1+vanilla3)^0.5)-SUM($J61:P61),(Input!$J$145*(1+vanilla3)^0.5)/A2stdlife))</f>
        <v>5.4825834917602114E-4</v>
      </c>
      <c r="R61" s="67"/>
      <c r="S61" s="102"/>
      <c r="T61" s="102"/>
      <c r="U61" s="102"/>
      <c r="V61" s="102"/>
      <c r="W61" s="102"/>
      <c r="X61" s="102"/>
      <c r="Y61" s="102"/>
      <c r="Z61" s="102"/>
      <c r="AA61" s="102"/>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102"/>
      <c r="BE61" s="102"/>
      <c r="BF61" s="102"/>
      <c r="BG61" s="102"/>
      <c r="BH61" s="102"/>
      <c r="BI61" s="102"/>
      <c r="BJ61" s="102"/>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9"/>
      <c r="D62" s="25"/>
      <c r="E62" s="482"/>
      <c r="F62" s="85">
        <v>4</v>
      </c>
      <c r="G62" s="122"/>
      <c r="H62" s="146"/>
      <c r="I62" s="148"/>
      <c r="J62" s="148"/>
      <c r="K62" s="147"/>
      <c r="L62" s="67">
        <f>IF(A2stdlife="n/a","n/a",IF(L$3&gt;(A2stdlife+$F62),(Input!$K$145*(1+vanilla4)^0.5)-SUM($K62:K62),(Input!$K$145*(1+vanilla4)^0.5)/A2stdlife))</f>
        <v>0.75230089665560784</v>
      </c>
      <c r="M62" s="67">
        <f>IF(A2stdlife="n/a","n/a",IF(M$3&gt;(A2stdlife+$F62),(Input!$K$145*(1+vanilla4)^0.5)-SUM($K62:L62),(Input!$K$145*(1+vanilla4)^0.5)/A2stdlife))</f>
        <v>0.75230089665560784</v>
      </c>
      <c r="N62" s="67">
        <f>IF(A2stdlife="n/a","n/a",IF(N$3&gt;(A2stdlife+$F62),(Input!$K$145*(1+vanilla4)^0.5)-SUM($K62:M62),(Input!$K$145*(1+vanilla4)^0.5)/A2stdlife))</f>
        <v>0.75230089665560784</v>
      </c>
      <c r="O62" s="67">
        <f>IF(A2stdlife="n/a","n/a",IF(O$3&gt;(A2stdlife+$F62),(Input!$K$145*(1+vanilla4)^0.5)-SUM($K62:N62),(Input!$K$145*(1+vanilla4)^0.5)/A2stdlife))</f>
        <v>0.75230089665560784</v>
      </c>
      <c r="P62" s="67">
        <f>IF(A2stdlife="n/a","n/a",IF(P$3&gt;(A2stdlife+$F62),(Input!$K$145*(1+vanilla4)^0.5)-SUM($K62:O62),(Input!$K$145*(1+vanilla4)^0.5)/A2stdlife))</f>
        <v>0.75230089665560784</v>
      </c>
      <c r="Q62" s="67">
        <f>IF(A2stdlife="n/a","n/a",IF(Q$3&gt;(A2stdlife+$F62),(Input!$K$145*(1+vanilla4)^0.5)-SUM($K62:P62),(Input!$K$145*(1+vanilla4)^0.5)/A2stdlife))</f>
        <v>0.75230089665560784</v>
      </c>
      <c r="R62" s="67"/>
      <c r="S62" s="102"/>
      <c r="T62" s="102"/>
      <c r="U62" s="102"/>
      <c r="V62" s="102"/>
      <c r="W62" s="102"/>
      <c r="X62" s="102"/>
      <c r="Y62" s="102"/>
      <c r="Z62" s="102"/>
      <c r="AA62" s="102"/>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102"/>
      <c r="BE62" s="102"/>
      <c r="BF62" s="102"/>
      <c r="BG62" s="102"/>
      <c r="BH62" s="102"/>
      <c r="BI62" s="102"/>
      <c r="BJ62" s="102"/>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9"/>
      <c r="D63" s="25"/>
      <c r="E63" s="482"/>
      <c r="F63" s="85">
        <v>5</v>
      </c>
      <c r="G63" s="122"/>
      <c r="H63" s="146"/>
      <c r="I63" s="148"/>
      <c r="J63" s="148"/>
      <c r="K63" s="148"/>
      <c r="L63" s="147"/>
      <c r="M63" s="67">
        <f>IF(A2stdlife="n/a","n/a",IF(M$3&gt;(A2stdlife+$F63),(Input!$L$145*(1+vanilla5)^0.5)-SUM($L63:L63),(Input!$L$145*(1+vanilla5)^0.5)/A2stdlife))</f>
        <v>0.58011507346569402</v>
      </c>
      <c r="N63" s="67">
        <f>IF(A2stdlife="n/a","n/a",IF(N$3&gt;(A2stdlife+$F63),(Input!$L$145*(1+vanilla5)^0.5)-SUM($L63:M63),(Input!$L$145*(1+vanilla5)^0.5)/A2stdlife))</f>
        <v>0.58011507346569402</v>
      </c>
      <c r="O63" s="67">
        <f>IF(A2stdlife="n/a","n/a",IF(O$3&gt;(A2stdlife+$F63),(Input!$L$145*(1+vanilla5)^0.5)-SUM($L63:N63),(Input!$L$145*(1+vanilla5)^0.5)/A2stdlife))</f>
        <v>0.58011507346569402</v>
      </c>
      <c r="P63" s="67">
        <f>IF(A2stdlife="n/a","n/a",IF(P$3&gt;(A2stdlife+$F63),(Input!$L$145*(1+vanilla5)^0.5)-SUM($L63:O63),(Input!$L$145*(1+vanilla5)^0.5)/A2stdlife))</f>
        <v>0.58011507346569402</v>
      </c>
      <c r="Q63" s="67">
        <f>IF(A2stdlife="n/a","n/a",IF(Q$3&gt;(A2stdlife+$F63),(Input!$L$145*(1+vanilla5)^0.5)-SUM($L63:P63),(Input!$L$145*(1+vanilla5)^0.5)/A2stdlife))</f>
        <v>0.58011507346569402</v>
      </c>
      <c r="R63" s="67"/>
      <c r="S63" s="102"/>
      <c r="T63" s="102"/>
      <c r="U63" s="102"/>
      <c r="V63" s="102"/>
      <c r="W63" s="102"/>
      <c r="X63" s="102"/>
      <c r="Y63" s="102"/>
      <c r="Z63" s="102"/>
      <c r="AA63" s="102"/>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102"/>
      <c r="BE63" s="102"/>
      <c r="BF63" s="102"/>
      <c r="BG63" s="102"/>
      <c r="BH63" s="102"/>
      <c r="BI63" s="102"/>
      <c r="BJ63" s="102"/>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9"/>
      <c r="D64" s="25"/>
      <c r="E64" s="482"/>
      <c r="F64" s="85">
        <v>6</v>
      </c>
      <c r="G64" s="122"/>
      <c r="H64" s="146"/>
      <c r="I64" s="148"/>
      <c r="J64" s="148"/>
      <c r="K64" s="148"/>
      <c r="L64" s="148"/>
      <c r="M64" s="147"/>
      <c r="N64" s="67">
        <f>IF(A2stdlife="n/a","n/a",IF(N$3&gt;(A2stdlife+$F64),(Input!$M$145*(1+vanilla6)^0.5)-SUM($M64:M64),(Input!$M$145*(1+vanilla6)^0.5)/A2stdlife))</f>
        <v>0</v>
      </c>
      <c r="O64" s="67">
        <f>IF(A2stdlife="n/a","n/a",IF(O$3&gt;(A2stdlife+$F64),(Input!$M$145*(1+vanilla6)^0.5)-SUM($M64:N64),(Input!$M$145*(1+vanilla6)^0.5)/A2stdlife))</f>
        <v>0</v>
      </c>
      <c r="P64" s="67">
        <f>IF(A2stdlife="n/a","n/a",IF(P$3&gt;(A2stdlife+$F64),(Input!$M$145*(1+vanilla6)^0.5)-SUM($M64:O64),(Input!$M$145*(1+vanilla6)^0.5)/A2stdlife))</f>
        <v>0</v>
      </c>
      <c r="Q64" s="67">
        <f>IF(A2stdlife="n/a","n/a",IF(Q$3&gt;(A2stdlife+$F64),(Input!$M$145*(1+vanilla6)^0.5)-SUM($M64:P64),(Input!$M$145*(1+vanilla6)^0.5)/A2stdlife))</f>
        <v>0</v>
      </c>
      <c r="R64" s="67"/>
      <c r="S64" s="102"/>
      <c r="T64" s="102"/>
      <c r="U64" s="102"/>
      <c r="V64" s="102"/>
      <c r="W64" s="102"/>
      <c r="X64" s="102"/>
      <c r="Y64" s="102"/>
      <c r="Z64" s="102"/>
      <c r="AA64" s="102"/>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102"/>
      <c r="BE64" s="102"/>
      <c r="BF64" s="102"/>
      <c r="BG64" s="102"/>
      <c r="BH64" s="102"/>
      <c r="BI64" s="102"/>
      <c r="BJ64" s="102"/>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9"/>
      <c r="D65" s="25"/>
      <c r="E65" s="482"/>
      <c r="F65" s="85">
        <v>7</v>
      </c>
      <c r="G65" s="122"/>
      <c r="H65" s="146"/>
      <c r="I65" s="148"/>
      <c r="J65" s="148"/>
      <c r="K65" s="148"/>
      <c r="L65" s="148"/>
      <c r="M65" s="148"/>
      <c r="N65" s="147"/>
      <c r="O65" s="67">
        <f>IF(A2stdlife="n/a","n/a",IF(O$3&gt;(A2stdlife+$F65),(Input!$N$145*(1+vanilla7)^0.5)-SUM($N65:N65),(Input!$N$145*(1+vanilla7)^0.5)/A2stdlife))</f>
        <v>0</v>
      </c>
      <c r="P65" s="67">
        <f>IF(A2stdlife="n/a","n/a",IF(P$3&gt;(A2stdlife+$F65),(Input!$N$145*(1+vanilla7)^0.5)-SUM($N65:O65),(Input!$N$145*(1+vanilla7)^0.5)/A2stdlife))</f>
        <v>0</v>
      </c>
      <c r="Q65" s="67">
        <f>IF(A2stdlife="n/a","n/a",IF(Q$3&gt;(A2stdlife+$F65),(Input!$N$145*(1+vanilla7)^0.5)-SUM($N65:P65),(Input!$N$145*(1+vanilla7)^0.5)/A2stdlife))</f>
        <v>0</v>
      </c>
      <c r="R65" s="67"/>
      <c r="S65" s="102"/>
      <c r="T65" s="102"/>
      <c r="U65" s="102"/>
      <c r="V65" s="102"/>
      <c r="W65" s="102"/>
      <c r="X65" s="102"/>
      <c r="Y65" s="102"/>
      <c r="Z65" s="102"/>
      <c r="AA65" s="102"/>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102"/>
      <c r="BE65" s="102"/>
      <c r="BF65" s="102"/>
      <c r="BG65" s="102"/>
      <c r="BH65" s="102"/>
      <c r="BI65" s="102"/>
      <c r="BJ65" s="102"/>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9"/>
      <c r="D66" s="25"/>
      <c r="E66" s="482"/>
      <c r="F66" s="85">
        <v>8</v>
      </c>
      <c r="G66" s="122"/>
      <c r="H66" s="146"/>
      <c r="I66" s="148"/>
      <c r="J66" s="148"/>
      <c r="K66" s="148"/>
      <c r="L66" s="148"/>
      <c r="M66" s="148"/>
      <c r="N66" s="148"/>
      <c r="O66" s="147"/>
      <c r="P66" s="67">
        <f>IF(A2stdlife="n/a","n/a",IF(P$3&gt;(A2stdlife+$F66),(Input!$O$145*(1+vanilla8)^0.5)-SUM($O66:O66),(Input!$O$145*(1+vanilla8)^0.5)/A2stdlife))</f>
        <v>0</v>
      </c>
      <c r="Q66" s="67">
        <f>IF(A2stdlife="n/a","n/a",IF(Q$3&gt;(A2stdlife+$F66),(Input!$O$145*(1+vanilla8)^0.5)-SUM($O66:P66),(Input!$O$145*(1+vanilla8)^0.5)/A2stdlife))</f>
        <v>0</v>
      </c>
      <c r="R66" s="67"/>
      <c r="S66" s="102"/>
      <c r="T66" s="102"/>
      <c r="U66" s="102"/>
      <c r="V66" s="102"/>
      <c r="W66" s="102"/>
      <c r="X66" s="102"/>
      <c r="Y66" s="102"/>
      <c r="Z66" s="102"/>
      <c r="AA66" s="102"/>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102"/>
      <c r="BE66" s="102"/>
      <c r="BF66" s="102"/>
      <c r="BG66" s="102"/>
      <c r="BH66" s="102"/>
      <c r="BI66" s="102"/>
      <c r="BJ66" s="102"/>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9"/>
      <c r="D67" s="25"/>
      <c r="E67" s="482"/>
      <c r="F67" s="85">
        <v>9</v>
      </c>
      <c r="G67" s="122"/>
      <c r="H67" s="146"/>
      <c r="I67" s="148"/>
      <c r="J67" s="148"/>
      <c r="K67" s="148"/>
      <c r="L67" s="148"/>
      <c r="M67" s="148"/>
      <c r="N67" s="148"/>
      <c r="O67" s="148"/>
      <c r="P67" s="147"/>
      <c r="Q67" s="67">
        <f>IF(A2stdlife="n/a","n/a",IF(Q$3&gt;(A2stdlife+$F67),(Input!$P$145*(1+vanilla9)^0.5)-SUM($P67:P67),(Input!$P$145*(1+vanilla9)^0.5)/A2stdlife))</f>
        <v>0</v>
      </c>
      <c r="R67" s="67"/>
      <c r="S67" s="102"/>
      <c r="T67" s="102"/>
      <c r="U67" s="102"/>
      <c r="V67" s="102"/>
      <c r="W67" s="102"/>
      <c r="X67" s="102"/>
      <c r="Y67" s="102"/>
      <c r="Z67" s="102"/>
      <c r="AA67" s="102"/>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102"/>
      <c r="BE67" s="102"/>
      <c r="BF67" s="102"/>
      <c r="BG67" s="102"/>
      <c r="BH67" s="102"/>
      <c r="BI67" s="102"/>
      <c r="BJ67" s="102"/>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9"/>
      <c r="D68" s="25"/>
      <c r="E68" s="482"/>
      <c r="F68" s="86">
        <v>10</v>
      </c>
      <c r="G68" s="122"/>
      <c r="H68" s="146"/>
      <c r="I68" s="148"/>
      <c r="J68" s="148"/>
      <c r="K68" s="148"/>
      <c r="L68" s="148"/>
      <c r="M68" s="148"/>
      <c r="N68" s="148"/>
      <c r="O68" s="148"/>
      <c r="P68" s="148"/>
      <c r="Q68" s="147"/>
      <c r="R68" s="67"/>
      <c r="S68" s="102"/>
      <c r="T68" s="102"/>
      <c r="U68" s="102"/>
      <c r="V68" s="102"/>
      <c r="W68" s="102"/>
      <c r="X68" s="102"/>
      <c r="Y68" s="102"/>
      <c r="Z68" s="102"/>
      <c r="AA68" s="102"/>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102"/>
      <c r="BE68" s="102"/>
      <c r="BF68" s="102"/>
      <c r="BG68" s="102"/>
      <c r="BH68" s="102"/>
      <c r="BI68" s="102"/>
      <c r="BJ68" s="102"/>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1">
      <c r="A69" s="9"/>
      <c r="B69" s="9"/>
      <c r="C69" s="9"/>
      <c r="D69" s="25" t="str">
        <f>Asset2</f>
        <v>Cable tunnel (dx)</v>
      </c>
      <c r="E69" s="9"/>
      <c r="F69" s="9"/>
      <c r="G69" s="122"/>
      <c r="H69" s="67">
        <f>-SUM(H57:H68)</f>
        <v>-0.9735566440941712</v>
      </c>
      <c r="I69" s="67">
        <f>-SUM(I57:I68)</f>
        <v>-0.98842555643676078</v>
      </c>
      <c r="J69" s="67">
        <f>-SUM(J57:J68)</f>
        <v>-0.99179254699974728</v>
      </c>
      <c r="K69" s="67">
        <f>-SUM(K57:K68)</f>
        <v>-0.99234080534892333</v>
      </c>
      <c r="L69" s="67">
        <f>-SUM(L57:L68)</f>
        <v>-1.7446417020045311</v>
      </c>
      <c r="M69" s="67">
        <f>IF(Input!M174&gt;0, -SUM(M57:M68), 0)</f>
        <v>0</v>
      </c>
      <c r="N69" s="67">
        <f>IF(Input!N174&gt;0, -SUM(N57:N68), 0)</f>
        <v>0</v>
      </c>
      <c r="O69" s="67">
        <f>IF(Input!O174&gt;0, -SUM(O57:O68), 0)</f>
        <v>0</v>
      </c>
      <c r="P69" s="67">
        <f>IF(Input!P174&gt;0, -SUM(P57:P68), 0)</f>
        <v>0</v>
      </c>
      <c r="Q69" s="67">
        <f>IF(Input!Q174&gt;0, -SUM(Q57:Q68), 0)</f>
        <v>0</v>
      </c>
      <c r="R69" s="64"/>
      <c r="S69" s="103"/>
      <c r="T69" s="103"/>
      <c r="U69" s="103"/>
      <c r="V69" s="103"/>
      <c r="W69" s="103"/>
      <c r="X69" s="103"/>
      <c r="Y69" s="103"/>
      <c r="Z69" s="103"/>
      <c r="AA69" s="103"/>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103"/>
      <c r="BE69" s="103"/>
      <c r="BF69" s="103"/>
      <c r="BG69" s="103"/>
      <c r="BH69" s="103"/>
      <c r="BI69" s="103"/>
      <c r="BJ69" s="103"/>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31" t="str">
        <f>Asset3</f>
        <v>Distribution lines and cables</v>
      </c>
      <c r="D70" s="161"/>
      <c r="E70" s="33" t="s">
        <v>28</v>
      </c>
      <c r="F70" s="32"/>
      <c r="G70" s="174"/>
      <c r="H70" s="66">
        <f>IF(H$3&gt;A3remlife,A3value-SUM($G70:G70),IF(A3remlife="N/A","n/a",A3value/A3remlife))</f>
        <v>41.775014440745004</v>
      </c>
      <c r="I70" s="66">
        <f>IF(I$3&gt;A3remlife,A3value-SUM($G70:H70),IF(A3remlife="N/A","n/a",A3value/A3remlife))</f>
        <v>41.775014440745004</v>
      </c>
      <c r="J70" s="66">
        <f>IF(J$3&gt;A3remlife,A3value-SUM($G70:I70),IF(A3remlife="N/A","n/a",A3value/A3remlife))</f>
        <v>41.775014440745004</v>
      </c>
      <c r="K70" s="66">
        <f>IF(K$3&gt;A3remlife,A3value-SUM($G70:J70),IF(A3remlife="N/A","n/a",A3value/A3remlife))</f>
        <v>41.775014440745004</v>
      </c>
      <c r="L70" s="66">
        <f>IF(L$3&gt;A3remlife,A3value-SUM($G70:K70),IF(A3remlife="N/A","n/a",A3value/A3remlife))</f>
        <v>41.775014440745004</v>
      </c>
      <c r="M70" s="66">
        <f>IF(M$3&gt;A3remlife,A3value-SUM($G70:L70),IF(A3remlife="N/A","n/a",A3value/A3remlife))</f>
        <v>41.775014440745004</v>
      </c>
      <c r="N70" s="66">
        <f>IF(N$3&gt;A3remlife,A3value-SUM($G70:M70),IF(A3remlife="N/A","n/a",A3value/A3remlife))</f>
        <v>41.775014440745004</v>
      </c>
      <c r="O70" s="66">
        <f>IF(O$3&gt;A3remlife,A3value-SUM($G70:N70),IF(A3remlife="N/A","n/a",A3value/A3remlife))</f>
        <v>41.775014440745004</v>
      </c>
      <c r="P70" s="66">
        <f>IF(P$3&gt;A3remlife,A3value-SUM($G70:O70),IF(A3remlife="N/A","n/a",A3value/A3remlife))</f>
        <v>41.775014440745004</v>
      </c>
      <c r="Q70" s="66">
        <f>IF(Q$3&gt;A3remlife,A3value-SUM($G70:P70),IF(A3remlife="N/A","n/a",A3value/A3remlife))</f>
        <v>41.775014440745004</v>
      </c>
      <c r="R70" s="66"/>
      <c r="S70" s="102"/>
      <c r="T70" s="102"/>
      <c r="U70" s="102"/>
      <c r="V70" s="102"/>
      <c r="W70" s="102"/>
      <c r="X70" s="102"/>
      <c r="Y70" s="102"/>
      <c r="Z70" s="102"/>
      <c r="AA70" s="102"/>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102"/>
      <c r="BE70" s="102"/>
      <c r="BF70" s="102"/>
      <c r="BG70" s="102"/>
      <c r="BH70" s="102"/>
      <c r="BI70" s="102"/>
      <c r="BJ70" s="102"/>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5"/>
      <c r="E71" s="481" t="s">
        <v>83</v>
      </c>
      <c r="F71" s="85">
        <v>0</v>
      </c>
      <c r="G71" s="122"/>
      <c r="H71" s="67"/>
      <c r="I71" s="67"/>
      <c r="J71" s="67"/>
      <c r="K71" s="67"/>
      <c r="L71" s="67"/>
      <c r="M71" s="163"/>
      <c r="N71" s="111"/>
      <c r="O71" s="67"/>
      <c r="P71" s="67"/>
      <c r="Q71" s="67"/>
      <c r="R71" s="67"/>
      <c r="S71" s="102"/>
      <c r="T71" s="102"/>
      <c r="U71" s="102"/>
      <c r="V71" s="102"/>
      <c r="W71" s="102"/>
      <c r="X71" s="102"/>
      <c r="Y71" s="102"/>
      <c r="Z71" s="102"/>
      <c r="AA71" s="102"/>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102"/>
      <c r="BE71" s="102"/>
      <c r="BF71" s="102"/>
      <c r="BG71" s="102"/>
      <c r="BH71" s="102"/>
      <c r="BI71" s="102"/>
      <c r="BJ71" s="102"/>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hidden="1" customHeight="1" outlineLevel="2">
      <c r="A72" s="9"/>
      <c r="B72" s="9"/>
      <c r="C72" s="9"/>
      <c r="D72" s="25"/>
      <c r="E72" s="482"/>
      <c r="F72" s="85">
        <v>1</v>
      </c>
      <c r="G72" s="122"/>
      <c r="H72" s="145"/>
      <c r="I72" s="67">
        <f>IF(A3stdlife="n/a","n/a",IF(I$3&gt;(A3stdlife+$F72),(Input!$H$146*(1+vanilla1)^0.5)-SUM($H72:H72),(Input!$H$146*(1+vanilla1)^0.5)/A3stdlife))</f>
        <v>3.0133635971612724</v>
      </c>
      <c r="J72" s="67">
        <f>IF(A3stdlife="n/a","n/a",IF(J$3&gt;(A3stdlife+$F72),(Input!$H$146*(1+vanilla1)^0.5)-SUM($H72:I72),(Input!$H$146*(1+vanilla1)^0.5)/A3stdlife))</f>
        <v>3.0133635971612724</v>
      </c>
      <c r="K72" s="67">
        <f>IF(A3stdlife="n/a","n/a",IF(K$3&gt;(A3stdlife+$F72),(Input!$H$146*(1+vanilla1)^0.5)-SUM($H72:J72),(Input!$H$146*(1+vanilla1)^0.5)/A3stdlife))</f>
        <v>3.0133635971612724</v>
      </c>
      <c r="L72" s="67">
        <f>IF(A3stdlife="n/a","n/a",IF(L$3&gt;(A3stdlife+$F72),(Input!$H$146*(1+vanilla1)^0.5)-SUM($H72:K72),(Input!$H$146*(1+vanilla1)^0.5)/A3stdlife))</f>
        <v>3.0133635971612724</v>
      </c>
      <c r="M72" s="67">
        <f>IF(A3stdlife="n/a","n/a",IF(M$3&gt;(A3stdlife+$F72),(Input!$H$146*(1+vanilla1)^0.5)-SUM($H72:L72),(Input!$H$146*(1+vanilla1)^0.5)/A3stdlife))</f>
        <v>3.0133635971612724</v>
      </c>
      <c r="N72" s="67">
        <f>IF(A3stdlife="n/a","n/a",IF(N$3&gt;(A3stdlife+$F72),(Input!$H$146*(1+vanilla1)^0.5)-SUM($H72:M72),(Input!$H$146*(1+vanilla1)^0.5)/A3stdlife))</f>
        <v>3.0133635971612724</v>
      </c>
      <c r="O72" s="67">
        <f>IF(A3stdlife="n/a","n/a",IF(O$3&gt;(A3stdlife+$F72),(Input!$H$146*(1+vanilla1)^0.5)-SUM($H72:N72),(Input!$H$146*(1+vanilla1)^0.5)/A3stdlife))</f>
        <v>3.0133635971612724</v>
      </c>
      <c r="P72" s="67">
        <f>IF(A3stdlife="n/a","n/a",IF(P$3&gt;(A3stdlife+$F72),(Input!$H$146*(1+vanilla1)^0.5)-SUM($H72:O72),(Input!$H$146*(1+vanilla1)^0.5)/A3stdlife))</f>
        <v>3.0133635971612724</v>
      </c>
      <c r="Q72" s="67">
        <f>IF(A3stdlife="n/a","n/a",IF(Q$3&gt;(A3stdlife+$F72),(Input!$H$146*(1+vanilla1)^0.5)-SUM($H72:P72),(Input!$H$146*(1+vanilla1)^0.5)/A3stdlife))</f>
        <v>3.0133635971612724</v>
      </c>
      <c r="R72" s="67"/>
      <c r="S72" s="102"/>
      <c r="T72" s="102"/>
      <c r="U72" s="102"/>
      <c r="V72" s="102"/>
      <c r="W72" s="102"/>
      <c r="X72" s="102"/>
      <c r="Y72" s="102"/>
      <c r="Z72" s="102"/>
      <c r="AA72" s="102"/>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482"/>
      <c r="F73" s="85">
        <v>2</v>
      </c>
      <c r="G73" s="122"/>
      <c r="H73" s="146"/>
      <c r="I73" s="147"/>
      <c r="J73" s="67">
        <f>IF(A3stdlife="n/a","n/a",IF(J$3&gt;(A3stdlife+$F73),(Input!$I$146*(1+vanilla2)^0.5)-SUM($I73:I73),(Input!$I$146*(1+vanilla2)^0.5)/A3stdlife))</f>
        <v>4.7360939057955775</v>
      </c>
      <c r="K73" s="67">
        <f>IF(A3stdlife="n/a","n/a",IF(K$3&gt;(A3stdlife+$F73),(Input!$I$146*(1+vanilla2)^0.5)-SUM($I73:J73),(Input!$I$146*(1+vanilla2)^0.5)/A3stdlife))</f>
        <v>4.7360939057955775</v>
      </c>
      <c r="L73" s="67">
        <f>IF(A3stdlife="n/a","n/a",IF(L$3&gt;(A3stdlife+$F73),(Input!$I$146*(1+vanilla2)^0.5)-SUM($I73:K73),(Input!$I$146*(1+vanilla2)^0.5)/A3stdlife))</f>
        <v>4.7360939057955775</v>
      </c>
      <c r="M73" s="67">
        <f>IF(A3stdlife="n/a","n/a",IF(M$3&gt;(A3stdlife+$F73),(Input!$I$146*(1+vanilla2)^0.5)-SUM($I73:L73),(Input!$I$146*(1+vanilla2)^0.5)/A3stdlife))</f>
        <v>4.7360939057955775</v>
      </c>
      <c r="N73" s="67">
        <f>IF(A3stdlife="n/a","n/a",IF(N$3&gt;(A3stdlife+$F73),(Input!$I$146*(1+vanilla2)^0.5)-SUM($I73:M73),(Input!$I$146*(1+vanilla2)^0.5)/A3stdlife))</f>
        <v>4.7360939057955775</v>
      </c>
      <c r="O73" s="67">
        <f>IF(A3stdlife="n/a","n/a",IF(O$3&gt;(A3stdlife+$F73),(Input!$I$146*(1+vanilla2)^0.5)-SUM($I73:N73),(Input!$I$146*(1+vanilla2)^0.5)/A3stdlife))</f>
        <v>4.7360939057955775</v>
      </c>
      <c r="P73" s="67">
        <f>IF(A3stdlife="n/a","n/a",IF(P$3&gt;(A3stdlife+$F73),(Input!$I$146*(1+vanilla2)^0.5)-SUM($I73:O73),(Input!$I$146*(1+vanilla2)^0.5)/A3stdlife))</f>
        <v>4.7360939057955775</v>
      </c>
      <c r="Q73" s="67">
        <f>IF(A3stdlife="n/a","n/a",IF(Q$3&gt;(A3stdlife+$F73),(Input!$I$146*(1+vanilla2)^0.5)-SUM($I73:P73),(Input!$I$146*(1+vanilla2)^0.5)/A3stdlife))</f>
        <v>4.7360939057955775</v>
      </c>
      <c r="R73" s="67"/>
      <c r="S73" s="102"/>
      <c r="T73" s="102"/>
      <c r="U73" s="102"/>
      <c r="V73" s="102"/>
      <c r="W73" s="102"/>
      <c r="X73" s="102"/>
      <c r="Y73" s="102"/>
      <c r="Z73" s="102"/>
      <c r="AA73" s="102"/>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hidden="1" customHeight="1" outlineLevel="2">
      <c r="A74" s="9"/>
      <c r="B74" s="9"/>
      <c r="C74" s="9"/>
      <c r="D74" s="25"/>
      <c r="E74" s="482"/>
      <c r="F74" s="85">
        <v>3</v>
      </c>
      <c r="G74" s="122"/>
      <c r="H74" s="146"/>
      <c r="I74" s="148"/>
      <c r="J74" s="147"/>
      <c r="K74" s="67">
        <f>IF(A3stdlife="n/a","n/a",IF(K$3&gt;(A3stdlife+$F74),(Input!$J$146*(1+vanilla3)^0.5)-SUM($J74:J74),(Input!$J$146*(1+vanilla3)^0.5)/A3stdlife))</f>
        <v>4.9543058363919412</v>
      </c>
      <c r="L74" s="67">
        <f>IF(A3stdlife="n/a","n/a",IF(L$3&gt;(A3stdlife+$F74),(Input!$J$146*(1+vanilla3)^0.5)-SUM($J74:K74),(Input!$J$146*(1+vanilla3)^0.5)/A3stdlife))</f>
        <v>4.9543058363919412</v>
      </c>
      <c r="M74" s="67">
        <f>IF(A3stdlife="n/a","n/a",IF(M$3&gt;(A3stdlife+$F74),(Input!$J$146*(1+vanilla3)^0.5)-SUM($J74:L74),(Input!$J$146*(1+vanilla3)^0.5)/A3stdlife))</f>
        <v>4.9543058363919412</v>
      </c>
      <c r="N74" s="67">
        <f>IF(A3stdlife="n/a","n/a",IF(N$3&gt;(A3stdlife+$F74),(Input!$J$146*(1+vanilla3)^0.5)-SUM($J74:M74),(Input!$J$146*(1+vanilla3)^0.5)/A3stdlife))</f>
        <v>4.9543058363919412</v>
      </c>
      <c r="O74" s="67">
        <f>IF(A3stdlife="n/a","n/a",IF(O$3&gt;(A3stdlife+$F74),(Input!$J$146*(1+vanilla3)^0.5)-SUM($J74:N74),(Input!$J$146*(1+vanilla3)^0.5)/A3stdlife))</f>
        <v>4.9543058363919412</v>
      </c>
      <c r="P74" s="67">
        <f>IF(A3stdlife="n/a","n/a",IF(P$3&gt;(A3stdlife+$F74),(Input!$J$146*(1+vanilla3)^0.5)-SUM($J74:O74),(Input!$J$146*(1+vanilla3)^0.5)/A3stdlife))</f>
        <v>4.9543058363919412</v>
      </c>
      <c r="Q74" s="67">
        <f>IF(A3stdlife="n/a","n/a",IF(Q$3&gt;(A3stdlife+$F74),(Input!$J$146*(1+vanilla3)^0.5)-SUM($J74:P74),(Input!$J$146*(1+vanilla3)^0.5)/A3stdlife))</f>
        <v>4.9543058363919412</v>
      </c>
      <c r="R74" s="67"/>
      <c r="S74" s="102"/>
      <c r="T74" s="102"/>
      <c r="U74" s="102"/>
      <c r="V74" s="102"/>
      <c r="W74" s="102"/>
      <c r="X74" s="102"/>
      <c r="Y74" s="102"/>
      <c r="Z74" s="102"/>
      <c r="AA74" s="102"/>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hidden="1" customHeight="1" outlineLevel="2">
      <c r="A75" s="9"/>
      <c r="B75" s="9"/>
      <c r="C75" s="9"/>
      <c r="D75" s="25"/>
      <c r="E75" s="482"/>
      <c r="F75" s="85">
        <v>4</v>
      </c>
      <c r="G75" s="122"/>
      <c r="H75" s="146"/>
      <c r="I75" s="148"/>
      <c r="J75" s="148"/>
      <c r="K75" s="147"/>
      <c r="L75" s="67">
        <f>IF(A3stdlife="n/a","n/a",IF(L$3&gt;(A3stdlife+$F75),(Input!$K$146*(1+vanilla4)^0.5)-SUM($K75:K75),(Input!$K$146*(1+vanilla4)^0.5)/A3stdlife))</f>
        <v>4.196190008671115</v>
      </c>
      <c r="M75" s="67">
        <f>IF(A3stdlife="n/a","n/a",IF(M$3&gt;(A3stdlife+$F75),(Input!$K$146*(1+vanilla4)^0.5)-SUM($K75:L75),(Input!$K$146*(1+vanilla4)^0.5)/A3stdlife))</f>
        <v>4.196190008671115</v>
      </c>
      <c r="N75" s="67">
        <f>IF(A3stdlife="n/a","n/a",IF(N$3&gt;(A3stdlife+$F75),(Input!$K$146*(1+vanilla4)^0.5)-SUM($K75:M75),(Input!$K$146*(1+vanilla4)^0.5)/A3stdlife))</f>
        <v>4.196190008671115</v>
      </c>
      <c r="O75" s="67">
        <f>IF(A3stdlife="n/a","n/a",IF(O$3&gt;(A3stdlife+$F75),(Input!$K$146*(1+vanilla4)^0.5)-SUM($K75:N75),(Input!$K$146*(1+vanilla4)^0.5)/A3stdlife))</f>
        <v>4.196190008671115</v>
      </c>
      <c r="P75" s="67">
        <f>IF(A3stdlife="n/a","n/a",IF(P$3&gt;(A3stdlife+$F75),(Input!$K$146*(1+vanilla4)^0.5)-SUM($K75:O75),(Input!$K$146*(1+vanilla4)^0.5)/A3stdlife))</f>
        <v>4.196190008671115</v>
      </c>
      <c r="Q75" s="67">
        <f>IF(A3stdlife="n/a","n/a",IF(Q$3&gt;(A3stdlife+$F75),(Input!$K$146*(1+vanilla4)^0.5)-SUM($K75:P75),(Input!$K$146*(1+vanilla4)^0.5)/A3stdlife))</f>
        <v>4.196190008671115</v>
      </c>
      <c r="R75" s="67"/>
      <c r="S75" s="102"/>
      <c r="T75" s="102"/>
      <c r="U75" s="102"/>
      <c r="V75" s="102"/>
      <c r="W75" s="102"/>
      <c r="X75" s="102"/>
      <c r="Y75" s="102"/>
      <c r="Z75" s="102"/>
      <c r="AA75" s="102"/>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hidden="1" customHeight="1" outlineLevel="2">
      <c r="A76" s="9"/>
      <c r="B76" s="9"/>
      <c r="C76" s="9"/>
      <c r="D76" s="25"/>
      <c r="E76" s="482"/>
      <c r="F76" s="85">
        <v>5</v>
      </c>
      <c r="G76" s="122"/>
      <c r="H76" s="146"/>
      <c r="I76" s="148"/>
      <c r="J76" s="148"/>
      <c r="K76" s="148"/>
      <c r="L76" s="147"/>
      <c r="M76" s="67">
        <f>IF(A3stdlife="n/a","n/a",IF(M$3&gt;(A3stdlife+$F76),(Input!$L$146*(1+vanilla5)^0.5)-SUM($L76:L76),(Input!$L$146*(1+vanilla5)^0.5)/A3stdlife))</f>
        <v>2.7633968456121649</v>
      </c>
      <c r="N76" s="67">
        <f>IF(A3stdlife="n/a","n/a",IF(N$3&gt;(A3stdlife+$F76),(Input!$L$146*(1+vanilla5)^0.5)-SUM($L76:M76),(Input!$L$146*(1+vanilla5)^0.5)/A3stdlife))</f>
        <v>2.7633968456121649</v>
      </c>
      <c r="O76" s="67">
        <f>IF(A3stdlife="n/a","n/a",IF(O$3&gt;(A3stdlife+$F76),(Input!$L$146*(1+vanilla5)^0.5)-SUM($L76:N76),(Input!$L$146*(1+vanilla5)^0.5)/A3stdlife))</f>
        <v>2.7633968456121649</v>
      </c>
      <c r="P76" s="67">
        <f>IF(A3stdlife="n/a","n/a",IF(P$3&gt;(A3stdlife+$F76),(Input!$L$146*(1+vanilla5)^0.5)-SUM($L76:O76),(Input!$L$146*(1+vanilla5)^0.5)/A3stdlife))</f>
        <v>2.7633968456121649</v>
      </c>
      <c r="Q76" s="67">
        <f>IF(A3stdlife="n/a","n/a",IF(Q$3&gt;(A3stdlife+$F76),(Input!$L$146*(1+vanilla5)^0.5)-SUM($L76:P76),(Input!$L$146*(1+vanilla5)^0.5)/A3stdlife))</f>
        <v>2.7633968456121649</v>
      </c>
      <c r="R76" s="67"/>
      <c r="S76" s="102"/>
      <c r="T76" s="102"/>
      <c r="U76" s="102"/>
      <c r="V76" s="102"/>
      <c r="W76" s="102"/>
      <c r="X76" s="102"/>
      <c r="Y76" s="102"/>
      <c r="Z76" s="102"/>
      <c r="AA76" s="102"/>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9"/>
      <c r="D77" s="25"/>
      <c r="E77" s="482"/>
      <c r="F77" s="85">
        <v>6</v>
      </c>
      <c r="G77" s="122"/>
      <c r="H77" s="146"/>
      <c r="I77" s="148"/>
      <c r="J77" s="148"/>
      <c r="K77" s="148"/>
      <c r="L77" s="148"/>
      <c r="M77" s="147"/>
      <c r="N77" s="67">
        <f>IF(A3stdlife="n/a","n/a",IF(N$3&gt;(A3stdlife+$F77),(Input!$M$146*(1+vanilla6)^0.5)-SUM($M77:M77),(Input!$M$146*(1+vanilla6)^0.5)/A3stdlife))</f>
        <v>0</v>
      </c>
      <c r="O77" s="67">
        <f>IF(A3stdlife="n/a","n/a",IF(O$3&gt;(A3stdlife+$F77),(Input!$M$146*(1+vanilla6)^0.5)-SUM($M77:N77),(Input!$M$146*(1+vanilla6)^0.5)/A3stdlife))</f>
        <v>0</v>
      </c>
      <c r="P77" s="67">
        <f>IF(A3stdlife="n/a","n/a",IF(P$3&gt;(A3stdlife+$F77),(Input!$M$146*(1+vanilla6)^0.5)-SUM($M77:O77),(Input!$M$146*(1+vanilla6)^0.5)/A3stdlife))</f>
        <v>0</v>
      </c>
      <c r="Q77" s="67">
        <f>IF(A3stdlife="n/a","n/a",IF(Q$3&gt;(A3stdlife+$F77),(Input!$M$146*(1+vanilla6)^0.5)-SUM($M77:P77),(Input!$M$146*(1+vanilla6)^0.5)/A3stdlife))</f>
        <v>0</v>
      </c>
      <c r="R77" s="67"/>
      <c r="S77" s="102"/>
      <c r="T77" s="102"/>
      <c r="U77" s="102"/>
      <c r="V77" s="102"/>
      <c r="W77" s="102"/>
      <c r="X77" s="102"/>
      <c r="Y77" s="102"/>
      <c r="Z77" s="102"/>
      <c r="AA77" s="102"/>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9"/>
      <c r="D78" s="25"/>
      <c r="E78" s="482"/>
      <c r="F78" s="85">
        <v>7</v>
      </c>
      <c r="G78" s="122"/>
      <c r="H78" s="146"/>
      <c r="I78" s="148"/>
      <c r="J78" s="148"/>
      <c r="K78" s="148"/>
      <c r="L78" s="148"/>
      <c r="M78" s="148"/>
      <c r="N78" s="147"/>
      <c r="O78" s="67">
        <f>IF(A3stdlife="n/a","n/a",IF(O$3&gt;(A3stdlife+$F78),(Input!$N$146*(1+vanilla7)^0.5)-SUM($N78:N78),(Input!$N$146*(1+vanilla7)^0.5)/A3stdlife))</f>
        <v>0</v>
      </c>
      <c r="P78" s="67">
        <f>IF(A3stdlife="n/a","n/a",IF(P$3&gt;(A3stdlife+$F78),(Input!$N$146*(1+vanilla7)^0.5)-SUM($N78:O78),(Input!$N$146*(1+vanilla7)^0.5)/A3stdlife))</f>
        <v>0</v>
      </c>
      <c r="Q78" s="67">
        <f>IF(A3stdlife="n/a","n/a",IF(Q$3&gt;(A3stdlife+$F78),(Input!$N$146*(1+vanilla7)^0.5)-SUM($N78:P78),(Input!$N$146*(1+vanilla7)^0.5)/A3stdlife))</f>
        <v>0</v>
      </c>
      <c r="R78" s="67"/>
      <c r="S78" s="102"/>
      <c r="T78" s="102"/>
      <c r="U78" s="102"/>
      <c r="V78" s="102"/>
      <c r="W78" s="102"/>
      <c r="X78" s="102"/>
      <c r="Y78" s="102"/>
      <c r="Z78" s="102"/>
      <c r="AA78" s="102"/>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9"/>
      <c r="D79" s="25"/>
      <c r="E79" s="482"/>
      <c r="F79" s="85">
        <v>8</v>
      </c>
      <c r="G79" s="122"/>
      <c r="H79" s="146"/>
      <c r="I79" s="148"/>
      <c r="J79" s="148"/>
      <c r="K79" s="148"/>
      <c r="L79" s="148"/>
      <c r="M79" s="148"/>
      <c r="N79" s="148"/>
      <c r="O79" s="147"/>
      <c r="P79" s="67">
        <f>IF(A3stdlife="n/a","n/a",IF(P$3&gt;(A3stdlife+$F79),(Input!$O$146*(1+vanilla8)^0.5)-SUM($O79:O79),(Input!$O$146*(1+vanilla8)^0.5)/A3stdlife))</f>
        <v>0</v>
      </c>
      <c r="Q79" s="67">
        <f>IF(A3stdlife="n/a","n/a",IF(Q$3&gt;(A3stdlife+$F79),(Input!$O$146*(1+vanilla8)^0.5)-SUM($O79:P79),(Input!$O$146*(1+vanilla8)^0.5)/A3stdlife))</f>
        <v>0</v>
      </c>
      <c r="R79" s="67"/>
      <c r="S79" s="102"/>
      <c r="T79" s="102"/>
      <c r="U79" s="102"/>
      <c r="V79" s="102"/>
      <c r="W79" s="102"/>
      <c r="X79" s="102"/>
      <c r="Y79" s="102"/>
      <c r="Z79" s="102"/>
      <c r="AA79" s="102"/>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9"/>
      <c r="D80" s="25"/>
      <c r="E80" s="482"/>
      <c r="F80" s="85">
        <v>9</v>
      </c>
      <c r="G80" s="122"/>
      <c r="H80" s="146"/>
      <c r="I80" s="148"/>
      <c r="J80" s="148"/>
      <c r="K80" s="148"/>
      <c r="L80" s="148"/>
      <c r="M80" s="148"/>
      <c r="N80" s="148"/>
      <c r="O80" s="148"/>
      <c r="P80" s="147"/>
      <c r="Q80" s="67">
        <f>IF(A3stdlife="n/a","n/a",IF(Q$3&gt;(A3stdlife+$F80),(Input!$P$146*(1+vanilla9)^0.5)-SUM($P80:P80),(Input!$P$146*(1+vanilla9)^0.5)/A3stdlife))</f>
        <v>0</v>
      </c>
      <c r="R80" s="67"/>
      <c r="S80" s="102"/>
      <c r="T80" s="102"/>
      <c r="U80" s="102"/>
      <c r="V80" s="102"/>
      <c r="W80" s="102"/>
      <c r="X80" s="102"/>
      <c r="Y80" s="102"/>
      <c r="Z80" s="102"/>
      <c r="AA80" s="102"/>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9"/>
      <c r="D81" s="25"/>
      <c r="E81" s="482"/>
      <c r="F81" s="86">
        <v>10</v>
      </c>
      <c r="G81" s="122"/>
      <c r="H81" s="146"/>
      <c r="I81" s="148"/>
      <c r="J81" s="148"/>
      <c r="K81" s="148"/>
      <c r="L81" s="148"/>
      <c r="M81" s="148"/>
      <c r="N81" s="148"/>
      <c r="O81" s="148"/>
      <c r="P81" s="148"/>
      <c r="Q81" s="147"/>
      <c r="R81" s="67"/>
      <c r="S81" s="102"/>
      <c r="T81" s="102"/>
      <c r="U81" s="102"/>
      <c r="V81" s="102"/>
      <c r="W81" s="102"/>
      <c r="X81" s="102"/>
      <c r="Y81" s="102"/>
      <c r="Z81" s="102"/>
      <c r="AA81" s="102"/>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1">
      <c r="A82" s="9"/>
      <c r="B82" s="9"/>
      <c r="C82" s="9"/>
      <c r="D82" s="25" t="str">
        <f>Asset3</f>
        <v>Distribution lines and cables</v>
      </c>
      <c r="E82" s="9"/>
      <c r="F82" s="9"/>
      <c r="G82" s="122"/>
      <c r="H82" s="165">
        <f>-SUM(H70:H81)</f>
        <v>-41.775014440745004</v>
      </c>
      <c r="I82" s="165">
        <f>-SUM(I70:I81)</f>
        <v>-44.788378037906277</v>
      </c>
      <c r="J82" s="165">
        <f>-SUM(J70:J81)</f>
        <v>-49.524471943701855</v>
      </c>
      <c r="K82" s="165">
        <f>-SUM(K70:K81)</f>
        <v>-54.478777780093793</v>
      </c>
      <c r="L82" s="165">
        <f>-SUM(L70:L81)</f>
        <v>-58.67496778876491</v>
      </c>
      <c r="M82" s="165">
        <f>IF(Input!M174&gt;0, -SUM(M70:M81), 0)</f>
        <v>0</v>
      </c>
      <c r="N82" s="165">
        <f>IF(Input!N174&gt;0, -SUM(N70:N81), 0)</f>
        <v>0</v>
      </c>
      <c r="O82" s="165">
        <f>IF(Input!O174&gt;0, -SUM(O70:O81), 0)</f>
        <v>0</v>
      </c>
      <c r="P82" s="165">
        <f>IF(Input!P174&gt;0, -SUM(P70:P81), 0)</f>
        <v>0</v>
      </c>
      <c r="Q82" s="165">
        <f>IF(Input!Q174&gt;0, -SUM(Q70:Q81), 0)</f>
        <v>0</v>
      </c>
      <c r="R82" s="65"/>
      <c r="S82" s="104"/>
      <c r="T82" s="104"/>
      <c r="U82" s="104"/>
      <c r="V82" s="104"/>
      <c r="W82" s="104"/>
      <c r="X82" s="104"/>
      <c r="Y82" s="104"/>
      <c r="Z82" s="104"/>
      <c r="AA82" s="104"/>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104"/>
      <c r="BE82" s="104"/>
      <c r="BF82" s="104"/>
      <c r="BG82" s="104"/>
      <c r="BH82" s="104"/>
      <c r="BI82" s="104"/>
      <c r="BJ82" s="104"/>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31" t="str">
        <f>Asset4</f>
        <v>Substations</v>
      </c>
      <c r="D83" s="161"/>
      <c r="E83" s="33" t="s">
        <v>28</v>
      </c>
      <c r="F83" s="32"/>
      <c r="G83" s="174"/>
      <c r="H83" s="66">
        <f>IF(H$3&gt;A4remlife,A4value-SUM($G83:G83),IF(A4remlife="N/A","n/a",A4value/A4remlife))</f>
        <v>63.619831154551193</v>
      </c>
      <c r="I83" s="66">
        <f>IF(I$3&gt;A4remlife,A4value-SUM($G83:H83),IF(A4remlife="N/A","n/a",A4value/A4remlife))</f>
        <v>63.619831154551193</v>
      </c>
      <c r="J83" s="66">
        <f>IF(J$3&gt;A4remlife,A4value-SUM($G83:I83),IF(A4remlife="N/A","n/a",A4value/A4remlife))</f>
        <v>63.619831154551193</v>
      </c>
      <c r="K83" s="66">
        <f>IF(K$3&gt;A4remlife,A4value-SUM($G83:J83),IF(A4remlife="N/A","n/a",A4value/A4remlife))</f>
        <v>63.619831154551193</v>
      </c>
      <c r="L83" s="66">
        <f>IF(L$3&gt;A4remlife,A4value-SUM($G83:K83),IF(A4remlife="N/A","n/a",A4value/A4remlife))</f>
        <v>63.619831154551193</v>
      </c>
      <c r="M83" s="66">
        <f>IF(M$3&gt;A4remlife,A4value-SUM($G83:L83),IF(A4remlife="N/A","n/a",A4value/A4remlife))</f>
        <v>63.619831154551193</v>
      </c>
      <c r="N83" s="66">
        <f>IF(N$3&gt;A4remlife,A4value-SUM($G83:M83),IF(A4remlife="N/A","n/a",A4value/A4remlife))</f>
        <v>63.619831154551193</v>
      </c>
      <c r="O83" s="66">
        <f>IF(O$3&gt;A4remlife,A4value-SUM($G83:N83),IF(A4remlife="N/A","n/a",A4value/A4remlife))</f>
        <v>63.619831154551193</v>
      </c>
      <c r="P83" s="66">
        <f>IF(P$3&gt;A4remlife,A4value-SUM($G83:O83),IF(A4remlife="N/A","n/a",A4value/A4remlife))</f>
        <v>63.619831154551193</v>
      </c>
      <c r="Q83" s="66">
        <f>IF(Q$3&gt;A4remlife,A4value-SUM($G83:P83),IF(A4remlife="N/A","n/a",A4value/A4remlife))</f>
        <v>63.619831154551193</v>
      </c>
      <c r="R83" s="66"/>
      <c r="S83" s="102"/>
      <c r="T83" s="102"/>
      <c r="U83" s="102"/>
      <c r="V83" s="102"/>
      <c r="W83" s="102"/>
      <c r="X83" s="102"/>
      <c r="Y83" s="102"/>
      <c r="Z83" s="102"/>
      <c r="AA83" s="102"/>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5"/>
      <c r="E84" s="481" t="s">
        <v>83</v>
      </c>
      <c r="F84" s="85">
        <v>0</v>
      </c>
      <c r="G84" s="122"/>
      <c r="H84" s="67"/>
      <c r="I84" s="67"/>
      <c r="J84" s="67"/>
      <c r="K84" s="67"/>
      <c r="L84" s="67"/>
      <c r="M84" s="163"/>
      <c r="N84" s="111"/>
      <c r="O84" s="67"/>
      <c r="P84" s="67"/>
      <c r="Q84" s="67"/>
      <c r="R84" s="67"/>
      <c r="S84" s="102"/>
      <c r="T84" s="102"/>
      <c r="U84" s="102"/>
      <c r="V84" s="102"/>
      <c r="W84" s="102"/>
      <c r="X84" s="102"/>
      <c r="Y84" s="102"/>
      <c r="Z84" s="102"/>
      <c r="AA84" s="102"/>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9"/>
      <c r="D85" s="25"/>
      <c r="E85" s="482"/>
      <c r="F85" s="85">
        <v>1</v>
      </c>
      <c r="G85" s="122"/>
      <c r="H85" s="145"/>
      <c r="I85" s="67">
        <f>IF(A4stdlife="n/a","n/a",IF(I$3&gt;(A4stdlife+$F85),(Input!$H$147*(1+vanilla1)^0.5)-SUM($H85:H85),(Input!$H$147*(1+vanilla1)^0.5)/A4stdlife))</f>
        <v>6.3597054509700204</v>
      </c>
      <c r="J85" s="67">
        <f>IF(A4stdlife="n/a","n/a",IF(J$3&gt;(A4stdlife+$F85),(Input!$H$147*(1+vanilla1)^0.5)-SUM($H85:I85),(Input!$H$147*(1+vanilla1)^0.5)/A4stdlife))</f>
        <v>6.3597054509700204</v>
      </c>
      <c r="K85" s="67">
        <f>IF(A4stdlife="n/a","n/a",IF(K$3&gt;(A4stdlife+$F85),(Input!$H$147*(1+vanilla1)^0.5)-SUM($H85:J85),(Input!$H$147*(1+vanilla1)^0.5)/A4stdlife))</f>
        <v>6.3597054509700204</v>
      </c>
      <c r="L85" s="67">
        <f>IF(A4stdlife="n/a","n/a",IF(L$3&gt;(A4stdlife+$F85),(Input!$H$147*(1+vanilla1)^0.5)-SUM($H85:K85),(Input!$H$147*(1+vanilla1)^0.5)/A4stdlife))</f>
        <v>6.3597054509700204</v>
      </c>
      <c r="M85" s="67">
        <f>IF(A4stdlife="n/a","n/a",IF(M$3&gt;(A4stdlife+$F85),(Input!$H$147*(1+vanilla1)^0.5)-SUM($H85:L85),(Input!$H$147*(1+vanilla1)^0.5)/A4stdlife))</f>
        <v>6.3597054509700204</v>
      </c>
      <c r="N85" s="67">
        <f>IF(A4stdlife="n/a","n/a",IF(N$3&gt;(A4stdlife+$F85),(Input!$H$147*(1+vanilla1)^0.5)-SUM($H85:M85),(Input!$H$147*(1+vanilla1)^0.5)/A4stdlife))</f>
        <v>6.3597054509700204</v>
      </c>
      <c r="O85" s="67">
        <f>IF(A4stdlife="n/a","n/a",IF(O$3&gt;(A4stdlife+$F85),(Input!$H$147*(1+vanilla1)^0.5)-SUM($H85:N85),(Input!$H$147*(1+vanilla1)^0.5)/A4stdlife))</f>
        <v>6.3597054509700204</v>
      </c>
      <c r="P85" s="67">
        <f>IF(A4stdlife="n/a","n/a",IF(P$3&gt;(A4stdlife+$F85),(Input!$H$147*(1+vanilla1)^0.5)-SUM($H85:O85),(Input!$H$147*(1+vanilla1)^0.5)/A4stdlife))</f>
        <v>6.3597054509700204</v>
      </c>
      <c r="Q85" s="67">
        <f>IF(A4stdlife="n/a","n/a",IF(Q$3&gt;(A4stdlife+$F85),(Input!$H$147*(1+vanilla1)^0.5)-SUM($H85:P85),(Input!$H$147*(1+vanilla1)^0.5)/A4stdlife))</f>
        <v>6.3597054509700204</v>
      </c>
      <c r="R85" s="67"/>
      <c r="S85" s="102"/>
      <c r="T85" s="102"/>
      <c r="U85" s="102"/>
      <c r="V85" s="102"/>
      <c r="W85" s="102"/>
      <c r="X85" s="102"/>
      <c r="Y85" s="102"/>
      <c r="Z85" s="102"/>
      <c r="AA85" s="102"/>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482"/>
      <c r="F86" s="85">
        <v>2</v>
      </c>
      <c r="G86" s="122"/>
      <c r="H86" s="146"/>
      <c r="I86" s="147"/>
      <c r="J86" s="67">
        <f>IF(A4stdlife="n/a","n/a",IF(J$3&gt;(A4stdlife+$F86),(Input!$I$147*(1+vanilla2)^0.5)-SUM($I86:I86),(Input!$I$147*(1+vanilla2)^0.5)/A4stdlife))</f>
        <v>7.0895387976340656</v>
      </c>
      <c r="K86" s="67">
        <f>IF(A4stdlife="n/a","n/a",IF(K$3&gt;(A4stdlife+$F86),(Input!$I$147*(1+vanilla2)^0.5)-SUM($I86:J86),(Input!$I$147*(1+vanilla2)^0.5)/A4stdlife))</f>
        <v>7.0895387976340656</v>
      </c>
      <c r="L86" s="67">
        <f>IF(A4stdlife="n/a","n/a",IF(L$3&gt;(A4stdlife+$F86),(Input!$I$147*(1+vanilla2)^0.5)-SUM($I86:K86),(Input!$I$147*(1+vanilla2)^0.5)/A4stdlife))</f>
        <v>7.0895387976340656</v>
      </c>
      <c r="M86" s="67">
        <f>IF(A4stdlife="n/a","n/a",IF(M$3&gt;(A4stdlife+$F86),(Input!$I$147*(1+vanilla2)^0.5)-SUM($I86:L86),(Input!$I$147*(1+vanilla2)^0.5)/A4stdlife))</f>
        <v>7.0895387976340656</v>
      </c>
      <c r="N86" s="67">
        <f>IF(A4stdlife="n/a","n/a",IF(N$3&gt;(A4stdlife+$F86),(Input!$I$147*(1+vanilla2)^0.5)-SUM($I86:M86),(Input!$I$147*(1+vanilla2)^0.5)/A4stdlife))</f>
        <v>7.0895387976340656</v>
      </c>
      <c r="O86" s="67">
        <f>IF(A4stdlife="n/a","n/a",IF(O$3&gt;(A4stdlife+$F86),(Input!$I$147*(1+vanilla2)^0.5)-SUM($I86:N86),(Input!$I$147*(1+vanilla2)^0.5)/A4stdlife))</f>
        <v>7.0895387976340656</v>
      </c>
      <c r="P86" s="67">
        <f>IF(A4stdlife="n/a","n/a",IF(P$3&gt;(A4stdlife+$F86),(Input!$I$147*(1+vanilla2)^0.5)-SUM($I86:O86),(Input!$I$147*(1+vanilla2)^0.5)/A4stdlife))</f>
        <v>7.0895387976340656</v>
      </c>
      <c r="Q86" s="67">
        <f>IF(A4stdlife="n/a","n/a",IF(Q$3&gt;(A4stdlife+$F86),(Input!$I$147*(1+vanilla2)^0.5)-SUM($I86:P86),(Input!$I$147*(1+vanilla2)^0.5)/A4stdlife))</f>
        <v>7.0895387976340656</v>
      </c>
      <c r="R86" s="67"/>
      <c r="S86" s="102"/>
      <c r="T86" s="102"/>
      <c r="U86" s="102"/>
      <c r="V86" s="102"/>
      <c r="W86" s="102"/>
      <c r="X86" s="102"/>
      <c r="Y86" s="102"/>
      <c r="Z86" s="102"/>
      <c r="AA86" s="102"/>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9"/>
      <c r="D87" s="25"/>
      <c r="E87" s="482"/>
      <c r="F87" s="85">
        <v>3</v>
      </c>
      <c r="G87" s="122"/>
      <c r="H87" s="146"/>
      <c r="I87" s="148"/>
      <c r="J87" s="147"/>
      <c r="K87" s="67">
        <f>IF(A4stdlife="n/a","n/a",IF(K$3&gt;(A4stdlife+$F87),(Input!$J$147*(1+vanilla3)^0.5)-SUM($J87:J87),(Input!$J$147*(1+vanilla3)^0.5)/A4stdlife))</f>
        <v>8.4855284680065939</v>
      </c>
      <c r="L87" s="67">
        <f>IF(A4stdlife="n/a","n/a",IF(L$3&gt;(A4stdlife+$F87),(Input!$J$147*(1+vanilla3)^0.5)-SUM($J87:K87),(Input!$J$147*(1+vanilla3)^0.5)/A4stdlife))</f>
        <v>8.4855284680065939</v>
      </c>
      <c r="M87" s="67">
        <f>IF(A4stdlife="n/a","n/a",IF(M$3&gt;(A4stdlife+$F87),(Input!$J$147*(1+vanilla3)^0.5)-SUM($J87:L87),(Input!$J$147*(1+vanilla3)^0.5)/A4stdlife))</f>
        <v>8.4855284680065939</v>
      </c>
      <c r="N87" s="67">
        <f>IF(A4stdlife="n/a","n/a",IF(N$3&gt;(A4stdlife+$F87),(Input!$J$147*(1+vanilla3)^0.5)-SUM($J87:M87),(Input!$J$147*(1+vanilla3)^0.5)/A4stdlife))</f>
        <v>8.4855284680065939</v>
      </c>
      <c r="O87" s="67">
        <f>IF(A4stdlife="n/a","n/a",IF(O$3&gt;(A4stdlife+$F87),(Input!$J$147*(1+vanilla3)^0.5)-SUM($J87:N87),(Input!$J$147*(1+vanilla3)^0.5)/A4stdlife))</f>
        <v>8.4855284680065939</v>
      </c>
      <c r="P87" s="67">
        <f>IF(A4stdlife="n/a","n/a",IF(P$3&gt;(A4stdlife+$F87),(Input!$J$147*(1+vanilla3)^0.5)-SUM($J87:O87),(Input!$J$147*(1+vanilla3)^0.5)/A4stdlife))</f>
        <v>8.4855284680065939</v>
      </c>
      <c r="Q87" s="67">
        <f>IF(A4stdlife="n/a","n/a",IF(Q$3&gt;(A4stdlife+$F87),(Input!$J$147*(1+vanilla3)^0.5)-SUM($J87:P87),(Input!$J$147*(1+vanilla3)^0.5)/A4stdlife))</f>
        <v>8.4855284680065939</v>
      </c>
      <c r="R87" s="67"/>
      <c r="S87" s="102"/>
      <c r="T87" s="102"/>
      <c r="U87" s="102"/>
      <c r="V87" s="102"/>
      <c r="W87" s="102"/>
      <c r="X87" s="102"/>
      <c r="Y87" s="102"/>
      <c r="Z87" s="102"/>
      <c r="AA87" s="102"/>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hidden="1" customHeight="1" outlineLevel="2">
      <c r="A88" s="9"/>
      <c r="B88" s="9"/>
      <c r="C88" s="9"/>
      <c r="D88" s="25"/>
      <c r="E88" s="482"/>
      <c r="F88" s="85">
        <v>4</v>
      </c>
      <c r="G88" s="122"/>
      <c r="H88" s="146"/>
      <c r="I88" s="148"/>
      <c r="J88" s="148"/>
      <c r="K88" s="147"/>
      <c r="L88" s="67">
        <f>IF(A4stdlife="n/a","n/a",IF(L$3&gt;(A4stdlife+$F88),(Input!$K$147*(1+vanilla4)^0.5)-SUM($K88:K88),(Input!$K$147*(1+vanilla4)^0.5)/A4stdlife))</f>
        <v>5.1524345014490054</v>
      </c>
      <c r="M88" s="67">
        <f>IF(A4stdlife="n/a","n/a",IF(M$3&gt;(A4stdlife+$F88),(Input!$K$147*(1+vanilla4)^0.5)-SUM($K88:L88),(Input!$K$147*(1+vanilla4)^0.5)/A4stdlife))</f>
        <v>5.1524345014490054</v>
      </c>
      <c r="N88" s="67">
        <f>IF(A4stdlife="n/a","n/a",IF(N$3&gt;(A4stdlife+$F88),(Input!$K$147*(1+vanilla4)^0.5)-SUM($K88:M88),(Input!$K$147*(1+vanilla4)^0.5)/A4stdlife))</f>
        <v>5.1524345014490054</v>
      </c>
      <c r="O88" s="67">
        <f>IF(A4stdlife="n/a","n/a",IF(O$3&gt;(A4stdlife+$F88),(Input!$K$147*(1+vanilla4)^0.5)-SUM($K88:N88),(Input!$K$147*(1+vanilla4)^0.5)/A4stdlife))</f>
        <v>5.1524345014490054</v>
      </c>
      <c r="P88" s="67">
        <f>IF(A4stdlife="n/a","n/a",IF(P$3&gt;(A4stdlife+$F88),(Input!$K$147*(1+vanilla4)^0.5)-SUM($K88:O88),(Input!$K$147*(1+vanilla4)^0.5)/A4stdlife))</f>
        <v>5.1524345014490054</v>
      </c>
      <c r="Q88" s="67">
        <f>IF(A4stdlife="n/a","n/a",IF(Q$3&gt;(A4stdlife+$F88),(Input!$K$147*(1+vanilla4)^0.5)-SUM($K88:P88),(Input!$K$147*(1+vanilla4)^0.5)/A4stdlife))</f>
        <v>5.1524345014490054</v>
      </c>
      <c r="R88" s="67"/>
      <c r="S88" s="102"/>
      <c r="T88" s="102"/>
      <c r="U88" s="102"/>
      <c r="V88" s="102"/>
      <c r="W88" s="102"/>
      <c r="X88" s="102"/>
      <c r="Y88" s="102"/>
      <c r="Z88" s="102"/>
      <c r="AA88" s="102"/>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hidden="1" customHeight="1" outlineLevel="2">
      <c r="A89" s="9"/>
      <c r="B89" s="9"/>
      <c r="C89" s="9"/>
      <c r="D89" s="25"/>
      <c r="E89" s="482"/>
      <c r="F89" s="85">
        <v>5</v>
      </c>
      <c r="G89" s="122"/>
      <c r="H89" s="146"/>
      <c r="I89" s="148"/>
      <c r="J89" s="148"/>
      <c r="K89" s="148"/>
      <c r="L89" s="147"/>
      <c r="M89" s="67">
        <f>IF(A4stdlife="n/a","n/a",IF(M$3&gt;(A4stdlife+$F89),(Input!$L$147*(1+vanilla5)^0.5)-SUM($L89:L89),(Input!$L$147*(1+vanilla5)^0.5)/A4stdlife))</f>
        <v>3.2159470912068189</v>
      </c>
      <c r="N89" s="67">
        <f>IF(A4stdlife="n/a","n/a",IF(N$3&gt;(A4stdlife+$F89),(Input!$L$147*(1+vanilla5)^0.5)-SUM($L89:M89),(Input!$L$147*(1+vanilla5)^0.5)/A4stdlife))</f>
        <v>3.2159470912068189</v>
      </c>
      <c r="O89" s="67">
        <f>IF(A4stdlife="n/a","n/a",IF(O$3&gt;(A4stdlife+$F89),(Input!$L$147*(1+vanilla5)^0.5)-SUM($L89:N89),(Input!$L$147*(1+vanilla5)^0.5)/A4stdlife))</f>
        <v>3.2159470912068189</v>
      </c>
      <c r="P89" s="67">
        <f>IF(A4stdlife="n/a","n/a",IF(P$3&gt;(A4stdlife+$F89),(Input!$L$147*(1+vanilla5)^0.5)-SUM($L89:O89),(Input!$L$147*(1+vanilla5)^0.5)/A4stdlife))</f>
        <v>3.2159470912068189</v>
      </c>
      <c r="Q89" s="67">
        <f>IF(A4stdlife="n/a","n/a",IF(Q$3&gt;(A4stdlife+$F89),(Input!$L$147*(1+vanilla5)^0.5)-SUM($L89:P89),(Input!$L$147*(1+vanilla5)^0.5)/A4stdlife))</f>
        <v>3.2159470912068189</v>
      </c>
      <c r="R89" s="67"/>
      <c r="S89" s="102"/>
      <c r="T89" s="102"/>
      <c r="U89" s="102"/>
      <c r="V89" s="102"/>
      <c r="W89" s="102"/>
      <c r="X89" s="102"/>
      <c r="Y89" s="102"/>
      <c r="Z89" s="102"/>
      <c r="AA89" s="102"/>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482"/>
      <c r="F90" s="85">
        <v>6</v>
      </c>
      <c r="G90" s="122"/>
      <c r="H90" s="146"/>
      <c r="I90" s="148"/>
      <c r="J90" s="148"/>
      <c r="K90" s="148"/>
      <c r="L90" s="148"/>
      <c r="M90" s="147"/>
      <c r="N90" s="67">
        <f>IF(A4stdlife="n/a","n/a",IF(N$3&gt;(A4stdlife+$F90),(Input!$M$147*(1+vanilla6)^0.5)-SUM($M90:M90),(Input!$M$147*(1+vanilla6)^0.5)/A4stdlife))</f>
        <v>0</v>
      </c>
      <c r="O90" s="67">
        <f>IF(A4stdlife="n/a","n/a",IF(O$3&gt;(A4stdlife+$F90),(Input!$M$147*(1+vanilla6)^0.5)-SUM($M90:N90),(Input!$M$147*(1+vanilla6)^0.5)/A4stdlife))</f>
        <v>0</v>
      </c>
      <c r="P90" s="67">
        <f>IF(A4stdlife="n/a","n/a",IF(P$3&gt;(A4stdlife+$F90),(Input!$M$147*(1+vanilla6)^0.5)-SUM($M90:O90),(Input!$M$147*(1+vanilla6)^0.5)/A4stdlife))</f>
        <v>0</v>
      </c>
      <c r="Q90" s="67">
        <f>IF(A4stdlife="n/a","n/a",IF(Q$3&gt;(A4stdlife+$F90),(Input!$M$147*(1+vanilla6)^0.5)-SUM($M90:P90),(Input!$M$147*(1+vanilla6)^0.5)/A4stdlife))</f>
        <v>0</v>
      </c>
      <c r="R90" s="67"/>
      <c r="S90" s="102"/>
      <c r="T90" s="102"/>
      <c r="U90" s="102"/>
      <c r="V90" s="102"/>
      <c r="W90" s="102"/>
      <c r="X90" s="102"/>
      <c r="Y90" s="102"/>
      <c r="Z90" s="102"/>
      <c r="AA90" s="102"/>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hidden="1" customHeight="1" outlineLevel="2">
      <c r="A91" s="9"/>
      <c r="B91" s="9"/>
      <c r="C91" s="9"/>
      <c r="D91" s="25"/>
      <c r="E91" s="482"/>
      <c r="F91" s="85">
        <v>7</v>
      </c>
      <c r="G91" s="122"/>
      <c r="H91" s="146"/>
      <c r="I91" s="148"/>
      <c r="J91" s="148"/>
      <c r="K91" s="148"/>
      <c r="L91" s="148"/>
      <c r="M91" s="148"/>
      <c r="N91" s="147"/>
      <c r="O91" s="67">
        <f>IF(A4stdlife="n/a","n/a",IF(O$3&gt;(A4stdlife+$F91),(Input!$N$147*(1+vanilla7)^0.5)-SUM($N91:N91),(Input!$N$147*(1+vanilla7)^0.5)/A4stdlife))</f>
        <v>0</v>
      </c>
      <c r="P91" s="67">
        <f>IF(A4stdlife="n/a","n/a",IF(P$3&gt;(A4stdlife+$F91),(Input!$N$147*(1+vanilla7)^0.5)-SUM($N91:O91),(Input!$N$147*(1+vanilla7)^0.5)/A4stdlife))</f>
        <v>0</v>
      </c>
      <c r="Q91" s="67">
        <f>IF(A4stdlife="n/a","n/a",IF(Q$3&gt;(A4stdlife+$F91),(Input!$N$147*(1+vanilla7)^0.5)-SUM($N91:P91),(Input!$N$147*(1+vanilla7)^0.5)/A4stdlife))</f>
        <v>0</v>
      </c>
      <c r="R91" s="67"/>
      <c r="S91" s="102"/>
      <c r="T91" s="102"/>
      <c r="U91" s="102"/>
      <c r="V91" s="102"/>
      <c r="W91" s="102"/>
      <c r="X91" s="102"/>
      <c r="Y91" s="102"/>
      <c r="Z91" s="102"/>
      <c r="AA91" s="102"/>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hidden="1" customHeight="1" outlineLevel="2">
      <c r="A92" s="9"/>
      <c r="B92" s="9"/>
      <c r="C92" s="9"/>
      <c r="D92" s="25"/>
      <c r="E92" s="482"/>
      <c r="F92" s="85">
        <v>8</v>
      </c>
      <c r="G92" s="122"/>
      <c r="H92" s="146"/>
      <c r="I92" s="148"/>
      <c r="J92" s="148"/>
      <c r="K92" s="148"/>
      <c r="L92" s="148"/>
      <c r="M92" s="148"/>
      <c r="N92" s="148"/>
      <c r="O92" s="147"/>
      <c r="P92" s="67">
        <f>IF(A4stdlife="n/a","n/a",IF(P$3&gt;(A4stdlife+$F92),(Input!$O$147*(1+vanilla8)^0.5)-SUM($O92:O92),(Input!$O$147*(1+vanilla8)^0.5)/A4stdlife))</f>
        <v>0</v>
      </c>
      <c r="Q92" s="67">
        <f>IF(A4stdlife="n/a","n/a",IF(Q$3&gt;(A4stdlife+$F92),(Input!$O$147*(1+vanilla8)^0.5)-SUM($O92:P92),(Input!$O$147*(1+vanilla8)^0.5)/A4stdlife))</f>
        <v>0</v>
      </c>
      <c r="R92" s="67"/>
      <c r="S92" s="102"/>
      <c r="T92" s="102"/>
      <c r="U92" s="102"/>
      <c r="V92" s="102"/>
      <c r="W92" s="102"/>
      <c r="X92" s="102"/>
      <c r="Y92" s="102"/>
      <c r="Z92" s="102"/>
      <c r="AA92" s="102"/>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hidden="1" customHeight="1" outlineLevel="2">
      <c r="A93" s="9"/>
      <c r="B93" s="9"/>
      <c r="C93" s="9"/>
      <c r="D93" s="25"/>
      <c r="E93" s="482"/>
      <c r="F93" s="85">
        <v>9</v>
      </c>
      <c r="G93" s="122"/>
      <c r="H93" s="146"/>
      <c r="I93" s="148"/>
      <c r="J93" s="148"/>
      <c r="K93" s="148"/>
      <c r="L93" s="148"/>
      <c r="M93" s="148"/>
      <c r="N93" s="148"/>
      <c r="O93" s="148"/>
      <c r="P93" s="147"/>
      <c r="Q93" s="67">
        <f>IF(A4stdlife="n/a","n/a",IF(Q$3&gt;(A4stdlife+$F93),(Input!$P$147*(1+vanilla9)^0.5)-SUM($P93:P93),(Input!$P$147*(1+vanilla9)^0.5)/A4stdlife))</f>
        <v>0</v>
      </c>
      <c r="R93" s="67"/>
      <c r="S93" s="102"/>
      <c r="T93" s="102"/>
      <c r="U93" s="102"/>
      <c r="V93" s="102"/>
      <c r="W93" s="102"/>
      <c r="X93" s="102"/>
      <c r="Y93" s="102"/>
      <c r="Z93" s="102"/>
      <c r="AA93" s="102"/>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hidden="1" customHeight="1" outlineLevel="2">
      <c r="A94" s="9"/>
      <c r="B94" s="9"/>
      <c r="C94" s="9"/>
      <c r="D94" s="25"/>
      <c r="E94" s="482"/>
      <c r="F94" s="86">
        <v>10</v>
      </c>
      <c r="G94" s="122"/>
      <c r="H94" s="146"/>
      <c r="I94" s="148"/>
      <c r="J94" s="148"/>
      <c r="K94" s="148"/>
      <c r="L94" s="148"/>
      <c r="M94" s="148"/>
      <c r="N94" s="148"/>
      <c r="O94" s="148"/>
      <c r="P94" s="148"/>
      <c r="Q94" s="147"/>
      <c r="R94" s="67"/>
      <c r="S94" s="102"/>
      <c r="T94" s="102"/>
      <c r="U94" s="102"/>
      <c r="V94" s="102"/>
      <c r="W94" s="102"/>
      <c r="X94" s="102"/>
      <c r="Y94" s="102"/>
      <c r="Z94" s="102"/>
      <c r="AA94" s="102"/>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hidden="1" customHeight="1" outlineLevel="1">
      <c r="A95" s="9"/>
      <c r="B95" s="9"/>
      <c r="C95" s="9"/>
      <c r="D95" s="25" t="str">
        <f>Asset4</f>
        <v>Substations</v>
      </c>
      <c r="E95" s="9"/>
      <c r="F95" s="9"/>
      <c r="G95" s="122"/>
      <c r="H95" s="165">
        <f>-SUM(H83:H94)</f>
        <v>-63.619831154551193</v>
      </c>
      <c r="I95" s="165">
        <f>-SUM(I83:I94)</f>
        <v>-69.979536605521218</v>
      </c>
      <c r="J95" s="165">
        <f>-SUM(J83:J94)</f>
        <v>-77.069075403155281</v>
      </c>
      <c r="K95" s="165">
        <f>-SUM(K83:K94)</f>
        <v>-85.554603871161873</v>
      </c>
      <c r="L95" s="165">
        <f>-SUM(L83:L94)</f>
        <v>-90.707038372610882</v>
      </c>
      <c r="M95" s="165">
        <f>IF(Input!M174&gt;0, -SUM(M83:M94), 0)</f>
        <v>0</v>
      </c>
      <c r="N95" s="165">
        <f>IF(Input!N174&gt;0, -SUM(N83:N94), 0)</f>
        <v>0</v>
      </c>
      <c r="O95" s="165">
        <f>IF(Input!O174&gt;0, -SUM(O83:O94), 0)</f>
        <v>0</v>
      </c>
      <c r="P95" s="165">
        <f>IF(Input!P174&gt;0, -SUM(P83:P94), 0)</f>
        <v>0</v>
      </c>
      <c r="Q95" s="165">
        <f>IF(Input!Q174&gt;0, -SUM(Q83:Q94), 0)</f>
        <v>0</v>
      </c>
      <c r="R95" s="65"/>
      <c r="S95" s="104"/>
      <c r="T95" s="104"/>
      <c r="U95" s="104"/>
      <c r="V95" s="104"/>
      <c r="W95" s="104"/>
      <c r="X95" s="104"/>
      <c r="Y95" s="104"/>
      <c r="Z95" s="104"/>
      <c r="AA95" s="104"/>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104"/>
      <c r="BE95" s="104"/>
      <c r="BF95" s="104"/>
      <c r="BG95" s="104"/>
      <c r="BH95" s="104"/>
      <c r="BI95" s="104"/>
      <c r="BJ95" s="104"/>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hidden="1" customHeight="1" outlineLevel="2">
      <c r="A96" s="9"/>
      <c r="B96" s="9"/>
      <c r="C96" s="31" t="str">
        <f>Asset5</f>
        <v>Transformers</v>
      </c>
      <c r="D96" s="161"/>
      <c r="E96" s="33" t="s">
        <v>28</v>
      </c>
      <c r="F96" s="32"/>
      <c r="G96" s="174"/>
      <c r="H96" s="66">
        <f>IF(H$3&gt;A5remlife,A5value-SUM($G96:G96),IF(A5remlife="N/A","n/a",A5value/A5remlife))</f>
        <v>17.052484688357982</v>
      </c>
      <c r="I96" s="66">
        <f>IF(I$3&gt;A5remlife,A5value-SUM($G96:H96),IF(A5remlife="N/A","n/a",A5value/A5remlife))</f>
        <v>17.052484688357982</v>
      </c>
      <c r="J96" s="66">
        <f>IF(J$3&gt;A5remlife,A5value-SUM($G96:I96),IF(A5remlife="N/A","n/a",A5value/A5remlife))</f>
        <v>17.052484688357982</v>
      </c>
      <c r="K96" s="66">
        <f>IF(K$3&gt;A5remlife,A5value-SUM($G96:J96),IF(A5remlife="N/A","n/a",A5value/A5remlife))</f>
        <v>17.052484688357982</v>
      </c>
      <c r="L96" s="66">
        <f>IF(L$3&gt;A5remlife,A5value-SUM($G96:K96),IF(A5remlife="N/A","n/a",A5value/A5remlife))</f>
        <v>17.052484688357982</v>
      </c>
      <c r="M96" s="66">
        <f>IF(M$3&gt;A5remlife,A5value-SUM($G96:L96),IF(A5remlife="N/A","n/a",A5value/A5remlife))</f>
        <v>17.052484688357982</v>
      </c>
      <c r="N96" s="66">
        <f>IF(N$3&gt;A5remlife,A5value-SUM($G96:M96),IF(A5remlife="N/A","n/a",A5value/A5remlife))</f>
        <v>17.052484688357982</v>
      </c>
      <c r="O96" s="66">
        <f>IF(O$3&gt;A5remlife,A5value-SUM($G96:N96),IF(A5remlife="N/A","n/a",A5value/A5remlife))</f>
        <v>17.052484688357982</v>
      </c>
      <c r="P96" s="66">
        <f>IF(P$3&gt;A5remlife,A5value-SUM($G96:O96),IF(A5remlife="N/A","n/a",A5value/A5remlife))</f>
        <v>17.052484688357982</v>
      </c>
      <c r="Q96" s="66">
        <f>IF(Q$3&gt;A5remlife,A5value-SUM($G96:P96),IF(A5remlife="N/A","n/a",A5value/A5remlife))</f>
        <v>17.052484688357982</v>
      </c>
      <c r="R96" s="66"/>
      <c r="S96" s="102"/>
      <c r="T96" s="102"/>
      <c r="U96" s="102"/>
      <c r="V96" s="102"/>
      <c r="W96" s="102"/>
      <c r="X96" s="102"/>
      <c r="Y96" s="102"/>
      <c r="Z96" s="102"/>
      <c r="AA96" s="102"/>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5"/>
      <c r="E97" s="481" t="s">
        <v>83</v>
      </c>
      <c r="F97" s="85">
        <v>0</v>
      </c>
      <c r="G97" s="122"/>
      <c r="H97" s="67"/>
      <c r="I97" s="67"/>
      <c r="J97" s="67"/>
      <c r="K97" s="67"/>
      <c r="L97" s="67"/>
      <c r="M97" s="163"/>
      <c r="N97" s="111"/>
      <c r="O97" s="67"/>
      <c r="P97" s="67"/>
      <c r="Q97" s="67"/>
      <c r="R97" s="67"/>
      <c r="S97" s="102"/>
      <c r="T97" s="102"/>
      <c r="U97" s="102"/>
      <c r="V97" s="102"/>
      <c r="W97" s="102"/>
      <c r="X97" s="102"/>
      <c r="Y97" s="102"/>
      <c r="Z97" s="102"/>
      <c r="AA97" s="102"/>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102"/>
      <c r="BE97" s="102"/>
      <c r="BF97" s="102"/>
      <c r="BG97" s="102"/>
      <c r="BH97" s="102"/>
      <c r="BI97" s="102"/>
      <c r="BJ97" s="102"/>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hidden="1" customHeight="1" outlineLevel="2">
      <c r="A98" s="9"/>
      <c r="B98" s="9"/>
      <c r="C98" s="9"/>
      <c r="D98" s="25"/>
      <c r="E98" s="482"/>
      <c r="F98" s="85">
        <v>1</v>
      </c>
      <c r="G98" s="122"/>
      <c r="H98" s="145"/>
      <c r="I98" s="67">
        <f>IF(A5stdlife="n/a","n/a",IF(I$3&gt;(A5stdlife+$F98),(Input!$H$148*(1+vanilla1)^0.5)-SUM($H98:H98),(Input!$H$148*(1+vanilla1)^0.5)/A5stdlife))</f>
        <v>1.2335752020684125</v>
      </c>
      <c r="J98" s="67">
        <f>IF(A5stdlife="n/a","n/a",IF(J$3&gt;(A5stdlife+$F98),(Input!$H$148*(1+vanilla1)^0.5)-SUM($H98:I98),(Input!$H$148*(1+vanilla1)^0.5)/A5stdlife))</f>
        <v>1.2335752020684125</v>
      </c>
      <c r="K98" s="67">
        <f>IF(A5stdlife="n/a","n/a",IF(K$3&gt;(A5stdlife+$F98),(Input!$H$148*(1+vanilla1)^0.5)-SUM($H98:J98),(Input!$H$148*(1+vanilla1)^0.5)/A5stdlife))</f>
        <v>1.2335752020684125</v>
      </c>
      <c r="L98" s="67">
        <f>IF(A5stdlife="n/a","n/a",IF(L$3&gt;(A5stdlife+$F98),(Input!$H$148*(1+vanilla1)^0.5)-SUM($H98:K98),(Input!$H$148*(1+vanilla1)^0.5)/A5stdlife))</f>
        <v>1.2335752020684125</v>
      </c>
      <c r="M98" s="67">
        <f>IF(A5stdlife="n/a","n/a",IF(M$3&gt;(A5stdlife+$F98),(Input!$H$148*(1+vanilla1)^0.5)-SUM($H98:L98),(Input!$H$148*(1+vanilla1)^0.5)/A5stdlife))</f>
        <v>1.2335752020684125</v>
      </c>
      <c r="N98" s="67">
        <f>IF(A5stdlife="n/a","n/a",IF(N$3&gt;(A5stdlife+$F98),(Input!$H$148*(1+vanilla1)^0.5)-SUM($H98:M98),(Input!$H$148*(1+vanilla1)^0.5)/A5stdlife))</f>
        <v>1.2335752020684125</v>
      </c>
      <c r="O98" s="67">
        <f>IF(A5stdlife="n/a","n/a",IF(O$3&gt;(A5stdlife+$F98),(Input!$H$148*(1+vanilla1)^0.5)-SUM($H98:N98),(Input!$H$148*(1+vanilla1)^0.5)/A5stdlife))</f>
        <v>1.2335752020684125</v>
      </c>
      <c r="P98" s="67">
        <f>IF(A5stdlife="n/a","n/a",IF(P$3&gt;(A5stdlife+$F98),(Input!$H$148*(1+vanilla1)^0.5)-SUM($H98:O98),(Input!$H$148*(1+vanilla1)^0.5)/A5stdlife))</f>
        <v>1.2335752020684125</v>
      </c>
      <c r="Q98" s="67">
        <f>IF(A5stdlife="n/a","n/a",IF(Q$3&gt;(A5stdlife+$F98),(Input!$H$148*(1+vanilla1)^0.5)-SUM($H98:P98),(Input!$H$148*(1+vanilla1)^0.5)/A5stdlife))</f>
        <v>1.2335752020684125</v>
      </c>
      <c r="R98" s="67"/>
      <c r="S98" s="102"/>
      <c r="T98" s="102"/>
      <c r="U98" s="102"/>
      <c r="V98" s="102"/>
      <c r="W98" s="102"/>
      <c r="X98" s="102"/>
      <c r="Y98" s="102"/>
      <c r="Z98" s="102"/>
      <c r="AA98" s="102"/>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482"/>
      <c r="F99" s="85">
        <v>2</v>
      </c>
      <c r="G99" s="122"/>
      <c r="H99" s="146"/>
      <c r="I99" s="147"/>
      <c r="J99" s="67">
        <f>IF(A5stdlife="n/a","n/a",IF(J$3&gt;(A5stdlife+$F99),(Input!$I$148*(1+vanilla2)^0.5)-SUM($I99:I99),(Input!$I$148*(1+vanilla2)^0.5)/A5stdlife))</f>
        <v>1.6736606104054514</v>
      </c>
      <c r="K99" s="67">
        <f>IF(A5stdlife="n/a","n/a",IF(K$3&gt;(A5stdlife+$F99),(Input!$I$148*(1+vanilla2)^0.5)-SUM($I99:J99),(Input!$I$148*(1+vanilla2)^0.5)/A5stdlife))</f>
        <v>1.6736606104054514</v>
      </c>
      <c r="L99" s="67">
        <f>IF(A5stdlife="n/a","n/a",IF(L$3&gt;(A5stdlife+$F99),(Input!$I$148*(1+vanilla2)^0.5)-SUM($I99:K99),(Input!$I$148*(1+vanilla2)^0.5)/A5stdlife))</f>
        <v>1.6736606104054514</v>
      </c>
      <c r="M99" s="67">
        <f>IF(A5stdlife="n/a","n/a",IF(M$3&gt;(A5stdlife+$F99),(Input!$I$148*(1+vanilla2)^0.5)-SUM($I99:L99),(Input!$I$148*(1+vanilla2)^0.5)/A5stdlife))</f>
        <v>1.6736606104054514</v>
      </c>
      <c r="N99" s="67">
        <f>IF(A5stdlife="n/a","n/a",IF(N$3&gt;(A5stdlife+$F99),(Input!$I$148*(1+vanilla2)^0.5)-SUM($I99:M99),(Input!$I$148*(1+vanilla2)^0.5)/A5stdlife))</f>
        <v>1.6736606104054514</v>
      </c>
      <c r="O99" s="67">
        <f>IF(A5stdlife="n/a","n/a",IF(O$3&gt;(A5stdlife+$F99),(Input!$I$148*(1+vanilla2)^0.5)-SUM($I99:N99),(Input!$I$148*(1+vanilla2)^0.5)/A5stdlife))</f>
        <v>1.6736606104054514</v>
      </c>
      <c r="P99" s="67">
        <f>IF(A5stdlife="n/a","n/a",IF(P$3&gt;(A5stdlife+$F99),(Input!$I$148*(1+vanilla2)^0.5)-SUM($I99:O99),(Input!$I$148*(1+vanilla2)^0.5)/A5stdlife))</f>
        <v>1.6736606104054514</v>
      </c>
      <c r="Q99" s="67">
        <f>IF(A5stdlife="n/a","n/a",IF(Q$3&gt;(A5stdlife+$F99),(Input!$I$148*(1+vanilla2)^0.5)-SUM($I99:P99),(Input!$I$148*(1+vanilla2)^0.5)/A5stdlife))</f>
        <v>1.6736606104054514</v>
      </c>
      <c r="R99" s="67"/>
      <c r="S99" s="102"/>
      <c r="T99" s="102"/>
      <c r="U99" s="102"/>
      <c r="V99" s="102"/>
      <c r="W99" s="102"/>
      <c r="X99" s="102"/>
      <c r="Y99" s="102"/>
      <c r="Z99" s="102"/>
      <c r="AA99" s="102"/>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hidden="1" customHeight="1" outlineLevel="2">
      <c r="A100" s="9"/>
      <c r="B100" s="9"/>
      <c r="C100" s="9"/>
      <c r="D100" s="25"/>
      <c r="E100" s="482"/>
      <c r="F100" s="85">
        <v>3</v>
      </c>
      <c r="G100" s="122"/>
      <c r="H100" s="146"/>
      <c r="I100" s="148"/>
      <c r="J100" s="147"/>
      <c r="K100" s="67">
        <f>IF(A5stdlife="n/a","n/a",IF(K$3&gt;(A5stdlife+$F100),(Input!$J$148*(1+vanilla3)^0.5)-SUM($J100:J100),(Input!$J$148*(1+vanilla3)^0.5)/A5stdlife))</f>
        <v>1.0999387427584986</v>
      </c>
      <c r="L100" s="67">
        <f>IF(A5stdlife="n/a","n/a",IF(L$3&gt;(A5stdlife+$F100),(Input!$J$148*(1+vanilla3)^0.5)-SUM($J100:K100),(Input!$J$148*(1+vanilla3)^0.5)/A5stdlife))</f>
        <v>1.0999387427584986</v>
      </c>
      <c r="M100" s="67">
        <f>IF(A5stdlife="n/a","n/a",IF(M$3&gt;(A5stdlife+$F100),(Input!$J$148*(1+vanilla3)^0.5)-SUM($J100:L100),(Input!$J$148*(1+vanilla3)^0.5)/A5stdlife))</f>
        <v>1.0999387427584986</v>
      </c>
      <c r="N100" s="67">
        <f>IF(A5stdlife="n/a","n/a",IF(N$3&gt;(A5stdlife+$F100),(Input!$J$148*(1+vanilla3)^0.5)-SUM($J100:M100),(Input!$J$148*(1+vanilla3)^0.5)/A5stdlife))</f>
        <v>1.0999387427584986</v>
      </c>
      <c r="O100" s="67">
        <f>IF(A5stdlife="n/a","n/a",IF(O$3&gt;(A5stdlife+$F100),(Input!$J$148*(1+vanilla3)^0.5)-SUM($J100:N100),(Input!$J$148*(1+vanilla3)^0.5)/A5stdlife))</f>
        <v>1.0999387427584986</v>
      </c>
      <c r="P100" s="67">
        <f>IF(A5stdlife="n/a","n/a",IF(P$3&gt;(A5stdlife+$F100),(Input!$J$148*(1+vanilla3)^0.5)-SUM($J100:O100),(Input!$J$148*(1+vanilla3)^0.5)/A5stdlife))</f>
        <v>1.0999387427584986</v>
      </c>
      <c r="Q100" s="67">
        <f>IF(A5stdlife="n/a","n/a",IF(Q$3&gt;(A5stdlife+$F100),(Input!$J$148*(1+vanilla3)^0.5)-SUM($J100:P100),(Input!$J$148*(1+vanilla3)^0.5)/A5stdlife))</f>
        <v>1.0999387427584986</v>
      </c>
      <c r="R100" s="67"/>
      <c r="S100" s="102"/>
      <c r="T100" s="102"/>
      <c r="U100" s="102"/>
      <c r="V100" s="102"/>
      <c r="W100" s="102"/>
      <c r="X100" s="102"/>
      <c r="Y100" s="102"/>
      <c r="Z100" s="102"/>
      <c r="AA100" s="102"/>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hidden="1" customHeight="1" outlineLevel="2">
      <c r="A101" s="9"/>
      <c r="B101" s="9"/>
      <c r="C101" s="9"/>
      <c r="D101" s="25"/>
      <c r="E101" s="482"/>
      <c r="F101" s="85">
        <v>4</v>
      </c>
      <c r="G101" s="122"/>
      <c r="H101" s="146"/>
      <c r="I101" s="148"/>
      <c r="J101" s="148"/>
      <c r="K101" s="147"/>
      <c r="L101" s="67">
        <f>IF(A5stdlife="n/a","n/a",IF(L$3&gt;(A5stdlife+$F101),(Input!$K$148*(1+vanilla4)^0.5)-SUM($K101:K101),(Input!$K$148*(1+vanilla4)^0.5)/A5stdlife))</f>
        <v>0.81343140856766727</v>
      </c>
      <c r="M101" s="67">
        <f>IF(A5stdlife="n/a","n/a",IF(M$3&gt;(A5stdlife+$F101),(Input!$K$148*(1+vanilla4)^0.5)-SUM($K101:L101),(Input!$K$148*(1+vanilla4)^0.5)/A5stdlife))</f>
        <v>0.81343140856766727</v>
      </c>
      <c r="N101" s="67">
        <f>IF(A5stdlife="n/a","n/a",IF(N$3&gt;(A5stdlife+$F101),(Input!$K$148*(1+vanilla4)^0.5)-SUM($K101:M101),(Input!$K$148*(1+vanilla4)^0.5)/A5stdlife))</f>
        <v>0.81343140856766727</v>
      </c>
      <c r="O101" s="67">
        <f>IF(A5stdlife="n/a","n/a",IF(O$3&gt;(A5stdlife+$F101),(Input!$K$148*(1+vanilla4)^0.5)-SUM($K101:N101),(Input!$K$148*(1+vanilla4)^0.5)/A5stdlife))</f>
        <v>0.81343140856766727</v>
      </c>
      <c r="P101" s="67">
        <f>IF(A5stdlife="n/a","n/a",IF(P$3&gt;(A5stdlife+$F101),(Input!$K$148*(1+vanilla4)^0.5)-SUM($K101:O101),(Input!$K$148*(1+vanilla4)^0.5)/A5stdlife))</f>
        <v>0.81343140856766727</v>
      </c>
      <c r="Q101" s="67">
        <f>IF(A5stdlife="n/a","n/a",IF(Q$3&gt;(A5stdlife+$F101),(Input!$K$148*(1+vanilla4)^0.5)-SUM($K101:P101),(Input!$K$148*(1+vanilla4)^0.5)/A5stdlife))</f>
        <v>0.81343140856766727</v>
      </c>
      <c r="R101" s="67"/>
      <c r="S101" s="102"/>
      <c r="T101" s="102"/>
      <c r="U101" s="102"/>
      <c r="V101" s="102"/>
      <c r="W101" s="102"/>
      <c r="X101" s="102"/>
      <c r="Y101" s="102"/>
      <c r="Z101" s="102"/>
      <c r="AA101" s="102"/>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hidden="1" customHeight="1" outlineLevel="2">
      <c r="A102" s="9"/>
      <c r="B102" s="9"/>
      <c r="C102" s="9"/>
      <c r="D102" s="25"/>
      <c r="E102" s="482"/>
      <c r="F102" s="85">
        <v>5</v>
      </c>
      <c r="G102" s="122"/>
      <c r="H102" s="146"/>
      <c r="I102" s="148"/>
      <c r="J102" s="148"/>
      <c r="K102" s="148"/>
      <c r="L102" s="147"/>
      <c r="M102" s="67">
        <f>IF(A5stdlife="n/a","n/a",IF(M$3&gt;(A5stdlife+$F102),(Input!$L$148*(1+vanilla5)^0.5)-SUM($L102:L102),(Input!$L$148*(1+vanilla5)^0.5)/A5stdlife))</f>
        <v>0.61247834236323639</v>
      </c>
      <c r="N102" s="67">
        <f>IF(A5stdlife="n/a","n/a",IF(N$3&gt;(A5stdlife+$F102),(Input!$L$148*(1+vanilla5)^0.5)-SUM($L102:M102),(Input!$L$148*(1+vanilla5)^0.5)/A5stdlife))</f>
        <v>0.61247834236323639</v>
      </c>
      <c r="O102" s="67">
        <f>IF(A5stdlife="n/a","n/a",IF(O$3&gt;(A5stdlife+$F102),(Input!$L$148*(1+vanilla5)^0.5)-SUM($L102:N102),(Input!$L$148*(1+vanilla5)^0.5)/A5stdlife))</f>
        <v>0.61247834236323639</v>
      </c>
      <c r="P102" s="67">
        <f>IF(A5stdlife="n/a","n/a",IF(P$3&gt;(A5stdlife+$F102),(Input!$L$148*(1+vanilla5)^0.5)-SUM($L102:O102),(Input!$L$148*(1+vanilla5)^0.5)/A5stdlife))</f>
        <v>0.61247834236323639</v>
      </c>
      <c r="Q102" s="67">
        <f>IF(A5stdlife="n/a","n/a",IF(Q$3&gt;(A5stdlife+$F102),(Input!$L$148*(1+vanilla5)^0.5)-SUM($L102:P102),(Input!$L$148*(1+vanilla5)^0.5)/A5stdlife))</f>
        <v>0.61247834236323639</v>
      </c>
      <c r="R102" s="67"/>
      <c r="S102" s="102"/>
      <c r="T102" s="102"/>
      <c r="U102" s="102"/>
      <c r="V102" s="102"/>
      <c r="W102" s="102"/>
      <c r="X102" s="102"/>
      <c r="Y102" s="102"/>
      <c r="Z102" s="102"/>
      <c r="AA102" s="102"/>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482"/>
      <c r="F103" s="85">
        <v>6</v>
      </c>
      <c r="G103" s="122"/>
      <c r="H103" s="146"/>
      <c r="I103" s="148"/>
      <c r="J103" s="148"/>
      <c r="K103" s="148"/>
      <c r="L103" s="148"/>
      <c r="M103" s="147"/>
      <c r="N103" s="67">
        <f>IF(A5stdlife="n/a","n/a",IF(N$3&gt;(A5stdlife+$F103),(Input!$M$148*(1+vanilla6)^0.5)-SUM($M103:M103),(Input!$M$148*(1+vanilla6)^0.5)/A5stdlife))</f>
        <v>0</v>
      </c>
      <c r="O103" s="67">
        <f>IF(A5stdlife="n/a","n/a",IF(O$3&gt;(A5stdlife+$F103),(Input!$M$148*(1+vanilla6)^0.5)-SUM($M103:N103),(Input!$M$148*(1+vanilla6)^0.5)/A5stdlife))</f>
        <v>0</v>
      </c>
      <c r="P103" s="67">
        <f>IF(A5stdlife="n/a","n/a",IF(P$3&gt;(A5stdlife+$F103),(Input!$M$148*(1+vanilla6)^0.5)-SUM($M103:O103),(Input!$M$148*(1+vanilla6)^0.5)/A5stdlife))</f>
        <v>0</v>
      </c>
      <c r="Q103" s="67">
        <f>IF(A5stdlife="n/a","n/a",IF(Q$3&gt;(A5stdlife+$F103),(Input!$M$148*(1+vanilla6)^0.5)-SUM($M103:P103),(Input!$M$148*(1+vanilla6)^0.5)/A5stdlife))</f>
        <v>0</v>
      </c>
      <c r="R103" s="67"/>
      <c r="S103" s="102"/>
      <c r="T103" s="102"/>
      <c r="U103" s="102"/>
      <c r="V103" s="102"/>
      <c r="W103" s="102"/>
      <c r="X103" s="102"/>
      <c r="Y103" s="102"/>
      <c r="Z103" s="102"/>
      <c r="AA103" s="102"/>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hidden="1" customHeight="1" outlineLevel="2">
      <c r="A104" s="9"/>
      <c r="B104" s="9"/>
      <c r="C104" s="9"/>
      <c r="D104" s="25"/>
      <c r="E104" s="482"/>
      <c r="F104" s="85">
        <v>7</v>
      </c>
      <c r="G104" s="122"/>
      <c r="H104" s="146"/>
      <c r="I104" s="148"/>
      <c r="J104" s="148"/>
      <c r="K104" s="148"/>
      <c r="L104" s="148"/>
      <c r="M104" s="148"/>
      <c r="N104" s="147"/>
      <c r="O104" s="67">
        <f>IF(A5stdlife="n/a","n/a",IF(O$3&gt;(A5stdlife+$F104),(Input!$N$148*(1+vanilla7)^0.5)-SUM($N104:N104),(Input!$N$148*(1+vanilla7)^0.5)/A5stdlife))</f>
        <v>0</v>
      </c>
      <c r="P104" s="67">
        <f>IF(A5stdlife="n/a","n/a",IF(P$3&gt;(A5stdlife+$F104),(Input!$N$148*(1+vanilla7)^0.5)-SUM($N104:O104),(Input!$N$148*(1+vanilla7)^0.5)/A5stdlife))</f>
        <v>0</v>
      </c>
      <c r="Q104" s="67">
        <f>IF(A5stdlife="n/a","n/a",IF(Q$3&gt;(A5stdlife+$F104),(Input!$N$148*(1+vanilla7)^0.5)-SUM($N104:P104),(Input!$N$148*(1+vanilla7)^0.5)/A5stdlife))</f>
        <v>0</v>
      </c>
      <c r="R104" s="67"/>
      <c r="S104" s="102"/>
      <c r="T104" s="102"/>
      <c r="U104" s="102"/>
      <c r="V104" s="102"/>
      <c r="W104" s="102"/>
      <c r="X104" s="102"/>
      <c r="Y104" s="102"/>
      <c r="Z104" s="102"/>
      <c r="AA104" s="102"/>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hidden="1" customHeight="1" outlineLevel="2">
      <c r="A105" s="9"/>
      <c r="B105" s="9"/>
      <c r="C105" s="9"/>
      <c r="D105" s="25"/>
      <c r="E105" s="482"/>
      <c r="F105" s="85">
        <v>8</v>
      </c>
      <c r="G105" s="122"/>
      <c r="H105" s="146"/>
      <c r="I105" s="148"/>
      <c r="J105" s="148"/>
      <c r="K105" s="148"/>
      <c r="L105" s="148"/>
      <c r="M105" s="148"/>
      <c r="N105" s="148"/>
      <c r="O105" s="147"/>
      <c r="P105" s="67">
        <f>IF(A5stdlife="n/a","n/a",IF(P$3&gt;(A5stdlife+$F105),(Input!$O$148*(1+vanilla8)^0.5)-SUM($O105:O105),(Input!$O$148*(1+vanilla8)^0.5)/A5stdlife))</f>
        <v>0</v>
      </c>
      <c r="Q105" s="67">
        <f>IF(A5stdlife="n/a","n/a",IF(Q$3&gt;(A5stdlife+$F105),(Input!$O$148*(1+vanilla8)^0.5)-SUM($O105:P105),(Input!$O$148*(1+vanilla8)^0.5)/A5stdlife))</f>
        <v>0</v>
      </c>
      <c r="R105" s="67"/>
      <c r="S105" s="102"/>
      <c r="T105" s="102"/>
      <c r="U105" s="102"/>
      <c r="V105" s="102"/>
      <c r="W105" s="102"/>
      <c r="X105" s="102"/>
      <c r="Y105" s="102"/>
      <c r="Z105" s="102"/>
      <c r="AA105" s="102"/>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hidden="1" customHeight="1" outlineLevel="2">
      <c r="A106" s="9"/>
      <c r="B106" s="9"/>
      <c r="C106" s="9"/>
      <c r="D106" s="25"/>
      <c r="E106" s="482"/>
      <c r="F106" s="85">
        <v>9</v>
      </c>
      <c r="G106" s="122"/>
      <c r="H106" s="146"/>
      <c r="I106" s="148"/>
      <c r="J106" s="148"/>
      <c r="K106" s="148"/>
      <c r="L106" s="148"/>
      <c r="M106" s="148"/>
      <c r="N106" s="148"/>
      <c r="O106" s="148"/>
      <c r="P106" s="147"/>
      <c r="Q106" s="67">
        <f>IF(A5stdlife="n/a","n/a",IF(Q$3&gt;(A5stdlife+$F106),(Input!$P$148*(1+vanilla9)^0.5)-SUM($P106:P106),(Input!$P$148*(1+vanilla9)^0.5)/A5stdlife))</f>
        <v>0</v>
      </c>
      <c r="R106" s="67"/>
      <c r="S106" s="102"/>
      <c r="T106" s="102"/>
      <c r="U106" s="102"/>
      <c r="V106" s="102"/>
      <c r="W106" s="102"/>
      <c r="X106" s="102"/>
      <c r="Y106" s="102"/>
      <c r="Z106" s="102"/>
      <c r="AA106" s="102"/>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hidden="1" customHeight="1" outlineLevel="2">
      <c r="A107" s="9"/>
      <c r="B107" s="9"/>
      <c r="C107" s="9"/>
      <c r="D107" s="25"/>
      <c r="E107" s="482"/>
      <c r="F107" s="86">
        <v>10</v>
      </c>
      <c r="G107" s="122"/>
      <c r="H107" s="146"/>
      <c r="I107" s="148"/>
      <c r="J107" s="148"/>
      <c r="K107" s="148"/>
      <c r="L107" s="148"/>
      <c r="M107" s="148"/>
      <c r="N107" s="148"/>
      <c r="O107" s="148"/>
      <c r="P107" s="148"/>
      <c r="Q107" s="147"/>
      <c r="R107" s="67"/>
      <c r="S107" s="102"/>
      <c r="T107" s="102"/>
      <c r="U107" s="102"/>
      <c r="V107" s="102"/>
      <c r="W107" s="102"/>
      <c r="X107" s="102"/>
      <c r="Y107" s="102"/>
      <c r="Z107" s="102"/>
      <c r="AA107" s="102"/>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hidden="1" customHeight="1" outlineLevel="1">
      <c r="A108" s="9"/>
      <c r="B108" s="9"/>
      <c r="C108" s="9"/>
      <c r="D108" s="25" t="str">
        <f>Asset5</f>
        <v>Transformers</v>
      </c>
      <c r="E108" s="9"/>
      <c r="F108" s="9"/>
      <c r="G108" s="122"/>
      <c r="H108" s="165">
        <f>-SUM(H96:H107)</f>
        <v>-17.052484688357982</v>
      </c>
      <c r="I108" s="165">
        <f>-SUM(I96:I107)</f>
        <v>-18.286059890426394</v>
      </c>
      <c r="J108" s="165">
        <f>-SUM(J96:J107)</f>
        <v>-19.959720500831846</v>
      </c>
      <c r="K108" s="165">
        <f>-SUM(K96:K107)</f>
        <v>-21.059659243590346</v>
      </c>
      <c r="L108" s="165">
        <f>-SUM(L96:L107)</f>
        <v>-21.873090652158012</v>
      </c>
      <c r="M108" s="165">
        <f>IF(Input!M174&gt;0, -SUM(M96:M107), 0)</f>
        <v>0</v>
      </c>
      <c r="N108" s="165">
        <f>IF(Input!N174&gt;0, -SUM(N96:N107), 0)</f>
        <v>0</v>
      </c>
      <c r="O108" s="165">
        <f>IF(Input!O174&gt;0, -SUM(O96:O107), 0)</f>
        <v>0</v>
      </c>
      <c r="P108" s="165">
        <f>IF(Input!P174&gt;0, -SUM(P96:P107), 0)</f>
        <v>0</v>
      </c>
      <c r="Q108" s="165">
        <f>IF(Input!Q174&gt;0, -SUM(Q96:Q107), 0)</f>
        <v>0</v>
      </c>
      <c r="R108" s="65"/>
      <c r="S108" s="104"/>
      <c r="T108" s="104"/>
      <c r="U108" s="104"/>
      <c r="V108" s="104"/>
      <c r="W108" s="104"/>
      <c r="X108" s="104"/>
      <c r="Y108" s="104"/>
      <c r="Z108" s="104"/>
      <c r="AA108" s="104"/>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104"/>
      <c r="BE108" s="104"/>
      <c r="BF108" s="104"/>
      <c r="BG108" s="104"/>
      <c r="BH108" s="104"/>
      <c r="BI108" s="104"/>
      <c r="BJ108" s="104"/>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hidden="1" customHeight="1" outlineLevel="2">
      <c r="A109" s="9"/>
      <c r="B109" s="9"/>
      <c r="C109" s="31" t="str">
        <f>Asset6</f>
        <v>Low Voltage Lines and Cables</v>
      </c>
      <c r="D109" s="161"/>
      <c r="E109" s="33" t="s">
        <v>28</v>
      </c>
      <c r="F109" s="32"/>
      <c r="G109" s="174"/>
      <c r="H109" s="66">
        <f>IF(H$3&gt;A6remlife,A6value-SUM($G109:G109),IF(A6remlife="N/A","n/a",A6value/A6remlife))</f>
        <v>21.835208373028614</v>
      </c>
      <c r="I109" s="66">
        <f>IF(I$3&gt;A6remlife,A6value-SUM($G109:H109),IF(A6remlife="N/A","n/a",A6value/A6remlife))</f>
        <v>21.835208373028614</v>
      </c>
      <c r="J109" s="66">
        <f>IF(J$3&gt;A6remlife,A6value-SUM($G109:I109),IF(A6remlife="N/A","n/a",A6value/A6remlife))</f>
        <v>21.835208373028614</v>
      </c>
      <c r="K109" s="66">
        <f>IF(K$3&gt;A6remlife,A6value-SUM($G109:J109),IF(A6remlife="N/A","n/a",A6value/A6remlife))</f>
        <v>21.835208373028614</v>
      </c>
      <c r="L109" s="66">
        <f>IF(L$3&gt;A6remlife,A6value-SUM($G109:K109),IF(A6remlife="N/A","n/a",A6value/A6remlife))</f>
        <v>21.835208373028614</v>
      </c>
      <c r="M109" s="66">
        <f>IF(M$3&gt;A6remlife,A6value-SUM($G109:L109),IF(A6remlife="N/A","n/a",A6value/A6remlife))</f>
        <v>21.835208373028614</v>
      </c>
      <c r="N109" s="66">
        <f>IF(N$3&gt;A6remlife,A6value-SUM($G109:M109),IF(A6remlife="N/A","n/a",A6value/A6remlife))</f>
        <v>21.835208373028614</v>
      </c>
      <c r="O109" s="66">
        <f>IF(O$3&gt;A6remlife,A6value-SUM($G109:N109),IF(A6remlife="N/A","n/a",A6value/A6remlife))</f>
        <v>21.835208373028614</v>
      </c>
      <c r="P109" s="66">
        <f>IF(P$3&gt;A6remlife,A6value-SUM($G109:O109),IF(A6remlife="N/A","n/a",A6value/A6remlife))</f>
        <v>21.835208373028614</v>
      </c>
      <c r="Q109" s="66">
        <f>IF(Q$3&gt;A6remlife,A6value-SUM($G109:P109),IF(A6remlife="N/A","n/a",A6value/A6remlife))</f>
        <v>21.835208373028614</v>
      </c>
      <c r="R109" s="66"/>
      <c r="S109" s="102"/>
      <c r="T109" s="102"/>
      <c r="U109" s="102"/>
      <c r="V109" s="102"/>
      <c r="W109" s="102"/>
      <c r="X109" s="102"/>
      <c r="Y109" s="102"/>
      <c r="Z109" s="102"/>
      <c r="AA109" s="102"/>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5"/>
      <c r="E110" s="481" t="s">
        <v>83</v>
      </c>
      <c r="F110" s="85">
        <v>0</v>
      </c>
      <c r="G110" s="122"/>
      <c r="H110" s="67"/>
      <c r="I110" s="67"/>
      <c r="J110" s="67"/>
      <c r="K110" s="67"/>
      <c r="L110" s="67"/>
      <c r="M110" s="163"/>
      <c r="N110" s="111"/>
      <c r="O110" s="67"/>
      <c r="P110" s="67"/>
      <c r="Q110" s="67"/>
      <c r="R110" s="67"/>
      <c r="S110" s="102"/>
      <c r="T110" s="102"/>
      <c r="U110" s="102"/>
      <c r="V110" s="102"/>
      <c r="W110" s="102"/>
      <c r="X110" s="102"/>
      <c r="Y110" s="102"/>
      <c r="Z110" s="102"/>
      <c r="AA110" s="102"/>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102"/>
      <c r="BE110" s="102"/>
      <c r="BF110" s="102"/>
      <c r="BG110" s="102"/>
      <c r="BH110" s="102"/>
      <c r="BI110" s="102"/>
      <c r="BJ110" s="102"/>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hidden="1" customHeight="1" outlineLevel="2">
      <c r="A111" s="9"/>
      <c r="B111" s="9"/>
      <c r="C111" s="9"/>
      <c r="D111" s="25"/>
      <c r="E111" s="482"/>
      <c r="F111" s="85">
        <v>1</v>
      </c>
      <c r="G111" s="122"/>
      <c r="H111" s="145"/>
      <c r="I111" s="67">
        <f>IF(A6stdlife="n/a","n/a",IF(I$3&gt;(A6stdlife+$F111),(Input!$H$149*(1+vanilla1)^0.5)-SUM($H111:H111),(Input!$H$149*(1+vanilla1)^0.5)/A6stdlife))</f>
        <v>2.3135285741574521</v>
      </c>
      <c r="J111" s="67">
        <f>IF(A6stdlife="n/a","n/a",IF(J$3&gt;(A6stdlife+$F111),(Input!$H$149*(1+vanilla1)^0.5)-SUM($H111:I111),(Input!$H$149*(1+vanilla1)^0.5)/A6stdlife))</f>
        <v>2.3135285741574521</v>
      </c>
      <c r="K111" s="67">
        <f>IF(A6stdlife="n/a","n/a",IF(K$3&gt;(A6stdlife+$F111),(Input!$H$149*(1+vanilla1)^0.5)-SUM($H111:J111),(Input!$H$149*(1+vanilla1)^0.5)/A6stdlife))</f>
        <v>2.3135285741574521</v>
      </c>
      <c r="L111" s="67">
        <f>IF(A6stdlife="n/a","n/a",IF(L$3&gt;(A6stdlife+$F111),(Input!$H$149*(1+vanilla1)^0.5)-SUM($H111:K111),(Input!$H$149*(1+vanilla1)^0.5)/A6stdlife))</f>
        <v>2.3135285741574521</v>
      </c>
      <c r="M111" s="67">
        <f>IF(A6stdlife="n/a","n/a",IF(M$3&gt;(A6stdlife+$F111),(Input!$H$149*(1+vanilla1)^0.5)-SUM($H111:L111),(Input!$H$149*(1+vanilla1)^0.5)/A6stdlife))</f>
        <v>2.3135285741574521</v>
      </c>
      <c r="N111" s="67">
        <f>IF(A6stdlife="n/a","n/a",IF(N$3&gt;(A6stdlife+$F111),(Input!$H$149*(1+vanilla1)^0.5)-SUM($H111:M111),(Input!$H$149*(1+vanilla1)^0.5)/A6stdlife))</f>
        <v>2.3135285741574521</v>
      </c>
      <c r="O111" s="67">
        <f>IF(A6stdlife="n/a","n/a",IF(O$3&gt;(A6stdlife+$F111),(Input!$H$149*(1+vanilla1)^0.5)-SUM($H111:N111),(Input!$H$149*(1+vanilla1)^0.5)/A6stdlife))</f>
        <v>2.3135285741574521</v>
      </c>
      <c r="P111" s="67">
        <f>IF(A6stdlife="n/a","n/a",IF(P$3&gt;(A6stdlife+$F111),(Input!$H$149*(1+vanilla1)^0.5)-SUM($H111:O111),(Input!$H$149*(1+vanilla1)^0.5)/A6stdlife))</f>
        <v>2.3135285741574521</v>
      </c>
      <c r="Q111" s="67">
        <f>IF(A6stdlife="n/a","n/a",IF(Q$3&gt;(A6stdlife+$F111),(Input!$H$149*(1+vanilla1)^0.5)-SUM($H111:P111),(Input!$H$149*(1+vanilla1)^0.5)/A6stdlife))</f>
        <v>2.3135285741574521</v>
      </c>
      <c r="R111" s="67"/>
      <c r="S111" s="102"/>
      <c r="T111" s="102"/>
      <c r="U111" s="102"/>
      <c r="V111" s="102"/>
      <c r="W111" s="102"/>
      <c r="X111" s="102"/>
      <c r="Y111" s="102"/>
      <c r="Z111" s="102"/>
      <c r="AA111" s="102"/>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482"/>
      <c r="F112" s="85">
        <v>2</v>
      </c>
      <c r="G112" s="122"/>
      <c r="H112" s="146"/>
      <c r="I112" s="147"/>
      <c r="J112" s="67">
        <f>IF(A6stdlife="n/a","n/a",IF(J$3&gt;(A6stdlife+$F112),(Input!$I$149*(1+vanilla2)^0.5)-SUM($I112:I112),(Input!$I$149*(1+vanilla2)^0.5)/A6stdlife))</f>
        <v>2.808141351552123</v>
      </c>
      <c r="K112" s="67">
        <f>IF(A6stdlife="n/a","n/a",IF(K$3&gt;(A6stdlife+$F112),(Input!$I$149*(1+vanilla2)^0.5)-SUM($I112:J112),(Input!$I$149*(1+vanilla2)^0.5)/A6stdlife))</f>
        <v>2.808141351552123</v>
      </c>
      <c r="L112" s="67">
        <f>IF(A6stdlife="n/a","n/a",IF(L$3&gt;(A6stdlife+$F112),(Input!$I$149*(1+vanilla2)^0.5)-SUM($I112:K112),(Input!$I$149*(1+vanilla2)^0.5)/A6stdlife))</f>
        <v>2.808141351552123</v>
      </c>
      <c r="M112" s="67">
        <f>IF(A6stdlife="n/a","n/a",IF(M$3&gt;(A6stdlife+$F112),(Input!$I$149*(1+vanilla2)^0.5)-SUM($I112:L112),(Input!$I$149*(1+vanilla2)^0.5)/A6stdlife))</f>
        <v>2.808141351552123</v>
      </c>
      <c r="N112" s="67">
        <f>IF(A6stdlife="n/a","n/a",IF(N$3&gt;(A6stdlife+$F112),(Input!$I$149*(1+vanilla2)^0.5)-SUM($I112:M112),(Input!$I$149*(1+vanilla2)^0.5)/A6stdlife))</f>
        <v>2.808141351552123</v>
      </c>
      <c r="O112" s="67">
        <f>IF(A6stdlife="n/a","n/a",IF(O$3&gt;(A6stdlife+$F112),(Input!$I$149*(1+vanilla2)^0.5)-SUM($I112:N112),(Input!$I$149*(1+vanilla2)^0.5)/A6stdlife))</f>
        <v>2.808141351552123</v>
      </c>
      <c r="P112" s="67">
        <f>IF(A6stdlife="n/a","n/a",IF(P$3&gt;(A6stdlife+$F112),(Input!$I$149*(1+vanilla2)^0.5)-SUM($I112:O112),(Input!$I$149*(1+vanilla2)^0.5)/A6stdlife))</f>
        <v>2.808141351552123</v>
      </c>
      <c r="Q112" s="67">
        <f>IF(A6stdlife="n/a","n/a",IF(Q$3&gt;(A6stdlife+$F112),(Input!$I$149*(1+vanilla2)^0.5)-SUM($I112:P112),(Input!$I$149*(1+vanilla2)^0.5)/A6stdlife))</f>
        <v>2.808141351552123</v>
      </c>
      <c r="R112" s="67"/>
      <c r="S112" s="102"/>
      <c r="T112" s="102"/>
      <c r="U112" s="102"/>
      <c r="V112" s="102"/>
      <c r="W112" s="102"/>
      <c r="X112" s="102"/>
      <c r="Y112" s="102"/>
      <c r="Z112" s="102"/>
      <c r="AA112" s="102"/>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hidden="1" customHeight="1" outlineLevel="2">
      <c r="A113" s="9"/>
      <c r="B113" s="9"/>
      <c r="C113" s="9"/>
      <c r="D113" s="25"/>
      <c r="E113" s="482"/>
      <c r="F113" s="85">
        <v>3</v>
      </c>
      <c r="G113" s="122"/>
      <c r="H113" s="146"/>
      <c r="I113" s="148"/>
      <c r="J113" s="147"/>
      <c r="K113" s="67">
        <f>IF(A6stdlife="n/a","n/a",IF(K$3&gt;(A6stdlife+$F113),(Input!$J$149*(1+vanilla3)^0.5)-SUM($J113:J113),(Input!$J$149*(1+vanilla3)^0.5)/A6stdlife))</f>
        <v>3.3860981921196767</v>
      </c>
      <c r="L113" s="67">
        <f>IF(A6stdlife="n/a","n/a",IF(L$3&gt;(A6stdlife+$F113),(Input!$J$149*(1+vanilla3)^0.5)-SUM($J113:K113),(Input!$J$149*(1+vanilla3)^0.5)/A6stdlife))</f>
        <v>3.3860981921196767</v>
      </c>
      <c r="M113" s="67">
        <f>IF(A6stdlife="n/a","n/a",IF(M$3&gt;(A6stdlife+$F113),(Input!$J$149*(1+vanilla3)^0.5)-SUM($J113:L113),(Input!$J$149*(1+vanilla3)^0.5)/A6stdlife))</f>
        <v>3.3860981921196767</v>
      </c>
      <c r="N113" s="67">
        <f>IF(A6stdlife="n/a","n/a",IF(N$3&gt;(A6stdlife+$F113),(Input!$J$149*(1+vanilla3)^0.5)-SUM($J113:M113),(Input!$J$149*(1+vanilla3)^0.5)/A6stdlife))</f>
        <v>3.3860981921196767</v>
      </c>
      <c r="O113" s="67">
        <f>IF(A6stdlife="n/a","n/a",IF(O$3&gt;(A6stdlife+$F113),(Input!$J$149*(1+vanilla3)^0.5)-SUM($J113:N113),(Input!$J$149*(1+vanilla3)^0.5)/A6stdlife))</f>
        <v>3.3860981921196767</v>
      </c>
      <c r="P113" s="67">
        <f>IF(A6stdlife="n/a","n/a",IF(P$3&gt;(A6stdlife+$F113),(Input!$J$149*(1+vanilla3)^0.5)-SUM($J113:O113),(Input!$J$149*(1+vanilla3)^0.5)/A6stdlife))</f>
        <v>3.3860981921196767</v>
      </c>
      <c r="Q113" s="67">
        <f>IF(A6stdlife="n/a","n/a",IF(Q$3&gt;(A6stdlife+$F113),(Input!$J$149*(1+vanilla3)^0.5)-SUM($J113:P113),(Input!$J$149*(1+vanilla3)^0.5)/A6stdlife))</f>
        <v>3.3860981921196767</v>
      </c>
      <c r="R113" s="67"/>
      <c r="S113" s="102"/>
      <c r="T113" s="102"/>
      <c r="U113" s="102"/>
      <c r="V113" s="102"/>
      <c r="W113" s="102"/>
      <c r="X113" s="102"/>
      <c r="Y113" s="102"/>
      <c r="Z113" s="102"/>
      <c r="AA113" s="102"/>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hidden="1" customHeight="1" outlineLevel="2">
      <c r="A114" s="9"/>
      <c r="B114" s="9"/>
      <c r="C114" s="9"/>
      <c r="D114" s="25"/>
      <c r="E114" s="482"/>
      <c r="F114" s="85">
        <v>4</v>
      </c>
      <c r="G114" s="122"/>
      <c r="H114" s="146"/>
      <c r="I114" s="148"/>
      <c r="J114" s="148"/>
      <c r="K114" s="147"/>
      <c r="L114" s="67">
        <f>IF(A6stdlife="n/a","n/a",IF(L$3&gt;(A6stdlife+$F114),(Input!$K$149*(1+vanilla4)^0.5)-SUM($K114:K114),(Input!$K$149*(1+vanilla4)^0.5)/A6stdlife))</f>
        <v>2.5543988931458208</v>
      </c>
      <c r="M114" s="67">
        <f>IF(A6stdlife="n/a","n/a",IF(M$3&gt;(A6stdlife+$F114),(Input!$K$149*(1+vanilla4)^0.5)-SUM($K114:L114),(Input!$K$149*(1+vanilla4)^0.5)/A6stdlife))</f>
        <v>2.5543988931458208</v>
      </c>
      <c r="N114" s="67">
        <f>IF(A6stdlife="n/a","n/a",IF(N$3&gt;(A6stdlife+$F114),(Input!$K$149*(1+vanilla4)^0.5)-SUM($K114:M114),(Input!$K$149*(1+vanilla4)^0.5)/A6stdlife))</f>
        <v>2.5543988931458208</v>
      </c>
      <c r="O114" s="67">
        <f>IF(A6stdlife="n/a","n/a",IF(O$3&gt;(A6stdlife+$F114),(Input!$K$149*(1+vanilla4)^0.5)-SUM($K114:N114),(Input!$K$149*(1+vanilla4)^0.5)/A6stdlife))</f>
        <v>2.5543988931458208</v>
      </c>
      <c r="P114" s="67">
        <f>IF(A6stdlife="n/a","n/a",IF(P$3&gt;(A6stdlife+$F114),(Input!$K$149*(1+vanilla4)^0.5)-SUM($K114:O114),(Input!$K$149*(1+vanilla4)^0.5)/A6stdlife))</f>
        <v>2.5543988931458208</v>
      </c>
      <c r="Q114" s="67">
        <f>IF(A6stdlife="n/a","n/a",IF(Q$3&gt;(A6stdlife+$F114),(Input!$K$149*(1+vanilla4)^0.5)-SUM($K114:P114),(Input!$K$149*(1+vanilla4)^0.5)/A6stdlife))</f>
        <v>2.5543988931458208</v>
      </c>
      <c r="R114" s="67"/>
      <c r="S114" s="102"/>
      <c r="T114" s="102"/>
      <c r="U114" s="102"/>
      <c r="V114" s="102"/>
      <c r="W114" s="102"/>
      <c r="X114" s="102"/>
      <c r="Y114" s="102"/>
      <c r="Z114" s="102"/>
      <c r="AA114" s="102"/>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hidden="1" customHeight="1" outlineLevel="2">
      <c r="A115" s="9"/>
      <c r="B115" s="9"/>
      <c r="C115" s="9"/>
      <c r="D115" s="25"/>
      <c r="E115" s="482"/>
      <c r="F115" s="85">
        <v>5</v>
      </c>
      <c r="G115" s="122"/>
      <c r="H115" s="146"/>
      <c r="I115" s="148"/>
      <c r="J115" s="148"/>
      <c r="K115" s="148"/>
      <c r="L115" s="147"/>
      <c r="M115" s="67">
        <f>IF(A6stdlife="n/a","n/a",IF(M$3&gt;(A6stdlife+$F115),(Input!$L$149*(1+vanilla5)^0.5)-SUM($L115:L115),(Input!$L$149*(1+vanilla5)^0.5)/A6stdlife))</f>
        <v>2.1500831280667514</v>
      </c>
      <c r="N115" s="67">
        <f>IF(A6stdlife="n/a","n/a",IF(N$3&gt;(A6stdlife+$F115),(Input!$L$149*(1+vanilla5)^0.5)-SUM($L115:M115),(Input!$L$149*(1+vanilla5)^0.5)/A6stdlife))</f>
        <v>2.1500831280667514</v>
      </c>
      <c r="O115" s="67">
        <f>IF(A6stdlife="n/a","n/a",IF(O$3&gt;(A6stdlife+$F115),(Input!$L$149*(1+vanilla5)^0.5)-SUM($L115:N115),(Input!$L$149*(1+vanilla5)^0.5)/A6stdlife))</f>
        <v>2.1500831280667514</v>
      </c>
      <c r="P115" s="67">
        <f>IF(A6stdlife="n/a","n/a",IF(P$3&gt;(A6stdlife+$F115),(Input!$L$149*(1+vanilla5)^0.5)-SUM($L115:O115),(Input!$L$149*(1+vanilla5)^0.5)/A6stdlife))</f>
        <v>2.1500831280667514</v>
      </c>
      <c r="Q115" s="67">
        <f>IF(A6stdlife="n/a","n/a",IF(Q$3&gt;(A6stdlife+$F115),(Input!$L$149*(1+vanilla5)^0.5)-SUM($L115:P115),(Input!$L$149*(1+vanilla5)^0.5)/A6stdlife))</f>
        <v>2.1500831280667514</v>
      </c>
      <c r="R115" s="67"/>
      <c r="S115" s="102"/>
      <c r="T115" s="102"/>
      <c r="U115" s="102"/>
      <c r="V115" s="102"/>
      <c r="W115" s="102"/>
      <c r="X115" s="102"/>
      <c r="Y115" s="102"/>
      <c r="Z115" s="102"/>
      <c r="AA115" s="102"/>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482"/>
      <c r="F116" s="85">
        <v>6</v>
      </c>
      <c r="G116" s="122"/>
      <c r="H116" s="146"/>
      <c r="I116" s="148"/>
      <c r="J116" s="148"/>
      <c r="K116" s="148"/>
      <c r="L116" s="148"/>
      <c r="M116" s="147"/>
      <c r="N116" s="67">
        <f>IF(A6stdlife="n/a","n/a",IF(N$3&gt;(A6stdlife+$F116),(Input!$M$149*(1+vanilla6)^0.5)-SUM($M116:M116),(Input!$M$149*(1+vanilla6)^0.5)/A6stdlife))</f>
        <v>0</v>
      </c>
      <c r="O116" s="67">
        <f>IF(A6stdlife="n/a","n/a",IF(O$3&gt;(A6stdlife+$F116),(Input!$M$149*(1+vanilla6)^0.5)-SUM($M116:N116),(Input!$M$149*(1+vanilla6)^0.5)/A6stdlife))</f>
        <v>0</v>
      </c>
      <c r="P116" s="67">
        <f>IF(A6stdlife="n/a","n/a",IF(P$3&gt;(A6stdlife+$F116),(Input!$M$149*(1+vanilla6)^0.5)-SUM($M116:O116),(Input!$M$149*(1+vanilla6)^0.5)/A6stdlife))</f>
        <v>0</v>
      </c>
      <c r="Q116" s="67">
        <f>IF(A6stdlife="n/a","n/a",IF(Q$3&gt;(A6stdlife+$F116),(Input!$M$149*(1+vanilla6)^0.5)-SUM($M116:P116),(Input!$M$149*(1+vanilla6)^0.5)/A6stdlife))</f>
        <v>0</v>
      </c>
      <c r="R116" s="67"/>
      <c r="S116" s="102"/>
      <c r="T116" s="102"/>
      <c r="U116" s="102"/>
      <c r="V116" s="102"/>
      <c r="W116" s="102"/>
      <c r="X116" s="102"/>
      <c r="Y116" s="102"/>
      <c r="Z116" s="102"/>
      <c r="AA116" s="102"/>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hidden="1" customHeight="1" outlineLevel="2">
      <c r="A117" s="9"/>
      <c r="B117" s="9"/>
      <c r="C117" s="9"/>
      <c r="D117" s="25"/>
      <c r="E117" s="482"/>
      <c r="F117" s="85">
        <v>7</v>
      </c>
      <c r="G117" s="122"/>
      <c r="H117" s="146"/>
      <c r="I117" s="148"/>
      <c r="J117" s="148"/>
      <c r="K117" s="148"/>
      <c r="L117" s="148"/>
      <c r="M117" s="148"/>
      <c r="N117" s="147"/>
      <c r="O117" s="67">
        <f>IF(A6stdlife="n/a","n/a",IF(O$3&gt;(A6stdlife+$F117),(Input!$N$149*(1+vanilla7)^0.5)-SUM($N117:N117),(Input!$N$149*(1+vanilla7)^0.5)/A6stdlife))</f>
        <v>0</v>
      </c>
      <c r="P117" s="67">
        <f>IF(A6stdlife="n/a","n/a",IF(P$3&gt;(A6stdlife+$F117),(Input!$N$149*(1+vanilla7)^0.5)-SUM($N117:O117),(Input!$N$149*(1+vanilla7)^0.5)/A6stdlife))</f>
        <v>0</v>
      </c>
      <c r="Q117" s="67">
        <f>IF(A6stdlife="n/a","n/a",IF(Q$3&gt;(A6stdlife+$F117),(Input!$N$149*(1+vanilla7)^0.5)-SUM($N117:P117),(Input!$N$149*(1+vanilla7)^0.5)/A6stdlife))</f>
        <v>0</v>
      </c>
      <c r="R117" s="67"/>
      <c r="S117" s="102"/>
      <c r="T117" s="102"/>
      <c r="U117" s="102"/>
      <c r="V117" s="102"/>
      <c r="W117" s="102"/>
      <c r="X117" s="102"/>
      <c r="Y117" s="102"/>
      <c r="Z117" s="102"/>
      <c r="AA117" s="102"/>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hidden="1" customHeight="1" outlineLevel="2">
      <c r="A118" s="9"/>
      <c r="B118" s="9"/>
      <c r="C118" s="9"/>
      <c r="D118" s="25"/>
      <c r="E118" s="482"/>
      <c r="F118" s="85">
        <v>8</v>
      </c>
      <c r="G118" s="122"/>
      <c r="H118" s="146"/>
      <c r="I118" s="148"/>
      <c r="J118" s="148"/>
      <c r="K118" s="148"/>
      <c r="L118" s="148"/>
      <c r="M118" s="148"/>
      <c r="N118" s="148"/>
      <c r="O118" s="147"/>
      <c r="P118" s="67">
        <f>IF(A6stdlife="n/a","n/a",IF(P$3&gt;(A6stdlife+$F118),(Input!$O$149*(1+vanilla8)^0.5)-SUM($O118:O118),(Input!$O$149*(1+vanilla8)^0.5)/A6stdlife))</f>
        <v>0</v>
      </c>
      <c r="Q118" s="67">
        <f>IF(A6stdlife="n/a","n/a",IF(Q$3&gt;(A6stdlife+$F118),(Input!$O$149*(1+vanilla8)^0.5)-SUM($O118:P118),(Input!$O$149*(1+vanilla8)^0.5)/A6stdlife))</f>
        <v>0</v>
      </c>
      <c r="R118" s="67"/>
      <c r="S118" s="102"/>
      <c r="T118" s="102"/>
      <c r="U118" s="102"/>
      <c r="V118" s="102"/>
      <c r="W118" s="102"/>
      <c r="X118" s="102"/>
      <c r="Y118" s="102"/>
      <c r="Z118" s="102"/>
      <c r="AA118" s="102"/>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hidden="1" customHeight="1" outlineLevel="2">
      <c r="A119" s="9"/>
      <c r="B119" s="9"/>
      <c r="C119" s="9"/>
      <c r="D119" s="25"/>
      <c r="E119" s="482"/>
      <c r="F119" s="85">
        <v>9</v>
      </c>
      <c r="G119" s="122"/>
      <c r="H119" s="146"/>
      <c r="I119" s="148"/>
      <c r="J119" s="148"/>
      <c r="K119" s="148"/>
      <c r="L119" s="148"/>
      <c r="M119" s="148"/>
      <c r="N119" s="148"/>
      <c r="O119" s="148"/>
      <c r="P119" s="147"/>
      <c r="Q119" s="67">
        <f>IF(A6stdlife="n/a","n/a",IF(Q$3&gt;(A6stdlife+$F119),(Input!$P$149*(1+vanilla9)^0.5)-SUM($P119:P119),(Input!$P$149*(1+vanilla9)^0.5)/A6stdlife))</f>
        <v>0</v>
      </c>
      <c r="R119" s="67"/>
      <c r="S119" s="102"/>
      <c r="T119" s="102"/>
      <c r="U119" s="102"/>
      <c r="V119" s="102"/>
      <c r="W119" s="102"/>
      <c r="X119" s="102"/>
      <c r="Y119" s="102"/>
      <c r="Z119" s="102"/>
      <c r="AA119" s="102"/>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hidden="1" customHeight="1" outlineLevel="2">
      <c r="A120" s="9"/>
      <c r="B120" s="9"/>
      <c r="C120" s="9"/>
      <c r="D120" s="25"/>
      <c r="E120" s="482"/>
      <c r="F120" s="86">
        <v>10</v>
      </c>
      <c r="G120" s="122"/>
      <c r="H120" s="146"/>
      <c r="I120" s="148"/>
      <c r="J120" s="148"/>
      <c r="K120" s="148"/>
      <c r="L120" s="148"/>
      <c r="M120" s="148"/>
      <c r="N120" s="148"/>
      <c r="O120" s="148"/>
      <c r="P120" s="148"/>
      <c r="Q120" s="147"/>
      <c r="R120" s="67"/>
      <c r="S120" s="102"/>
      <c r="T120" s="102"/>
      <c r="U120" s="102"/>
      <c r="V120" s="102"/>
      <c r="W120" s="102"/>
      <c r="X120" s="102"/>
      <c r="Y120" s="102"/>
      <c r="Z120" s="102"/>
      <c r="AA120" s="102"/>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hidden="1" customHeight="1" outlineLevel="1">
      <c r="A121" s="9"/>
      <c r="B121" s="9"/>
      <c r="C121" s="9"/>
      <c r="D121" s="25" t="str">
        <f>Asset6</f>
        <v>Low Voltage Lines and Cables</v>
      </c>
      <c r="E121" s="9"/>
      <c r="F121" s="9"/>
      <c r="G121" s="122"/>
      <c r="H121" s="165">
        <f>-SUM(H109:H120)</f>
        <v>-21.835208373028614</v>
      </c>
      <c r="I121" s="165">
        <f>-SUM(I109:I120)</f>
        <v>-24.148736947186066</v>
      </c>
      <c r="J121" s="165">
        <f>-SUM(J109:J120)</f>
        <v>-26.956878298738189</v>
      </c>
      <c r="K121" s="165">
        <f>-SUM(K109:K120)</f>
        <v>-30.342976490857865</v>
      </c>
      <c r="L121" s="165">
        <f>-SUM(L109:L120)</f>
        <v>-32.897375384003688</v>
      </c>
      <c r="M121" s="165">
        <f>IF(Input!M174&gt;0, -SUM(M109:M120), 0)</f>
        <v>0</v>
      </c>
      <c r="N121" s="165">
        <f>IF(Input!N174&gt;0, -SUM(N109:N120), 0)</f>
        <v>0</v>
      </c>
      <c r="O121" s="165">
        <f>IF(Input!O174&gt;0, -SUM(O109:O120), 0)</f>
        <v>0</v>
      </c>
      <c r="P121" s="165">
        <f>IF(Input!P174&gt;0, -SUM(P109:P120), 0)</f>
        <v>0</v>
      </c>
      <c r="Q121" s="165">
        <f>IF(Input!Q174&gt;0, -SUM(Q109:Q120), 0)</f>
        <v>0</v>
      </c>
      <c r="R121" s="65"/>
      <c r="S121" s="104"/>
      <c r="T121" s="104"/>
      <c r="U121" s="104"/>
      <c r="V121" s="104"/>
      <c r="W121" s="104"/>
      <c r="X121" s="104"/>
      <c r="Y121" s="104"/>
      <c r="Z121" s="104"/>
      <c r="AA121" s="104"/>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104"/>
      <c r="BE121" s="104"/>
      <c r="BF121" s="104"/>
      <c r="BG121" s="104"/>
      <c r="BH121" s="104"/>
      <c r="BI121" s="104"/>
      <c r="BJ121" s="104"/>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hidden="1" customHeight="1" outlineLevel="2">
      <c r="A122" s="9"/>
      <c r="B122" s="9"/>
      <c r="C122" s="31" t="str">
        <f>Asset7</f>
        <v>Customer Metering and Load Control</v>
      </c>
      <c r="D122" s="161"/>
      <c r="E122" s="33" t="s">
        <v>28</v>
      </c>
      <c r="F122" s="32"/>
      <c r="G122" s="174"/>
      <c r="H122" s="66">
        <f>IF(H$3&gt;A7remlife,A7value-SUM($G122:G122),IF(A7remlife="N/A","n/a",A7value/A7remlife))</f>
        <v>12.076570485803844</v>
      </c>
      <c r="I122" s="66">
        <f>IF(I$3&gt;A7remlife,A7value-SUM($G122:H122),IF(A7remlife="N/A","n/a",A7value/A7remlife))</f>
        <v>12.076570485803844</v>
      </c>
      <c r="J122" s="66">
        <f>IF(J$3&gt;A7remlife,A7value-SUM($G122:I122),IF(A7remlife="N/A","n/a",A7value/A7remlife))</f>
        <v>12.076570485803844</v>
      </c>
      <c r="K122" s="66">
        <f>IF(K$3&gt;A7remlife,A7value-SUM($G122:J122),IF(A7remlife="N/A","n/a",A7value/A7remlife))</f>
        <v>12.076570485803844</v>
      </c>
      <c r="L122" s="66">
        <f>IF(L$3&gt;A7remlife,A7value-SUM($G122:K122),IF(A7remlife="N/A","n/a",A7value/A7remlife))</f>
        <v>12.076570485803844</v>
      </c>
      <c r="M122" s="66">
        <f>IF(M$3&gt;A7remlife,A7value-SUM($G122:L122),IF(A7remlife="N/A","n/a",A7value/A7remlife))</f>
        <v>12.076570485803844</v>
      </c>
      <c r="N122" s="66">
        <f>IF(N$3&gt;A7remlife,A7value-SUM($G122:M122),IF(A7remlife="N/A","n/a",A7value/A7remlife))</f>
        <v>12.076570485803844</v>
      </c>
      <c r="O122" s="66">
        <f>IF(O$3&gt;A7remlife,A7value-SUM($G122:N122),IF(A7remlife="N/A","n/a",A7value/A7remlife))</f>
        <v>12.076570485803844</v>
      </c>
      <c r="P122" s="66">
        <f>IF(P$3&gt;A7remlife,A7value-SUM($G122:O122),IF(A7remlife="N/A","n/a",A7value/A7remlife))</f>
        <v>12.076570485803844</v>
      </c>
      <c r="Q122" s="66">
        <f>IF(Q$3&gt;A7remlife,A7value-SUM($G122:P122),IF(A7remlife="N/A","n/a",A7value/A7remlife))</f>
        <v>12.076570485803844</v>
      </c>
      <c r="R122" s="66"/>
      <c r="S122" s="102"/>
      <c r="T122" s="102"/>
      <c r="U122" s="102"/>
      <c r="V122" s="102"/>
      <c r="W122" s="102"/>
      <c r="X122" s="102"/>
      <c r="Y122" s="102"/>
      <c r="Z122" s="102"/>
      <c r="AA122" s="102"/>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5"/>
      <c r="E123" s="481" t="s">
        <v>83</v>
      </c>
      <c r="F123" s="85">
        <v>0</v>
      </c>
      <c r="G123" s="122"/>
      <c r="H123" s="67"/>
      <c r="I123" s="67"/>
      <c r="J123" s="67"/>
      <c r="K123" s="67"/>
      <c r="L123" s="67"/>
      <c r="M123" s="163"/>
      <c r="N123" s="111"/>
      <c r="O123" s="67"/>
      <c r="P123" s="67"/>
      <c r="Q123" s="67"/>
      <c r="R123" s="67"/>
      <c r="S123" s="102"/>
      <c r="T123" s="102"/>
      <c r="U123" s="102"/>
      <c r="V123" s="102"/>
      <c r="W123" s="102"/>
      <c r="X123" s="102"/>
      <c r="Y123" s="102"/>
      <c r="Z123" s="102"/>
      <c r="AA123" s="102"/>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102"/>
      <c r="BE123" s="102"/>
      <c r="BF123" s="102"/>
      <c r="BG123" s="102"/>
      <c r="BH123" s="102"/>
      <c r="BI123" s="102"/>
      <c r="BJ123" s="102"/>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hidden="1" customHeight="1" outlineLevel="2">
      <c r="A124" s="9"/>
      <c r="B124" s="9"/>
      <c r="C124" s="9"/>
      <c r="D124" s="25"/>
      <c r="E124" s="482"/>
      <c r="F124" s="85">
        <v>1</v>
      </c>
      <c r="G124" s="122"/>
      <c r="H124" s="145"/>
      <c r="I124" s="67">
        <f>IF(A7stdlife="n/a","n/a",IF(I$3&gt;(A7stdlife+$F124),(Input!$H$150*(1+vanilla1)^0.5)-SUM($H124:H124),(Input!$H$150*(1+vanilla1)^0.5)/A7stdlife))</f>
        <v>1.7016262846122211E-2</v>
      </c>
      <c r="J124" s="67">
        <f>IF(A7stdlife="n/a","n/a",IF(J$3&gt;(A7stdlife+$F124),(Input!$H$150*(1+vanilla1)^0.5)-SUM($H124:I124),(Input!$H$150*(1+vanilla1)^0.5)/A7stdlife))</f>
        <v>1.7016262846122211E-2</v>
      </c>
      <c r="K124" s="67">
        <f>IF(A7stdlife="n/a","n/a",IF(K$3&gt;(A7stdlife+$F124),(Input!$H$150*(1+vanilla1)^0.5)-SUM($H124:J124),(Input!$H$150*(1+vanilla1)^0.5)/A7stdlife))</f>
        <v>1.7016262846122211E-2</v>
      </c>
      <c r="L124" s="67">
        <f>IF(A7stdlife="n/a","n/a",IF(L$3&gt;(A7stdlife+$F124),(Input!$H$150*(1+vanilla1)^0.5)-SUM($H124:K124),(Input!$H$150*(1+vanilla1)^0.5)/A7stdlife))</f>
        <v>1.7016262846122211E-2</v>
      </c>
      <c r="M124" s="67">
        <f>IF(A7stdlife="n/a","n/a",IF(M$3&gt;(A7stdlife+$F124),(Input!$H$150*(1+vanilla1)^0.5)-SUM($H124:L124),(Input!$H$150*(1+vanilla1)^0.5)/A7stdlife))</f>
        <v>1.7016262846122211E-2</v>
      </c>
      <c r="N124" s="67">
        <f>IF(A7stdlife="n/a","n/a",IF(N$3&gt;(A7stdlife+$F124),(Input!$H$150*(1+vanilla1)^0.5)-SUM($H124:M124),(Input!$H$150*(1+vanilla1)^0.5)/A7stdlife))</f>
        <v>1.7016262846122211E-2</v>
      </c>
      <c r="O124" s="67">
        <f>IF(A7stdlife="n/a","n/a",IF(O$3&gt;(A7stdlife+$F124),(Input!$H$150*(1+vanilla1)^0.5)-SUM($H124:N124),(Input!$H$150*(1+vanilla1)^0.5)/A7stdlife))</f>
        <v>1.7016262846122211E-2</v>
      </c>
      <c r="P124" s="67">
        <f>IF(A7stdlife="n/a","n/a",IF(P$3&gt;(A7stdlife+$F124),(Input!$H$150*(1+vanilla1)^0.5)-SUM($H124:O124),(Input!$H$150*(1+vanilla1)^0.5)/A7stdlife))</f>
        <v>1.7016262846122211E-2</v>
      </c>
      <c r="Q124" s="67">
        <f>IF(A7stdlife="n/a","n/a",IF(Q$3&gt;(A7stdlife+$F124),(Input!$H$150*(1+vanilla1)^0.5)-SUM($H124:P124),(Input!$H$150*(1+vanilla1)^0.5)/A7stdlife))</f>
        <v>1.7016262846122211E-2</v>
      </c>
      <c r="R124" s="67"/>
      <c r="S124" s="102"/>
      <c r="T124" s="102"/>
      <c r="U124" s="102"/>
      <c r="V124" s="102"/>
      <c r="W124" s="102"/>
      <c r="X124" s="102"/>
      <c r="Y124" s="102"/>
      <c r="Z124" s="102"/>
      <c r="AA124" s="102"/>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482"/>
      <c r="F125" s="85">
        <v>2</v>
      </c>
      <c r="G125" s="122"/>
      <c r="H125" s="146"/>
      <c r="I125" s="147"/>
      <c r="J125" s="67">
        <f>IF(A7stdlife="n/a","n/a",IF(J$3&gt;(A7stdlife+$F125),(Input!$I$150*(1+vanilla2)^0.5)-SUM($I125:I125),(Input!$I$150*(1+vanilla2)^0.5)/A7stdlife))</f>
        <v>0</v>
      </c>
      <c r="K125" s="67">
        <f>IF(A7stdlife="n/a","n/a",IF(K$3&gt;(A7stdlife+$F125),(Input!$I$150*(1+vanilla2)^0.5)-SUM($I125:J125),(Input!$I$150*(1+vanilla2)^0.5)/A7stdlife))</f>
        <v>0</v>
      </c>
      <c r="L125" s="67">
        <f>IF(A7stdlife="n/a","n/a",IF(L$3&gt;(A7stdlife+$F125),(Input!$I$150*(1+vanilla2)^0.5)-SUM($I125:K125),(Input!$I$150*(1+vanilla2)^0.5)/A7stdlife))</f>
        <v>0</v>
      </c>
      <c r="M125" s="67">
        <f>IF(A7stdlife="n/a","n/a",IF(M$3&gt;(A7stdlife+$F125),(Input!$I$150*(1+vanilla2)^0.5)-SUM($I125:L125),(Input!$I$150*(1+vanilla2)^0.5)/A7stdlife))</f>
        <v>0</v>
      </c>
      <c r="N125" s="67">
        <f>IF(A7stdlife="n/a","n/a",IF(N$3&gt;(A7stdlife+$F125),(Input!$I$150*(1+vanilla2)^0.5)-SUM($I125:M125),(Input!$I$150*(1+vanilla2)^0.5)/A7stdlife))</f>
        <v>0</v>
      </c>
      <c r="O125" s="67">
        <f>IF(A7stdlife="n/a","n/a",IF(O$3&gt;(A7stdlife+$F125),(Input!$I$150*(1+vanilla2)^0.5)-SUM($I125:N125),(Input!$I$150*(1+vanilla2)^0.5)/A7stdlife))</f>
        <v>0</v>
      </c>
      <c r="P125" s="67">
        <f>IF(A7stdlife="n/a","n/a",IF(P$3&gt;(A7stdlife+$F125),(Input!$I$150*(1+vanilla2)^0.5)-SUM($I125:O125),(Input!$I$150*(1+vanilla2)^0.5)/A7stdlife))</f>
        <v>0</v>
      </c>
      <c r="Q125" s="67">
        <f>IF(A7stdlife="n/a","n/a",IF(Q$3&gt;(A7stdlife+$F125),(Input!$I$150*(1+vanilla2)^0.5)-SUM($I125:P125),(Input!$I$150*(1+vanilla2)^0.5)/A7stdlife))</f>
        <v>0</v>
      </c>
      <c r="R125" s="67"/>
      <c r="S125" s="102"/>
      <c r="T125" s="102"/>
      <c r="U125" s="102"/>
      <c r="V125" s="102"/>
      <c r="W125" s="102"/>
      <c r="X125" s="102"/>
      <c r="Y125" s="102"/>
      <c r="Z125" s="102"/>
      <c r="AA125" s="102"/>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hidden="1" customHeight="1" outlineLevel="2">
      <c r="A126" s="9"/>
      <c r="B126" s="9"/>
      <c r="C126" s="9"/>
      <c r="D126" s="25"/>
      <c r="E126" s="482"/>
      <c r="F126" s="85">
        <v>3</v>
      </c>
      <c r="G126" s="122"/>
      <c r="H126" s="146"/>
      <c r="I126" s="148"/>
      <c r="J126" s="147"/>
      <c r="K126" s="67">
        <f>IF(A7stdlife="n/a","n/a",IF(K$3&gt;(A7stdlife+$F126),(Input!$J$150*(1+vanilla3)^0.5)-SUM($J126:J126),(Input!$J$150*(1+vanilla3)^0.5)/A7stdlife))</f>
        <v>0</v>
      </c>
      <c r="L126" s="67">
        <f>IF(A7stdlife="n/a","n/a",IF(L$3&gt;(A7stdlife+$F126),(Input!$J$150*(1+vanilla3)^0.5)-SUM($J126:K126),(Input!$J$150*(1+vanilla3)^0.5)/A7stdlife))</f>
        <v>0</v>
      </c>
      <c r="M126" s="67">
        <f>IF(A7stdlife="n/a","n/a",IF(M$3&gt;(A7stdlife+$F126),(Input!$J$150*(1+vanilla3)^0.5)-SUM($J126:L126),(Input!$J$150*(1+vanilla3)^0.5)/A7stdlife))</f>
        <v>0</v>
      </c>
      <c r="N126" s="67">
        <f>IF(A7stdlife="n/a","n/a",IF(N$3&gt;(A7stdlife+$F126),(Input!$J$150*(1+vanilla3)^0.5)-SUM($J126:M126),(Input!$J$150*(1+vanilla3)^0.5)/A7stdlife))</f>
        <v>0</v>
      </c>
      <c r="O126" s="67">
        <f>IF(A7stdlife="n/a","n/a",IF(O$3&gt;(A7stdlife+$F126),(Input!$J$150*(1+vanilla3)^0.5)-SUM($J126:N126),(Input!$J$150*(1+vanilla3)^0.5)/A7stdlife))</f>
        <v>0</v>
      </c>
      <c r="P126" s="67">
        <f>IF(A7stdlife="n/a","n/a",IF(P$3&gt;(A7stdlife+$F126),(Input!$J$150*(1+vanilla3)^0.5)-SUM($J126:O126),(Input!$J$150*(1+vanilla3)^0.5)/A7stdlife))</f>
        <v>0</v>
      </c>
      <c r="Q126" s="67">
        <f>IF(A7stdlife="n/a","n/a",IF(Q$3&gt;(A7stdlife+$F126),(Input!$J$150*(1+vanilla3)^0.5)-SUM($J126:P126),(Input!$J$150*(1+vanilla3)^0.5)/A7stdlife))</f>
        <v>0</v>
      </c>
      <c r="R126" s="67"/>
      <c r="S126" s="102"/>
      <c r="T126" s="102"/>
      <c r="U126" s="102"/>
      <c r="V126" s="102"/>
      <c r="W126" s="102"/>
      <c r="X126" s="102"/>
      <c r="Y126" s="102"/>
      <c r="Z126" s="102"/>
      <c r="AA126" s="102"/>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hidden="1" customHeight="1" outlineLevel="2">
      <c r="A127" s="9"/>
      <c r="B127" s="9"/>
      <c r="C127" s="9"/>
      <c r="D127" s="25"/>
      <c r="E127" s="482"/>
      <c r="F127" s="85">
        <v>4</v>
      </c>
      <c r="G127" s="122"/>
      <c r="H127" s="146"/>
      <c r="I127" s="148"/>
      <c r="J127" s="148"/>
      <c r="K127" s="147"/>
      <c r="L127" s="67">
        <f>IF(A7stdlife="n/a","n/a",IF(L$3&gt;(A7stdlife+$F127),(Input!$K$150*(1+vanilla4)^0.5)-SUM($K127:K127),(Input!$K$150*(1+vanilla4)^0.5)/A7stdlife))</f>
        <v>0</v>
      </c>
      <c r="M127" s="67">
        <f>IF(A7stdlife="n/a","n/a",IF(M$3&gt;(A7stdlife+$F127),(Input!$K$150*(1+vanilla4)^0.5)-SUM($K127:L127),(Input!$K$150*(1+vanilla4)^0.5)/A7stdlife))</f>
        <v>0</v>
      </c>
      <c r="N127" s="67">
        <f>IF(A7stdlife="n/a","n/a",IF(N$3&gt;(A7stdlife+$F127),(Input!$K$150*(1+vanilla4)^0.5)-SUM($K127:M127),(Input!$K$150*(1+vanilla4)^0.5)/A7stdlife))</f>
        <v>0</v>
      </c>
      <c r="O127" s="67">
        <f>IF(A7stdlife="n/a","n/a",IF(O$3&gt;(A7stdlife+$F127),(Input!$K$150*(1+vanilla4)^0.5)-SUM($K127:N127),(Input!$K$150*(1+vanilla4)^0.5)/A7stdlife))</f>
        <v>0</v>
      </c>
      <c r="P127" s="67">
        <f>IF(A7stdlife="n/a","n/a",IF(P$3&gt;(A7stdlife+$F127),(Input!$K$150*(1+vanilla4)^0.5)-SUM($K127:O127),(Input!$K$150*(1+vanilla4)^0.5)/A7stdlife))</f>
        <v>0</v>
      </c>
      <c r="Q127" s="67">
        <f>IF(A7stdlife="n/a","n/a",IF(Q$3&gt;(A7stdlife+$F127),(Input!$K$150*(1+vanilla4)^0.5)-SUM($K127:P127),(Input!$K$150*(1+vanilla4)^0.5)/A7stdlife))</f>
        <v>0</v>
      </c>
      <c r="R127" s="67"/>
      <c r="S127" s="102"/>
      <c r="T127" s="102"/>
      <c r="U127" s="102"/>
      <c r="V127" s="102"/>
      <c r="W127" s="102"/>
      <c r="X127" s="102"/>
      <c r="Y127" s="102"/>
      <c r="Z127" s="102"/>
      <c r="AA127" s="102"/>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hidden="1" customHeight="1" outlineLevel="2">
      <c r="A128" s="9"/>
      <c r="B128" s="9"/>
      <c r="C128" s="9"/>
      <c r="D128" s="25"/>
      <c r="E128" s="482"/>
      <c r="F128" s="85">
        <v>5</v>
      </c>
      <c r="G128" s="122"/>
      <c r="H128" s="146"/>
      <c r="I128" s="148"/>
      <c r="J128" s="148"/>
      <c r="K128" s="148"/>
      <c r="L128" s="147"/>
      <c r="M128" s="67">
        <f>IF(A7stdlife="n/a","n/a",IF(M$3&gt;(A7stdlife+$F128),(Input!$L$150*(1+vanilla5)^0.5)-SUM($L128:L128),(Input!$L$150*(1+vanilla5)^0.5)/A7stdlife))</f>
        <v>0</v>
      </c>
      <c r="N128" s="67">
        <f>IF(A7stdlife="n/a","n/a",IF(N$3&gt;(A7stdlife+$F128),(Input!$L$150*(1+vanilla5)^0.5)-SUM($L128:M128),(Input!$L$150*(1+vanilla5)^0.5)/A7stdlife))</f>
        <v>0</v>
      </c>
      <c r="O128" s="67">
        <f>IF(A7stdlife="n/a","n/a",IF(O$3&gt;(A7stdlife+$F128),(Input!$L$150*(1+vanilla5)^0.5)-SUM($L128:N128),(Input!$L$150*(1+vanilla5)^0.5)/A7stdlife))</f>
        <v>0</v>
      </c>
      <c r="P128" s="67">
        <f>IF(A7stdlife="n/a","n/a",IF(P$3&gt;(A7stdlife+$F128),(Input!$L$150*(1+vanilla5)^0.5)-SUM($L128:O128),(Input!$L$150*(1+vanilla5)^0.5)/A7stdlife))</f>
        <v>0</v>
      </c>
      <c r="Q128" s="67">
        <f>IF(A7stdlife="n/a","n/a",IF(Q$3&gt;(A7stdlife+$F128),(Input!$L$150*(1+vanilla5)^0.5)-SUM($L128:P128),(Input!$L$150*(1+vanilla5)^0.5)/A7stdlife))</f>
        <v>0</v>
      </c>
      <c r="R128" s="67"/>
      <c r="S128" s="102"/>
      <c r="T128" s="102"/>
      <c r="U128" s="102"/>
      <c r="V128" s="102"/>
      <c r="W128" s="102"/>
      <c r="X128" s="102"/>
      <c r="Y128" s="102"/>
      <c r="Z128" s="102"/>
      <c r="AA128" s="102"/>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482"/>
      <c r="F129" s="85">
        <v>6</v>
      </c>
      <c r="G129" s="122"/>
      <c r="H129" s="146"/>
      <c r="I129" s="148"/>
      <c r="J129" s="148"/>
      <c r="K129" s="148"/>
      <c r="L129" s="148"/>
      <c r="M129" s="147"/>
      <c r="N129" s="67">
        <f>IF(A7stdlife="n/a","n/a",IF(N$3&gt;(A7stdlife+$F129),(Input!$M$150*(1+vanilla6)^0.5)-SUM($M129:M129),(Input!$M$150*(1+vanilla6)^0.5)/A7stdlife))</f>
        <v>0</v>
      </c>
      <c r="O129" s="67">
        <f>IF(A7stdlife="n/a","n/a",IF(O$3&gt;(A7stdlife+$F129),(Input!$M$150*(1+vanilla6)^0.5)-SUM($M129:N129),(Input!$M$150*(1+vanilla6)^0.5)/A7stdlife))</f>
        <v>0</v>
      </c>
      <c r="P129" s="67">
        <f>IF(A7stdlife="n/a","n/a",IF(P$3&gt;(A7stdlife+$F129),(Input!$M$150*(1+vanilla6)^0.5)-SUM($M129:O129),(Input!$M$150*(1+vanilla6)^0.5)/A7stdlife))</f>
        <v>0</v>
      </c>
      <c r="Q129" s="67">
        <f>IF(A7stdlife="n/a","n/a",IF(Q$3&gt;(A7stdlife+$F129),(Input!$M$150*(1+vanilla6)^0.5)-SUM($M129:P129),(Input!$M$150*(1+vanilla6)^0.5)/A7stdlife))</f>
        <v>0</v>
      </c>
      <c r="R129" s="67"/>
      <c r="S129" s="102"/>
      <c r="T129" s="102"/>
      <c r="U129" s="102"/>
      <c r="V129" s="102"/>
      <c r="W129" s="102"/>
      <c r="X129" s="102"/>
      <c r="Y129" s="102"/>
      <c r="Z129" s="102"/>
      <c r="AA129" s="102"/>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hidden="1" customHeight="1" outlineLevel="2">
      <c r="A130" s="9"/>
      <c r="B130" s="9"/>
      <c r="C130" s="9"/>
      <c r="D130" s="25"/>
      <c r="E130" s="482"/>
      <c r="F130" s="85">
        <v>7</v>
      </c>
      <c r="G130" s="122"/>
      <c r="H130" s="146"/>
      <c r="I130" s="148"/>
      <c r="J130" s="148"/>
      <c r="K130" s="148"/>
      <c r="L130" s="148"/>
      <c r="M130" s="148"/>
      <c r="N130" s="147"/>
      <c r="O130" s="67">
        <f>IF(A7stdlife="n/a","n/a",IF(O$3&gt;(A7stdlife+$F130),(Input!$N$150*(1+vanilla7)^0.5)-SUM($N130:N130),(Input!$N$150*(1+vanilla7)^0.5)/A7stdlife))</f>
        <v>0</v>
      </c>
      <c r="P130" s="67">
        <f>IF(A7stdlife="n/a","n/a",IF(P$3&gt;(A7stdlife+$F130),(Input!$N$150*(1+vanilla7)^0.5)-SUM($N130:O130),(Input!$N$150*(1+vanilla7)^0.5)/A7stdlife))</f>
        <v>0</v>
      </c>
      <c r="Q130" s="67">
        <f>IF(A7stdlife="n/a","n/a",IF(Q$3&gt;(A7stdlife+$F130),(Input!$N$150*(1+vanilla7)^0.5)-SUM($N130:P130),(Input!$N$150*(1+vanilla7)^0.5)/A7stdlife))</f>
        <v>0</v>
      </c>
      <c r="R130" s="67"/>
      <c r="S130" s="102"/>
      <c r="T130" s="102"/>
      <c r="U130" s="102"/>
      <c r="V130" s="102"/>
      <c r="W130" s="102"/>
      <c r="X130" s="102"/>
      <c r="Y130" s="102"/>
      <c r="Z130" s="102"/>
      <c r="AA130" s="102"/>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hidden="1" customHeight="1" outlineLevel="2">
      <c r="A131" s="9"/>
      <c r="B131" s="9"/>
      <c r="C131" s="9"/>
      <c r="D131" s="25"/>
      <c r="E131" s="482"/>
      <c r="F131" s="85">
        <v>8</v>
      </c>
      <c r="G131" s="122"/>
      <c r="H131" s="146"/>
      <c r="I131" s="148"/>
      <c r="J131" s="148"/>
      <c r="K131" s="148"/>
      <c r="L131" s="148"/>
      <c r="M131" s="148"/>
      <c r="N131" s="148"/>
      <c r="O131" s="147"/>
      <c r="P131" s="67">
        <f>IF(A7stdlife="n/a","n/a",IF(P$3&gt;(A7stdlife+$F131),(Input!$O$150*(1+vanilla8)^0.5)-SUM($O131:O131),(Input!$O$150*(1+vanilla8)^0.5)/A7stdlife))</f>
        <v>0</v>
      </c>
      <c r="Q131" s="67">
        <f>IF(A7stdlife="n/a","n/a",IF(Q$3&gt;(A7stdlife+$F131),(Input!$O$150*(1+vanilla8)^0.5)-SUM($O131:P131),(Input!$O$150*(1+vanilla8)^0.5)/A7stdlife))</f>
        <v>0</v>
      </c>
      <c r="R131" s="67"/>
      <c r="S131" s="102"/>
      <c r="T131" s="102"/>
      <c r="U131" s="102"/>
      <c r="V131" s="102"/>
      <c r="W131" s="102"/>
      <c r="X131" s="102"/>
      <c r="Y131" s="102"/>
      <c r="Z131" s="102"/>
      <c r="AA131" s="102"/>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hidden="1" customHeight="1" outlineLevel="2">
      <c r="A132" s="9"/>
      <c r="B132" s="9"/>
      <c r="C132" s="9"/>
      <c r="D132" s="25"/>
      <c r="E132" s="482"/>
      <c r="F132" s="85">
        <v>9</v>
      </c>
      <c r="G132" s="122"/>
      <c r="H132" s="146"/>
      <c r="I132" s="148"/>
      <c r="J132" s="148"/>
      <c r="K132" s="148"/>
      <c r="L132" s="148"/>
      <c r="M132" s="148"/>
      <c r="N132" s="148"/>
      <c r="O132" s="148"/>
      <c r="P132" s="147"/>
      <c r="Q132" s="67">
        <f>IF(A7stdlife="n/a","n/a",IF(Q$3&gt;(A7stdlife+$F132),(Input!$P$150*(1+vanilla9)^0.5)-SUM($P132:P132),(Input!$P$150*(1+vanilla9)^0.5)/A7stdlife))</f>
        <v>0</v>
      </c>
      <c r="R132" s="67"/>
      <c r="S132" s="102"/>
      <c r="T132" s="102"/>
      <c r="U132" s="102"/>
      <c r="V132" s="102"/>
      <c r="W132" s="102"/>
      <c r="X132" s="102"/>
      <c r="Y132" s="102"/>
      <c r="Z132" s="102"/>
      <c r="AA132" s="102"/>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hidden="1" customHeight="1" outlineLevel="2">
      <c r="A133" s="9"/>
      <c r="B133" s="9"/>
      <c r="C133" s="9"/>
      <c r="D133" s="25"/>
      <c r="E133" s="482"/>
      <c r="F133" s="86">
        <v>10</v>
      </c>
      <c r="G133" s="122"/>
      <c r="H133" s="146"/>
      <c r="I133" s="148"/>
      <c r="J133" s="148"/>
      <c r="K133" s="148"/>
      <c r="L133" s="148"/>
      <c r="M133" s="148"/>
      <c r="N133" s="148"/>
      <c r="O133" s="148"/>
      <c r="P133" s="148"/>
      <c r="Q133" s="147"/>
      <c r="R133" s="67"/>
      <c r="S133" s="102"/>
      <c r="T133" s="102"/>
      <c r="U133" s="102"/>
      <c r="V133" s="102"/>
      <c r="W133" s="102"/>
      <c r="X133" s="102"/>
      <c r="Y133" s="102"/>
      <c r="Z133" s="102"/>
      <c r="AA133" s="102"/>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hidden="1" customHeight="1" outlineLevel="1">
      <c r="A134" s="9"/>
      <c r="B134" s="9"/>
      <c r="C134" s="9"/>
      <c r="D134" s="25" t="str">
        <f>Asset7</f>
        <v>Customer Metering and Load Control</v>
      </c>
      <c r="E134" s="9"/>
      <c r="F134" s="9"/>
      <c r="G134" s="122"/>
      <c r="H134" s="165">
        <f>-SUM(H122:H133)</f>
        <v>-12.076570485803844</v>
      </c>
      <c r="I134" s="165">
        <f>-SUM(I122:I133)</f>
        <v>-12.093586748649965</v>
      </c>
      <c r="J134" s="165">
        <f>-SUM(J122:J133)</f>
        <v>-12.093586748649965</v>
      </c>
      <c r="K134" s="165">
        <f>-SUM(K122:K133)</f>
        <v>-12.093586748649965</v>
      </c>
      <c r="L134" s="165">
        <f>-SUM(L122:L133)</f>
        <v>-12.093586748649965</v>
      </c>
      <c r="M134" s="165">
        <f>IF(Input!M174&gt;0, -SUM(M122:M133), 0)</f>
        <v>0</v>
      </c>
      <c r="N134" s="165">
        <f>IF(Input!N174&gt;0, -SUM(N122:N133), 0)</f>
        <v>0</v>
      </c>
      <c r="O134" s="165">
        <f>IF(Input!O174&gt;0, -SUM(O122:O133), 0)</f>
        <v>0</v>
      </c>
      <c r="P134" s="165">
        <f>IF(Input!P174&gt;0, -SUM(P122:P133), 0)</f>
        <v>0</v>
      </c>
      <c r="Q134" s="165">
        <f>IF(Input!Q174&gt;0, -SUM(Q122:Q133), 0)</f>
        <v>0</v>
      </c>
      <c r="R134" s="65"/>
      <c r="S134" s="104"/>
      <c r="T134" s="104"/>
      <c r="U134" s="104"/>
      <c r="V134" s="104"/>
      <c r="W134" s="104"/>
      <c r="X134" s="104"/>
      <c r="Y134" s="104"/>
      <c r="Z134" s="104"/>
      <c r="AA134" s="104"/>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104"/>
      <c r="BE134" s="104"/>
      <c r="BF134" s="104"/>
      <c r="BG134" s="104"/>
      <c r="BH134" s="104"/>
      <c r="BI134" s="104"/>
      <c r="BJ134" s="104"/>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hidden="1" customHeight="1" outlineLevel="2">
      <c r="A135" s="9"/>
      <c r="B135" s="9"/>
      <c r="C135" s="31" t="str">
        <f>Asset8</f>
        <v>Customer Metering (digital)</v>
      </c>
      <c r="D135" s="161"/>
      <c r="E135" s="33" t="s">
        <v>28</v>
      </c>
      <c r="F135" s="32"/>
      <c r="G135" s="174"/>
      <c r="H135" s="66" t="str">
        <f>IF(H$3&gt;A8remlife,A8value-SUM($G135:G135),IF(A8remlife="N/A","n/a",A8value/A8remlife))</f>
        <v>n/a</v>
      </c>
      <c r="I135" s="66" t="str">
        <f>IF(I$3&gt;A8remlife,A8value-SUM($G135:H135),IF(A8remlife="N/A","n/a",A8value/A8remlife))</f>
        <v>n/a</v>
      </c>
      <c r="J135" s="66" t="str">
        <f>IF(J$3&gt;A8remlife,A8value-SUM($G135:I135),IF(A8remlife="N/A","n/a",A8value/A8remlife))</f>
        <v>n/a</v>
      </c>
      <c r="K135" s="66" t="str">
        <f>IF(K$3&gt;A8remlife,A8value-SUM($G135:J135),IF(A8remlife="N/A","n/a",A8value/A8remlife))</f>
        <v>n/a</v>
      </c>
      <c r="L135" s="66" t="str">
        <f>IF(L$3&gt;A8remlife,A8value-SUM($G135:K135),IF(A8remlife="N/A","n/a",A8value/A8remlife))</f>
        <v>n/a</v>
      </c>
      <c r="M135" s="66" t="str">
        <f>IF(M$3&gt;A8remlife,A8value-SUM($G135:L135),IF(A8remlife="N/A","n/a",A8value/A8remlife))</f>
        <v>n/a</v>
      </c>
      <c r="N135" s="66" t="str">
        <f>IF(N$3&gt;A8remlife,A8value-SUM($G135:M135),IF(A8remlife="N/A","n/a",A8value/A8remlife))</f>
        <v>n/a</v>
      </c>
      <c r="O135" s="66" t="str">
        <f>IF(O$3&gt;A8remlife,A8value-SUM($G135:N135),IF(A8remlife="N/A","n/a",A8value/A8remlife))</f>
        <v>n/a</v>
      </c>
      <c r="P135" s="66" t="str">
        <f>IF(P$3&gt;A8remlife,A8value-SUM($G135:O135),IF(A8remlife="N/A","n/a",A8value/A8remlife))</f>
        <v>n/a</v>
      </c>
      <c r="Q135" s="66" t="str">
        <f>IF(Q$3&gt;A8remlife,A8value-SUM($G135:P135),IF(A8remlife="N/A","n/a",A8value/A8remlife))</f>
        <v>n/a</v>
      </c>
      <c r="R135" s="66"/>
      <c r="S135" s="102"/>
      <c r="T135" s="102"/>
      <c r="U135" s="102"/>
      <c r="V135" s="102"/>
      <c r="W135" s="102"/>
      <c r="X135" s="102"/>
      <c r="Y135" s="102"/>
      <c r="Z135" s="102"/>
      <c r="AA135" s="102"/>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5"/>
      <c r="E136" s="481" t="s">
        <v>83</v>
      </c>
      <c r="F136" s="85">
        <v>0</v>
      </c>
      <c r="G136" s="122"/>
      <c r="H136" s="67"/>
      <c r="I136" s="67"/>
      <c r="J136" s="67"/>
      <c r="K136" s="67"/>
      <c r="L136" s="67"/>
      <c r="M136" s="163"/>
      <c r="N136" s="111"/>
      <c r="O136" s="67"/>
      <c r="P136" s="67"/>
      <c r="Q136" s="67"/>
      <c r="R136" s="67"/>
      <c r="S136" s="102"/>
      <c r="T136" s="102"/>
      <c r="U136" s="102"/>
      <c r="V136" s="102"/>
      <c r="W136" s="102"/>
      <c r="X136" s="102"/>
      <c r="Y136" s="102"/>
      <c r="Z136" s="102"/>
      <c r="AA136" s="102"/>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102"/>
      <c r="BE136" s="102"/>
      <c r="BF136" s="102"/>
      <c r="BG136" s="102"/>
      <c r="BH136" s="102"/>
      <c r="BI136" s="102"/>
      <c r="BJ136" s="102"/>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hidden="1" customHeight="1" outlineLevel="2">
      <c r="A137" s="9"/>
      <c r="B137" s="9"/>
      <c r="C137" s="9"/>
      <c r="D137" s="25"/>
      <c r="E137" s="482"/>
      <c r="F137" s="85">
        <v>1</v>
      </c>
      <c r="G137" s="122"/>
      <c r="H137" s="145"/>
      <c r="I137" s="67">
        <f>IF(A8stdlife="n/a","n/a",IF(I$3&gt;(A8stdlife+$F137),(Input!$H$151*(1+vanilla1)^0.5)-SUM($H137:H137),(Input!$H$151*(1+vanilla1)^0.5)/A8stdlife))</f>
        <v>1.4978995700684747</v>
      </c>
      <c r="J137" s="67">
        <f>IF(A8stdlife="n/a","n/a",IF(J$3&gt;(A8stdlife+$F137),(Input!$H$151*(1+vanilla1)^0.5)-SUM($H137:I137),(Input!$H$151*(1+vanilla1)^0.5)/A8stdlife))</f>
        <v>1.4978995700684747</v>
      </c>
      <c r="K137" s="67">
        <f>IF(A8stdlife="n/a","n/a",IF(K$3&gt;(A8stdlife+$F137),(Input!$H$151*(1+vanilla1)^0.5)-SUM($H137:J137),(Input!$H$151*(1+vanilla1)^0.5)/A8stdlife))</f>
        <v>1.4978995700684747</v>
      </c>
      <c r="L137" s="67">
        <f>IF(A8stdlife="n/a","n/a",IF(L$3&gt;(A8stdlife+$F137),(Input!$H$151*(1+vanilla1)^0.5)-SUM($H137:K137),(Input!$H$151*(1+vanilla1)^0.5)/A8stdlife))</f>
        <v>1.4978995700684747</v>
      </c>
      <c r="M137" s="67">
        <f>IF(A8stdlife="n/a","n/a",IF(M$3&gt;(A8stdlife+$F137),(Input!$H$151*(1+vanilla1)^0.5)-SUM($H137:L137),(Input!$H$151*(1+vanilla1)^0.5)/A8stdlife))</f>
        <v>1.4978995700684747</v>
      </c>
      <c r="N137" s="67">
        <f>IF(A8stdlife="n/a","n/a",IF(N$3&gt;(A8stdlife+$F137),(Input!$H$151*(1+vanilla1)^0.5)-SUM($H137:M137),(Input!$H$151*(1+vanilla1)^0.5)/A8stdlife))</f>
        <v>1.4978995700684747</v>
      </c>
      <c r="O137" s="67">
        <f>IF(A8stdlife="n/a","n/a",IF(O$3&gt;(A8stdlife+$F137),(Input!$H$151*(1+vanilla1)^0.5)-SUM($H137:N137),(Input!$H$151*(1+vanilla1)^0.5)/A8stdlife))</f>
        <v>1.4978995700684747</v>
      </c>
      <c r="P137" s="67">
        <f>IF(A8stdlife="n/a","n/a",IF(P$3&gt;(A8stdlife+$F137),(Input!$H$151*(1+vanilla1)^0.5)-SUM($H137:O137),(Input!$H$151*(1+vanilla1)^0.5)/A8stdlife))</f>
        <v>1.4978995700684747</v>
      </c>
      <c r="Q137" s="67">
        <f>IF(A8stdlife="n/a","n/a",IF(Q$3&gt;(A8stdlife+$F137),(Input!$H$151*(1+vanilla1)^0.5)-SUM($H137:P137),(Input!$H$151*(1+vanilla1)^0.5)/A8stdlife))</f>
        <v>1.4978995700684747</v>
      </c>
      <c r="R137" s="67"/>
      <c r="S137" s="102"/>
      <c r="T137" s="102"/>
      <c r="U137" s="102"/>
      <c r="V137" s="102"/>
      <c r="W137" s="102"/>
      <c r="X137" s="102"/>
      <c r="Y137" s="102"/>
      <c r="Z137" s="102"/>
      <c r="AA137" s="102"/>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482"/>
      <c r="F138" s="85">
        <v>2</v>
      </c>
      <c r="G138" s="122"/>
      <c r="H138" s="146"/>
      <c r="I138" s="147"/>
      <c r="J138" s="67">
        <f>IF(A8stdlife="n/a","n/a",IF(J$3&gt;(A8stdlife+$F138),(Input!$I$151*(1+vanilla2)^0.5)-SUM($I138:I138),(Input!$I$151*(1+vanilla2)^0.5)/A8stdlife))</f>
        <v>1.9534597390071908</v>
      </c>
      <c r="K138" s="67">
        <f>IF(A8stdlife="n/a","n/a",IF(K$3&gt;(A8stdlife+$F138),(Input!$I$151*(1+vanilla2)^0.5)-SUM($I138:J138),(Input!$I$151*(1+vanilla2)^0.5)/A8stdlife))</f>
        <v>1.9534597390071908</v>
      </c>
      <c r="L138" s="67">
        <f>IF(A8stdlife="n/a","n/a",IF(L$3&gt;(A8stdlife+$F138),(Input!$I$151*(1+vanilla2)^0.5)-SUM($I138:K138),(Input!$I$151*(1+vanilla2)^0.5)/A8stdlife))</f>
        <v>1.9534597390071908</v>
      </c>
      <c r="M138" s="67">
        <f>IF(A8stdlife="n/a","n/a",IF(M$3&gt;(A8stdlife+$F138),(Input!$I$151*(1+vanilla2)^0.5)-SUM($I138:L138),(Input!$I$151*(1+vanilla2)^0.5)/A8stdlife))</f>
        <v>1.9534597390071908</v>
      </c>
      <c r="N138" s="67">
        <f>IF(A8stdlife="n/a","n/a",IF(N$3&gt;(A8stdlife+$F138),(Input!$I$151*(1+vanilla2)^0.5)-SUM($I138:M138),(Input!$I$151*(1+vanilla2)^0.5)/A8stdlife))</f>
        <v>1.9534597390071908</v>
      </c>
      <c r="O138" s="67">
        <f>IF(A8stdlife="n/a","n/a",IF(O$3&gt;(A8stdlife+$F138),(Input!$I$151*(1+vanilla2)^0.5)-SUM($I138:N138),(Input!$I$151*(1+vanilla2)^0.5)/A8stdlife))</f>
        <v>1.9534597390071908</v>
      </c>
      <c r="P138" s="67">
        <f>IF(A8stdlife="n/a","n/a",IF(P$3&gt;(A8stdlife+$F138),(Input!$I$151*(1+vanilla2)^0.5)-SUM($I138:O138),(Input!$I$151*(1+vanilla2)^0.5)/A8stdlife))</f>
        <v>1.9534597390071908</v>
      </c>
      <c r="Q138" s="67">
        <f>IF(A8stdlife="n/a","n/a",IF(Q$3&gt;(A8stdlife+$F138),(Input!$I$151*(1+vanilla2)^0.5)-SUM($I138:P138),(Input!$I$151*(1+vanilla2)^0.5)/A8stdlife))</f>
        <v>1.9534597390071908</v>
      </c>
      <c r="R138" s="67"/>
      <c r="S138" s="102"/>
      <c r="T138" s="102"/>
      <c r="U138" s="102"/>
      <c r="V138" s="102"/>
      <c r="W138" s="102"/>
      <c r="X138" s="102"/>
      <c r="Y138" s="102"/>
      <c r="Z138" s="102"/>
      <c r="AA138" s="102"/>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hidden="1" customHeight="1" outlineLevel="2">
      <c r="A139" s="9"/>
      <c r="B139" s="9"/>
      <c r="C139" s="9"/>
      <c r="D139" s="25"/>
      <c r="E139" s="482"/>
      <c r="F139" s="85">
        <v>3</v>
      </c>
      <c r="G139" s="122"/>
      <c r="H139" s="146"/>
      <c r="I139" s="148"/>
      <c r="J139" s="147"/>
      <c r="K139" s="67">
        <f>IF(A8stdlife="n/a","n/a",IF(K$3&gt;(A8stdlife+$F139),(Input!$J$151*(1+vanilla3)^0.5)-SUM($J139:J139),(Input!$J$151*(1+vanilla3)^0.5)/A8stdlife))</f>
        <v>1.4028523695940509</v>
      </c>
      <c r="L139" s="67">
        <f>IF(A8stdlife="n/a","n/a",IF(L$3&gt;(A8stdlife+$F139),(Input!$J$151*(1+vanilla3)^0.5)-SUM($J139:K139),(Input!$J$151*(1+vanilla3)^0.5)/A8stdlife))</f>
        <v>1.4028523695940509</v>
      </c>
      <c r="M139" s="67">
        <f>IF(A8stdlife="n/a","n/a",IF(M$3&gt;(A8stdlife+$F139),(Input!$J$151*(1+vanilla3)^0.5)-SUM($J139:L139),(Input!$J$151*(1+vanilla3)^0.5)/A8stdlife))</f>
        <v>1.4028523695940509</v>
      </c>
      <c r="N139" s="67">
        <f>IF(A8stdlife="n/a","n/a",IF(N$3&gt;(A8stdlife+$F139),(Input!$J$151*(1+vanilla3)^0.5)-SUM($J139:M139),(Input!$J$151*(1+vanilla3)^0.5)/A8stdlife))</f>
        <v>1.4028523695940509</v>
      </c>
      <c r="O139" s="67">
        <f>IF(A8stdlife="n/a","n/a",IF(O$3&gt;(A8stdlife+$F139),(Input!$J$151*(1+vanilla3)^0.5)-SUM($J139:N139),(Input!$J$151*(1+vanilla3)^0.5)/A8stdlife))</f>
        <v>1.4028523695940509</v>
      </c>
      <c r="P139" s="67">
        <f>IF(A8stdlife="n/a","n/a",IF(P$3&gt;(A8stdlife+$F139),(Input!$J$151*(1+vanilla3)^0.5)-SUM($J139:O139),(Input!$J$151*(1+vanilla3)^0.5)/A8stdlife))</f>
        <v>1.4028523695940509</v>
      </c>
      <c r="Q139" s="67">
        <f>IF(A8stdlife="n/a","n/a",IF(Q$3&gt;(A8stdlife+$F139),(Input!$J$151*(1+vanilla3)^0.5)-SUM($J139:P139),(Input!$J$151*(1+vanilla3)^0.5)/A8stdlife))</f>
        <v>1.4028523695940509</v>
      </c>
      <c r="R139" s="67"/>
      <c r="S139" s="102"/>
      <c r="T139" s="102"/>
      <c r="U139" s="102"/>
      <c r="V139" s="102"/>
      <c r="W139" s="102"/>
      <c r="X139" s="102"/>
      <c r="Y139" s="102"/>
      <c r="Z139" s="102"/>
      <c r="AA139" s="102"/>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hidden="1" customHeight="1" outlineLevel="2">
      <c r="A140" s="9"/>
      <c r="B140" s="9"/>
      <c r="C140" s="9"/>
      <c r="D140" s="25"/>
      <c r="E140" s="482"/>
      <c r="F140" s="85">
        <v>4</v>
      </c>
      <c r="G140" s="122"/>
      <c r="H140" s="146"/>
      <c r="I140" s="148"/>
      <c r="J140" s="148"/>
      <c r="K140" s="147"/>
      <c r="L140" s="67">
        <f>IF(A8stdlife="n/a","n/a",IF(L$3&gt;(A8stdlife+$F140),(Input!$K$151*(1+vanilla4)^0.5)-SUM($K140:K140),(Input!$K$151*(1+vanilla4)^0.5)/A8stdlife))</f>
        <v>1.002673976877039</v>
      </c>
      <c r="M140" s="67">
        <f>IF(A8stdlife="n/a","n/a",IF(M$3&gt;(A8stdlife+$F140),(Input!$K$151*(1+vanilla4)^0.5)-SUM($K140:L140),(Input!$K$151*(1+vanilla4)^0.5)/A8stdlife))</f>
        <v>1.002673976877039</v>
      </c>
      <c r="N140" s="67">
        <f>IF(A8stdlife="n/a","n/a",IF(N$3&gt;(A8stdlife+$F140),(Input!$K$151*(1+vanilla4)^0.5)-SUM($K140:M140),(Input!$K$151*(1+vanilla4)^0.5)/A8stdlife))</f>
        <v>1.002673976877039</v>
      </c>
      <c r="O140" s="67">
        <f>IF(A8stdlife="n/a","n/a",IF(O$3&gt;(A8stdlife+$F140),(Input!$K$151*(1+vanilla4)^0.5)-SUM($K140:N140),(Input!$K$151*(1+vanilla4)^0.5)/A8stdlife))</f>
        <v>1.002673976877039</v>
      </c>
      <c r="P140" s="67">
        <f>IF(A8stdlife="n/a","n/a",IF(P$3&gt;(A8stdlife+$F140),(Input!$K$151*(1+vanilla4)^0.5)-SUM($K140:O140),(Input!$K$151*(1+vanilla4)^0.5)/A8stdlife))</f>
        <v>1.002673976877039</v>
      </c>
      <c r="Q140" s="67">
        <f>IF(A8stdlife="n/a","n/a",IF(Q$3&gt;(A8stdlife+$F140),(Input!$K$151*(1+vanilla4)^0.5)-SUM($K140:P140),(Input!$K$151*(1+vanilla4)^0.5)/A8stdlife))</f>
        <v>1.002673976877039</v>
      </c>
      <c r="R140" s="67"/>
      <c r="S140" s="102"/>
      <c r="T140" s="102"/>
      <c r="U140" s="102"/>
      <c r="V140" s="102"/>
      <c r="W140" s="102"/>
      <c r="X140" s="102"/>
      <c r="Y140" s="102"/>
      <c r="Z140" s="102"/>
      <c r="AA140" s="102"/>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hidden="1" customHeight="1" outlineLevel="2">
      <c r="A141" s="9"/>
      <c r="B141" s="9"/>
      <c r="C141" s="9"/>
      <c r="D141" s="25"/>
      <c r="E141" s="482"/>
      <c r="F141" s="85">
        <v>5</v>
      </c>
      <c r="G141" s="122"/>
      <c r="H141" s="146"/>
      <c r="I141" s="148"/>
      <c r="J141" s="148"/>
      <c r="K141" s="148"/>
      <c r="L141" s="147"/>
      <c r="M141" s="67">
        <f>IF(A8stdlife="n/a","n/a",IF(M$3&gt;(A8stdlife+$F141),(Input!$L$151*(1+vanilla5)^0.5)-SUM($L141:L141),(Input!$L$151*(1+vanilla5)^0.5)/A8stdlife))</f>
        <v>1.0396098706651231</v>
      </c>
      <c r="N141" s="67">
        <f>IF(A8stdlife="n/a","n/a",IF(N$3&gt;(A8stdlife+$F141),(Input!$L$151*(1+vanilla5)^0.5)-SUM($L141:M141),(Input!$L$151*(1+vanilla5)^0.5)/A8stdlife))</f>
        <v>1.0396098706651231</v>
      </c>
      <c r="O141" s="67">
        <f>IF(A8stdlife="n/a","n/a",IF(O$3&gt;(A8stdlife+$F141),(Input!$L$151*(1+vanilla5)^0.5)-SUM($L141:N141),(Input!$L$151*(1+vanilla5)^0.5)/A8stdlife))</f>
        <v>1.0396098706651231</v>
      </c>
      <c r="P141" s="67">
        <f>IF(A8stdlife="n/a","n/a",IF(P$3&gt;(A8stdlife+$F141),(Input!$L$151*(1+vanilla5)^0.5)-SUM($L141:O141),(Input!$L$151*(1+vanilla5)^0.5)/A8stdlife))</f>
        <v>1.0396098706651231</v>
      </c>
      <c r="Q141" s="67">
        <f>IF(A8stdlife="n/a","n/a",IF(Q$3&gt;(A8stdlife+$F141),(Input!$L$151*(1+vanilla5)^0.5)-SUM($L141:P141),(Input!$L$151*(1+vanilla5)^0.5)/A8stdlife))</f>
        <v>1.0396098706651231</v>
      </c>
      <c r="R141" s="67"/>
      <c r="S141" s="102"/>
      <c r="T141" s="102"/>
      <c r="U141" s="102"/>
      <c r="V141" s="102"/>
      <c r="W141" s="102"/>
      <c r="X141" s="102"/>
      <c r="Y141" s="102"/>
      <c r="Z141" s="102"/>
      <c r="AA141" s="102"/>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482"/>
      <c r="F142" s="85">
        <v>6</v>
      </c>
      <c r="G142" s="122"/>
      <c r="H142" s="146"/>
      <c r="I142" s="148"/>
      <c r="J142" s="148"/>
      <c r="K142" s="148"/>
      <c r="L142" s="148"/>
      <c r="M142" s="147"/>
      <c r="N142" s="67">
        <f>IF(A8stdlife="n/a","n/a",IF(N$3&gt;(A8stdlife+$F142),(Input!$M$151*(1+vanilla6)^0.5)-SUM($M142:M142),(Input!$M$151*(1+vanilla6)^0.5)/A8stdlife))</f>
        <v>0</v>
      </c>
      <c r="O142" s="67">
        <f>IF(A8stdlife="n/a","n/a",IF(O$3&gt;(A8stdlife+$F142),(Input!$M$151*(1+vanilla6)^0.5)-SUM($M142:N142),(Input!$M$151*(1+vanilla6)^0.5)/A8stdlife))</f>
        <v>0</v>
      </c>
      <c r="P142" s="67">
        <f>IF(A8stdlife="n/a","n/a",IF(P$3&gt;(A8stdlife+$F142),(Input!$M$151*(1+vanilla6)^0.5)-SUM($M142:O142),(Input!$M$151*(1+vanilla6)^0.5)/A8stdlife))</f>
        <v>0</v>
      </c>
      <c r="Q142" s="67">
        <f>IF(A8stdlife="n/a","n/a",IF(Q$3&gt;(A8stdlife+$F142),(Input!$M$151*(1+vanilla6)^0.5)-SUM($M142:P142),(Input!$M$151*(1+vanilla6)^0.5)/A8stdlife))</f>
        <v>0</v>
      </c>
      <c r="R142" s="67"/>
      <c r="S142" s="102"/>
      <c r="T142" s="102"/>
      <c r="U142" s="102"/>
      <c r="V142" s="102"/>
      <c r="W142" s="102"/>
      <c r="X142" s="102"/>
      <c r="Y142" s="102"/>
      <c r="Z142" s="102"/>
      <c r="AA142" s="102"/>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9"/>
      <c r="D143" s="25"/>
      <c r="E143" s="482"/>
      <c r="F143" s="85">
        <v>7</v>
      </c>
      <c r="G143" s="122"/>
      <c r="H143" s="146"/>
      <c r="I143" s="148"/>
      <c r="J143" s="148"/>
      <c r="K143" s="148"/>
      <c r="L143" s="148"/>
      <c r="M143" s="148"/>
      <c r="N143" s="147"/>
      <c r="O143" s="67">
        <f>IF(A8stdlife="n/a","n/a",IF(O$3&gt;(A8stdlife+$F143),(Input!$N$151*(1+vanilla7)^0.5)-SUM($N143:N143),(Input!$N$151*(1+vanilla7)^0.5)/A8stdlife))</f>
        <v>0</v>
      </c>
      <c r="P143" s="67">
        <f>IF(A8stdlife="n/a","n/a",IF(P$3&gt;(A8stdlife+$F143),(Input!$N$151*(1+vanilla7)^0.5)-SUM($N143:O143),(Input!$N$151*(1+vanilla7)^0.5)/A8stdlife))</f>
        <v>0</v>
      </c>
      <c r="Q143" s="67">
        <f>IF(A8stdlife="n/a","n/a",IF(Q$3&gt;(A8stdlife+$F143),(Input!$N$151*(1+vanilla7)^0.5)-SUM($N143:P143),(Input!$N$151*(1+vanilla7)^0.5)/A8stdlife))</f>
        <v>0</v>
      </c>
      <c r="R143" s="67"/>
      <c r="S143" s="102"/>
      <c r="T143" s="102"/>
      <c r="U143" s="102"/>
      <c r="V143" s="102"/>
      <c r="W143" s="102"/>
      <c r="X143" s="102"/>
      <c r="Y143" s="102"/>
      <c r="Z143" s="102"/>
      <c r="AA143" s="102"/>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9"/>
      <c r="D144" s="25"/>
      <c r="E144" s="482"/>
      <c r="F144" s="85">
        <v>8</v>
      </c>
      <c r="G144" s="122"/>
      <c r="H144" s="146"/>
      <c r="I144" s="148"/>
      <c r="J144" s="148"/>
      <c r="K144" s="148"/>
      <c r="L144" s="148"/>
      <c r="M144" s="148"/>
      <c r="N144" s="148"/>
      <c r="O144" s="147"/>
      <c r="P144" s="67">
        <f>IF(A8stdlife="n/a","n/a",IF(P$3&gt;(A8stdlife+$F144),(Input!$O$151*(1+vanilla8)^0.5)-SUM($O144:O144),(Input!$O$151*(1+vanilla8)^0.5)/A8stdlife))</f>
        <v>0</v>
      </c>
      <c r="Q144" s="67">
        <f>IF(A8stdlife="n/a","n/a",IF(Q$3&gt;(A8stdlife+$F144),(Input!$O$151*(1+vanilla8)^0.5)-SUM($O144:P144),(Input!$O$151*(1+vanilla8)^0.5)/A8stdlife))</f>
        <v>0</v>
      </c>
      <c r="R144" s="67"/>
      <c r="S144" s="102"/>
      <c r="T144" s="102"/>
      <c r="U144" s="102"/>
      <c r="V144" s="102"/>
      <c r="W144" s="102"/>
      <c r="X144" s="102"/>
      <c r="Y144" s="102"/>
      <c r="Z144" s="102"/>
      <c r="AA144" s="102"/>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9"/>
      <c r="D145" s="25"/>
      <c r="E145" s="482"/>
      <c r="F145" s="85">
        <v>9</v>
      </c>
      <c r="G145" s="122"/>
      <c r="H145" s="146"/>
      <c r="I145" s="148"/>
      <c r="J145" s="148"/>
      <c r="K145" s="148"/>
      <c r="L145" s="148"/>
      <c r="M145" s="148"/>
      <c r="N145" s="148"/>
      <c r="O145" s="148"/>
      <c r="P145" s="147"/>
      <c r="Q145" s="67">
        <f>IF(A8stdlife="n/a","n/a",IF(Q$3&gt;(A8stdlife+$F145),(Input!$P$151*(1+vanilla9)^0.5)-SUM($P145:P145),(Input!$P$151*(1+vanilla9)^0.5)/A8stdlife))</f>
        <v>0</v>
      </c>
      <c r="R145" s="67"/>
      <c r="S145" s="102"/>
      <c r="T145" s="102"/>
      <c r="U145" s="102"/>
      <c r="V145" s="102"/>
      <c r="W145" s="102"/>
      <c r="X145" s="102"/>
      <c r="Y145" s="102"/>
      <c r="Z145" s="102"/>
      <c r="AA145" s="102"/>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9"/>
      <c r="D146" s="25"/>
      <c r="E146" s="482"/>
      <c r="F146" s="86">
        <v>10</v>
      </c>
      <c r="G146" s="122"/>
      <c r="H146" s="146"/>
      <c r="I146" s="148"/>
      <c r="J146" s="148"/>
      <c r="K146" s="148"/>
      <c r="L146" s="148"/>
      <c r="M146" s="148"/>
      <c r="N146" s="148"/>
      <c r="O146" s="148"/>
      <c r="P146" s="148"/>
      <c r="Q146" s="147"/>
      <c r="R146" s="67"/>
      <c r="S146" s="102"/>
      <c r="T146" s="102"/>
      <c r="U146" s="102"/>
      <c r="V146" s="102"/>
      <c r="W146" s="102"/>
      <c r="X146" s="102"/>
      <c r="Y146" s="102"/>
      <c r="Z146" s="102"/>
      <c r="AA146" s="102"/>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1">
      <c r="A147" s="9"/>
      <c r="B147" s="9"/>
      <c r="C147" s="9"/>
      <c r="D147" s="25" t="str">
        <f>Asset8</f>
        <v>Customer Metering (digital)</v>
      </c>
      <c r="E147" s="9"/>
      <c r="F147" s="9"/>
      <c r="G147" s="122"/>
      <c r="H147" s="165">
        <f>-SUM(H135:H146)</f>
        <v>0</v>
      </c>
      <c r="I147" s="165">
        <f>-SUM(I135:I146)</f>
        <v>-1.4978995700684747</v>
      </c>
      <c r="J147" s="165">
        <f>-SUM(J135:J146)</f>
        <v>-3.4513593090756656</v>
      </c>
      <c r="K147" s="165">
        <f>-SUM(K135:K146)</f>
        <v>-4.8542116786697163</v>
      </c>
      <c r="L147" s="165">
        <f>-SUM(L135:L146)</f>
        <v>-5.8568856555467548</v>
      </c>
      <c r="M147" s="165">
        <f>IF(Input!M174&gt;0, -SUM(M135:M146), 0)</f>
        <v>0</v>
      </c>
      <c r="N147" s="165">
        <f>IF(Input!N174&gt;0, -SUM(N135:N146), 0)</f>
        <v>0</v>
      </c>
      <c r="O147" s="165">
        <f>IF(Input!O174&gt;0, -SUM(O135:O146), 0)</f>
        <v>0</v>
      </c>
      <c r="P147" s="165">
        <f>IF(Input!P174&gt;0, -SUM(P135:P146), 0)</f>
        <v>0</v>
      </c>
      <c r="Q147" s="165">
        <f>IF(Input!Q174&gt;0, -SUM(Q135:Q146), 0)</f>
        <v>0</v>
      </c>
      <c r="R147" s="65"/>
      <c r="S147" s="104"/>
      <c r="T147" s="104"/>
      <c r="U147" s="104"/>
      <c r="V147" s="104"/>
      <c r="W147" s="104"/>
      <c r="X147" s="104"/>
      <c r="Y147" s="104"/>
      <c r="Z147" s="104"/>
      <c r="AA147" s="104"/>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104"/>
      <c r="BE147" s="104"/>
      <c r="BF147" s="104"/>
      <c r="BG147" s="104"/>
      <c r="BH147" s="104"/>
      <c r="BI147" s="104"/>
      <c r="BJ147" s="104"/>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31" t="str">
        <f>Asset9</f>
        <v>Communications (digital) - dx</v>
      </c>
      <c r="D148" s="161"/>
      <c r="E148" s="33" t="s">
        <v>28</v>
      </c>
      <c r="F148" s="32"/>
      <c r="G148" s="174"/>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2"/>
      <c r="T148" s="102"/>
      <c r="U148" s="102"/>
      <c r="V148" s="102"/>
      <c r="W148" s="102"/>
      <c r="X148" s="102"/>
      <c r="Y148" s="102"/>
      <c r="Z148" s="102"/>
      <c r="AA148" s="102"/>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5"/>
      <c r="E149" s="481" t="s">
        <v>83</v>
      </c>
      <c r="F149" s="85">
        <v>0</v>
      </c>
      <c r="G149" s="122"/>
      <c r="H149" s="67"/>
      <c r="I149" s="67"/>
      <c r="J149" s="67"/>
      <c r="K149" s="67"/>
      <c r="L149" s="67"/>
      <c r="M149" s="163"/>
      <c r="N149" s="111"/>
      <c r="O149" s="67"/>
      <c r="P149" s="67"/>
      <c r="Q149" s="67"/>
      <c r="R149" s="67"/>
      <c r="S149" s="102"/>
      <c r="T149" s="102"/>
      <c r="U149" s="102"/>
      <c r="V149" s="102"/>
      <c r="W149" s="102"/>
      <c r="X149" s="102"/>
      <c r="Y149" s="102"/>
      <c r="Z149" s="102"/>
      <c r="AA149" s="102"/>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102"/>
      <c r="BE149" s="102"/>
      <c r="BF149" s="102"/>
      <c r="BG149" s="102"/>
      <c r="BH149" s="102"/>
      <c r="BI149" s="102"/>
      <c r="BJ149" s="102"/>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9"/>
      <c r="D150" s="25"/>
      <c r="E150" s="482"/>
      <c r="F150" s="85">
        <v>1</v>
      </c>
      <c r="G150" s="122"/>
      <c r="H150" s="145"/>
      <c r="I150" s="67">
        <f>IF(A9stdlife="n/a","n/a",IF(I$3&gt;(A9stdlife+$F150),(Input!$H$152*(1+vanilla1)^0.5)-SUM($H150:H150),(Input!$H$152*(1+vanilla1)^0.5)/A9stdlife))</f>
        <v>2.1306151420881174</v>
      </c>
      <c r="J150" s="67">
        <f>IF(A9stdlife="n/a","n/a",IF(J$3&gt;(A9stdlife+$F150),(Input!$H$152*(1+vanilla1)^0.5)-SUM($H150:I150),(Input!$H$152*(1+vanilla1)^0.5)/A9stdlife))</f>
        <v>2.1306151420881174</v>
      </c>
      <c r="K150" s="67">
        <f>IF(A9stdlife="n/a","n/a",IF(K$3&gt;(A9stdlife+$F150),(Input!$H$152*(1+vanilla1)^0.5)-SUM($H150:J150),(Input!$H$152*(1+vanilla1)^0.5)/A9stdlife))</f>
        <v>2.1306151420881174</v>
      </c>
      <c r="L150" s="67">
        <f>IF(A9stdlife="n/a","n/a",IF(L$3&gt;(A9stdlife+$F150),(Input!$H$152*(1+vanilla1)^0.5)-SUM($H150:K150),(Input!$H$152*(1+vanilla1)^0.5)/A9stdlife))</f>
        <v>2.1306151420881174</v>
      </c>
      <c r="M150" s="67">
        <f>IF(A9stdlife="n/a","n/a",IF(M$3&gt;(A9stdlife+$F150),(Input!$H$152*(1+vanilla1)^0.5)-SUM($H150:L150),(Input!$H$152*(1+vanilla1)^0.5)/A9stdlife))</f>
        <v>2.1306151420881174</v>
      </c>
      <c r="N150" s="67">
        <f>IF(A9stdlife="n/a","n/a",IF(N$3&gt;(A9stdlife+$F150),(Input!$H$152*(1+vanilla1)^0.5)-SUM($H150:M150),(Input!$H$152*(1+vanilla1)^0.5)/A9stdlife))</f>
        <v>2.1306151420881174</v>
      </c>
      <c r="O150" s="67">
        <f>IF(A9stdlife="n/a","n/a",IF(O$3&gt;(A9stdlife+$F150),(Input!$H$152*(1+vanilla1)^0.5)-SUM($H150:N150),(Input!$H$152*(1+vanilla1)^0.5)/A9stdlife))</f>
        <v>2.1306151420881174</v>
      </c>
      <c r="P150" s="67">
        <f>IF(A9stdlife="n/a","n/a",IF(P$3&gt;(A9stdlife+$F150),(Input!$H$152*(1+vanilla1)^0.5)-SUM($H150:O150),(Input!$H$152*(1+vanilla1)^0.5)/A9stdlife))</f>
        <v>2.1306151420881174</v>
      </c>
      <c r="Q150" s="67">
        <f>IF(A9stdlife="n/a","n/a",IF(Q$3&gt;(A9stdlife+$F150),(Input!$H$152*(1+vanilla1)^0.5)-SUM($H150:P150),(Input!$H$152*(1+vanilla1)^0.5)/A9stdlife))</f>
        <v>2.1306151420881174</v>
      </c>
      <c r="R150" s="67"/>
      <c r="S150" s="102"/>
      <c r="T150" s="102"/>
      <c r="U150" s="102"/>
      <c r="V150" s="102"/>
      <c r="W150" s="102"/>
      <c r="X150" s="102"/>
      <c r="Y150" s="102"/>
      <c r="Z150" s="102"/>
      <c r="AA150" s="102"/>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482"/>
      <c r="F151" s="85">
        <v>2</v>
      </c>
      <c r="G151" s="122"/>
      <c r="H151" s="146"/>
      <c r="I151" s="147"/>
      <c r="J151" s="67">
        <f>IF(A9stdlife="n/a","n/a",IF(J$3&gt;(A9stdlife+$F151),(Input!$I$152*(1+vanilla2)^0.5)-SUM($I151:I151),(Input!$I$152*(1+vanilla2)^0.5)/A9stdlife))</f>
        <v>0.11474424640498422</v>
      </c>
      <c r="K151" s="67">
        <f>IF(A9stdlife="n/a","n/a",IF(K$3&gt;(A9stdlife+$F151),(Input!$I$152*(1+vanilla2)^0.5)-SUM($I151:J151),(Input!$I$152*(1+vanilla2)^0.5)/A9stdlife))</f>
        <v>0.11474424640498422</v>
      </c>
      <c r="L151" s="67">
        <f>IF(A9stdlife="n/a","n/a",IF(L$3&gt;(A9stdlife+$F151),(Input!$I$152*(1+vanilla2)^0.5)-SUM($I151:K151),(Input!$I$152*(1+vanilla2)^0.5)/A9stdlife))</f>
        <v>0.11474424640498422</v>
      </c>
      <c r="M151" s="67">
        <f>IF(A9stdlife="n/a","n/a",IF(M$3&gt;(A9stdlife+$F151),(Input!$I$152*(1+vanilla2)^0.5)-SUM($I151:L151),(Input!$I$152*(1+vanilla2)^0.5)/A9stdlife))</f>
        <v>0.11474424640498422</v>
      </c>
      <c r="N151" s="67">
        <f>IF(A9stdlife="n/a","n/a",IF(N$3&gt;(A9stdlife+$F151),(Input!$I$152*(1+vanilla2)^0.5)-SUM($I151:M151),(Input!$I$152*(1+vanilla2)^0.5)/A9stdlife))</f>
        <v>0.11474424640498422</v>
      </c>
      <c r="O151" s="67">
        <f>IF(A9stdlife="n/a","n/a",IF(O$3&gt;(A9stdlife+$F151),(Input!$I$152*(1+vanilla2)^0.5)-SUM($I151:N151),(Input!$I$152*(1+vanilla2)^0.5)/A9stdlife))</f>
        <v>0.11474424640498422</v>
      </c>
      <c r="P151" s="67">
        <f>IF(A9stdlife="n/a","n/a",IF(P$3&gt;(A9stdlife+$F151),(Input!$I$152*(1+vanilla2)^0.5)-SUM($I151:O151),(Input!$I$152*(1+vanilla2)^0.5)/A9stdlife))</f>
        <v>0.11474424640498422</v>
      </c>
      <c r="Q151" s="67">
        <f>IF(A9stdlife="n/a","n/a",IF(Q$3&gt;(A9stdlife+$F151),(Input!$I$152*(1+vanilla2)^0.5)-SUM($I151:P151),(Input!$I$152*(1+vanilla2)^0.5)/A9stdlife))</f>
        <v>0.11474424640498422</v>
      </c>
      <c r="R151" s="67"/>
      <c r="S151" s="102"/>
      <c r="T151" s="102"/>
      <c r="U151" s="102"/>
      <c r="V151" s="102"/>
      <c r="W151" s="102"/>
      <c r="X151" s="102"/>
      <c r="Y151" s="102"/>
      <c r="Z151" s="102"/>
      <c r="AA151" s="102"/>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9"/>
      <c r="D152" s="25"/>
      <c r="E152" s="482"/>
      <c r="F152" s="85">
        <v>3</v>
      </c>
      <c r="G152" s="122"/>
      <c r="H152" s="146"/>
      <c r="I152" s="148"/>
      <c r="J152" s="147"/>
      <c r="K152" s="67">
        <f>IF(A9stdlife="n/a","n/a",IF(K$3&gt;(A9stdlife+$F152),(Input!$J$152*(1+vanilla3)^0.5)-SUM($J152:J152),(Input!$J$152*(1+vanilla3)^0.5)/A9stdlife))</f>
        <v>0.1002145656706314</v>
      </c>
      <c r="L152" s="67">
        <f>IF(A9stdlife="n/a","n/a",IF(L$3&gt;(A9stdlife+$F152),(Input!$J$152*(1+vanilla3)^0.5)-SUM($J152:K152),(Input!$J$152*(1+vanilla3)^0.5)/A9stdlife))</f>
        <v>0.1002145656706314</v>
      </c>
      <c r="M152" s="67">
        <f>IF(A9stdlife="n/a","n/a",IF(M$3&gt;(A9stdlife+$F152),(Input!$J$152*(1+vanilla3)^0.5)-SUM($J152:L152),(Input!$J$152*(1+vanilla3)^0.5)/A9stdlife))</f>
        <v>0.1002145656706314</v>
      </c>
      <c r="N152" s="67">
        <f>IF(A9stdlife="n/a","n/a",IF(N$3&gt;(A9stdlife+$F152),(Input!$J$152*(1+vanilla3)^0.5)-SUM($J152:M152),(Input!$J$152*(1+vanilla3)^0.5)/A9stdlife))</f>
        <v>0.1002145656706314</v>
      </c>
      <c r="O152" s="67">
        <f>IF(A9stdlife="n/a","n/a",IF(O$3&gt;(A9stdlife+$F152),(Input!$J$152*(1+vanilla3)^0.5)-SUM($J152:N152),(Input!$J$152*(1+vanilla3)^0.5)/A9stdlife))</f>
        <v>0.1002145656706314</v>
      </c>
      <c r="P152" s="67">
        <f>IF(A9stdlife="n/a","n/a",IF(P$3&gt;(A9stdlife+$F152),(Input!$J$152*(1+vanilla3)^0.5)-SUM($J152:O152),(Input!$J$152*(1+vanilla3)^0.5)/A9stdlife))</f>
        <v>0.1002145656706314</v>
      </c>
      <c r="Q152" s="67">
        <f>IF(A9stdlife="n/a","n/a",IF(Q$3&gt;(A9stdlife+$F152),(Input!$J$152*(1+vanilla3)^0.5)-SUM($J152:P152),(Input!$J$152*(1+vanilla3)^0.5)/A9stdlife))</f>
        <v>0.1002145656706314</v>
      </c>
      <c r="R152" s="67"/>
      <c r="S152" s="102"/>
      <c r="T152" s="102"/>
      <c r="U152" s="102"/>
      <c r="V152" s="102"/>
      <c r="W152" s="102"/>
      <c r="X152" s="102"/>
      <c r="Y152" s="102"/>
      <c r="Z152" s="102"/>
      <c r="AA152" s="102"/>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9"/>
      <c r="D153" s="25"/>
      <c r="E153" s="482"/>
      <c r="F153" s="85">
        <v>4</v>
      </c>
      <c r="G153" s="122"/>
      <c r="H153" s="146"/>
      <c r="I153" s="148"/>
      <c r="J153" s="148"/>
      <c r="K153" s="147"/>
      <c r="L153" s="67">
        <f>IF(A9stdlife="n/a","n/a",IF(L$3&gt;(A9stdlife+$F153),(Input!$K$152*(1+vanilla4)^0.5)-SUM($K153:K153),(Input!$K$152*(1+vanilla4)^0.5)/A9stdlife))</f>
        <v>-0.2967187463343155</v>
      </c>
      <c r="M153" s="67">
        <f>IF(A9stdlife="n/a","n/a",IF(M$3&gt;(A9stdlife+$F153),(Input!$K$152*(1+vanilla4)^0.5)-SUM($K153:L153),(Input!$K$152*(1+vanilla4)^0.5)/A9stdlife))</f>
        <v>-0.2967187463343155</v>
      </c>
      <c r="N153" s="67">
        <f>IF(A9stdlife="n/a","n/a",IF(N$3&gt;(A9stdlife+$F153),(Input!$K$152*(1+vanilla4)^0.5)-SUM($K153:M153),(Input!$K$152*(1+vanilla4)^0.5)/A9stdlife))</f>
        <v>-0.2967187463343155</v>
      </c>
      <c r="O153" s="67">
        <f>IF(A9stdlife="n/a","n/a",IF(O$3&gt;(A9stdlife+$F153),(Input!$K$152*(1+vanilla4)^0.5)-SUM($K153:N153),(Input!$K$152*(1+vanilla4)^0.5)/A9stdlife))</f>
        <v>-0.2967187463343155</v>
      </c>
      <c r="P153" s="67">
        <f>IF(A9stdlife="n/a","n/a",IF(P$3&gt;(A9stdlife+$F153),(Input!$K$152*(1+vanilla4)^0.5)-SUM($K153:O153),(Input!$K$152*(1+vanilla4)^0.5)/A9stdlife))</f>
        <v>-0.2967187463343155</v>
      </c>
      <c r="Q153" s="67">
        <f>IF(A9stdlife="n/a","n/a",IF(Q$3&gt;(A9stdlife+$F153),(Input!$K$152*(1+vanilla4)^0.5)-SUM($K153:P153),(Input!$K$152*(1+vanilla4)^0.5)/A9stdlife))</f>
        <v>-0.2967187463343155</v>
      </c>
      <c r="R153" s="67"/>
      <c r="S153" s="102"/>
      <c r="T153" s="102"/>
      <c r="U153" s="102"/>
      <c r="V153" s="102"/>
      <c r="W153" s="102"/>
      <c r="X153" s="102"/>
      <c r="Y153" s="102"/>
      <c r="Z153" s="102"/>
      <c r="AA153" s="102"/>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9"/>
      <c r="D154" s="25"/>
      <c r="E154" s="482"/>
      <c r="F154" s="85">
        <v>5</v>
      </c>
      <c r="G154" s="122"/>
      <c r="H154" s="146"/>
      <c r="I154" s="148"/>
      <c r="J154" s="148"/>
      <c r="K154" s="148"/>
      <c r="L154" s="147"/>
      <c r="M154" s="67">
        <f>IF(A9stdlife="n/a","n/a",IF(M$3&gt;(A9stdlife+$F154),(Input!$L$152*(1+vanilla5)^0.5)-SUM($L154:L154),(Input!$L$152*(1+vanilla5)^0.5)/A9stdlife))</f>
        <v>3.4452275487314402E-2</v>
      </c>
      <c r="N154" s="67">
        <f>IF(A9stdlife="n/a","n/a",IF(N$3&gt;(A9stdlife+$F154),(Input!$L$152*(1+vanilla5)^0.5)-SUM($L154:M154),(Input!$L$152*(1+vanilla5)^0.5)/A9stdlife))</f>
        <v>3.4452275487314402E-2</v>
      </c>
      <c r="O154" s="67">
        <f>IF(A9stdlife="n/a","n/a",IF(O$3&gt;(A9stdlife+$F154),(Input!$L$152*(1+vanilla5)^0.5)-SUM($L154:N154),(Input!$L$152*(1+vanilla5)^0.5)/A9stdlife))</f>
        <v>3.4452275487314402E-2</v>
      </c>
      <c r="P154" s="67">
        <f>IF(A9stdlife="n/a","n/a",IF(P$3&gt;(A9stdlife+$F154),(Input!$L$152*(1+vanilla5)^0.5)-SUM($L154:O154),(Input!$L$152*(1+vanilla5)^0.5)/A9stdlife))</f>
        <v>3.4452275487314402E-2</v>
      </c>
      <c r="Q154" s="67">
        <f>IF(A9stdlife="n/a","n/a",IF(Q$3&gt;(A9stdlife+$F154),(Input!$L$152*(1+vanilla5)^0.5)-SUM($L154:P154),(Input!$L$152*(1+vanilla5)^0.5)/A9stdlife))</f>
        <v>3.4452275487314402E-2</v>
      </c>
      <c r="R154" s="67"/>
      <c r="S154" s="102"/>
      <c r="T154" s="102"/>
      <c r="U154" s="102"/>
      <c r="V154" s="102"/>
      <c r="W154" s="102"/>
      <c r="X154" s="102"/>
      <c r="Y154" s="102"/>
      <c r="Z154" s="102"/>
      <c r="AA154" s="102"/>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482"/>
      <c r="F155" s="85">
        <v>6</v>
      </c>
      <c r="G155" s="122"/>
      <c r="H155" s="146"/>
      <c r="I155" s="148"/>
      <c r="J155" s="148"/>
      <c r="K155" s="148"/>
      <c r="L155" s="148"/>
      <c r="M155" s="147"/>
      <c r="N155" s="67">
        <f>IF(A9stdlife="n/a","n/a",IF(N$3&gt;(A9stdlife+$F155),(Input!$M$152*(1+vanilla6)^0.5)-SUM($M155:M155),(Input!$M$152*(1+vanilla6)^0.5)/A9stdlife))</f>
        <v>0</v>
      </c>
      <c r="O155" s="67">
        <f>IF(A9stdlife="n/a","n/a",IF(O$3&gt;(A9stdlife+$F155),(Input!$M$152*(1+vanilla6)^0.5)-SUM($M155:N155),(Input!$M$152*(1+vanilla6)^0.5)/A9stdlife))</f>
        <v>0</v>
      </c>
      <c r="P155" s="67">
        <f>IF(A9stdlife="n/a","n/a",IF(P$3&gt;(A9stdlife+$F155),(Input!$M$152*(1+vanilla6)^0.5)-SUM($M155:O155),(Input!$M$152*(1+vanilla6)^0.5)/A9stdlife))</f>
        <v>0</v>
      </c>
      <c r="Q155" s="67">
        <f>IF(A9stdlife="n/a","n/a",IF(Q$3&gt;(A9stdlife+$F155),(Input!$M$152*(1+vanilla6)^0.5)-SUM($M155:P155),(Input!$M$152*(1+vanilla6)^0.5)/A9stdlife))</f>
        <v>0</v>
      </c>
      <c r="R155" s="67"/>
      <c r="S155" s="102"/>
      <c r="T155" s="102"/>
      <c r="U155" s="102"/>
      <c r="V155" s="102"/>
      <c r="W155" s="102"/>
      <c r="X155" s="102"/>
      <c r="Y155" s="102"/>
      <c r="Z155" s="102"/>
      <c r="AA155" s="102"/>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9"/>
      <c r="C156" s="9"/>
      <c r="D156" s="25"/>
      <c r="E156" s="482"/>
      <c r="F156" s="85">
        <v>7</v>
      </c>
      <c r="G156" s="122"/>
      <c r="H156" s="146"/>
      <c r="I156" s="148"/>
      <c r="J156" s="148"/>
      <c r="K156" s="148"/>
      <c r="L156" s="148"/>
      <c r="M156" s="148"/>
      <c r="N156" s="147"/>
      <c r="O156" s="67">
        <f>IF(A9stdlife="n/a","n/a",IF(O$3&gt;(A9stdlife+$F156),(Input!$N$152*(1+vanilla7)^0.5)-SUM($N156:N156),(Input!$N$152*(1+vanilla7)^0.5)/A9stdlife))</f>
        <v>0</v>
      </c>
      <c r="P156" s="67">
        <f>IF(A9stdlife="n/a","n/a",IF(P$3&gt;(A9stdlife+$F156),(Input!$N$152*(1+vanilla7)^0.5)-SUM($N156:O156),(Input!$N$152*(1+vanilla7)^0.5)/A9stdlife))</f>
        <v>0</v>
      </c>
      <c r="Q156" s="67">
        <f>IF(A9stdlife="n/a","n/a",IF(Q$3&gt;(A9stdlife+$F156),(Input!$N$152*(1+vanilla7)^0.5)-SUM($N156:P156),(Input!$N$152*(1+vanilla7)^0.5)/A9stdlife))</f>
        <v>0</v>
      </c>
      <c r="R156" s="67"/>
      <c r="S156" s="102"/>
      <c r="T156" s="102"/>
      <c r="U156" s="102"/>
      <c r="V156" s="102"/>
      <c r="W156" s="102"/>
      <c r="X156" s="102"/>
      <c r="Y156" s="102"/>
      <c r="Z156" s="102"/>
      <c r="AA156" s="102"/>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9"/>
      <c r="D157" s="25"/>
      <c r="E157" s="482"/>
      <c r="F157" s="85">
        <v>8</v>
      </c>
      <c r="G157" s="122"/>
      <c r="H157" s="146"/>
      <c r="I157" s="148"/>
      <c r="J157" s="148"/>
      <c r="K157" s="148"/>
      <c r="L157" s="148"/>
      <c r="M157" s="148"/>
      <c r="N157" s="148"/>
      <c r="O157" s="147"/>
      <c r="P157" s="67">
        <f>IF(A9stdlife="n/a","n/a",IF(P$3&gt;(A9stdlife+$F157),(Input!$O$152*(1+vanilla8)^0.5)-SUM($O157:O157),(Input!$O$152*(1+vanilla8)^0.5)/A9stdlife))</f>
        <v>0</v>
      </c>
      <c r="Q157" s="67">
        <f>IF(A9stdlife="n/a","n/a",IF(Q$3&gt;(A9stdlife+$F157),(Input!$O$152*(1+vanilla8)^0.5)-SUM($O157:P157),(Input!$O$152*(1+vanilla8)^0.5)/A9stdlife))</f>
        <v>0</v>
      </c>
      <c r="R157" s="67"/>
      <c r="S157" s="102"/>
      <c r="T157" s="102"/>
      <c r="U157" s="102"/>
      <c r="V157" s="102"/>
      <c r="W157" s="102"/>
      <c r="X157" s="102"/>
      <c r="Y157" s="102"/>
      <c r="Z157" s="102"/>
      <c r="AA157" s="102"/>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9"/>
      <c r="D158" s="25"/>
      <c r="E158" s="482"/>
      <c r="F158" s="85">
        <v>9</v>
      </c>
      <c r="G158" s="122"/>
      <c r="H158" s="146"/>
      <c r="I158" s="148"/>
      <c r="J158" s="148"/>
      <c r="K158" s="148"/>
      <c r="L158" s="148"/>
      <c r="M158" s="148"/>
      <c r="N158" s="148"/>
      <c r="O158" s="148"/>
      <c r="P158" s="147"/>
      <c r="Q158" s="67">
        <f>IF(A9stdlife="n/a","n/a",IF(Q$3&gt;(A9stdlife+$F158),(Input!$P$152*(1+vanilla9)^0.5)-SUM($P158:P158),(Input!$P$152*(1+vanilla9)^0.5)/A9stdlife))</f>
        <v>0</v>
      </c>
      <c r="R158" s="67"/>
      <c r="S158" s="102"/>
      <c r="T158" s="102"/>
      <c r="U158" s="102"/>
      <c r="V158" s="102"/>
      <c r="W158" s="102"/>
      <c r="X158" s="102"/>
      <c r="Y158" s="102"/>
      <c r="Z158" s="102"/>
      <c r="AA158" s="102"/>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9"/>
      <c r="D159" s="25"/>
      <c r="E159" s="482"/>
      <c r="F159" s="86">
        <v>10</v>
      </c>
      <c r="G159" s="122"/>
      <c r="H159" s="146"/>
      <c r="I159" s="148"/>
      <c r="J159" s="148"/>
      <c r="K159" s="148"/>
      <c r="L159" s="148"/>
      <c r="M159" s="148"/>
      <c r="N159" s="148"/>
      <c r="O159" s="148"/>
      <c r="P159" s="148"/>
      <c r="Q159" s="147"/>
      <c r="R159" s="67"/>
      <c r="S159" s="102"/>
      <c r="T159" s="102"/>
      <c r="U159" s="102"/>
      <c r="V159" s="102"/>
      <c r="W159" s="102"/>
      <c r="X159" s="102"/>
      <c r="Y159" s="102"/>
      <c r="Z159" s="102"/>
      <c r="AA159" s="102"/>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1">
      <c r="A160" s="9"/>
      <c r="B160" s="9"/>
      <c r="C160" s="9"/>
      <c r="D160" s="25" t="str">
        <f>Asset9</f>
        <v>Communications (digital) - dx</v>
      </c>
      <c r="E160" s="9"/>
      <c r="F160" s="9"/>
      <c r="G160" s="122"/>
      <c r="H160" s="165">
        <f>-SUM(H148:H159)</f>
        <v>0</v>
      </c>
      <c r="I160" s="165">
        <f>-SUM(I148:I159)</f>
        <v>-2.1306151420881174</v>
      </c>
      <c r="J160" s="165">
        <f>-SUM(J148:J159)</f>
        <v>-2.2453593884931018</v>
      </c>
      <c r="K160" s="165">
        <f>-SUM(K148:K159)</f>
        <v>-2.3455739541637333</v>
      </c>
      <c r="L160" s="165">
        <f>-SUM(L148:L159)</f>
        <v>-2.0488552078294178</v>
      </c>
      <c r="M160" s="165">
        <f>IF(Input!M174&gt;0, -SUM(M148:M159), 0)</f>
        <v>0</v>
      </c>
      <c r="N160" s="165">
        <f>IF(Input!N174&gt;0, -SUM(N148:N159), 0)</f>
        <v>0</v>
      </c>
      <c r="O160" s="165">
        <f>IF(Input!O174&gt;0, -SUM(O148:O159), 0)</f>
        <v>0</v>
      </c>
      <c r="P160" s="165">
        <f>IF(Input!P174&gt;0, -SUM(P148:P159), 0)</f>
        <v>0</v>
      </c>
      <c r="Q160" s="165">
        <f>IF(Input!Q174&gt;0, -SUM(Q148:Q159), 0)</f>
        <v>0</v>
      </c>
      <c r="R160" s="65"/>
      <c r="S160" s="104"/>
      <c r="T160" s="104"/>
      <c r="U160" s="104"/>
      <c r="V160" s="104"/>
      <c r="W160" s="104"/>
      <c r="X160" s="104"/>
      <c r="Y160" s="104"/>
      <c r="Z160" s="104"/>
      <c r="AA160" s="104"/>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104"/>
      <c r="BE160" s="104"/>
      <c r="BF160" s="104"/>
      <c r="BG160" s="104"/>
      <c r="BH160" s="104"/>
      <c r="BI160" s="104"/>
      <c r="BJ160" s="104"/>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31" t="str">
        <f>Asset10</f>
        <v>Total Communications</v>
      </c>
      <c r="D161" s="161"/>
      <c r="E161" s="33" t="s">
        <v>28</v>
      </c>
      <c r="F161" s="32"/>
      <c r="G161" s="174"/>
      <c r="H161" s="66">
        <f>IF(H$3&gt;A10remlife,A10value-SUM($G161:G161),IF(A10remlife="N/A","n/a",A10value/A10remlife))</f>
        <v>16.354406934119581</v>
      </c>
      <c r="I161" s="66">
        <f>IF(I$3&gt;A10remlife,A10value-SUM($G161:H161),IF(A10remlife="N/A","n/a",A10value/A10remlife))</f>
        <v>16.354406934119581</v>
      </c>
      <c r="J161" s="66">
        <f>IF(J$3&gt;A10remlife,A10value-SUM($G161:I161),IF(A10remlife="N/A","n/a",A10value/A10remlife))</f>
        <v>16.354406934119581</v>
      </c>
      <c r="K161" s="66">
        <f>IF(K$3&gt;A10remlife,A10value-SUM($G161:J161),IF(A10remlife="N/A","n/a",A10value/A10remlife))</f>
        <v>16.354406934119581</v>
      </c>
      <c r="L161" s="66">
        <f>IF(L$3&gt;A10remlife,A10value-SUM($G161:K161),IF(A10remlife="N/A","n/a",A10value/A10remlife))</f>
        <v>16.354406934119581</v>
      </c>
      <c r="M161" s="66">
        <f>IF(M$3&gt;A10remlife,A10value-SUM($G161:L161),IF(A10remlife="N/A","n/a",A10value/A10remlife))</f>
        <v>16.354406934119581</v>
      </c>
      <c r="N161" s="66">
        <f>IF(N$3&gt;A10remlife,A10value-SUM($G161:M161),IF(A10remlife="N/A","n/a",A10value/A10remlife))</f>
        <v>16.354406934119581</v>
      </c>
      <c r="O161" s="66">
        <f>IF(O$3&gt;A10remlife,A10value-SUM($G161:N161),IF(A10remlife="N/A","n/a",A10value/A10remlife))</f>
        <v>16.270523864596541</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2"/>
      <c r="E162" s="481" t="s">
        <v>83</v>
      </c>
      <c r="F162" s="85">
        <v>0</v>
      </c>
      <c r="G162" s="122"/>
      <c r="H162" s="67"/>
      <c r="I162" s="67"/>
      <c r="J162" s="67"/>
      <c r="K162" s="67"/>
      <c r="L162" s="67"/>
      <c r="M162" s="163"/>
      <c r="N162" s="111"/>
      <c r="O162" s="67"/>
      <c r="P162" s="67"/>
      <c r="Q162" s="67"/>
      <c r="R162" s="67"/>
      <c r="S162" s="102"/>
      <c r="T162" s="102"/>
      <c r="U162" s="102"/>
      <c r="V162" s="102"/>
      <c r="W162" s="102"/>
      <c r="X162" s="102"/>
      <c r="Y162" s="102"/>
      <c r="Z162" s="102"/>
      <c r="AA162" s="102"/>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102"/>
      <c r="BE162" s="102"/>
      <c r="BF162" s="102"/>
      <c r="BG162" s="102"/>
      <c r="BH162" s="102"/>
      <c r="BI162" s="102"/>
      <c r="BJ162" s="102"/>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9"/>
      <c r="D163" s="25"/>
      <c r="E163" s="482"/>
      <c r="F163" s="85">
        <v>1</v>
      </c>
      <c r="G163" s="122"/>
      <c r="H163" s="145"/>
      <c r="I163" s="67">
        <f>IF(A10stdlife="n/a","n/a",IF(I$3&gt;(A10stdlife+$F163),(Input!$H$153*(1+vanilla1)^0.5)-SUM($H163:H163),(Input!$H$153*(1+vanilla1)^0.5)/A10stdlife))</f>
        <v>0.21299201737448312</v>
      </c>
      <c r="J163" s="67">
        <f>IF(A10stdlife="n/a","n/a",IF(J$3&gt;(A10stdlife+$F163),(Input!$H$153*(1+vanilla1)^0.5)-SUM($H163:I163),(Input!$H$153*(1+vanilla1)^0.5)/A10stdlife))</f>
        <v>0.21299201737448312</v>
      </c>
      <c r="K163" s="67">
        <f>IF(A10stdlife="n/a","n/a",IF(K$3&gt;(A10stdlife+$F163),(Input!$H$153*(1+vanilla1)^0.5)-SUM($H163:J163),(Input!$H$153*(1+vanilla1)^0.5)/A10stdlife))</f>
        <v>0.21299201737448312</v>
      </c>
      <c r="L163" s="67">
        <f>IF(A10stdlife="n/a","n/a",IF(L$3&gt;(A10stdlife+$F163),(Input!$H$153*(1+vanilla1)^0.5)-SUM($H163:K163),(Input!$H$153*(1+vanilla1)^0.5)/A10stdlife))</f>
        <v>0.21299201737448312</v>
      </c>
      <c r="M163" s="67">
        <f>IF(A10stdlife="n/a","n/a",IF(M$3&gt;(A10stdlife+$F163),(Input!$H$153*(1+vanilla1)^0.5)-SUM($H163:L163),(Input!$H$153*(1+vanilla1)^0.5)/A10stdlife))</f>
        <v>0.21299201737448312</v>
      </c>
      <c r="N163" s="67">
        <f>IF(A10stdlife="n/a","n/a",IF(N$3&gt;(A10stdlife+$F163),(Input!$H$153*(1+vanilla1)^0.5)-SUM($H163:M163),(Input!$H$153*(1+vanilla1)^0.5)/A10stdlife))</f>
        <v>0.21299201737448312</v>
      </c>
      <c r="O163" s="67">
        <f>IF(A10stdlife="n/a","n/a",IF(O$3&gt;(A10stdlife+$F163),(Input!$H$153*(1+vanilla1)^0.5)-SUM($H163:N163),(Input!$H$153*(1+vanilla1)^0.5)/A10stdlife))</f>
        <v>0.21299201737448312</v>
      </c>
      <c r="P163" s="67">
        <f>IF(A10stdlife="n/a","n/a",IF(P$3&gt;(A10stdlife+$F163),(Input!$H$153*(1+vanilla1)^0.5)-SUM($H163:O163),(Input!$H$153*(1+vanilla1)^0.5)/A10stdlife))</f>
        <v>0.21299201737448312</v>
      </c>
      <c r="Q163" s="67">
        <f>IF(A10stdlife="n/a","n/a",IF(Q$3&gt;(A10stdlife+$F163),(Input!$H$153*(1+vanilla1)^0.5)-SUM($H163:P163),(Input!$H$153*(1+vanilla1)^0.5)/A10stdlife))</f>
        <v>0.21299201737448312</v>
      </c>
      <c r="R163" s="67"/>
      <c r="S163" s="102"/>
      <c r="T163" s="102"/>
      <c r="U163" s="102"/>
      <c r="V163" s="102"/>
      <c r="W163" s="102"/>
      <c r="X163" s="102"/>
      <c r="Y163" s="102"/>
      <c r="Z163" s="102"/>
      <c r="AA163" s="102"/>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482"/>
      <c r="F164" s="85">
        <v>2</v>
      </c>
      <c r="G164" s="122"/>
      <c r="H164" s="146"/>
      <c r="I164" s="147"/>
      <c r="J164" s="67">
        <f>IF(A10stdlife="n/a","n/a",IF(J$3&gt;(A10stdlife+$F164),(Input!$I$153*(1+vanilla2)^0.5)-SUM($I164:I164),(Input!$I$153*(1+vanilla2)^0.5)/A10stdlife))</f>
        <v>0</v>
      </c>
      <c r="K164" s="67">
        <f>IF(A10stdlife="n/a","n/a",IF(K$3&gt;(A10stdlife+$F164),(Input!$I$153*(1+vanilla2)^0.5)-SUM($I164:J164),(Input!$I$153*(1+vanilla2)^0.5)/A10stdlife))</f>
        <v>0</v>
      </c>
      <c r="L164" s="67">
        <f>IF(A10stdlife="n/a","n/a",IF(L$3&gt;(A10stdlife+$F164),(Input!$I$153*(1+vanilla2)^0.5)-SUM($I164:K164),(Input!$I$153*(1+vanilla2)^0.5)/A10stdlife))</f>
        <v>0</v>
      </c>
      <c r="M164" s="67">
        <f>IF(A10stdlife="n/a","n/a",IF(M$3&gt;(A10stdlife+$F164),(Input!$I$153*(1+vanilla2)^0.5)-SUM($I164:L164),(Input!$I$153*(1+vanilla2)^0.5)/A10stdlife))</f>
        <v>0</v>
      </c>
      <c r="N164" s="67">
        <f>IF(A10stdlife="n/a","n/a",IF(N$3&gt;(A10stdlife+$F164),(Input!$I$153*(1+vanilla2)^0.5)-SUM($I164:M164),(Input!$I$153*(1+vanilla2)^0.5)/A10stdlife))</f>
        <v>0</v>
      </c>
      <c r="O164" s="67">
        <f>IF(A10stdlife="n/a","n/a",IF(O$3&gt;(A10stdlife+$F164),(Input!$I$153*(1+vanilla2)^0.5)-SUM($I164:N164),(Input!$I$153*(1+vanilla2)^0.5)/A10stdlife))</f>
        <v>0</v>
      </c>
      <c r="P164" s="67">
        <f>IF(A10stdlife="n/a","n/a",IF(P$3&gt;(A10stdlife+$F164),(Input!$I$153*(1+vanilla2)^0.5)-SUM($I164:O164),(Input!$I$153*(1+vanilla2)^0.5)/A10stdlife))</f>
        <v>0</v>
      </c>
      <c r="Q164" s="67">
        <f>IF(A10stdlife="n/a","n/a",IF(Q$3&gt;(A10stdlife+$F164),(Input!$I$153*(1+vanilla2)^0.5)-SUM($I164:P164),(Input!$I$153*(1+vanilla2)^0.5)/A10stdlife))</f>
        <v>0</v>
      </c>
      <c r="R164" s="67"/>
      <c r="S164" s="102"/>
      <c r="T164" s="102"/>
      <c r="U164" s="102"/>
      <c r="V164" s="102"/>
      <c r="W164" s="102"/>
      <c r="X164" s="102"/>
      <c r="Y164" s="102"/>
      <c r="Z164" s="102"/>
      <c r="AA164" s="102"/>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9"/>
      <c r="D165" s="25"/>
      <c r="E165" s="482"/>
      <c r="F165" s="85">
        <v>3</v>
      </c>
      <c r="G165" s="122"/>
      <c r="H165" s="146"/>
      <c r="I165" s="148"/>
      <c r="J165" s="147"/>
      <c r="K165" s="67">
        <f>IF(A10stdlife="n/a","n/a",IF(K$3&gt;(A10stdlife+$F165),(Input!$J$153*(1+vanilla3)^0.5)-SUM($J165:J165),(Input!$J$153*(1+vanilla3)^0.5)/A10stdlife))</f>
        <v>0</v>
      </c>
      <c r="L165" s="67">
        <f>IF(A10stdlife="n/a","n/a",IF(L$3&gt;(A10stdlife+$F165),(Input!$J$153*(1+vanilla3)^0.5)-SUM($J165:K165),(Input!$J$153*(1+vanilla3)^0.5)/A10stdlife))</f>
        <v>0</v>
      </c>
      <c r="M165" s="67">
        <f>IF(A10stdlife="n/a","n/a",IF(M$3&gt;(A10stdlife+$F165),(Input!$J$153*(1+vanilla3)^0.5)-SUM($J165:L165),(Input!$J$153*(1+vanilla3)^0.5)/A10stdlife))</f>
        <v>0</v>
      </c>
      <c r="N165" s="67">
        <f>IF(A10stdlife="n/a","n/a",IF(N$3&gt;(A10stdlife+$F165),(Input!$J$153*(1+vanilla3)^0.5)-SUM($J165:M165),(Input!$J$153*(1+vanilla3)^0.5)/A10stdlife))</f>
        <v>0</v>
      </c>
      <c r="O165" s="67">
        <f>IF(A10stdlife="n/a","n/a",IF(O$3&gt;(A10stdlife+$F165),(Input!$J$153*(1+vanilla3)^0.5)-SUM($J165:N165),(Input!$J$153*(1+vanilla3)^0.5)/A10stdlife))</f>
        <v>0</v>
      </c>
      <c r="P165" s="67">
        <f>IF(A10stdlife="n/a","n/a",IF(P$3&gt;(A10stdlife+$F165),(Input!$J$153*(1+vanilla3)^0.5)-SUM($J165:O165),(Input!$J$153*(1+vanilla3)^0.5)/A10stdlife))</f>
        <v>0</v>
      </c>
      <c r="Q165" s="67">
        <f>IF(A10stdlife="n/a","n/a",IF(Q$3&gt;(A10stdlife+$F165),(Input!$J$153*(1+vanilla3)^0.5)-SUM($J165:P165),(Input!$J$153*(1+vanilla3)^0.5)/A10stdlife))</f>
        <v>0</v>
      </c>
      <c r="R165" s="67"/>
      <c r="S165" s="102"/>
      <c r="T165" s="102"/>
      <c r="U165" s="102"/>
      <c r="V165" s="102"/>
      <c r="W165" s="102"/>
      <c r="X165" s="102"/>
      <c r="Y165" s="102"/>
      <c r="Z165" s="102"/>
      <c r="AA165" s="102"/>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9"/>
      <c r="D166" s="25"/>
      <c r="E166" s="482"/>
      <c r="F166" s="85">
        <v>4</v>
      </c>
      <c r="G166" s="122"/>
      <c r="H166" s="146"/>
      <c r="I166" s="148"/>
      <c r="J166" s="148"/>
      <c r="K166" s="147"/>
      <c r="L166" s="67">
        <f>IF(A10stdlife="n/a","n/a",IF(L$3&gt;(A10stdlife+$F166),(Input!$K$153*(1+vanilla4)^0.5)-SUM($K166:K166),(Input!$K$153*(1+vanilla4)^0.5)/A10stdlife))</f>
        <v>0</v>
      </c>
      <c r="M166" s="67">
        <f>IF(A10stdlife="n/a","n/a",IF(M$3&gt;(A10stdlife+$F166),(Input!$K$153*(1+vanilla4)^0.5)-SUM($K166:L166),(Input!$K$153*(1+vanilla4)^0.5)/A10stdlife))</f>
        <v>0</v>
      </c>
      <c r="N166" s="67">
        <f>IF(A10stdlife="n/a","n/a",IF(N$3&gt;(A10stdlife+$F166),(Input!$K$153*(1+vanilla4)^0.5)-SUM($K166:M166),(Input!$K$153*(1+vanilla4)^0.5)/A10stdlife))</f>
        <v>0</v>
      </c>
      <c r="O166" s="67">
        <f>IF(A10stdlife="n/a","n/a",IF(O$3&gt;(A10stdlife+$F166),(Input!$K$153*(1+vanilla4)^0.5)-SUM($K166:N166),(Input!$K$153*(1+vanilla4)^0.5)/A10stdlife))</f>
        <v>0</v>
      </c>
      <c r="P166" s="67">
        <f>IF(A10stdlife="n/a","n/a",IF(P$3&gt;(A10stdlife+$F166),(Input!$K$153*(1+vanilla4)^0.5)-SUM($K166:O166),(Input!$K$153*(1+vanilla4)^0.5)/A10stdlife))</f>
        <v>0</v>
      </c>
      <c r="Q166" s="67">
        <f>IF(A10stdlife="n/a","n/a",IF(Q$3&gt;(A10stdlife+$F166),(Input!$K$153*(1+vanilla4)^0.5)-SUM($K166:P166),(Input!$K$153*(1+vanilla4)^0.5)/A10stdlife))</f>
        <v>0</v>
      </c>
      <c r="R166" s="67"/>
      <c r="S166" s="102"/>
      <c r="T166" s="102"/>
      <c r="U166" s="102"/>
      <c r="V166" s="102"/>
      <c r="W166" s="102"/>
      <c r="X166" s="102"/>
      <c r="Y166" s="102"/>
      <c r="Z166" s="102"/>
      <c r="AA166" s="102"/>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9"/>
      <c r="D167" s="25"/>
      <c r="E167" s="482"/>
      <c r="F167" s="85">
        <v>5</v>
      </c>
      <c r="G167" s="26"/>
      <c r="H167" s="146"/>
      <c r="I167" s="148"/>
      <c r="J167" s="148"/>
      <c r="K167" s="148"/>
      <c r="L167" s="147"/>
      <c r="M167" s="67">
        <f>IF(A10stdlife="n/a","n/a",IF(M$3&gt;(A10stdlife+$F167),(Input!$L$153*(1+vanilla5)^0.5)-SUM($L167:L167),(Input!$L$153*(1+vanilla5)^0.5)/A10stdlife))</f>
        <v>0</v>
      </c>
      <c r="N167" s="67">
        <f>IF(A10stdlife="n/a","n/a",IF(N$3&gt;(A10stdlife+$F167),(Input!$L$153*(1+vanilla5)^0.5)-SUM($L167:M167),(Input!$L$153*(1+vanilla5)^0.5)/A10stdlife))</f>
        <v>0</v>
      </c>
      <c r="O167" s="67">
        <f>IF(A10stdlife="n/a","n/a",IF(O$3&gt;(A10stdlife+$F167),(Input!$L$153*(1+vanilla5)^0.5)-SUM($L167:N167),(Input!$L$153*(1+vanilla5)^0.5)/A10stdlife))</f>
        <v>0</v>
      </c>
      <c r="P167" s="67">
        <f>IF(A10stdlife="n/a","n/a",IF(P$3&gt;(A10stdlife+$F167),(Input!$L$153*(1+vanilla5)^0.5)-SUM($L167:O167),(Input!$L$153*(1+vanilla5)^0.5)/A10stdlife))</f>
        <v>0</v>
      </c>
      <c r="Q167" s="67">
        <f>IF(A10stdlife="n/a","n/a",IF(Q$3&gt;(A10stdlife+$F167),(Input!$L$153*(1+vanilla5)^0.5)-SUM($L167:P167),(Input!$L$153*(1+vanilla5)^0.5)/A10stdlife))</f>
        <v>0</v>
      </c>
      <c r="R167" s="67"/>
      <c r="S167" s="102"/>
      <c r="T167" s="102"/>
      <c r="U167" s="102"/>
      <c r="V167" s="102"/>
      <c r="W167" s="102"/>
      <c r="X167" s="102"/>
      <c r="Y167" s="102"/>
      <c r="Z167" s="102"/>
      <c r="AA167" s="102"/>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482"/>
      <c r="F168" s="85">
        <v>6</v>
      </c>
      <c r="G168" s="26"/>
      <c r="H168" s="146"/>
      <c r="I168" s="148"/>
      <c r="J168" s="148"/>
      <c r="K168" s="148"/>
      <c r="L168" s="148"/>
      <c r="M168" s="147"/>
      <c r="N168" s="67">
        <f>IF(A10stdlife="n/a","n/a",IF(N$3&gt;(A10stdlife+$F168),(Input!$M$153*(1+vanilla6)^0.5)-SUM($M168:M168),(Input!$M$153*(1+vanilla6)^0.5)/A10stdlife))</f>
        <v>0</v>
      </c>
      <c r="O168" s="67">
        <f>IF(A10stdlife="n/a","n/a",IF(O$3&gt;(A10stdlife+$F168),(Input!$M$153*(1+vanilla6)^0.5)-SUM($M168:N168),(Input!$M$153*(1+vanilla6)^0.5)/A10stdlife))</f>
        <v>0</v>
      </c>
      <c r="P168" s="67">
        <f>IF(A10stdlife="n/a","n/a",IF(P$3&gt;(A10stdlife+$F168),(Input!$M$153*(1+vanilla6)^0.5)-SUM($M168:O168),(Input!$M$153*(1+vanilla6)^0.5)/A10stdlife))</f>
        <v>0</v>
      </c>
      <c r="Q168" s="67">
        <f>IF(A10stdlife="n/a","n/a",IF(Q$3&gt;(A10stdlife+$F168),(Input!$M$153*(1+vanilla6)^0.5)-SUM($M168:P168),(Input!$M$153*(1+vanilla6)^0.5)/A10stdlife))</f>
        <v>0</v>
      </c>
      <c r="R168" s="67"/>
      <c r="S168" s="102"/>
      <c r="T168" s="102"/>
      <c r="U168" s="102"/>
      <c r="V168" s="102"/>
      <c r="W168" s="102"/>
      <c r="X168" s="102"/>
      <c r="Y168" s="102"/>
      <c r="Z168" s="102"/>
      <c r="AA168" s="102"/>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hidden="1" customHeight="1" outlineLevel="2">
      <c r="A169" s="9"/>
      <c r="B169" s="9"/>
      <c r="C169" s="9"/>
      <c r="D169" s="25"/>
      <c r="E169" s="482"/>
      <c r="F169" s="85">
        <v>7</v>
      </c>
      <c r="G169" s="26"/>
      <c r="H169" s="146"/>
      <c r="I169" s="148"/>
      <c r="J169" s="148"/>
      <c r="K169" s="148"/>
      <c r="L169" s="148"/>
      <c r="M169" s="148"/>
      <c r="N169" s="147"/>
      <c r="O169" s="67">
        <f>IF(A10stdlife="n/a","n/a",IF(O$3&gt;(A10stdlife+$F169),(Input!$N$153*(1+vanilla7)^0.5)-SUM($N169:N169),(Input!$N$153*(1+vanilla7)^0.5)/A10stdlife))</f>
        <v>0</v>
      </c>
      <c r="P169" s="67">
        <f>IF(A10stdlife="n/a","n/a",IF(P$3&gt;(A10stdlife+$F169),(Input!$N$153*(1+vanilla7)^0.5)-SUM($N169:O169),(Input!$N$153*(1+vanilla7)^0.5)/A10stdlife))</f>
        <v>0</v>
      </c>
      <c r="Q169" s="67">
        <f>IF(A10stdlife="n/a","n/a",IF(Q$3&gt;(A10stdlife+$F169),(Input!$N$153*(1+vanilla7)^0.5)-SUM($N169:P169),(Input!$N$153*(1+vanilla7)^0.5)/A10stdlife))</f>
        <v>0</v>
      </c>
      <c r="R169" s="67"/>
      <c r="S169" s="102"/>
      <c r="T169" s="102"/>
      <c r="U169" s="102"/>
      <c r="V169" s="102"/>
      <c r="W169" s="102"/>
      <c r="X169" s="102"/>
      <c r="Y169" s="102"/>
      <c r="Z169" s="102"/>
      <c r="AA169" s="102"/>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9"/>
      <c r="C170" s="9"/>
      <c r="D170" s="25"/>
      <c r="E170" s="482"/>
      <c r="F170" s="85">
        <v>8</v>
      </c>
      <c r="G170" s="26"/>
      <c r="H170" s="146"/>
      <c r="I170" s="148"/>
      <c r="J170" s="148"/>
      <c r="K170" s="148"/>
      <c r="L170" s="148"/>
      <c r="M170" s="148"/>
      <c r="N170" s="148"/>
      <c r="O170" s="147"/>
      <c r="P170" s="67">
        <f>IF(A10stdlife="n/a","n/a",IF(P$3&gt;(A10stdlife+$F170),(Input!$O$153*(1+vanilla8)^0.5)-SUM($O170:O170),(Input!$O$153*(1+vanilla8)^0.5)/A10stdlife))</f>
        <v>0</v>
      </c>
      <c r="Q170" s="67">
        <f>IF(A10stdlife="n/a","n/a",IF(Q$3&gt;(A10stdlife+$F170),(Input!$O$153*(1+vanilla8)^0.5)-SUM($O170:P170),(Input!$O$153*(1+vanilla8)^0.5)/A10stdlife))</f>
        <v>0</v>
      </c>
      <c r="R170" s="67"/>
      <c r="S170" s="102"/>
      <c r="T170" s="102"/>
      <c r="U170" s="102"/>
      <c r="V170" s="102"/>
      <c r="W170" s="102"/>
      <c r="X170" s="102"/>
      <c r="Y170" s="102"/>
      <c r="Z170" s="102"/>
      <c r="AA170" s="102"/>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9"/>
      <c r="D171" s="25"/>
      <c r="E171" s="482"/>
      <c r="F171" s="85">
        <v>9</v>
      </c>
      <c r="G171" s="26"/>
      <c r="H171" s="146"/>
      <c r="I171" s="148"/>
      <c r="J171" s="148"/>
      <c r="K171" s="148"/>
      <c r="L171" s="148"/>
      <c r="M171" s="148"/>
      <c r="N171" s="148"/>
      <c r="O171" s="148"/>
      <c r="P171" s="147"/>
      <c r="Q171" s="67">
        <f>IF(A10stdlife="n/a","n/a",IF(Q$3&gt;(A10stdlife+$F171),(Input!$P$153*(1+vanilla9)^0.5)-SUM($P171:P171),(Input!$P$153*(1+vanilla9)^0.5)/A10stdlife))</f>
        <v>0</v>
      </c>
      <c r="R171" s="67"/>
      <c r="S171" s="102"/>
      <c r="T171" s="102"/>
      <c r="U171" s="102"/>
      <c r="V171" s="102"/>
      <c r="W171" s="102"/>
      <c r="X171" s="102"/>
      <c r="Y171" s="102"/>
      <c r="Z171" s="102"/>
      <c r="AA171" s="102"/>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9"/>
      <c r="D172" s="25"/>
      <c r="E172" s="482"/>
      <c r="F172" s="86">
        <v>10</v>
      </c>
      <c r="G172" s="26"/>
      <c r="H172" s="146"/>
      <c r="I172" s="148"/>
      <c r="J172" s="148"/>
      <c r="K172" s="148"/>
      <c r="L172" s="148"/>
      <c r="M172" s="148"/>
      <c r="N172" s="148"/>
      <c r="O172" s="148"/>
      <c r="P172" s="148"/>
      <c r="Q172" s="147"/>
      <c r="R172" s="67"/>
      <c r="S172" s="102"/>
      <c r="T172" s="102"/>
      <c r="U172" s="102"/>
      <c r="V172" s="102"/>
      <c r="W172" s="102"/>
      <c r="X172" s="102"/>
      <c r="Y172" s="102"/>
      <c r="Z172" s="102"/>
      <c r="AA172" s="102"/>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1">
      <c r="A173" s="9"/>
      <c r="B173" s="9"/>
      <c r="C173" s="9"/>
      <c r="D173" s="25" t="str">
        <f>Asset10</f>
        <v>Total Communications</v>
      </c>
      <c r="E173" s="9"/>
      <c r="F173" s="9"/>
      <c r="G173" s="122"/>
      <c r="H173" s="165">
        <f>-SUM(H161:H172)</f>
        <v>-16.354406934119581</v>
      </c>
      <c r="I173" s="165">
        <f>-SUM(I161:I172)</f>
        <v>-16.567398951494063</v>
      </c>
      <c r="J173" s="165">
        <f>-SUM(J161:J172)</f>
        <v>-16.567398951494063</v>
      </c>
      <c r="K173" s="165">
        <f>-SUM(K161:K172)</f>
        <v>-16.567398951494063</v>
      </c>
      <c r="L173" s="165">
        <f>-SUM(L161:L172)</f>
        <v>-16.567398951494063</v>
      </c>
      <c r="M173" s="165">
        <f>IF(Input!M174&gt;0, -SUM(M161:M172), 0)</f>
        <v>0</v>
      </c>
      <c r="N173" s="165">
        <f>IF(Input!N174&gt;0, -SUM(N161:N172), 0)</f>
        <v>0</v>
      </c>
      <c r="O173" s="165">
        <f>IF(Input!O174&gt;0, -SUM(O161:O172), 0)</f>
        <v>0</v>
      </c>
      <c r="P173" s="165">
        <f>IF(Input!P174&gt;0, -SUM(P161:P172), 0)</f>
        <v>0</v>
      </c>
      <c r="Q173" s="165">
        <f>IF(Input!Q174&gt;0, -SUM(Q161:Q172), 0)</f>
        <v>0</v>
      </c>
      <c r="R173" s="65"/>
      <c r="S173" s="104"/>
      <c r="T173" s="104"/>
      <c r="U173" s="104"/>
      <c r="V173" s="104"/>
      <c r="W173" s="104"/>
      <c r="X173" s="104"/>
      <c r="Y173" s="104"/>
      <c r="Z173" s="104"/>
      <c r="AA173" s="104"/>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104"/>
      <c r="BE173" s="104"/>
      <c r="BF173" s="104"/>
      <c r="BG173" s="104"/>
      <c r="BH173" s="104"/>
      <c r="BI173" s="104"/>
      <c r="BJ173" s="104"/>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31" t="str">
        <f>Asset11</f>
        <v>System IT (dx)</v>
      </c>
      <c r="D174" s="161"/>
      <c r="E174" s="33" t="s">
        <v>28</v>
      </c>
      <c r="F174" s="32"/>
      <c r="G174" s="174"/>
      <c r="H174" s="66" t="str">
        <f>IF(H$3&gt;A11remlife,A11value-SUM($G174:G174),IF(A11remlife="N/A","n/a",A11value/A11remlife))</f>
        <v>n/a</v>
      </c>
      <c r="I174" s="66" t="str">
        <f>IF(I$3&gt;A11remlife,A11value-SUM($G174:H174),IF(A11remlife="N/A","n/a",A11value/A11remlife))</f>
        <v>n/a</v>
      </c>
      <c r="J174" s="66" t="str">
        <f>IF(J$3&gt;A11remlife,A11value-SUM($G174:I174),IF(A11remlife="N/A","n/a",A11value/A11remlife))</f>
        <v>n/a</v>
      </c>
      <c r="K174" s="66" t="str">
        <f>IF(K$3&gt;A11remlife,A11value-SUM($G174:J174),IF(A11remlife="N/A","n/a",A11value/A11remlife))</f>
        <v>n/a</v>
      </c>
      <c r="L174" s="66" t="str">
        <f>IF(L$3&gt;A11remlife,A11value-SUM($G174:K174),IF(A11remlife="N/A","n/a",A11value/A11remlife))</f>
        <v>n/a</v>
      </c>
      <c r="M174" s="66" t="str">
        <f>IF(M$3&gt;A11remlife,A11value-SUM($G174:L174),IF(A11remlife="N/A","n/a",A11value/A11remlife))</f>
        <v>n/a</v>
      </c>
      <c r="N174" s="66" t="str">
        <f>IF(N$3&gt;A11remlife,A11value-SUM($G174:M174),IF(A11remlife="N/A","n/a",A11value/A11remlife))</f>
        <v>n/a</v>
      </c>
      <c r="O174" s="66" t="str">
        <f>IF(O$3&gt;A11remlife,A11value-SUM($G174:N174),IF(A11remlife="N/A","n/a",A11value/A11remlife))</f>
        <v>n/a</v>
      </c>
      <c r="P174" s="66" t="str">
        <f>IF(P$3&gt;A11remlife,A11value-SUM($G174:O174),IF(A11remlife="N/A","n/a",A11value/A11remlife))</f>
        <v>n/a</v>
      </c>
      <c r="Q174" s="66" t="str">
        <f>IF(Q$3&gt;A11remlife,A11value-SUM($G174:P174),IF(A11remlife="N/A","n/a",A11value/A11remlife))</f>
        <v>n/a</v>
      </c>
      <c r="R174" s="66"/>
      <c r="S174" s="102"/>
      <c r="T174" s="102"/>
      <c r="U174" s="102"/>
      <c r="V174" s="102"/>
      <c r="W174" s="102"/>
      <c r="X174" s="102"/>
      <c r="Y174" s="102"/>
      <c r="Z174" s="102"/>
      <c r="AA174" s="102"/>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5"/>
      <c r="E175" s="481" t="s">
        <v>83</v>
      </c>
      <c r="F175" s="85">
        <v>0</v>
      </c>
      <c r="G175" s="122"/>
      <c r="H175" s="67"/>
      <c r="I175" s="67"/>
      <c r="J175" s="67"/>
      <c r="K175" s="67"/>
      <c r="L175" s="67"/>
      <c r="M175" s="163"/>
      <c r="N175" s="111"/>
      <c r="O175" s="67"/>
      <c r="P175" s="67"/>
      <c r="Q175" s="67"/>
      <c r="R175" s="67"/>
      <c r="S175" s="102"/>
      <c r="T175" s="102"/>
      <c r="U175" s="102"/>
      <c r="V175" s="102"/>
      <c r="W175" s="102"/>
      <c r="X175" s="102"/>
      <c r="Y175" s="102"/>
      <c r="Z175" s="102"/>
      <c r="AA175" s="102"/>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102"/>
      <c r="BE175" s="102"/>
      <c r="BF175" s="102"/>
      <c r="BG175" s="102"/>
      <c r="BH175" s="102"/>
      <c r="BI175" s="102"/>
      <c r="BJ175" s="102"/>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9"/>
      <c r="D176" s="25"/>
      <c r="E176" s="482"/>
      <c r="F176" s="85">
        <v>1</v>
      </c>
      <c r="G176" s="122"/>
      <c r="H176" s="145"/>
      <c r="I176" s="67">
        <f>IF(A11stdlife="n/a","n/a",IF(I$3&gt;(A11stdlife+$F176),(Input!$H$154*(1+vanilla1)^0.5)-SUM($H176:H176),(Input!$H$154*(1+vanilla1)^0.5)/A11stdlife))</f>
        <v>4.1365611813221728</v>
      </c>
      <c r="J176" s="67">
        <f>IF(A11stdlife="n/a","n/a",IF(J$3&gt;(A11stdlife+$F176),(Input!$H$154*(1+vanilla1)^0.5)-SUM($H176:I176),(Input!$H$154*(1+vanilla1)^0.5)/A11stdlife))</f>
        <v>4.1365611813221728</v>
      </c>
      <c r="K176" s="67">
        <f>IF(A11stdlife="n/a","n/a",IF(K$3&gt;(A11stdlife+$F176),(Input!$H$154*(1+vanilla1)^0.5)-SUM($H176:J176),(Input!$H$154*(1+vanilla1)^0.5)/A11stdlife))</f>
        <v>4.1365611813221728</v>
      </c>
      <c r="L176" s="67">
        <f>IF(A11stdlife="n/a","n/a",IF(L$3&gt;(A11stdlife+$F176),(Input!$H$154*(1+vanilla1)^0.5)-SUM($H176:K176),(Input!$H$154*(1+vanilla1)^0.5)/A11stdlife))</f>
        <v>4.1365611813221728</v>
      </c>
      <c r="M176" s="67">
        <f>IF(A11stdlife="n/a","n/a",IF(M$3&gt;(A11stdlife+$F176),(Input!$H$154*(1+vanilla1)^0.5)-SUM($H176:L176),(Input!$H$154*(1+vanilla1)^0.5)/A11stdlife))</f>
        <v>4.1365611813221728</v>
      </c>
      <c r="N176" s="67">
        <f>IF(A11stdlife="n/a","n/a",IF(N$3&gt;(A11stdlife+$F176),(Input!$H$154*(1+vanilla1)^0.5)-SUM($H176:M176),(Input!$H$154*(1+vanilla1)^0.5)/A11stdlife))</f>
        <v>4.1365611813221728</v>
      </c>
      <c r="O176" s="67">
        <f>IF(A11stdlife="n/a","n/a",IF(O$3&gt;(A11stdlife+$F176),(Input!$H$154*(1+vanilla1)^0.5)-SUM($H176:N176),(Input!$H$154*(1+vanilla1)^0.5)/A11stdlife))</f>
        <v>4.1365611813221728</v>
      </c>
      <c r="P176" s="67">
        <f>IF(A11stdlife="n/a","n/a",IF(P$3&gt;(A11stdlife+$F176),(Input!$H$154*(1+vanilla1)^0.5)-SUM($H176:O176),(Input!$H$154*(1+vanilla1)^0.5)/A11stdlife))</f>
        <v>0</v>
      </c>
      <c r="Q176" s="67">
        <f>IF(A11stdlife="n/a","n/a",IF(Q$3&gt;(A11stdlife+$F176),(Input!$H$154*(1+vanilla1)^0.5)-SUM($H176:P176),(Input!$H$154*(1+vanilla1)^0.5)/A11stdlife))</f>
        <v>0</v>
      </c>
      <c r="R176" s="67"/>
      <c r="S176" s="102"/>
      <c r="T176" s="102"/>
      <c r="U176" s="102"/>
      <c r="V176" s="102"/>
      <c r="W176" s="102"/>
      <c r="X176" s="102"/>
      <c r="Y176" s="102"/>
      <c r="Z176" s="102"/>
      <c r="AA176" s="102"/>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25"/>
      <c r="E177" s="482"/>
      <c r="F177" s="85">
        <v>2</v>
      </c>
      <c r="G177" s="122"/>
      <c r="H177" s="146"/>
      <c r="I177" s="147"/>
      <c r="J177" s="67">
        <f>IF(A11stdlife="n/a","n/a",IF(J$3&gt;(A11stdlife+$F177),(Input!$I$154*(1+vanilla2)^0.5)-SUM($I177:I177),(Input!$I$154*(1+vanilla2)^0.5)/A11stdlife))</f>
        <v>14.255999222885047</v>
      </c>
      <c r="K177" s="67">
        <f>IF(A11stdlife="n/a","n/a",IF(K$3&gt;(A11stdlife+$F177),(Input!$I$154*(1+vanilla2)^0.5)-SUM($I177:J177),(Input!$I$154*(1+vanilla2)^0.5)/A11stdlife))</f>
        <v>14.255999222885047</v>
      </c>
      <c r="L177" s="67">
        <f>IF(A11stdlife="n/a","n/a",IF(L$3&gt;(A11stdlife+$F177),(Input!$I$154*(1+vanilla2)^0.5)-SUM($I177:K177),(Input!$I$154*(1+vanilla2)^0.5)/A11stdlife))</f>
        <v>14.255999222885047</v>
      </c>
      <c r="M177" s="67">
        <f>IF(A11stdlife="n/a","n/a",IF(M$3&gt;(A11stdlife+$F177),(Input!$I$154*(1+vanilla2)^0.5)-SUM($I177:L177),(Input!$I$154*(1+vanilla2)^0.5)/A11stdlife))</f>
        <v>14.255999222885047</v>
      </c>
      <c r="N177" s="67">
        <f>IF(A11stdlife="n/a","n/a",IF(N$3&gt;(A11stdlife+$F177),(Input!$I$154*(1+vanilla2)^0.5)-SUM($I177:M177),(Input!$I$154*(1+vanilla2)^0.5)/A11stdlife))</f>
        <v>14.255999222885047</v>
      </c>
      <c r="O177" s="67">
        <f>IF(A11stdlife="n/a","n/a",IF(O$3&gt;(A11stdlife+$F177),(Input!$I$154*(1+vanilla2)^0.5)-SUM($I177:N177),(Input!$I$154*(1+vanilla2)^0.5)/A11stdlife))</f>
        <v>14.255999222885047</v>
      </c>
      <c r="P177" s="67">
        <f>IF(A11stdlife="n/a","n/a",IF(P$3&gt;(A11stdlife+$F177),(Input!$I$154*(1+vanilla2)^0.5)-SUM($I177:O177),(Input!$I$154*(1+vanilla2)^0.5)/A11stdlife))</f>
        <v>14.255999222885047</v>
      </c>
      <c r="Q177" s="67">
        <f>IF(A11stdlife="n/a","n/a",IF(Q$3&gt;(A11stdlife+$F177),(Input!$I$154*(1+vanilla2)^0.5)-SUM($I177:P177),(Input!$I$154*(1+vanilla2)^0.5)/A11stdlife))</f>
        <v>-1.4210854715202004E-14</v>
      </c>
      <c r="R177" s="67"/>
      <c r="S177" s="102"/>
      <c r="T177" s="102"/>
      <c r="U177" s="102"/>
      <c r="V177" s="102"/>
      <c r="W177" s="102"/>
      <c r="X177" s="102"/>
      <c r="Y177" s="102"/>
      <c r="Z177" s="102"/>
      <c r="AA177" s="102"/>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9"/>
      <c r="D178" s="25"/>
      <c r="E178" s="482"/>
      <c r="F178" s="85">
        <v>3</v>
      </c>
      <c r="G178" s="122"/>
      <c r="H178" s="146"/>
      <c r="I178" s="148"/>
      <c r="J178" s="147"/>
      <c r="K178" s="67">
        <f>IF(A11stdlife="n/a","n/a",IF(K$3&gt;(A11stdlife+$F178),(Input!$J$154*(1+vanilla3)^0.5)-SUM($J178:J178),(Input!$J$154*(1+vanilla3)^0.5)/A11stdlife))</f>
        <v>12.628967220289102</v>
      </c>
      <c r="L178" s="67">
        <f>IF(A11stdlife="n/a","n/a",IF(L$3&gt;(A11stdlife+$F178),(Input!$J$154*(1+vanilla3)^0.5)-SUM($J178:K178),(Input!$J$154*(1+vanilla3)^0.5)/A11stdlife))</f>
        <v>12.628967220289102</v>
      </c>
      <c r="M178" s="67">
        <f>IF(A11stdlife="n/a","n/a",IF(M$3&gt;(A11stdlife+$F178),(Input!$J$154*(1+vanilla3)^0.5)-SUM($J178:L178),(Input!$J$154*(1+vanilla3)^0.5)/A11stdlife))</f>
        <v>12.628967220289102</v>
      </c>
      <c r="N178" s="67">
        <f>IF(A11stdlife="n/a","n/a",IF(N$3&gt;(A11stdlife+$F178),(Input!$J$154*(1+vanilla3)^0.5)-SUM($J178:M178),(Input!$J$154*(1+vanilla3)^0.5)/A11stdlife))</f>
        <v>12.628967220289102</v>
      </c>
      <c r="O178" s="67">
        <f>IF(A11stdlife="n/a","n/a",IF(O$3&gt;(A11stdlife+$F178),(Input!$J$154*(1+vanilla3)^0.5)-SUM($J178:N178),(Input!$J$154*(1+vanilla3)^0.5)/A11stdlife))</f>
        <v>12.628967220289102</v>
      </c>
      <c r="P178" s="67">
        <f>IF(A11stdlife="n/a","n/a",IF(P$3&gt;(A11stdlife+$F178),(Input!$J$154*(1+vanilla3)^0.5)-SUM($J178:O178),(Input!$J$154*(1+vanilla3)^0.5)/A11stdlife))</f>
        <v>12.628967220289102</v>
      </c>
      <c r="Q178" s="67">
        <f>IF(A11stdlife="n/a","n/a",IF(Q$3&gt;(A11stdlife+$F178),(Input!$J$154*(1+vanilla3)^0.5)-SUM($J178:P178),(Input!$J$154*(1+vanilla3)^0.5)/A11stdlife))</f>
        <v>12.628967220289102</v>
      </c>
      <c r="R178" s="67"/>
      <c r="S178" s="102"/>
      <c r="T178" s="102"/>
      <c r="U178" s="102"/>
      <c r="V178" s="102"/>
      <c r="W178" s="102"/>
      <c r="X178" s="102"/>
      <c r="Y178" s="102"/>
      <c r="Z178" s="102"/>
      <c r="AA178" s="102"/>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9"/>
      <c r="D179" s="25"/>
      <c r="E179" s="482"/>
      <c r="F179" s="85">
        <v>4</v>
      </c>
      <c r="G179" s="122"/>
      <c r="H179" s="146"/>
      <c r="I179" s="148"/>
      <c r="J179" s="148"/>
      <c r="K179" s="147"/>
      <c r="L179" s="67">
        <f>IF(A11stdlife="n/a","n/a",IF(L$3&gt;(A11stdlife+$F179),(Input!$K$154*(1+vanilla4)^0.5)-SUM($K179:K179),(Input!$K$154*(1+vanilla4)^0.5)/A11stdlife))</f>
        <v>6.9325581844193085</v>
      </c>
      <c r="M179" s="67">
        <f>IF(A11stdlife="n/a","n/a",IF(M$3&gt;(A11stdlife+$F179),(Input!$K$154*(1+vanilla4)^0.5)-SUM($K179:L179),(Input!$K$154*(1+vanilla4)^0.5)/A11stdlife))</f>
        <v>6.9325581844193085</v>
      </c>
      <c r="N179" s="67">
        <f>IF(A11stdlife="n/a","n/a",IF(N$3&gt;(A11stdlife+$F179),(Input!$K$154*(1+vanilla4)^0.5)-SUM($K179:M179),(Input!$K$154*(1+vanilla4)^0.5)/A11stdlife))</f>
        <v>6.9325581844193085</v>
      </c>
      <c r="O179" s="67">
        <f>IF(A11stdlife="n/a","n/a",IF(O$3&gt;(A11stdlife+$F179),(Input!$K$154*(1+vanilla4)^0.5)-SUM($K179:N179),(Input!$K$154*(1+vanilla4)^0.5)/A11stdlife))</f>
        <v>6.9325581844193085</v>
      </c>
      <c r="P179" s="67">
        <f>IF(A11stdlife="n/a","n/a",IF(P$3&gt;(A11stdlife+$F179),(Input!$K$154*(1+vanilla4)^0.5)-SUM($K179:O179),(Input!$K$154*(1+vanilla4)^0.5)/A11stdlife))</f>
        <v>6.9325581844193085</v>
      </c>
      <c r="Q179" s="67">
        <f>IF(A11stdlife="n/a","n/a",IF(Q$3&gt;(A11stdlife+$F179),(Input!$K$154*(1+vanilla4)^0.5)-SUM($K179:P179),(Input!$K$154*(1+vanilla4)^0.5)/A11stdlife))</f>
        <v>6.9325581844193085</v>
      </c>
      <c r="R179" s="67"/>
      <c r="S179" s="102"/>
      <c r="T179" s="102"/>
      <c r="U179" s="102"/>
      <c r="V179" s="102"/>
      <c r="W179" s="102"/>
      <c r="X179" s="102"/>
      <c r="Y179" s="102"/>
      <c r="Z179" s="102"/>
      <c r="AA179" s="102"/>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9"/>
      <c r="D180" s="25"/>
      <c r="E180" s="482"/>
      <c r="F180" s="85">
        <v>5</v>
      </c>
      <c r="G180" s="26"/>
      <c r="H180" s="146"/>
      <c r="I180" s="148"/>
      <c r="J180" s="148"/>
      <c r="K180" s="148"/>
      <c r="L180" s="147"/>
      <c r="M180" s="67">
        <f>IF(A11stdlife="n/a","n/a",IF(M$3&gt;(A11stdlife+$F180),(Input!$L$154*(1+vanilla5)^0.5)-SUM($L180:L180),(Input!$L154*(1+vanilla5)^0.5)/A11stdlife))</f>
        <v>1.2129173914034126</v>
      </c>
      <c r="N180" s="67">
        <f>IF(A11stdlife="n/a","n/a",IF(N$3&gt;(A11stdlife+$F180),(Input!$L$154*(1+vanilla5)^0.5)-SUM($L180:M180),(Input!$L154*(1+vanilla5)^0.5)/A11stdlife))</f>
        <v>1.2129173914034126</v>
      </c>
      <c r="O180" s="67">
        <f>IF(A11stdlife="n/a","n/a",IF(O$3&gt;(A11stdlife+$F180),(Input!$L$154*(1+vanilla5)^0.5)-SUM($L180:N180),(Input!$L154*(1+vanilla5)^0.5)/A11stdlife))</f>
        <v>1.2129173914034126</v>
      </c>
      <c r="P180" s="67">
        <f>IF(A11stdlife="n/a","n/a",IF(P$3&gt;(A11stdlife+$F180),(Input!$L$154*(1+vanilla5)^0.5)-SUM($L180:O180),(Input!$L154*(1+vanilla5)^0.5)/A11stdlife))</f>
        <v>1.2129173914034126</v>
      </c>
      <c r="Q180" s="67">
        <f>IF(A11stdlife="n/a","n/a",IF(Q$3&gt;(A11stdlife+$F180),(Input!$L$154*(1+vanilla5)^0.5)-SUM($L180:P180),(Input!$L154*(1+vanilla5)^0.5)/A11stdlife))</f>
        <v>1.2129173914034126</v>
      </c>
      <c r="R180" s="67"/>
      <c r="S180" s="102"/>
      <c r="T180" s="102"/>
      <c r="U180" s="102"/>
      <c r="V180" s="102"/>
      <c r="W180" s="102"/>
      <c r="X180" s="102"/>
      <c r="Y180" s="102"/>
      <c r="Z180" s="102"/>
      <c r="AA180" s="102"/>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482"/>
      <c r="F181" s="85">
        <v>6</v>
      </c>
      <c r="G181" s="26"/>
      <c r="H181" s="146"/>
      <c r="I181" s="148"/>
      <c r="J181" s="148"/>
      <c r="K181" s="148"/>
      <c r="L181" s="148"/>
      <c r="M181" s="147"/>
      <c r="N181" s="67">
        <f>IF(A11stdlife="n/a","n/a",IF(N$3&gt;(A11stdlife+$F181),(Input!$M$154*(1+vanilla6)^0.5)-SUM($M181:M181),(Input!$M$154*(1+vanilla6)^0.5)/A11stdlife))</f>
        <v>0</v>
      </c>
      <c r="O181" s="67">
        <f>IF(A11stdlife="n/a","n/a",IF(O$3&gt;(A11stdlife+$F181),(Input!$M$154*(1+vanilla6)^0.5)-SUM($M181:N181),(Input!$M$154*(1+vanilla6)^0.5)/A11stdlife))</f>
        <v>0</v>
      </c>
      <c r="P181" s="67">
        <f>IF(A11stdlife="n/a","n/a",IF(P$3&gt;(A11stdlife+$F181),(Input!$M$154*(1+vanilla6)^0.5)-SUM($M181:O181),(Input!$M$154*(1+vanilla6)^0.5)/A11stdlife))</f>
        <v>0</v>
      </c>
      <c r="Q181" s="67">
        <f>IF(A11stdlife="n/a","n/a",IF(Q$3&gt;(A11stdlife+$F181),(Input!$M$154*(1+vanilla6)^0.5)-SUM($M181:P181),(Input!$M$154*(1+vanilla6)^0.5)/A11stdlife))</f>
        <v>0</v>
      </c>
      <c r="R181" s="67"/>
      <c r="S181" s="102"/>
      <c r="T181" s="102"/>
      <c r="U181" s="102"/>
      <c r="V181" s="102"/>
      <c r="W181" s="102"/>
      <c r="X181" s="102"/>
      <c r="Y181" s="102"/>
      <c r="Z181" s="102"/>
      <c r="AA181" s="102"/>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9"/>
      <c r="D182" s="25"/>
      <c r="E182" s="482"/>
      <c r="F182" s="85">
        <v>7</v>
      </c>
      <c r="G182" s="26"/>
      <c r="H182" s="146"/>
      <c r="I182" s="148"/>
      <c r="J182" s="148"/>
      <c r="K182" s="148"/>
      <c r="L182" s="148"/>
      <c r="M182" s="148"/>
      <c r="N182" s="147"/>
      <c r="O182" s="67">
        <f>IF(A11stdlife="n/a","n/a",IF(O$3&gt;(A11stdlife+$F182),(Input!$N$154*(1+vanilla7)^0.5)-SUM($N182:N182),(Input!$N$154*(1+vanilla7)^0.5)/A11stdlife))</f>
        <v>0</v>
      </c>
      <c r="P182" s="67">
        <f>IF(A11stdlife="n/a","n/a",IF(P$3&gt;(A11stdlife+$F182),(Input!$N$154*(1+vanilla7)^0.5)-SUM($N182:O182),(Input!$N$154*(1+vanilla7)^0.5)/A11stdlife))</f>
        <v>0</v>
      </c>
      <c r="Q182" s="67">
        <f>IF(A11stdlife="n/a","n/a",IF(Q$3&gt;(A11stdlife+$F182),(Input!$N$154*(1+vanilla7)^0.5)-SUM($N182:P182),(Input!$N$154*(1+vanilla7)^0.5)/A11stdlife))</f>
        <v>0</v>
      </c>
      <c r="R182" s="67"/>
      <c r="S182" s="102"/>
      <c r="T182" s="102"/>
      <c r="U182" s="102"/>
      <c r="V182" s="102"/>
      <c r="W182" s="102"/>
      <c r="X182" s="102"/>
      <c r="Y182" s="102"/>
      <c r="Z182" s="102"/>
      <c r="AA182" s="102"/>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9"/>
      <c r="D183" s="25"/>
      <c r="E183" s="482"/>
      <c r="F183" s="85">
        <v>8</v>
      </c>
      <c r="G183" s="26"/>
      <c r="H183" s="146"/>
      <c r="I183" s="148"/>
      <c r="J183" s="148"/>
      <c r="K183" s="148"/>
      <c r="L183" s="148"/>
      <c r="M183" s="148"/>
      <c r="N183" s="148"/>
      <c r="O183" s="147"/>
      <c r="P183" s="67">
        <f>IF(A11stdlife="n/a","n/a",IF(P$3&gt;(A11stdlife+$F183),(Input!$O$154*(1+vanilla8)^0.5)-SUM($O183:O183),(Input!$O$154*(1+vanilla8)^0.5)/A11stdlife))</f>
        <v>0</v>
      </c>
      <c r="Q183" s="67">
        <f>IF(A11stdlife="n/a","n/a",IF(Q$3&gt;(A11stdlife+$F183),(Input!$O$154*(1+vanilla8)^0.5)-SUM($O183:P183),(Input!$O$154*(1+vanilla8)^0.5)/A11stdlife))</f>
        <v>0</v>
      </c>
      <c r="R183" s="67"/>
      <c r="S183" s="102"/>
      <c r="T183" s="102"/>
      <c r="U183" s="102"/>
      <c r="V183" s="102"/>
      <c r="W183" s="102"/>
      <c r="X183" s="102"/>
      <c r="Y183" s="102"/>
      <c r="Z183" s="102"/>
      <c r="AA183" s="102"/>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9"/>
      <c r="D184" s="25"/>
      <c r="E184" s="482"/>
      <c r="F184" s="85">
        <v>9</v>
      </c>
      <c r="G184" s="26"/>
      <c r="H184" s="146"/>
      <c r="I184" s="148"/>
      <c r="J184" s="148"/>
      <c r="K184" s="148"/>
      <c r="L184" s="148"/>
      <c r="M184" s="148"/>
      <c r="N184" s="148"/>
      <c r="O184" s="148"/>
      <c r="P184" s="147"/>
      <c r="Q184" s="67">
        <f>IF(A11stdlife="n/a","n/a",IF(Q$3&gt;(A11stdlife+$F184),(Input!$P$154*(1+vanilla9)^0.5)-SUM($P184:P184),(Input!$P$154*(1+vanilla9)^0.5)/A11stdlife))</f>
        <v>0</v>
      </c>
      <c r="R184" s="67"/>
      <c r="S184" s="102"/>
      <c r="T184" s="102"/>
      <c r="U184" s="102"/>
      <c r="V184" s="102"/>
      <c r="W184" s="102"/>
      <c r="X184" s="102"/>
      <c r="Y184" s="102"/>
      <c r="Z184" s="102"/>
      <c r="AA184" s="102"/>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9"/>
      <c r="D185" s="25"/>
      <c r="E185" s="482"/>
      <c r="F185" s="86">
        <v>10</v>
      </c>
      <c r="G185" s="26"/>
      <c r="H185" s="146"/>
      <c r="I185" s="148"/>
      <c r="J185" s="148"/>
      <c r="K185" s="148"/>
      <c r="L185" s="148"/>
      <c r="M185" s="148"/>
      <c r="N185" s="148"/>
      <c r="O185" s="148"/>
      <c r="P185" s="148"/>
      <c r="Q185" s="147"/>
      <c r="R185" s="67"/>
      <c r="S185" s="102"/>
      <c r="T185" s="102"/>
      <c r="U185" s="102"/>
      <c r="V185" s="102"/>
      <c r="W185" s="102"/>
      <c r="X185" s="102"/>
      <c r="Y185" s="102"/>
      <c r="Z185" s="102"/>
      <c r="AA185" s="102"/>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1">
      <c r="A186" s="9"/>
      <c r="B186" s="9"/>
      <c r="C186" s="9"/>
      <c r="D186" s="25" t="str">
        <f>Asset11</f>
        <v>System IT (dx)</v>
      </c>
      <c r="E186" s="9"/>
      <c r="F186" s="9"/>
      <c r="G186" s="122"/>
      <c r="H186" s="165">
        <f>-SUM(H174:H185)</f>
        <v>0</v>
      </c>
      <c r="I186" s="165">
        <f>-SUM(I174:I185)</f>
        <v>-4.1365611813221728</v>
      </c>
      <c r="J186" s="165">
        <f>-SUM(J174:J185)</f>
        <v>-18.39256040420722</v>
      </c>
      <c r="K186" s="165">
        <f>-SUM(K174:K185)</f>
        <v>-31.021527624496322</v>
      </c>
      <c r="L186" s="165">
        <f>-SUM(L174:L185)</f>
        <v>-37.954085808915629</v>
      </c>
      <c r="M186" s="165">
        <f>IF(Input!M174&gt;0, -SUM(M174:M185), 0)</f>
        <v>0</v>
      </c>
      <c r="N186" s="165">
        <f>IF(Input!N174&gt;0, -SUM(N174:N185), 0)</f>
        <v>0</v>
      </c>
      <c r="O186" s="165">
        <f>IF(Input!O174&gt;0, -SUM(O174:O185), 0)</f>
        <v>0</v>
      </c>
      <c r="P186" s="165">
        <f>IF(Input!P174&gt;0, -SUM(P174:P185), 0)</f>
        <v>0</v>
      </c>
      <c r="Q186" s="165">
        <f>IF(Input!Q174&gt;0, -SUM(Q174:Q185), 0)</f>
        <v>0</v>
      </c>
      <c r="R186" s="65"/>
      <c r="S186" s="104"/>
      <c r="T186" s="104"/>
      <c r="U186" s="104"/>
      <c r="V186" s="104"/>
      <c r="W186" s="104"/>
      <c r="X186" s="104"/>
      <c r="Y186" s="104"/>
      <c r="Z186" s="104"/>
      <c r="AA186" s="104"/>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104"/>
      <c r="BE186" s="104"/>
      <c r="BF186" s="104"/>
      <c r="BG186" s="104"/>
      <c r="BH186" s="104"/>
      <c r="BI186" s="104"/>
      <c r="BJ186" s="104"/>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31" t="str">
        <f>Asset12</f>
        <v>Ancillary substation equipment (dx)</v>
      </c>
      <c r="D187" s="161"/>
      <c r="E187" s="33" t="s">
        <v>28</v>
      </c>
      <c r="F187" s="32"/>
      <c r="G187" s="174"/>
      <c r="H187" s="66" t="str">
        <f>IF(H$3&gt;A12remlife,A12value-SUM($G187:G187),IF(A12remlife="N/A","n/a",A12value/A12remlife))</f>
        <v>n/a</v>
      </c>
      <c r="I187" s="66" t="str">
        <f>IF(I$3&gt;A12remlife,A12value-SUM($G187:H187),IF(A12remlife="N/A","n/a",A12value/A12remlife))</f>
        <v>n/a</v>
      </c>
      <c r="J187" s="66" t="str">
        <f>IF(J$3&gt;A12remlife,A12value-SUM($G187:I187),IF(A12remlife="N/A","n/a",A12value/A12remlife))</f>
        <v>n/a</v>
      </c>
      <c r="K187" s="66" t="str">
        <f>IF(K$3&gt;A12remlife,A12value-SUM($G187:J187),IF(A12remlife="N/A","n/a",A12value/A12remlife))</f>
        <v>n/a</v>
      </c>
      <c r="L187" s="66" t="str">
        <f>IF(L$3&gt;A12remlife,A12value-SUM($G187:K187),IF(A12remlife="N/A","n/a",A12value/A12remlife))</f>
        <v>n/a</v>
      </c>
      <c r="M187" s="66" t="str">
        <f>IF(M$3&gt;A12remlife,A12value-SUM($G187:L187),IF(A12remlife="N/A","n/a",A12value/A12remlife))</f>
        <v>n/a</v>
      </c>
      <c r="N187" s="66" t="str">
        <f>IF(N$3&gt;A12remlife,A12value-SUM($G187:M187),IF(A12remlife="N/A","n/a",A12value/A12remlife))</f>
        <v>n/a</v>
      </c>
      <c r="O187" s="66" t="str">
        <f>IF(O$3&gt;A12remlife,A12value-SUM($G187:N187),IF(A12remlife="N/A","n/a",A12value/A12remlife))</f>
        <v>n/a</v>
      </c>
      <c r="P187" s="66" t="str">
        <f>IF(P$3&gt;A12remlife,A12value-SUM($G187:O187),IF(A12remlife="N/A","n/a",A12value/A12remlife))</f>
        <v>n/a</v>
      </c>
      <c r="Q187" s="66" t="str">
        <f>IF(Q$3&gt;A12remlife,A12value-SUM($G187:P187),IF(A12remlife="N/A","n/a",A12value/A12remlife))</f>
        <v>n/a</v>
      </c>
      <c r="R187" s="66"/>
      <c r="S187" s="102"/>
      <c r="T187" s="102"/>
      <c r="U187" s="102"/>
      <c r="V187" s="102"/>
      <c r="W187" s="102"/>
      <c r="X187" s="102"/>
      <c r="Y187" s="102"/>
      <c r="Z187" s="102"/>
      <c r="AA187" s="102"/>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5"/>
      <c r="E188" s="481" t="s">
        <v>83</v>
      </c>
      <c r="F188" s="85">
        <v>0</v>
      </c>
      <c r="G188" s="122"/>
      <c r="H188" s="67"/>
      <c r="I188" s="67"/>
      <c r="J188" s="67"/>
      <c r="K188" s="67"/>
      <c r="L188" s="67"/>
      <c r="M188" s="163"/>
      <c r="N188" s="111"/>
      <c r="O188" s="67"/>
      <c r="P188" s="67"/>
      <c r="Q188" s="67"/>
      <c r="R188" s="67"/>
      <c r="S188" s="102"/>
      <c r="T188" s="102"/>
      <c r="U188" s="102"/>
      <c r="V188" s="102"/>
      <c r="W188" s="102"/>
      <c r="X188" s="102"/>
      <c r="Y188" s="102"/>
      <c r="Z188" s="102"/>
      <c r="AA188" s="102"/>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102"/>
      <c r="BE188" s="102"/>
      <c r="BF188" s="102"/>
      <c r="BG188" s="102"/>
      <c r="BH188" s="102"/>
      <c r="BI188" s="102"/>
      <c r="BJ188" s="102"/>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9"/>
      <c r="D189" s="25"/>
      <c r="E189" s="482"/>
      <c r="F189" s="85">
        <v>1</v>
      </c>
      <c r="G189" s="122"/>
      <c r="H189" s="145"/>
      <c r="I189" s="67">
        <f>IF(A12stdlife="n/a","n/a",IF(I$3&gt;(A12stdlife+$F189),(Input!$H$155*(1+vanilla1)^0.5)-SUM($H189:H189),(Input!$H$155*(1+vanilla1)^0.5)/A12stdlife))</f>
        <v>1.8026250055883832</v>
      </c>
      <c r="J189" s="67">
        <f>IF(A12stdlife="n/a","n/a",IF(J$3&gt;(A12stdlife+$F189),(Input!$H$155*(1+vanilla1)^0.5)-SUM($H189:I189),(Input!$H$155*(1+vanilla1)^0.5)/A12stdlife))</f>
        <v>1.8026250055883832</v>
      </c>
      <c r="K189" s="67">
        <f>IF(A12stdlife="n/a","n/a",IF(K$3&gt;(A12stdlife+$F189),(Input!$H$155*(1+vanilla1)^0.5)-SUM($H189:J189),(Input!$H$155*(1+vanilla1)^0.5)/A12stdlife))</f>
        <v>1.8026250055883832</v>
      </c>
      <c r="L189" s="67">
        <f>IF(A12stdlife="n/a","n/a",IF(L$3&gt;(A12stdlife+$F189),(Input!$H$155*(1+vanilla1)^0.5)-SUM($H189:K189),(Input!$H$155*(1+vanilla1)^0.5)/A12stdlife))</f>
        <v>1.8026250055883832</v>
      </c>
      <c r="M189" s="67">
        <f>IF(A12stdlife="n/a","n/a",IF(M$3&gt;(A12stdlife+$F189),(Input!$H$155*(1+vanilla1)^0.5)-SUM($H189:L189),(Input!$H$155*(1+vanilla1)^0.5)/A12stdlife))</f>
        <v>1.8026250055883832</v>
      </c>
      <c r="N189" s="67">
        <f>IF(A12stdlife="n/a","n/a",IF(N$3&gt;(A12stdlife+$F189),(Input!$H$155*(1+vanilla1)^0.5)-SUM($H189:M189),(Input!$H$155*(1+vanilla1)^0.5)/A12stdlife))</f>
        <v>1.8026250055883832</v>
      </c>
      <c r="O189" s="67">
        <f>IF(A12stdlife="n/a","n/a",IF(O$3&gt;(A12stdlife+$F189),(Input!$H$155*(1+vanilla1)^0.5)-SUM($H189:N189),(Input!$H$155*(1+vanilla1)^0.5)/A12stdlife))</f>
        <v>1.8026250055883832</v>
      </c>
      <c r="P189" s="67">
        <f>IF(A12stdlife="n/a","n/a",IF(P$3&gt;(A12stdlife+$F189),(Input!$H$155*(1+vanilla1)^0.5)-SUM($H189:O189),(Input!$H$155*(1+vanilla1)^0.5)/A12stdlife))</f>
        <v>1.8026250055883832</v>
      </c>
      <c r="Q189" s="67">
        <f>IF(A12stdlife="n/a","n/a",IF(Q$3&gt;(A12stdlife+$F189),(Input!$H$155*(1+vanilla1)^0.5)-SUM($H189:P189),(Input!$H$155*(1+vanilla1)^0.5)/A12stdlife))</f>
        <v>1.8026250055883832</v>
      </c>
      <c r="R189" s="67"/>
      <c r="S189" s="102"/>
      <c r="T189" s="102"/>
      <c r="U189" s="102"/>
      <c r="V189" s="102"/>
      <c r="W189" s="102"/>
      <c r="X189" s="102"/>
      <c r="Y189" s="102"/>
      <c r="Z189" s="102"/>
      <c r="AA189" s="102"/>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482"/>
      <c r="F190" s="85">
        <v>2</v>
      </c>
      <c r="G190" s="122"/>
      <c r="H190" s="146"/>
      <c r="I190" s="147"/>
      <c r="J190" s="67">
        <f>IF(A12stdlife="n/a","n/a",IF(J$3&gt;(A12stdlife+$F190),(Input!$I$155*(1+vanilla2)^0.5)-SUM($I190:I190),(Input!$I$155*(1+vanilla2)^0.5)/A12stdlife))</f>
        <v>0.4599891114935481</v>
      </c>
      <c r="K190" s="67">
        <f>IF(A12stdlife="n/a","n/a",IF(K$3&gt;(A12stdlife+$F190),(Input!$I$155*(1+vanilla2)^0.5)-SUM($I190:J190),(Input!$I$155*(1+vanilla2)^0.5)/A12stdlife))</f>
        <v>0.4599891114935481</v>
      </c>
      <c r="L190" s="67">
        <f>IF(A12stdlife="n/a","n/a",IF(L$3&gt;(A12stdlife+$F190),(Input!$I$155*(1+vanilla2)^0.5)-SUM($I190:K190),(Input!$I$155*(1+vanilla2)^0.5)/A12stdlife))</f>
        <v>0.4599891114935481</v>
      </c>
      <c r="M190" s="67">
        <f>IF(A12stdlife="n/a","n/a",IF(M$3&gt;(A12stdlife+$F190),(Input!$I$155*(1+vanilla2)^0.5)-SUM($I190:L190),(Input!$I$155*(1+vanilla2)^0.5)/A12stdlife))</f>
        <v>0.4599891114935481</v>
      </c>
      <c r="N190" s="67">
        <f>IF(A12stdlife="n/a","n/a",IF(N$3&gt;(A12stdlife+$F190),(Input!$I$155*(1+vanilla2)^0.5)-SUM($I190:M190),(Input!$I$155*(1+vanilla2)^0.5)/A12stdlife))</f>
        <v>0.4599891114935481</v>
      </c>
      <c r="O190" s="67">
        <f>IF(A12stdlife="n/a","n/a",IF(O$3&gt;(A12stdlife+$F190),(Input!$I$155*(1+vanilla2)^0.5)-SUM($I190:N190),(Input!$I$155*(1+vanilla2)^0.5)/A12stdlife))</f>
        <v>0.4599891114935481</v>
      </c>
      <c r="P190" s="67">
        <f>IF(A12stdlife="n/a","n/a",IF(P$3&gt;(A12stdlife+$F190),(Input!$I$155*(1+vanilla2)^0.5)-SUM($I190:O190),(Input!$I$155*(1+vanilla2)^0.5)/A12stdlife))</f>
        <v>0.4599891114935481</v>
      </c>
      <c r="Q190" s="67">
        <f>IF(A12stdlife="n/a","n/a",IF(Q$3&gt;(A12stdlife+$F190),(Input!$I$155*(1+vanilla2)^0.5)-SUM($I190:P190),(Input!$I$155*(1+vanilla2)^0.5)/A12stdlife))</f>
        <v>0.4599891114935481</v>
      </c>
      <c r="R190" s="67"/>
      <c r="S190" s="102"/>
      <c r="T190" s="102"/>
      <c r="U190" s="102"/>
      <c r="V190" s="102"/>
      <c r="W190" s="102"/>
      <c r="X190" s="102"/>
      <c r="Y190" s="102"/>
      <c r="Z190" s="102"/>
      <c r="AA190" s="102"/>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9"/>
      <c r="D191" s="25"/>
      <c r="E191" s="482"/>
      <c r="F191" s="85">
        <v>3</v>
      </c>
      <c r="G191" s="122"/>
      <c r="H191" s="146"/>
      <c r="I191" s="148"/>
      <c r="J191" s="147"/>
      <c r="K191" s="67">
        <f>IF(A12stdlife="n/a","n/a",IF(K$3&gt;(A12stdlife+$F191),(Input!$J$155*(1+vanilla3)^0.5)-SUM($J191:J191),(Input!$J$155*(1+vanilla3)^0.5)/A12stdlife))</f>
        <v>0.93196210575967631</v>
      </c>
      <c r="L191" s="67">
        <f>IF(A12stdlife="n/a","n/a",IF(L$3&gt;(A12stdlife+$F191),(Input!$J$155*(1+vanilla3)^0.5)-SUM($J191:K191),(Input!$J$155*(1+vanilla3)^0.5)/A12stdlife))</f>
        <v>0.93196210575967631</v>
      </c>
      <c r="M191" s="67">
        <f>IF(A12stdlife="n/a","n/a",IF(M$3&gt;(A12stdlife+$F191),(Input!$J$155*(1+vanilla3)^0.5)-SUM($J191:L191),(Input!$J$155*(1+vanilla3)^0.5)/A12stdlife))</f>
        <v>0.93196210575967631</v>
      </c>
      <c r="N191" s="67">
        <f>IF(A12stdlife="n/a","n/a",IF(N$3&gt;(A12stdlife+$F191),(Input!$J$155*(1+vanilla3)^0.5)-SUM($J191:M191),(Input!$J$155*(1+vanilla3)^0.5)/A12stdlife))</f>
        <v>0.93196210575967631</v>
      </c>
      <c r="O191" s="67">
        <f>IF(A12stdlife="n/a","n/a",IF(O$3&gt;(A12stdlife+$F191),(Input!$J$155*(1+vanilla3)^0.5)-SUM($J191:N191),(Input!$J$155*(1+vanilla3)^0.5)/A12stdlife))</f>
        <v>0.93196210575967631</v>
      </c>
      <c r="P191" s="67">
        <f>IF(A12stdlife="n/a","n/a",IF(P$3&gt;(A12stdlife+$F191),(Input!$J$155*(1+vanilla3)^0.5)-SUM($J191:O191),(Input!$J$155*(1+vanilla3)^0.5)/A12stdlife))</f>
        <v>0.93196210575967631</v>
      </c>
      <c r="Q191" s="67">
        <f>IF(A12stdlife="n/a","n/a",IF(Q$3&gt;(A12stdlife+$F191),(Input!$J$155*(1+vanilla3)^0.5)-SUM($J191:P191),(Input!$J$155*(1+vanilla3)^0.5)/A12stdlife))</f>
        <v>0.93196210575967631</v>
      </c>
      <c r="R191" s="67"/>
      <c r="S191" s="102"/>
      <c r="T191" s="102"/>
      <c r="U191" s="102"/>
      <c r="V191" s="102"/>
      <c r="W191" s="102"/>
      <c r="X191" s="102"/>
      <c r="Y191" s="102"/>
      <c r="Z191" s="102"/>
      <c r="AA191" s="102"/>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9"/>
      <c r="D192" s="25"/>
      <c r="E192" s="482"/>
      <c r="F192" s="85">
        <v>4</v>
      </c>
      <c r="G192" s="122"/>
      <c r="H192" s="146"/>
      <c r="I192" s="148"/>
      <c r="J192" s="148"/>
      <c r="K192" s="147"/>
      <c r="L192" s="67">
        <f>IF(A12stdlife="n/a","n/a",IF(L$3&gt;(A12stdlife+$F192),(Input!$K$155*(1+vanilla4)^0.5)-SUM($K192:K192),(Input!$K$155*(1+vanilla4)^0.5)/A12stdlife))</f>
        <v>0.5443056636008089</v>
      </c>
      <c r="M192" s="67">
        <f>IF(A12stdlife="n/a","n/a",IF(M$3&gt;(A12stdlife+$F192),(Input!$K$155*(1+vanilla4)^0.5)-SUM($K192:L192),(Input!$K$155*(1+vanilla4)^0.5)/A12stdlife))</f>
        <v>0.5443056636008089</v>
      </c>
      <c r="N192" s="67">
        <f>IF(A12stdlife="n/a","n/a",IF(N$3&gt;(A12stdlife+$F192),(Input!$K$155*(1+vanilla4)^0.5)-SUM($K192:M192),(Input!$K$155*(1+vanilla4)^0.5)/A12stdlife))</f>
        <v>0.5443056636008089</v>
      </c>
      <c r="O192" s="67">
        <f>IF(A12stdlife="n/a","n/a",IF(O$3&gt;(A12stdlife+$F192),(Input!$K$155*(1+vanilla4)^0.5)-SUM($K192:N192),(Input!$K$155*(1+vanilla4)^0.5)/A12stdlife))</f>
        <v>0.5443056636008089</v>
      </c>
      <c r="P192" s="67">
        <f>IF(A12stdlife="n/a","n/a",IF(P$3&gt;(A12stdlife+$F192),(Input!$K$155*(1+vanilla4)^0.5)-SUM($K192:O192),(Input!$K$155*(1+vanilla4)^0.5)/A12stdlife))</f>
        <v>0.5443056636008089</v>
      </c>
      <c r="Q192" s="67">
        <f>IF(A12stdlife="n/a","n/a",IF(Q$3&gt;(A12stdlife+$F192),(Input!$K$155*(1+vanilla4)^0.5)-SUM($K192:P192),(Input!$K$155*(1+vanilla4)^0.5)/A12stdlife))</f>
        <v>0.5443056636008089</v>
      </c>
      <c r="R192" s="67"/>
      <c r="S192" s="102"/>
      <c r="T192" s="102"/>
      <c r="U192" s="102"/>
      <c r="V192" s="102"/>
      <c r="W192" s="102"/>
      <c r="X192" s="102"/>
      <c r="Y192" s="102"/>
      <c r="Z192" s="102"/>
      <c r="AA192" s="102"/>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9"/>
      <c r="D193" s="25"/>
      <c r="E193" s="482"/>
      <c r="F193" s="85">
        <v>5</v>
      </c>
      <c r="G193" s="26"/>
      <c r="H193" s="146"/>
      <c r="I193" s="148"/>
      <c r="J193" s="148"/>
      <c r="K193" s="148"/>
      <c r="L193" s="147"/>
      <c r="M193" s="67">
        <f>IF(A12stdlife="n/a","n/a",IF(M$3&gt;(A12stdlife+$F193),(Input!$L$155*(1+vanilla5)^0.5)-SUM($L193:L193),(Input!$L$155*(1+vanilla5)^0.5)/A12stdlife))</f>
        <v>0.31843871393562451</v>
      </c>
      <c r="N193" s="67">
        <f>IF(A12stdlife="n/a","n/a",IF(N$3&gt;(A12stdlife+$F193),(Input!$L$155*(1+vanilla5)^0.5)-SUM($L193:M193),(Input!$L$155*(1+vanilla5)^0.5)/A12stdlife))</f>
        <v>0.31843871393562451</v>
      </c>
      <c r="O193" s="67">
        <f>IF(A12stdlife="n/a","n/a",IF(O$3&gt;(A12stdlife+$F193),(Input!$L$155*(1+vanilla5)^0.5)-SUM($L193:N193),(Input!$L$155*(1+vanilla5)^0.5)/A12stdlife))</f>
        <v>0.31843871393562451</v>
      </c>
      <c r="P193" s="67">
        <f>IF(A12stdlife="n/a","n/a",IF(P$3&gt;(A12stdlife+$F193),(Input!$L$155*(1+vanilla5)^0.5)-SUM($L193:O193),(Input!$L$155*(1+vanilla5)^0.5)/A12stdlife))</f>
        <v>0.31843871393562451</v>
      </c>
      <c r="Q193" s="67">
        <f>IF(A12stdlife="n/a","n/a",IF(Q$3&gt;(A12stdlife+$F193),(Input!$L$155*(1+vanilla5)^0.5)-SUM($L193:P193),(Input!$L$155*(1+vanilla5)^0.5)/A12stdlife))</f>
        <v>0.31843871393562451</v>
      </c>
      <c r="R193" s="67"/>
      <c r="S193" s="102"/>
      <c r="T193" s="102"/>
      <c r="U193" s="102"/>
      <c r="V193" s="102"/>
      <c r="W193" s="102"/>
      <c r="X193" s="102"/>
      <c r="Y193" s="102"/>
      <c r="Z193" s="102"/>
      <c r="AA193" s="102"/>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25"/>
      <c r="E194" s="482"/>
      <c r="F194" s="85">
        <v>6</v>
      </c>
      <c r="G194" s="26"/>
      <c r="H194" s="146"/>
      <c r="I194" s="148"/>
      <c r="J194" s="148"/>
      <c r="K194" s="148"/>
      <c r="L194" s="148"/>
      <c r="M194" s="147"/>
      <c r="N194" s="67">
        <f>IF(A12stdlife="n/a","n/a",IF(N$3&gt;(A12stdlife+$F194),(Input!$M$155*(1+vanilla6)^0.5)-SUM($M194:M194),(Input!$M$155*(1+vanilla6)^0.5)/A12stdlife))</f>
        <v>0</v>
      </c>
      <c r="O194" s="67">
        <f>IF(A12stdlife="n/a","n/a",IF(O$3&gt;(A12stdlife+$F194),(Input!$M$155*(1+vanilla6)^0.5)-SUM($M194:N194),(Input!$M$155*(1+vanilla6)^0.5)/A12stdlife))</f>
        <v>0</v>
      </c>
      <c r="P194" s="67">
        <f>IF(A12stdlife="n/a","n/a",IF(P$3&gt;(A12stdlife+$F194),(Input!$M$155*(1+vanilla6)^0.5)-SUM($M194:O194),(Input!$M$155*(1+vanilla6)^0.5)/A12stdlife))</f>
        <v>0</v>
      </c>
      <c r="Q194" s="67">
        <f>IF(A12stdlife="n/a","n/a",IF(Q$3&gt;(A12stdlife+$F194),(Input!$M$155*(1+vanilla6)^0.5)-SUM($M194:P194),(Input!$M$155*(1+vanilla6)^0.5)/A12stdlife))</f>
        <v>0</v>
      </c>
      <c r="R194" s="67"/>
      <c r="S194" s="102"/>
      <c r="T194" s="102"/>
      <c r="U194" s="102"/>
      <c r="V194" s="102"/>
      <c r="W194" s="102"/>
      <c r="X194" s="102"/>
      <c r="Y194" s="102"/>
      <c r="Z194" s="102"/>
      <c r="AA194" s="102"/>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9"/>
      <c r="D195" s="25"/>
      <c r="E195" s="482"/>
      <c r="F195" s="85">
        <v>7</v>
      </c>
      <c r="G195" s="26"/>
      <c r="H195" s="146"/>
      <c r="I195" s="148"/>
      <c r="J195" s="148"/>
      <c r="K195" s="148"/>
      <c r="L195" s="148"/>
      <c r="M195" s="148"/>
      <c r="N195" s="147"/>
      <c r="O195" s="67">
        <f>IF(A12stdlife="n/a","n/a",IF(O$3&gt;(A12stdlife+$F195),(Input!$N$155*(1+vanilla7)^0.5)-SUM($N195:N195),(Input!$N$155*(1+vanilla7)^0.5)/A12stdlife))</f>
        <v>0</v>
      </c>
      <c r="P195" s="67">
        <f>IF(A12stdlife="n/a","n/a",IF(P$3&gt;(A12stdlife+$F195),(Input!$N$155*(1+vanilla7)^0.5)-SUM($N195:O195),(Input!$N$155*(1+vanilla7)^0.5)/A12stdlife))</f>
        <v>0</v>
      </c>
      <c r="Q195" s="67">
        <f>IF(A12stdlife="n/a","n/a",IF(Q$3&gt;(A12stdlife+$F195),(Input!$N$155*(1+vanilla7)^0.5)-SUM($N195:P195),(Input!$N$155*(1+vanilla7)^0.5)/A12stdlife))</f>
        <v>0</v>
      </c>
      <c r="R195" s="67"/>
      <c r="S195" s="102"/>
      <c r="T195" s="102"/>
      <c r="U195" s="102"/>
      <c r="V195" s="102"/>
      <c r="W195" s="102"/>
      <c r="X195" s="102"/>
      <c r="Y195" s="102"/>
      <c r="Z195" s="102"/>
      <c r="AA195" s="102"/>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9"/>
      <c r="D196" s="25"/>
      <c r="E196" s="482"/>
      <c r="F196" s="85">
        <v>8</v>
      </c>
      <c r="G196" s="26"/>
      <c r="H196" s="146"/>
      <c r="I196" s="148"/>
      <c r="J196" s="148"/>
      <c r="K196" s="148"/>
      <c r="L196" s="148"/>
      <c r="M196" s="148"/>
      <c r="N196" s="148"/>
      <c r="O196" s="147"/>
      <c r="P196" s="67">
        <f>IF(A12stdlife="n/a","n/a",IF(P$3&gt;(A12stdlife+$F196),(Input!$O$155*(1+vanilla8)^0.5)-SUM($O196:O196),(Input!$O$155*(1+vanilla8)^0.5)/A12stdlife))</f>
        <v>0</v>
      </c>
      <c r="Q196" s="67">
        <f>IF(A12stdlife="n/a","n/a",IF(Q$3&gt;(A12stdlife+$F196),(Input!$O$155*(1+vanilla8)^0.5)-SUM($O196:P196),(Input!$O$155*(1+vanilla8)^0.5)/A12stdlife))</f>
        <v>0</v>
      </c>
      <c r="R196" s="67"/>
      <c r="S196" s="102"/>
      <c r="T196" s="102"/>
      <c r="U196" s="102"/>
      <c r="V196" s="102"/>
      <c r="W196" s="102"/>
      <c r="X196" s="102"/>
      <c r="Y196" s="102"/>
      <c r="Z196" s="102"/>
      <c r="AA196" s="102"/>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9"/>
      <c r="D197" s="25"/>
      <c r="E197" s="482"/>
      <c r="F197" s="85">
        <v>9</v>
      </c>
      <c r="G197" s="26"/>
      <c r="H197" s="146"/>
      <c r="I197" s="148"/>
      <c r="J197" s="148"/>
      <c r="K197" s="148"/>
      <c r="L197" s="148"/>
      <c r="M197" s="148"/>
      <c r="N197" s="148"/>
      <c r="O197" s="148"/>
      <c r="P197" s="147"/>
      <c r="Q197" s="67">
        <f>IF(A12stdlife="n/a","n/a",IF(Q$3&gt;(A12stdlife+$F197),(Input!$P$155*(1+vanilla9)^0.5)-SUM($P197:P197),(Input!$P$155*(1+vanilla9)^0.5)/A12stdlife))</f>
        <v>0</v>
      </c>
      <c r="R197" s="67"/>
      <c r="S197" s="102"/>
      <c r="T197" s="102"/>
      <c r="U197" s="102"/>
      <c r="V197" s="102"/>
      <c r="W197" s="102"/>
      <c r="X197" s="102"/>
      <c r="Y197" s="102"/>
      <c r="Z197" s="102"/>
      <c r="AA197" s="102"/>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9"/>
      <c r="D198" s="25"/>
      <c r="E198" s="482"/>
      <c r="F198" s="86">
        <v>10</v>
      </c>
      <c r="G198" s="26"/>
      <c r="H198" s="146"/>
      <c r="I198" s="148"/>
      <c r="J198" s="148"/>
      <c r="K198" s="148"/>
      <c r="L198" s="148"/>
      <c r="M198" s="148"/>
      <c r="N198" s="148"/>
      <c r="O198" s="148"/>
      <c r="P198" s="148"/>
      <c r="Q198" s="147"/>
      <c r="R198" s="67"/>
      <c r="S198" s="102"/>
      <c r="T198" s="102"/>
      <c r="U198" s="102"/>
      <c r="V198" s="102"/>
      <c r="W198" s="102"/>
      <c r="X198" s="102"/>
      <c r="Y198" s="102"/>
      <c r="Z198" s="102"/>
      <c r="AA198" s="102"/>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1">
      <c r="A199" s="9"/>
      <c r="B199" s="9"/>
      <c r="C199" s="9"/>
      <c r="D199" s="25" t="str">
        <f>Asset12</f>
        <v>Ancillary substation equipment (dx)</v>
      </c>
      <c r="E199" s="9"/>
      <c r="F199" s="9"/>
      <c r="G199" s="122"/>
      <c r="H199" s="165">
        <f>-SUM(H187:H198)</f>
        <v>0</v>
      </c>
      <c r="I199" s="165">
        <f>-SUM(I187:I198)</f>
        <v>-1.8026250055883832</v>
      </c>
      <c r="J199" s="165">
        <f>-SUM(J187:J198)</f>
        <v>-2.2626141170819314</v>
      </c>
      <c r="K199" s="165">
        <f>-SUM(K187:K198)</f>
        <v>-3.1945762228416079</v>
      </c>
      <c r="L199" s="165">
        <f>-SUM(L187:L198)</f>
        <v>-3.7388818864424169</v>
      </c>
      <c r="M199" s="165">
        <f>IF(Input!M174&gt;0, -SUM(M187:M198), 0)</f>
        <v>0</v>
      </c>
      <c r="N199" s="165">
        <f>IF(Input!N174&gt;0, -SUM(N187:N198), 0)</f>
        <v>0</v>
      </c>
      <c r="O199" s="165">
        <f>IF(Input!O174&gt;0, -SUM(O187:O198), 0)</f>
        <v>0</v>
      </c>
      <c r="P199" s="165">
        <f>IF(Input!P174&gt;0, -SUM(P187:P198), 0)</f>
        <v>0</v>
      </c>
      <c r="Q199" s="165">
        <f>IF(Input!Q174&gt;0, -SUM(Q187:Q198), 0)</f>
        <v>0</v>
      </c>
      <c r="R199" s="65"/>
      <c r="S199" s="104"/>
      <c r="T199" s="104"/>
      <c r="U199" s="104"/>
      <c r="V199" s="104"/>
      <c r="W199" s="104"/>
      <c r="X199" s="104"/>
      <c r="Y199" s="104"/>
      <c r="Z199" s="104"/>
      <c r="AA199" s="104"/>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104"/>
      <c r="BE199" s="104"/>
      <c r="BF199" s="104"/>
      <c r="BG199" s="104"/>
      <c r="BH199" s="104"/>
      <c r="BI199" s="104"/>
      <c r="BJ199" s="104"/>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31" t="str">
        <f>Asset13</f>
        <v>Land and Easements</v>
      </c>
      <c r="D200" s="161"/>
      <c r="E200" s="33" t="s">
        <v>28</v>
      </c>
      <c r="F200" s="32"/>
      <c r="G200" s="174"/>
      <c r="H200" s="66" t="str">
        <f>IF(H$3&gt;A13remlife,A13value-SUM($G200:G200),IF(A13remlife="N/A","n/a",A13value/A13remlife))</f>
        <v>n/a</v>
      </c>
      <c r="I200" s="66" t="str">
        <f>IF(I$3&gt;A13remlife,A13value-SUM($G200:H200),IF(A13remlife="N/A","n/a",A13value/A13remlife))</f>
        <v>n/a</v>
      </c>
      <c r="J200" s="66" t="str">
        <f>IF(J$3&gt;A13remlife,A13value-SUM($G200:I200),IF(A13remlife="N/A","n/a",A13value/A13remlife))</f>
        <v>n/a</v>
      </c>
      <c r="K200" s="66" t="str">
        <f>IF(K$3&gt;A13remlife,A13value-SUM($G200:J200),IF(A13remlife="N/A","n/a",A13value/A13remlife))</f>
        <v>n/a</v>
      </c>
      <c r="L200" s="66" t="str">
        <f>IF(L$3&gt;A13remlife,A13value-SUM($G200:K200),IF(A13remlife="N/A","n/a",A13value/A13remlife))</f>
        <v>n/a</v>
      </c>
      <c r="M200" s="66" t="str">
        <f>IF(M$3&gt;A13remlife,A13value-SUM($G200:L200),IF(A13remlife="N/A","n/a",A13value/A13remlife))</f>
        <v>n/a</v>
      </c>
      <c r="N200" s="66" t="str">
        <f>IF(N$3&gt;A13remlife,A13value-SUM($G200:M200),IF(A13remlife="N/A","n/a",A13value/A13remlife))</f>
        <v>n/a</v>
      </c>
      <c r="O200" s="66" t="str">
        <f>IF(O$3&gt;A13remlife,A13value-SUM($G200:N200),IF(A13remlife="N/A","n/a",A13value/A13remlife))</f>
        <v>n/a</v>
      </c>
      <c r="P200" s="66" t="str">
        <f>IF(P$3&gt;A13remlife,A13value-SUM($G200:O200),IF(A13remlife="N/A","n/a",A13value/A13remlife))</f>
        <v>n/a</v>
      </c>
      <c r="Q200" s="66" t="str">
        <f>IF(Q$3&gt;A13remlife,A13value-SUM($G200:P200),IF(A13remlife="N/A","n/a",A13value/A13remlife))</f>
        <v>n/a</v>
      </c>
      <c r="R200" s="66"/>
      <c r="S200" s="102"/>
      <c r="T200" s="102"/>
      <c r="U200" s="102"/>
      <c r="V200" s="102"/>
      <c r="W200" s="102"/>
      <c r="X200" s="102"/>
      <c r="Y200" s="102"/>
      <c r="Z200" s="102"/>
      <c r="AA200" s="102"/>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5"/>
      <c r="E201" s="481" t="s">
        <v>83</v>
      </c>
      <c r="F201" s="85">
        <v>0</v>
      </c>
      <c r="G201" s="122"/>
      <c r="H201" s="67"/>
      <c r="I201" s="67"/>
      <c r="J201" s="67"/>
      <c r="K201" s="67"/>
      <c r="L201" s="67"/>
      <c r="M201" s="163"/>
      <c r="N201" s="111"/>
      <c r="O201" s="67"/>
      <c r="P201" s="67"/>
      <c r="Q201" s="67"/>
      <c r="R201" s="67"/>
      <c r="S201" s="102"/>
      <c r="T201" s="102"/>
      <c r="U201" s="102"/>
      <c r="V201" s="102"/>
      <c r="W201" s="102"/>
      <c r="X201" s="102"/>
      <c r="Y201" s="102"/>
      <c r="Z201" s="102"/>
      <c r="AA201" s="102"/>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102"/>
      <c r="BE201" s="102"/>
      <c r="BF201" s="102"/>
      <c r="BG201" s="102"/>
      <c r="BH201" s="102"/>
      <c r="BI201" s="102"/>
      <c r="BJ201" s="102"/>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9"/>
      <c r="D202" s="25"/>
      <c r="E202" s="482"/>
      <c r="F202" s="85">
        <v>1</v>
      </c>
      <c r="G202" s="122"/>
      <c r="H202" s="145"/>
      <c r="I202" s="67" t="str">
        <f>IF(A13stdlife="n/a","n/a",IF(I$3&gt;(A13stdlife+$F202),(Input!$H$156*(1+vanilla1)^0.5)-SUM($H202:H202),(Input!$H$156*(1+vanilla1)^0.5)/A13stdlife))</f>
        <v>n/a</v>
      </c>
      <c r="J202" s="67" t="str">
        <f>IF(A13stdlife="n/a","n/a",IF(J$3&gt;(A13stdlife+$F202),(Input!$H$156*(1+vanilla1)^0.5)-SUM($H202:I202),(Input!$H$156*(1+vanilla1)^0.5)/A13stdlife))</f>
        <v>n/a</v>
      </c>
      <c r="K202" s="67" t="str">
        <f>IF(A13stdlife="n/a","n/a",IF(K$3&gt;(A13stdlife+$F202),(Input!$H$156*(1+vanilla1)^0.5)-SUM($H202:J202),(Input!$H$156*(1+vanilla1)^0.5)/A13stdlife))</f>
        <v>n/a</v>
      </c>
      <c r="L202" s="67" t="str">
        <f>IF(A13stdlife="n/a","n/a",IF(L$3&gt;(A13stdlife+$F202),(Input!$H$156*(1+vanilla1)^0.5)-SUM($H202:K202),(Input!$H$156*(1+vanilla1)^0.5)/A13stdlife))</f>
        <v>n/a</v>
      </c>
      <c r="M202" s="67" t="str">
        <f>IF(A13stdlife="n/a","n/a",IF(M$3&gt;(A13stdlife+$F202),(Input!$H$156*(1+vanilla1)^0.5)-SUM($H202:L202),(Input!$H$156*(1+vanilla1)^0.5)/A13stdlife))</f>
        <v>n/a</v>
      </c>
      <c r="N202" s="67" t="str">
        <f>IF(A13stdlife="n/a","n/a",IF(N$3&gt;(A13stdlife+$F202),(Input!$H$156*(1+vanilla1)^0.5)-SUM($H202:M202),(Input!$H$156*(1+vanilla1)^0.5)/A13stdlife))</f>
        <v>n/a</v>
      </c>
      <c r="O202" s="67" t="str">
        <f>IF(A13stdlife="n/a","n/a",IF(O$3&gt;(A13stdlife+$F202),(Input!$H$156*(1+vanilla1)^0.5)-SUM($H202:N202),(Input!$H$156*(1+vanilla1)^0.5)/A13stdlife))</f>
        <v>n/a</v>
      </c>
      <c r="P202" s="67" t="str">
        <f>IF(A13stdlife="n/a","n/a",IF(P$3&gt;(A13stdlife+$F202),(Input!$H$156*(1+vanilla1)^0.5)-SUM($H202:O202),(Input!$H$156*(1+vanilla1)^0.5)/A13stdlife))</f>
        <v>n/a</v>
      </c>
      <c r="Q202" s="67" t="str">
        <f>IF(A13stdlife="n/a","n/a",IF(Q$3&gt;(A13stdlife+$F202),(Input!$H$156*(1+vanilla1)^0.5)-SUM($H202:P202),(Input!$H$156*(1+vanilla1)^0.5)/A13stdlife))</f>
        <v>n/a</v>
      </c>
      <c r="R202" s="67"/>
      <c r="S202" s="102"/>
      <c r="T202" s="102"/>
      <c r="U202" s="102"/>
      <c r="V202" s="102"/>
      <c r="W202" s="102"/>
      <c r="X202" s="102"/>
      <c r="Y202" s="102"/>
      <c r="Z202" s="102"/>
      <c r="AA202" s="102"/>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482"/>
      <c r="F203" s="85">
        <v>2</v>
      </c>
      <c r="G203" s="122"/>
      <c r="H203" s="146"/>
      <c r="I203" s="147"/>
      <c r="J203" s="67" t="str">
        <f>IF(A13stdlife="n/a","n/a",IF(J$3&gt;(A13stdlife+$F203),(Input!$I$156*(1+vanilla2)^0.5)-SUM($I203:I203),(Input!$I$156*(1+vanilla2)^0.5)/A13stdlife))</f>
        <v>n/a</v>
      </c>
      <c r="K203" s="67" t="str">
        <f>IF(A13stdlife="n/a","n/a",IF(K$3&gt;(A13stdlife+$F203),(Input!$I$156*(1+vanilla2)^0.5)-SUM($I203:J203),(Input!$I$156*(1+vanilla2)^0.5)/A13stdlife))</f>
        <v>n/a</v>
      </c>
      <c r="L203" s="67" t="str">
        <f>IF(A13stdlife="n/a","n/a",IF(L$3&gt;(A13stdlife+$F203),(Input!$I$156*(1+vanilla2)^0.5)-SUM($I203:K203),(Input!$I$156*(1+vanilla2)^0.5)/A13stdlife))</f>
        <v>n/a</v>
      </c>
      <c r="M203" s="67" t="str">
        <f>IF(A13stdlife="n/a","n/a",IF(M$3&gt;(A13stdlife+$F203),(Input!$I$156*(1+vanilla2)^0.5)-SUM($I203:L203),(Input!$I$156*(1+vanilla2)^0.5)/A13stdlife))</f>
        <v>n/a</v>
      </c>
      <c r="N203" s="67" t="str">
        <f>IF(A13stdlife="n/a","n/a",IF(N$3&gt;(A13stdlife+$F203),(Input!$I$156*(1+vanilla2)^0.5)-SUM($I203:M203),(Input!$I$156*(1+vanilla2)^0.5)/A13stdlife))</f>
        <v>n/a</v>
      </c>
      <c r="O203" s="67" t="str">
        <f>IF(A13stdlife="n/a","n/a",IF(O$3&gt;(A13stdlife+$F203),(Input!$I$156*(1+vanilla2)^0.5)-SUM($I203:N203),(Input!$I$156*(1+vanilla2)^0.5)/A13stdlife))</f>
        <v>n/a</v>
      </c>
      <c r="P203" s="67" t="str">
        <f>IF(A13stdlife="n/a","n/a",IF(P$3&gt;(A13stdlife+$F203),(Input!$I$156*(1+vanilla2)^0.5)-SUM($I203:O203),(Input!$I$156*(1+vanilla2)^0.5)/A13stdlife))</f>
        <v>n/a</v>
      </c>
      <c r="Q203" s="67" t="str">
        <f>IF(A13stdlife="n/a","n/a",IF(Q$3&gt;(A13stdlife+$F203),(Input!$I$156*(1+vanilla2)^0.5)-SUM($I203:P203),(Input!$I$156*(1+vanilla2)^0.5)/A13stdlife))</f>
        <v>n/a</v>
      </c>
      <c r="R203" s="67"/>
      <c r="S203" s="102"/>
      <c r="T203" s="102"/>
      <c r="U203" s="102"/>
      <c r="V203" s="102"/>
      <c r="W203" s="102"/>
      <c r="X203" s="102"/>
      <c r="Y203" s="102"/>
      <c r="Z203" s="102"/>
      <c r="AA203" s="102"/>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9"/>
      <c r="D204" s="25"/>
      <c r="E204" s="482"/>
      <c r="F204" s="85">
        <v>3</v>
      </c>
      <c r="G204" s="122"/>
      <c r="H204" s="146"/>
      <c r="I204" s="148"/>
      <c r="J204" s="147"/>
      <c r="K204" s="67" t="str">
        <f>IF(A13stdlife="n/a","n/a",IF(K$3&gt;(A13stdlife+$F204),(Input!$J$156*(1+vanilla3)^0.5)-SUM($J204:J204),(Input!$J$156*(1+vanilla3)^0.5)/A13stdlife))</f>
        <v>n/a</v>
      </c>
      <c r="L204" s="67" t="str">
        <f>IF(A13stdlife="n/a","n/a",IF(L$3&gt;(A13stdlife+$F204),(Input!$J$156*(1+vanilla3)^0.5)-SUM($J204:K204),(Input!$J$156*(1+vanilla3)^0.5)/A13stdlife))</f>
        <v>n/a</v>
      </c>
      <c r="M204" s="67" t="str">
        <f>IF(A13stdlife="n/a","n/a",IF(M$3&gt;(A13stdlife+$F204),(Input!$J$156*(1+vanilla3)^0.5)-SUM($J204:L204),(Input!$J$156*(1+vanilla3)^0.5)/A13stdlife))</f>
        <v>n/a</v>
      </c>
      <c r="N204" s="67" t="str">
        <f>IF(A13stdlife="n/a","n/a",IF(N$3&gt;(A13stdlife+$F204),(Input!$J$156*(1+vanilla3)^0.5)-SUM($J204:M204),(Input!$J$156*(1+vanilla3)^0.5)/A13stdlife))</f>
        <v>n/a</v>
      </c>
      <c r="O204" s="67" t="str">
        <f>IF(A13stdlife="n/a","n/a",IF(O$3&gt;(A13stdlife+$F204),(Input!$J$156*(1+vanilla3)^0.5)-SUM($J204:N204),(Input!$J$156*(1+vanilla3)^0.5)/A13stdlife))</f>
        <v>n/a</v>
      </c>
      <c r="P204" s="67" t="str">
        <f>IF(A13stdlife="n/a","n/a",IF(P$3&gt;(A13stdlife+$F204),(Input!$J$156*(1+vanilla3)^0.5)-SUM($J204:O204),(Input!$J$156*(1+vanilla3)^0.5)/A13stdlife))</f>
        <v>n/a</v>
      </c>
      <c r="Q204" s="67" t="str">
        <f>IF(A13stdlife="n/a","n/a",IF(Q$3&gt;(A13stdlife+$F204),(Input!$J$156*(1+vanilla3)^0.5)-SUM($J204:P204),(Input!$J$156*(1+vanilla3)^0.5)/A13stdlife))</f>
        <v>n/a</v>
      </c>
      <c r="R204" s="67"/>
      <c r="S204" s="102"/>
      <c r="T204" s="102"/>
      <c r="U204" s="102"/>
      <c r="V204" s="102"/>
      <c r="W204" s="102"/>
      <c r="X204" s="102"/>
      <c r="Y204" s="102"/>
      <c r="Z204" s="102"/>
      <c r="AA204" s="102"/>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9"/>
      <c r="D205" s="25"/>
      <c r="E205" s="482"/>
      <c r="F205" s="85">
        <v>4</v>
      </c>
      <c r="G205" s="122"/>
      <c r="H205" s="146"/>
      <c r="I205" s="148"/>
      <c r="J205" s="148"/>
      <c r="K205" s="147"/>
      <c r="L205" s="67" t="str">
        <f>IF(A13stdlife="n/a","n/a",IF(L$3&gt;(A13stdlife+$F205),(Input!$K$156*(1+vanilla4)^0.5)-SUM($K205:K205),(Input!$K$156*(1+vanilla4)^0.5)/A13stdlife))</f>
        <v>n/a</v>
      </c>
      <c r="M205" s="67" t="str">
        <f>IF(A13stdlife="n/a","n/a",IF(M$3&gt;(A13stdlife+$F205),(Input!$K$156*(1+vanilla4)^0.5)-SUM($K205:L205),(Input!$K$156*(1+vanilla4)^0.5)/A13stdlife))</f>
        <v>n/a</v>
      </c>
      <c r="N205" s="67" t="str">
        <f>IF(A13stdlife="n/a","n/a",IF(N$3&gt;(A13stdlife+$F205),(Input!$K$156*(1+vanilla4)^0.5)-SUM($K205:M205),(Input!$K$156*(1+vanilla4)^0.5)/A13stdlife))</f>
        <v>n/a</v>
      </c>
      <c r="O205" s="67" t="str">
        <f>IF(A13stdlife="n/a","n/a",IF(O$3&gt;(A13stdlife+$F205),(Input!$K$156*(1+vanilla4)^0.5)-SUM($K205:N205),(Input!$K$156*(1+vanilla4)^0.5)/A13stdlife))</f>
        <v>n/a</v>
      </c>
      <c r="P205" s="67" t="str">
        <f>IF(A13stdlife="n/a","n/a",IF(P$3&gt;(A13stdlife+$F205),(Input!$K$156*(1+vanilla4)^0.5)-SUM($K205:O205),(Input!$K$156*(1+vanilla4)^0.5)/A13stdlife))</f>
        <v>n/a</v>
      </c>
      <c r="Q205" s="67" t="str">
        <f>IF(A13stdlife="n/a","n/a",IF(Q$3&gt;(A13stdlife+$F205),(Input!$K$156*(1+vanilla4)^0.5)-SUM($K205:P205),(Input!$K$156*(1+vanilla4)^0.5)/A13stdlife))</f>
        <v>n/a</v>
      </c>
      <c r="R205" s="67"/>
      <c r="S205" s="102"/>
      <c r="T205" s="102"/>
      <c r="U205" s="102"/>
      <c r="V205" s="102"/>
      <c r="W205" s="102"/>
      <c r="X205" s="102"/>
      <c r="Y205" s="102"/>
      <c r="Z205" s="102"/>
      <c r="AA205" s="102"/>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9"/>
      <c r="D206" s="25"/>
      <c r="E206" s="482"/>
      <c r="F206" s="85">
        <v>5</v>
      </c>
      <c r="G206" s="26"/>
      <c r="H206" s="146"/>
      <c r="I206" s="148"/>
      <c r="J206" s="148"/>
      <c r="K206" s="148"/>
      <c r="L206" s="147"/>
      <c r="M206" s="67" t="str">
        <f>IF(A13stdlife="n/a","n/a",IF(M$3&gt;(A13stdlife+$F206),(Input!$L$156*(1+vanilla5)^0.5)-SUM($L206:L206),(Input!$L$156*(1+vanilla5)^0.5)/A13stdlife))</f>
        <v>n/a</v>
      </c>
      <c r="N206" s="67" t="str">
        <f>IF(A13stdlife="n/a","n/a",IF(N$3&gt;(A13stdlife+$F206),(Input!$L$156*(1+vanilla5)^0.5)-SUM($L206:M206),(Input!$L$156*(1+vanilla5)^0.5)/A13stdlife))</f>
        <v>n/a</v>
      </c>
      <c r="O206" s="67" t="str">
        <f>IF(A13stdlife="n/a","n/a",IF(O$3&gt;(A13stdlife+$F206),(Input!$L$156*(1+vanilla5)^0.5)-SUM($L206:N206),(Input!$L$156*(1+vanilla5)^0.5)/A13stdlife))</f>
        <v>n/a</v>
      </c>
      <c r="P206" s="67" t="str">
        <f>IF(A13stdlife="n/a","n/a",IF(P$3&gt;(A13stdlife+$F206),(Input!$L$156*(1+vanilla5)^0.5)-SUM($L206:O206),(Input!$L$156*(1+vanilla5)^0.5)/A13stdlife))</f>
        <v>n/a</v>
      </c>
      <c r="Q206" s="67" t="str">
        <f>IF(A13stdlife="n/a","n/a",IF(Q$3&gt;(A13stdlife+$F206),(Input!$L$156*(1+vanilla5)^0.5)-SUM($L206:P206),(Input!$L$156*(1+vanilla5)^0.5)/A13stdlife))</f>
        <v>n/a</v>
      </c>
      <c r="R206" s="67"/>
      <c r="S206" s="102"/>
      <c r="T206" s="102"/>
      <c r="U206" s="102"/>
      <c r="V206" s="102"/>
      <c r="W206" s="102"/>
      <c r="X206" s="102"/>
      <c r="Y206" s="102"/>
      <c r="Z206" s="102"/>
      <c r="AA206" s="102"/>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482"/>
      <c r="F207" s="85">
        <v>6</v>
      </c>
      <c r="G207" s="26"/>
      <c r="H207" s="146"/>
      <c r="I207" s="148"/>
      <c r="J207" s="148"/>
      <c r="K207" s="148"/>
      <c r="L207" s="148"/>
      <c r="M207" s="147"/>
      <c r="N207" s="67" t="str">
        <f>IF(A13stdlife="n/a","n/a",IF(N$3&gt;(A13stdlife+$F207),(Input!$M$156*(1+vanilla6)^0.5)-SUM($M207:M207),(Input!$M$156*(1+vanilla6)^0.5)/A13stdlife))</f>
        <v>n/a</v>
      </c>
      <c r="O207" s="67" t="str">
        <f>IF(A13stdlife="n/a","n/a",IF(O$3&gt;(A13stdlife+$F207),(Input!$M$156*(1+vanilla6)^0.5)-SUM($M207:N207),(Input!$M$156*(1+vanilla6)^0.5)/A13stdlife))</f>
        <v>n/a</v>
      </c>
      <c r="P207" s="67" t="str">
        <f>IF(A13stdlife="n/a","n/a",IF(P$3&gt;(A13stdlife+$F207),(Input!$M$156*(1+vanilla6)^0.5)-SUM($M207:O207),(Input!$M$156*(1+vanilla6)^0.5)/A13stdlife))</f>
        <v>n/a</v>
      </c>
      <c r="Q207" s="67" t="str">
        <f>IF(A13stdlife="n/a","n/a",IF(Q$3&gt;(A13stdlife+$F207),(Input!$M$156*(1+vanilla6)^0.5)-SUM($M207:P207),(Input!$M$156*(1+vanilla6)^0.5)/A13stdlife))</f>
        <v>n/a</v>
      </c>
      <c r="R207" s="67"/>
      <c r="S207" s="102"/>
      <c r="T207" s="102"/>
      <c r="U207" s="102"/>
      <c r="V207" s="102"/>
      <c r="W207" s="102"/>
      <c r="X207" s="102"/>
      <c r="Y207" s="102"/>
      <c r="Z207" s="102"/>
      <c r="AA207" s="102"/>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9"/>
      <c r="D208" s="25"/>
      <c r="E208" s="482"/>
      <c r="F208" s="85">
        <v>7</v>
      </c>
      <c r="G208" s="26"/>
      <c r="H208" s="146"/>
      <c r="I208" s="148"/>
      <c r="J208" s="148"/>
      <c r="K208" s="148"/>
      <c r="L208" s="148"/>
      <c r="M208" s="148"/>
      <c r="N208" s="147"/>
      <c r="O208" s="67" t="str">
        <f>IF(A13stdlife="n/a","n/a",IF(O$3&gt;(A13stdlife+$F208),(Input!$N$156*(1+vanilla7)^0.5)-SUM($N208:N208),(Input!$N$156*(1+vanilla7)^0.5)/A13stdlife))</f>
        <v>n/a</v>
      </c>
      <c r="P208" s="67" t="str">
        <f>IF(A13stdlife="n/a","n/a",IF(P$3&gt;(A13stdlife+$F208),(Input!$N$156*(1+vanilla7)^0.5)-SUM($N208:O208),(Input!$N$156*(1+vanilla7)^0.5)/A13stdlife))</f>
        <v>n/a</v>
      </c>
      <c r="Q208" s="67" t="str">
        <f>IF(A13stdlife="n/a","n/a",IF(Q$3&gt;(A13stdlife+$F208),(Input!$N$156*(1+vanilla7)^0.5)-SUM($N208:P208),(Input!$N$156*(1+vanilla7)^0.5)/A13stdlife))</f>
        <v>n/a</v>
      </c>
      <c r="R208" s="67"/>
      <c r="S208" s="102"/>
      <c r="T208" s="102"/>
      <c r="U208" s="102"/>
      <c r="V208" s="102"/>
      <c r="W208" s="102"/>
      <c r="X208" s="102"/>
      <c r="Y208" s="102"/>
      <c r="Z208" s="102"/>
      <c r="AA208" s="102"/>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9"/>
      <c r="D209" s="25"/>
      <c r="E209" s="482"/>
      <c r="F209" s="85">
        <v>8</v>
      </c>
      <c r="G209" s="26"/>
      <c r="H209" s="146"/>
      <c r="I209" s="148"/>
      <c r="J209" s="148"/>
      <c r="K209" s="148"/>
      <c r="L209" s="148"/>
      <c r="M209" s="148"/>
      <c r="N209" s="148"/>
      <c r="O209" s="147"/>
      <c r="P209" s="67" t="str">
        <f>IF(A13stdlife="n/a","n/a",IF(P$3&gt;(A13stdlife+$F209),(Input!$O$156*(1+vanilla8)^0.5)-SUM($O209:O209),(Input!$O$156*(1+vanilla8)^0.5)/A13stdlife))</f>
        <v>n/a</v>
      </c>
      <c r="Q209" s="67" t="str">
        <f>IF(A13stdlife="n/a","n/a",IF(Q$3&gt;(A13stdlife+$F209),(Input!$O$156*(1+vanilla8)^0.5)-SUM($O209:P209),(Input!$O$156*(1+vanilla8)^0.5)/A13stdlife))</f>
        <v>n/a</v>
      </c>
      <c r="R209" s="67"/>
      <c r="S209" s="102"/>
      <c r="T209" s="102"/>
      <c r="U209" s="102"/>
      <c r="V209" s="102"/>
      <c r="W209" s="102"/>
      <c r="X209" s="102"/>
      <c r="Y209" s="102"/>
      <c r="Z209" s="102"/>
      <c r="AA209" s="102"/>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9"/>
      <c r="D210" s="25"/>
      <c r="E210" s="482"/>
      <c r="F210" s="85">
        <v>9</v>
      </c>
      <c r="G210" s="26"/>
      <c r="H210" s="146"/>
      <c r="I210" s="148"/>
      <c r="J210" s="148"/>
      <c r="K210" s="148"/>
      <c r="L210" s="148"/>
      <c r="M210" s="148"/>
      <c r="N210" s="148"/>
      <c r="O210" s="148"/>
      <c r="P210" s="147"/>
      <c r="Q210" s="67" t="str">
        <f>IF(A13stdlife="n/a","n/a",IF(Q$3&gt;(A13stdlife+$F210),(Input!$P$156*(1+vanilla9)^0.5)-SUM($P210:P210),(Input!$P$156*(1+vanilla9)^0.5)/A13stdlife))</f>
        <v>n/a</v>
      </c>
      <c r="R210" s="67"/>
      <c r="S210" s="102"/>
      <c r="T210" s="102"/>
      <c r="U210" s="102"/>
      <c r="V210" s="102"/>
      <c r="W210" s="102"/>
      <c r="X210" s="102"/>
      <c r="Y210" s="102"/>
      <c r="Z210" s="102"/>
      <c r="AA210" s="102"/>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9"/>
      <c r="D211" s="25"/>
      <c r="E211" s="482"/>
      <c r="F211" s="86">
        <v>10</v>
      </c>
      <c r="G211" s="26"/>
      <c r="H211" s="146"/>
      <c r="I211" s="148"/>
      <c r="J211" s="148"/>
      <c r="K211" s="148"/>
      <c r="L211" s="148"/>
      <c r="M211" s="148"/>
      <c r="N211" s="148"/>
      <c r="O211" s="148"/>
      <c r="P211" s="148"/>
      <c r="Q211" s="147"/>
      <c r="R211" s="67"/>
      <c r="S211" s="102"/>
      <c r="T211" s="102"/>
      <c r="U211" s="102"/>
      <c r="V211" s="102"/>
      <c r="W211" s="102"/>
      <c r="X211" s="102"/>
      <c r="Y211" s="102"/>
      <c r="Z211" s="102"/>
      <c r="AA211" s="102"/>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1">
      <c r="A212" s="9"/>
      <c r="B212" s="9"/>
      <c r="C212" s="9"/>
      <c r="D212" s="25" t="str">
        <f>Asset13</f>
        <v>Land and Easements</v>
      </c>
      <c r="E212" s="9"/>
      <c r="F212" s="9"/>
      <c r="G212" s="122"/>
      <c r="H212" s="165">
        <f>-SUM(H200:H211)</f>
        <v>0</v>
      </c>
      <c r="I212" s="165">
        <f>-SUM(I200:I211)</f>
        <v>0</v>
      </c>
      <c r="J212" s="165">
        <f>-SUM(J200:J211)</f>
        <v>0</v>
      </c>
      <c r="K212" s="165">
        <f>-SUM(K200:K211)</f>
        <v>0</v>
      </c>
      <c r="L212" s="165">
        <f>-SUM(L200:L211)</f>
        <v>0</v>
      </c>
      <c r="M212" s="165">
        <f>IF(Input!M174&gt;0, -SUM(M200:M211), 0)</f>
        <v>0</v>
      </c>
      <c r="N212" s="165">
        <f>IF(Input!N174&gt;0, -SUM(N200:N211), 0)</f>
        <v>0</v>
      </c>
      <c r="O212" s="165">
        <f>IF(Input!O174&gt;0, -SUM(O200:O211), 0)</f>
        <v>0</v>
      </c>
      <c r="P212" s="165">
        <f>IF(Input!P174&gt;0, -SUM(P200:P211), 0)</f>
        <v>0</v>
      </c>
      <c r="Q212" s="165">
        <f>IF(Input!Q174&gt;0, -SUM(Q200:Q211), 0)</f>
        <v>0</v>
      </c>
      <c r="R212" s="65"/>
      <c r="S212" s="104"/>
      <c r="T212" s="104"/>
      <c r="U212" s="104"/>
      <c r="V212" s="104"/>
      <c r="W212" s="104"/>
      <c r="X212" s="104"/>
      <c r="Y212" s="104"/>
      <c r="Z212" s="104"/>
      <c r="AA212" s="104"/>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104"/>
      <c r="BE212" s="104"/>
      <c r="BF212" s="104"/>
      <c r="BG212" s="104"/>
      <c r="BH212" s="104"/>
      <c r="BI212" s="104"/>
      <c r="BJ212" s="104"/>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31" t="str">
        <f>Asset14</f>
        <v>Emergency Spares (Major Plant, Excludes Inventory)</v>
      </c>
      <c r="D213" s="161"/>
      <c r="E213" s="33" t="s">
        <v>28</v>
      </c>
      <c r="F213" s="32"/>
      <c r="G213" s="174"/>
      <c r="H213" s="66" t="str">
        <f>IF(H$3&gt;A14remlife,A14value-SUM($G213:G213),IF(A14remlife="N/A","n/a",A14value/A14remlife))</f>
        <v>n/a</v>
      </c>
      <c r="I213" s="66" t="str">
        <f>IF(I$3&gt;A14remlife,A14value-SUM($G213:H213),IF(A14remlife="N/A","n/a",A14value/A14remlife))</f>
        <v>n/a</v>
      </c>
      <c r="J213" s="66" t="str">
        <f>IF(J$3&gt;A14remlife,A14value-SUM($G213:I213),IF(A14remlife="N/A","n/a",A14value/A14remlife))</f>
        <v>n/a</v>
      </c>
      <c r="K213" s="66" t="str">
        <f>IF(K$3&gt;A14remlife,A14value-SUM($G213:J213),IF(A14remlife="N/A","n/a",A14value/A14remlife))</f>
        <v>n/a</v>
      </c>
      <c r="L213" s="66" t="str">
        <f>IF(L$3&gt;A14remlife,A14value-SUM($G213:K213),IF(A14remlife="N/A","n/a",A14value/A14remlife))</f>
        <v>n/a</v>
      </c>
      <c r="M213" s="66" t="str">
        <f>IF(M$3&gt;A14remlife,A14value-SUM($G213:L213),IF(A14remlife="N/A","n/a",A14value/A14remlife))</f>
        <v>n/a</v>
      </c>
      <c r="N213" s="66" t="str">
        <f>IF(N$3&gt;A14remlife,A14value-SUM($G213:M213),IF(A14remlife="N/A","n/a",A14value/A14remlife))</f>
        <v>n/a</v>
      </c>
      <c r="O213" s="66" t="str">
        <f>IF(O$3&gt;A14remlife,A14value-SUM($G213:N213),IF(A14remlife="N/A","n/a",A14value/A14remlife))</f>
        <v>n/a</v>
      </c>
      <c r="P213" s="66" t="str">
        <f>IF(P$3&gt;A14remlife,A14value-SUM($G213:O213),IF(A14remlife="N/A","n/a",A14value/A14remlife))</f>
        <v>n/a</v>
      </c>
      <c r="Q213" s="66" t="str">
        <f>IF(Q$3&gt;A14remlife,A14value-SUM($G213:P213),IF(A14remlife="N/A","n/a",A14value/A14remlife))</f>
        <v>n/a</v>
      </c>
      <c r="R213" s="66"/>
      <c r="S213" s="102"/>
      <c r="T213" s="102"/>
      <c r="U213" s="102"/>
      <c r="V213" s="102"/>
      <c r="W213" s="102"/>
      <c r="X213" s="102"/>
      <c r="Y213" s="102"/>
      <c r="Z213" s="102"/>
      <c r="AA213" s="102"/>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5"/>
      <c r="E214" s="481" t="s">
        <v>83</v>
      </c>
      <c r="F214" s="85">
        <v>0</v>
      </c>
      <c r="G214" s="122"/>
      <c r="H214" s="67"/>
      <c r="I214" s="67"/>
      <c r="J214" s="67"/>
      <c r="K214" s="67"/>
      <c r="L214" s="67"/>
      <c r="M214" s="163"/>
      <c r="N214" s="111"/>
      <c r="O214" s="67"/>
      <c r="P214" s="67"/>
      <c r="Q214" s="67"/>
      <c r="R214" s="67"/>
      <c r="S214" s="102"/>
      <c r="T214" s="102"/>
      <c r="U214" s="102"/>
      <c r="V214" s="102"/>
      <c r="W214" s="102"/>
      <c r="X214" s="102"/>
      <c r="Y214" s="102"/>
      <c r="Z214" s="102"/>
      <c r="AA214" s="102"/>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102"/>
      <c r="BE214" s="102"/>
      <c r="BF214" s="102"/>
      <c r="BG214" s="102"/>
      <c r="BH214" s="102"/>
      <c r="BI214" s="102"/>
      <c r="BJ214" s="102"/>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9"/>
      <c r="D215" s="25"/>
      <c r="E215" s="482"/>
      <c r="F215" s="85">
        <v>1</v>
      </c>
      <c r="G215" s="122"/>
      <c r="H215" s="145"/>
      <c r="I215" s="67" t="str">
        <f>IF(A14stdlife="n/a","n/a",IF(I$3&gt;(A14stdlife+$F215),(Input!$H$157*(1+vanilla1)^0.5)-SUM($H215:H215),(Input!$H$157*(1+vanilla1)^0.5)/A14stdlife))</f>
        <v>n/a</v>
      </c>
      <c r="J215" s="67" t="str">
        <f>IF(A14stdlife="n/a","n/a",IF(J$3&gt;(A14stdlife+$F215),(Input!$H$157*(1+vanilla1)^0.5)-SUM($H215:I215),(Input!$H$157*(1+vanilla1)^0.5)/A14stdlife))</f>
        <v>n/a</v>
      </c>
      <c r="K215" s="67" t="str">
        <f>IF(A14stdlife="n/a","n/a",IF(K$3&gt;(A14stdlife+$F215),(Input!$H$157*(1+vanilla1)^0.5)-SUM($H215:J215),(Input!$H$157*(1+vanilla1)^0.5)/A14stdlife))</f>
        <v>n/a</v>
      </c>
      <c r="L215" s="67" t="str">
        <f>IF(A14stdlife="n/a","n/a",IF(L$3&gt;(A14stdlife+$F215),(Input!$H$157*(1+vanilla1)^0.5)-SUM($H215:K215),(Input!$H$157*(1+vanilla1)^0.5)/A14stdlife))</f>
        <v>n/a</v>
      </c>
      <c r="M215" s="67" t="str">
        <f>IF(A14stdlife="n/a","n/a",IF(M$3&gt;(A14stdlife+$F215),(Input!$H$157*(1+vanilla1)^0.5)-SUM($H215:L215),(Input!$H$157*(1+vanilla1)^0.5)/A14stdlife))</f>
        <v>n/a</v>
      </c>
      <c r="N215" s="67" t="str">
        <f>IF(A14stdlife="n/a","n/a",IF(N$3&gt;(A14stdlife+$F215),(Input!$H$157*(1+vanilla1)^0.5)-SUM($H215:M215),(Input!$H$157*(1+vanilla1)^0.5)/A14stdlife))</f>
        <v>n/a</v>
      </c>
      <c r="O215" s="67" t="str">
        <f>IF(A14stdlife="n/a","n/a",IF(O$3&gt;(A14stdlife+$F215),(Input!$H$157*(1+vanilla1)^0.5)-SUM($H215:N215),(Input!$H$157*(1+vanilla1)^0.5)/A14stdlife))</f>
        <v>n/a</v>
      </c>
      <c r="P215" s="67" t="str">
        <f>IF(A14stdlife="n/a","n/a",IF(P$3&gt;(A14stdlife+$F215),(Input!$H$157*(1+vanilla1)^0.5)-SUM($H215:O215),(Input!$H$157*(1+vanilla1)^0.5)/A14stdlife))</f>
        <v>n/a</v>
      </c>
      <c r="Q215" s="67" t="str">
        <f>IF(A14stdlife="n/a","n/a",IF(Q$3&gt;(A14stdlife+$F215),(Input!$H$157*(1+vanilla1)^0.5)-SUM($H215:P215),(Input!$H$157*(1+vanilla1)^0.5)/A14stdlife))</f>
        <v>n/a</v>
      </c>
      <c r="R215" s="67"/>
      <c r="S215" s="102"/>
      <c r="T215" s="102"/>
      <c r="U215" s="102"/>
      <c r="V215" s="102"/>
      <c r="W215" s="102"/>
      <c r="X215" s="102"/>
      <c r="Y215" s="102"/>
      <c r="Z215" s="102"/>
      <c r="AA215" s="102"/>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482"/>
      <c r="F216" s="85">
        <v>2</v>
      </c>
      <c r="G216" s="122"/>
      <c r="H216" s="146"/>
      <c r="I216" s="147"/>
      <c r="J216" s="67" t="str">
        <f>IF(A14stdlife="n/a","n/a",IF(J$3&gt;(A14stdlife+$F216),(Input!$I$157*(1+vanilla2)^0.5)-SUM($I216:I216),(Input!$I$157*(1+vanilla2)^0.5)/A14stdlife))</f>
        <v>n/a</v>
      </c>
      <c r="K216" s="67" t="str">
        <f>IF(A14stdlife="n/a","n/a",IF(K$3&gt;(A14stdlife+$F216),(Input!$I$157*(1+vanilla2)^0.5)-SUM($I216:J216),(Input!$I$157*(1+vanilla2)^0.5)/A14stdlife))</f>
        <v>n/a</v>
      </c>
      <c r="L216" s="67" t="str">
        <f>IF(A14stdlife="n/a","n/a",IF(L$3&gt;(A14stdlife+$F216),(Input!$I$157*(1+vanilla2)^0.5)-SUM($I216:K216),(Input!$I$157*(1+vanilla2)^0.5)/A14stdlife))</f>
        <v>n/a</v>
      </c>
      <c r="M216" s="67" t="str">
        <f>IF(A14stdlife="n/a","n/a",IF(M$3&gt;(A14stdlife+$F216),(Input!$I$157*(1+vanilla2)^0.5)-SUM($I216:L216),(Input!$I$157*(1+vanilla2)^0.5)/A14stdlife))</f>
        <v>n/a</v>
      </c>
      <c r="N216" s="67" t="str">
        <f>IF(A14stdlife="n/a","n/a",IF(N$3&gt;(A14stdlife+$F216),(Input!$I$157*(1+vanilla2)^0.5)-SUM($I216:M216),(Input!$I$157*(1+vanilla2)^0.5)/A14stdlife))</f>
        <v>n/a</v>
      </c>
      <c r="O216" s="67" t="str">
        <f>IF(A14stdlife="n/a","n/a",IF(O$3&gt;(A14stdlife+$F216),(Input!$I$157*(1+vanilla2)^0.5)-SUM($I216:N216),(Input!$I$157*(1+vanilla2)^0.5)/A14stdlife))</f>
        <v>n/a</v>
      </c>
      <c r="P216" s="67" t="str">
        <f>IF(A14stdlife="n/a","n/a",IF(P$3&gt;(A14stdlife+$F216),(Input!$I$157*(1+vanilla2)^0.5)-SUM($I216:O216),(Input!$I$157*(1+vanilla2)^0.5)/A14stdlife))</f>
        <v>n/a</v>
      </c>
      <c r="Q216" s="67" t="str">
        <f>IF(A14stdlife="n/a","n/a",IF(Q$3&gt;(A14stdlife+$F216),(Input!$I$157*(1+vanilla2)^0.5)-SUM($I216:P216),(Input!$I$157*(1+vanilla2)^0.5)/A14stdlife))</f>
        <v>n/a</v>
      </c>
      <c r="R216" s="67"/>
      <c r="S216" s="102"/>
      <c r="T216" s="102"/>
      <c r="U216" s="102"/>
      <c r="V216" s="102"/>
      <c r="W216" s="102"/>
      <c r="X216" s="102"/>
      <c r="Y216" s="102"/>
      <c r="Z216" s="102"/>
      <c r="AA216" s="102"/>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9"/>
      <c r="D217" s="25"/>
      <c r="E217" s="482"/>
      <c r="F217" s="85">
        <v>3</v>
      </c>
      <c r="G217" s="122"/>
      <c r="H217" s="146"/>
      <c r="I217" s="148"/>
      <c r="J217" s="147"/>
      <c r="K217" s="67" t="str">
        <f>IF(A14stdlife="n/a","n/a",IF(K$3&gt;(A14stdlife+$F217),(Input!$J$157*(1+vanilla3)^0.5)-SUM($J217:J217),(Input!$J$157*(1+vanilla3)^0.5)/A14stdlife))</f>
        <v>n/a</v>
      </c>
      <c r="L217" s="67" t="str">
        <f>IF(A14stdlife="n/a","n/a",IF(L$3&gt;(A14stdlife+$F217),(Input!$J$157*(1+vanilla3)^0.5)-SUM($J217:K217),(Input!$J$157*(1+vanilla3)^0.5)/A14stdlife))</f>
        <v>n/a</v>
      </c>
      <c r="M217" s="67" t="str">
        <f>IF(A14stdlife="n/a","n/a",IF(M$3&gt;(A14stdlife+$F217),(Input!$J$157*(1+vanilla3)^0.5)-SUM($J217:L217),(Input!$J$157*(1+vanilla3)^0.5)/A14stdlife))</f>
        <v>n/a</v>
      </c>
      <c r="N217" s="67" t="str">
        <f>IF(A14stdlife="n/a","n/a",IF(N$3&gt;(A14stdlife+$F217),(Input!$J$157*(1+vanilla3)^0.5)-SUM($J217:M217),(Input!$J$157*(1+vanilla3)^0.5)/A14stdlife))</f>
        <v>n/a</v>
      </c>
      <c r="O217" s="67" t="str">
        <f>IF(A14stdlife="n/a","n/a",IF(O$3&gt;(A14stdlife+$F217),(Input!$J$157*(1+vanilla3)^0.5)-SUM($J217:N217),(Input!$J$157*(1+vanilla3)^0.5)/A14stdlife))</f>
        <v>n/a</v>
      </c>
      <c r="P217" s="67" t="str">
        <f>IF(A14stdlife="n/a","n/a",IF(P$3&gt;(A14stdlife+$F217),(Input!$J$157*(1+vanilla3)^0.5)-SUM($J217:O217),(Input!$J$157*(1+vanilla3)^0.5)/A14stdlife))</f>
        <v>n/a</v>
      </c>
      <c r="Q217" s="67" t="str">
        <f>IF(A14stdlife="n/a","n/a",IF(Q$3&gt;(A14stdlife+$F217),(Input!$J$157*(1+vanilla3)^0.5)-SUM($J217:P217),(Input!$J$157*(1+vanilla3)^0.5)/A14stdlife))</f>
        <v>n/a</v>
      </c>
      <c r="R217" s="67"/>
      <c r="S217" s="102"/>
      <c r="T217" s="102"/>
      <c r="U217" s="102"/>
      <c r="V217" s="102"/>
      <c r="W217" s="102"/>
      <c r="X217" s="102"/>
      <c r="Y217" s="102"/>
      <c r="Z217" s="102"/>
      <c r="AA217" s="102"/>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9"/>
      <c r="D218" s="25"/>
      <c r="E218" s="482"/>
      <c r="F218" s="85">
        <v>4</v>
      </c>
      <c r="G218" s="122"/>
      <c r="H218" s="146"/>
      <c r="I218" s="148"/>
      <c r="J218" s="148"/>
      <c r="K218" s="147"/>
      <c r="L218" s="67" t="str">
        <f>IF(A14stdlife="n/a","n/a",IF(L$3&gt;(A14stdlife+$F218),(Input!$K$157*(1+vanilla4)^0.5)-SUM($K218:K218),(Input!$K$157*(1+vanilla4)^0.5)/A14stdlife))</f>
        <v>n/a</v>
      </c>
      <c r="M218" s="67" t="str">
        <f>IF(A14stdlife="n/a","n/a",IF(M$3&gt;(A14stdlife+$F218),(Input!$K$157*(1+vanilla4)^0.5)-SUM($K218:L218),(Input!$K$157*(1+vanilla4)^0.5)/A14stdlife))</f>
        <v>n/a</v>
      </c>
      <c r="N218" s="67" t="str">
        <f>IF(A14stdlife="n/a","n/a",IF(N$3&gt;(A14stdlife+$F218),(Input!$K$157*(1+vanilla4)^0.5)-SUM($K218:M218),(Input!$K$157*(1+vanilla4)^0.5)/A14stdlife))</f>
        <v>n/a</v>
      </c>
      <c r="O218" s="67" t="str">
        <f>IF(A14stdlife="n/a","n/a",IF(O$3&gt;(A14stdlife+$F218),(Input!$K$157*(1+vanilla4)^0.5)-SUM($K218:N218),(Input!$K$157*(1+vanilla4)^0.5)/A14stdlife))</f>
        <v>n/a</v>
      </c>
      <c r="P218" s="67" t="str">
        <f>IF(A14stdlife="n/a","n/a",IF(P$3&gt;(A14stdlife+$F218),(Input!$K$157*(1+vanilla4)^0.5)-SUM($K218:O218),(Input!$K$157*(1+vanilla4)^0.5)/A14stdlife))</f>
        <v>n/a</v>
      </c>
      <c r="Q218" s="67" t="str">
        <f>IF(A14stdlife="n/a","n/a",IF(Q$3&gt;(A14stdlife+$F218),(Input!$K$157*(1+vanilla4)^0.5)-SUM($K218:P218),(Input!$K$157*(1+vanilla4)^0.5)/A14stdlife))</f>
        <v>n/a</v>
      </c>
      <c r="R218" s="67"/>
      <c r="S218" s="102"/>
      <c r="T218" s="102"/>
      <c r="U218" s="102"/>
      <c r="V218" s="102"/>
      <c r="W218" s="102"/>
      <c r="X218" s="102"/>
      <c r="Y218" s="102"/>
      <c r="Z218" s="102"/>
      <c r="AA218" s="102"/>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9"/>
      <c r="D219" s="25"/>
      <c r="E219" s="482"/>
      <c r="F219" s="85">
        <v>5</v>
      </c>
      <c r="G219" s="26"/>
      <c r="H219" s="146"/>
      <c r="I219" s="148"/>
      <c r="J219" s="148"/>
      <c r="K219" s="148"/>
      <c r="L219" s="147"/>
      <c r="M219" s="67" t="str">
        <f>IF(A14stdlife="n/a","n/a",IF(M$3&gt;(A14stdlife+$F219),(Input!$L$157*(1+vanilla5)^0.5)-SUM($L219:L219),(Input!$L$157*(1+vanilla5)^0.5)/A14stdlife))</f>
        <v>n/a</v>
      </c>
      <c r="N219" s="67" t="str">
        <f>IF(A14stdlife="n/a","n/a",IF(N$3&gt;(A14stdlife+$F219),(Input!$L$157*(1+vanilla5)^0.5)-SUM($L219:M219),(Input!$L$157*(1+vanilla5)^0.5)/A14stdlife))</f>
        <v>n/a</v>
      </c>
      <c r="O219" s="67" t="str">
        <f>IF(A14stdlife="n/a","n/a",IF(O$3&gt;(A14stdlife+$F219),(Input!$L$157*(1+vanilla5)^0.5)-SUM($L219:N219),(Input!$L$157*(1+vanilla5)^0.5)/A14stdlife))</f>
        <v>n/a</v>
      </c>
      <c r="P219" s="67" t="str">
        <f>IF(A14stdlife="n/a","n/a",IF(P$3&gt;(A14stdlife+$F219),(Input!$L$157*(1+vanilla5)^0.5)-SUM($L219:O219),(Input!$L$157*(1+vanilla5)^0.5)/A14stdlife))</f>
        <v>n/a</v>
      </c>
      <c r="Q219" s="67" t="str">
        <f>IF(A14stdlife="n/a","n/a",IF(Q$3&gt;(A14stdlife+$F219),(Input!$L$157*(1+vanilla5)^0.5)-SUM($L219:P219),(Input!$L$157*(1+vanilla5)^0.5)/A14stdlife))</f>
        <v>n/a</v>
      </c>
      <c r="R219" s="67"/>
      <c r="S219" s="102"/>
      <c r="T219" s="102"/>
      <c r="U219" s="102"/>
      <c r="V219" s="102"/>
      <c r="W219" s="102"/>
      <c r="X219" s="102"/>
      <c r="Y219" s="102"/>
      <c r="Z219" s="102"/>
      <c r="AA219" s="102"/>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482"/>
      <c r="F220" s="85">
        <v>6</v>
      </c>
      <c r="G220" s="26"/>
      <c r="H220" s="146"/>
      <c r="I220" s="148"/>
      <c r="J220" s="148"/>
      <c r="K220" s="148"/>
      <c r="L220" s="148"/>
      <c r="M220" s="147"/>
      <c r="N220" s="67" t="str">
        <f>IF(A14stdlife="n/a","n/a",IF(N$3&gt;(A14stdlife+$F220),(Input!$M$157*(1+vanilla6)^0.5)-SUM($M220:M220),(Input!$M$157*(1+vanilla6)^0.5)/A14stdlife))</f>
        <v>n/a</v>
      </c>
      <c r="O220" s="67" t="str">
        <f>IF(A14stdlife="n/a","n/a",IF(O$3&gt;(A14stdlife+$F220),(Input!$M$157*(1+vanilla6)^0.5)-SUM($M220:N220),(Input!$M$157*(1+vanilla6)^0.5)/A14stdlife))</f>
        <v>n/a</v>
      </c>
      <c r="P220" s="67" t="str">
        <f>IF(A14stdlife="n/a","n/a",IF(P$3&gt;(A14stdlife+$F220),(Input!$M$157*(1+vanilla6)^0.5)-SUM($M220:O220),(Input!$M$157*(1+vanilla6)^0.5)/A14stdlife))</f>
        <v>n/a</v>
      </c>
      <c r="Q220" s="67" t="str">
        <f>IF(A14stdlife="n/a","n/a",IF(Q$3&gt;(A14stdlife+$F220),(Input!$M$157*(1+vanilla6)^0.5)-SUM($M220:P220),(Input!$M$157*(1+vanilla6)^0.5)/A14stdlife))</f>
        <v>n/a</v>
      </c>
      <c r="R220" s="67"/>
      <c r="S220" s="102"/>
      <c r="T220" s="102"/>
      <c r="U220" s="102"/>
      <c r="V220" s="102"/>
      <c r="W220" s="102"/>
      <c r="X220" s="102"/>
      <c r="Y220" s="102"/>
      <c r="Z220" s="102"/>
      <c r="AA220" s="102"/>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9"/>
      <c r="D221" s="25"/>
      <c r="E221" s="482"/>
      <c r="F221" s="85">
        <v>7</v>
      </c>
      <c r="G221" s="26"/>
      <c r="H221" s="146"/>
      <c r="I221" s="148"/>
      <c r="J221" s="148"/>
      <c r="K221" s="148"/>
      <c r="L221" s="148"/>
      <c r="M221" s="148"/>
      <c r="N221" s="147"/>
      <c r="O221" s="67" t="str">
        <f>IF(A14stdlife="n/a","n/a",IF(O$3&gt;(A14stdlife+$F221),(Input!$N$157*(1+vanilla7)^0.5)-SUM($N221:N221),(Input!$N$157*(1+vanilla7)^0.5)/A14stdlife))</f>
        <v>n/a</v>
      </c>
      <c r="P221" s="67" t="str">
        <f>IF(A14stdlife="n/a","n/a",IF(P$3&gt;(A14stdlife+$F221),(Input!$N$157*(1+vanilla7)^0.5)-SUM($N221:O221),(Input!$N$157*(1+vanilla7)^0.5)/A14stdlife))</f>
        <v>n/a</v>
      </c>
      <c r="Q221" s="67" t="str">
        <f>IF(A14stdlife="n/a","n/a",IF(Q$3&gt;(A14stdlife+$F221),(Input!$N$157*(1+vanilla7)^0.5)-SUM($N221:P221),(Input!$N$157*(1+vanilla7)^0.5)/A14stdlife))</f>
        <v>n/a</v>
      </c>
      <c r="R221" s="67"/>
      <c r="S221" s="102"/>
      <c r="T221" s="102"/>
      <c r="U221" s="102"/>
      <c r="V221" s="102"/>
      <c r="W221" s="102"/>
      <c r="X221" s="102"/>
      <c r="Y221" s="102"/>
      <c r="Z221" s="102"/>
      <c r="AA221" s="102"/>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9"/>
      <c r="D222" s="25"/>
      <c r="E222" s="482"/>
      <c r="F222" s="85">
        <v>8</v>
      </c>
      <c r="G222" s="26"/>
      <c r="H222" s="146"/>
      <c r="I222" s="148"/>
      <c r="J222" s="148"/>
      <c r="K222" s="148"/>
      <c r="L222" s="148"/>
      <c r="M222" s="148"/>
      <c r="N222" s="148"/>
      <c r="O222" s="147"/>
      <c r="P222" s="67" t="str">
        <f>IF(A14stdlife="n/a","n/a",IF(P$3&gt;(A14stdlife+$F222),(Input!$O$157*(1+vanilla8)^0.5)-SUM($O222:O222),(Input!$O$157*(1+vanilla8)^0.5)/A14stdlife))</f>
        <v>n/a</v>
      </c>
      <c r="Q222" s="67" t="str">
        <f>IF(A14stdlife="n/a","n/a",IF(Q$3&gt;(A14stdlife+$F222),(Input!$O$157*(1+vanilla8)^0.5)-SUM($O222:P222),(Input!$O$157*(1+vanilla8)^0.5)/A14stdlife))</f>
        <v>n/a</v>
      </c>
      <c r="R222" s="67"/>
      <c r="S222" s="102"/>
      <c r="T222" s="102"/>
      <c r="U222" s="102"/>
      <c r="V222" s="102"/>
      <c r="W222" s="102"/>
      <c r="X222" s="102"/>
      <c r="Y222" s="102"/>
      <c r="Z222" s="102"/>
      <c r="AA222" s="102"/>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9"/>
      <c r="D223" s="25"/>
      <c r="E223" s="482"/>
      <c r="F223" s="85">
        <v>9</v>
      </c>
      <c r="G223" s="26"/>
      <c r="H223" s="146"/>
      <c r="I223" s="148"/>
      <c r="J223" s="148"/>
      <c r="K223" s="148"/>
      <c r="L223" s="148"/>
      <c r="M223" s="148"/>
      <c r="N223" s="148"/>
      <c r="O223" s="148"/>
      <c r="P223" s="147"/>
      <c r="Q223" s="67" t="str">
        <f>IF(A14stdlife="n/a","n/a",IF(Q$3&gt;(A14stdlife+$F223),(Input!$P$157*(1+vanilla9)^0.5)-SUM($P223:P223),(Input!$P$157*(1+vanilla9)^0.5)/A14stdlife))</f>
        <v>n/a</v>
      </c>
      <c r="R223" s="67"/>
      <c r="S223" s="102"/>
      <c r="T223" s="102"/>
      <c r="U223" s="102"/>
      <c r="V223" s="102"/>
      <c r="W223" s="102"/>
      <c r="X223" s="102"/>
      <c r="Y223" s="102"/>
      <c r="Z223" s="102"/>
      <c r="AA223" s="102"/>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9"/>
      <c r="D224" s="25"/>
      <c r="E224" s="482"/>
      <c r="F224" s="86">
        <v>10</v>
      </c>
      <c r="G224" s="26"/>
      <c r="H224" s="146"/>
      <c r="I224" s="148"/>
      <c r="J224" s="148"/>
      <c r="K224" s="148"/>
      <c r="L224" s="148"/>
      <c r="M224" s="148"/>
      <c r="N224" s="148"/>
      <c r="O224" s="148"/>
      <c r="P224" s="148"/>
      <c r="Q224" s="147"/>
      <c r="R224" s="67"/>
      <c r="S224" s="102"/>
      <c r="T224" s="102"/>
      <c r="U224" s="102"/>
      <c r="V224" s="102"/>
      <c r="W224" s="102"/>
      <c r="X224" s="102"/>
      <c r="Y224" s="102"/>
      <c r="Z224" s="102"/>
      <c r="AA224" s="102"/>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1">
      <c r="A225" s="9"/>
      <c r="B225" s="9"/>
      <c r="C225" s="9"/>
      <c r="D225" s="25" t="str">
        <f>Asset14</f>
        <v>Emergency Spares (Major Plant, Excludes Inventory)</v>
      </c>
      <c r="E225" s="9"/>
      <c r="F225" s="9"/>
      <c r="G225" s="122"/>
      <c r="H225" s="165">
        <f>-SUM(H213:H224)</f>
        <v>0</v>
      </c>
      <c r="I225" s="165">
        <f>-SUM(I213:I224)</f>
        <v>0</v>
      </c>
      <c r="J225" s="165">
        <f>-SUM(J213:J224)</f>
        <v>0</v>
      </c>
      <c r="K225" s="165">
        <f>-SUM(K213:K224)</f>
        <v>0</v>
      </c>
      <c r="L225" s="165">
        <f>-SUM(L213:L224)</f>
        <v>0</v>
      </c>
      <c r="M225" s="165">
        <f>IF(Input!M174&gt;0, -SUM(M213:M224), 0)</f>
        <v>0</v>
      </c>
      <c r="N225" s="165">
        <f>IF(Input!N174&gt;0, -SUM(N213:N224), 0)</f>
        <v>0</v>
      </c>
      <c r="O225" s="165">
        <f>IF(Input!O174&gt;0, -SUM(O213:O224), 0)</f>
        <v>0</v>
      </c>
      <c r="P225" s="165">
        <f>IF(Input!P174&gt;0, -SUM(P213:P224), 0)</f>
        <v>0</v>
      </c>
      <c r="Q225" s="165">
        <f>IF(Input!Q174&gt;0, -SUM(Q213:Q224), 0)</f>
        <v>0</v>
      </c>
      <c r="R225" s="65"/>
      <c r="S225" s="104"/>
      <c r="T225" s="104"/>
      <c r="U225" s="104"/>
      <c r="V225" s="104"/>
      <c r="W225" s="104"/>
      <c r="X225" s="104"/>
      <c r="Y225" s="104"/>
      <c r="Z225" s="104"/>
      <c r="AA225" s="104"/>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104"/>
      <c r="BE225" s="104"/>
      <c r="BF225" s="104"/>
      <c r="BG225" s="104"/>
      <c r="BH225" s="104"/>
      <c r="BI225" s="104"/>
      <c r="BJ225" s="104"/>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31" t="str">
        <f>Asset15</f>
        <v>Furniture, fittings, plant and equipment</v>
      </c>
      <c r="D226" s="161"/>
      <c r="E226" s="33" t="s">
        <v>28</v>
      </c>
      <c r="F226" s="32"/>
      <c r="G226" s="174"/>
      <c r="H226" s="66">
        <f>IF(H$3&gt;A15remlife,A15value-SUM($G226:G226),IF(A15remlife="N/A","n/a",A15value/A15remlife))</f>
        <v>2.0069713109702283</v>
      </c>
      <c r="I226" s="66">
        <f>IF(I$3&gt;A15remlife,A15value-SUM($G226:H226),IF(A15remlife="N/A","n/a",A15value/A15remlife))</f>
        <v>2.0069713109702283</v>
      </c>
      <c r="J226" s="66">
        <f>IF(J$3&gt;A15remlife,A15value-SUM($G226:I226),IF(A15remlife="N/A","n/a",A15value/A15remlife))</f>
        <v>2.0069713109702283</v>
      </c>
      <c r="K226" s="66">
        <f>IF(K$3&gt;A15remlife,A15value-SUM($G226:J226),IF(A15remlife="N/A","n/a",A15value/A15remlife))</f>
        <v>2.0069713109702283</v>
      </c>
      <c r="L226" s="66">
        <f>IF(L$3&gt;A15remlife,A15value-SUM($G226:K226),IF(A15remlife="N/A","n/a",A15value/A15remlife))</f>
        <v>2.0069713109702283</v>
      </c>
      <c r="M226" s="66">
        <f>IF(M$3&gt;A15remlife,A15value-SUM($G226:L226),IF(A15remlife="N/A","n/a",A15value/A15remlife))</f>
        <v>2.0069713109702283</v>
      </c>
      <c r="N226" s="66">
        <f>IF(N$3&gt;A15remlife,A15value-SUM($G226:M226),IF(A15remlife="N/A","n/a",A15value/A15remlife))</f>
        <v>2.0069713109702283</v>
      </c>
      <c r="O226" s="66">
        <f>IF(O$3&gt;A15remlife,A15value-SUM($G226:N226),IF(A15remlife="N/A","n/a",A15value/A15remlife))</f>
        <v>2.0069713109702283</v>
      </c>
      <c r="P226" s="66">
        <f>IF(P$3&gt;A15remlife,A15value-SUM($G226:O226),IF(A15remlife="N/A","n/a",A15value/A15remlife))</f>
        <v>2.0069713109702283</v>
      </c>
      <c r="Q226" s="66">
        <f>IF(Q$3&gt;A15remlife,A15value-SUM($G226:P226),IF(A15remlife="N/A","n/a",A15value/A15remlife))</f>
        <v>2.0069713109702283</v>
      </c>
      <c r="R226" s="66"/>
      <c r="S226" s="102"/>
      <c r="T226" s="102"/>
      <c r="U226" s="102"/>
      <c r="V226" s="102"/>
      <c r="W226" s="102"/>
      <c r="X226" s="102"/>
      <c r="Y226" s="102"/>
      <c r="Z226" s="102"/>
      <c r="AA226" s="102"/>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5"/>
      <c r="E227" s="481" t="s">
        <v>83</v>
      </c>
      <c r="F227" s="85">
        <v>0</v>
      </c>
      <c r="G227" s="122"/>
      <c r="H227" s="67"/>
      <c r="I227" s="67"/>
      <c r="J227" s="67"/>
      <c r="K227" s="67"/>
      <c r="L227" s="67"/>
      <c r="M227" s="163"/>
      <c r="N227" s="111"/>
      <c r="O227" s="67"/>
      <c r="P227" s="67"/>
      <c r="Q227" s="67"/>
      <c r="R227" s="67"/>
      <c r="S227" s="102"/>
      <c r="T227" s="102"/>
      <c r="U227" s="102"/>
      <c r="V227" s="102"/>
      <c r="W227" s="102"/>
      <c r="X227" s="102"/>
      <c r="Y227" s="102"/>
      <c r="Z227" s="102"/>
      <c r="AA227" s="102"/>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102"/>
      <c r="BE227" s="102"/>
      <c r="BF227" s="102"/>
      <c r="BG227" s="102"/>
      <c r="BH227" s="102"/>
      <c r="BI227" s="102"/>
      <c r="BJ227" s="102"/>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9"/>
      <c r="D228" s="25"/>
      <c r="E228" s="482"/>
      <c r="F228" s="85">
        <v>1</v>
      </c>
      <c r="G228" s="122"/>
      <c r="H228" s="145"/>
      <c r="I228" s="67">
        <f>IF(A15stdlife="n/a","n/a",IF(I$3&gt;(A15stdlife+$F228),(Input!$H$158*(1+vanilla1)^0.5)-SUM($H228:H228),(Input!$H$158*(1+vanilla1)^0.5)/A15stdlife))</f>
        <v>0.40616833105043404</v>
      </c>
      <c r="J228" s="67">
        <f>IF(A15stdlife="n/a","n/a",IF(J$3&gt;(A15stdlife+$F228),(Input!$H$158*(1+vanilla1)^0.5)-SUM($H228:I228),(Input!$H$158*(1+vanilla1)^0.5)/A15stdlife))</f>
        <v>0.40616833105043404</v>
      </c>
      <c r="K228" s="67">
        <f>IF(A15stdlife="n/a","n/a",IF(K$3&gt;(A15stdlife+$F228),(Input!$H$158*(1+vanilla1)^0.5)-SUM($H228:J228),(Input!$H$158*(1+vanilla1)^0.5)/A15stdlife))</f>
        <v>0.40616833105043404</v>
      </c>
      <c r="L228" s="67">
        <f>IF(A15stdlife="n/a","n/a",IF(L$3&gt;(A15stdlife+$F228),(Input!$H$158*(1+vanilla1)^0.5)-SUM($H228:K228),(Input!$H$158*(1+vanilla1)^0.5)/A15stdlife))</f>
        <v>0.40616833105043404</v>
      </c>
      <c r="M228" s="67">
        <f>IF(A15stdlife="n/a","n/a",IF(M$3&gt;(A15stdlife+$F228),(Input!$H$158*(1+vanilla1)^0.5)-SUM($H228:L228),(Input!$H$158*(1+vanilla1)^0.5)/A15stdlife))</f>
        <v>0.40616833105043404</v>
      </c>
      <c r="N228" s="67">
        <f>IF(A15stdlife="n/a","n/a",IF(N$3&gt;(A15stdlife+$F228),(Input!$H$158*(1+vanilla1)^0.5)-SUM($H228:M228),(Input!$H$158*(1+vanilla1)^0.5)/A15stdlife))</f>
        <v>0.40616833105043404</v>
      </c>
      <c r="O228" s="67">
        <f>IF(A15stdlife="n/a","n/a",IF(O$3&gt;(A15stdlife+$F228),(Input!$H$158*(1+vanilla1)^0.5)-SUM($H228:N228),(Input!$H$158*(1+vanilla1)^0.5)/A15stdlife))</f>
        <v>0.40616833105043404</v>
      </c>
      <c r="P228" s="67">
        <f>IF(A15stdlife="n/a","n/a",IF(P$3&gt;(A15stdlife+$F228),(Input!$H$158*(1+vanilla1)^0.5)-SUM($H228:O228),(Input!$H$158*(1+vanilla1)^0.5)/A15stdlife))</f>
        <v>0.40616833105043404</v>
      </c>
      <c r="Q228" s="67">
        <f>IF(A15stdlife="n/a","n/a",IF(Q$3&gt;(A15stdlife+$F228),(Input!$H$158*(1+vanilla1)^0.5)-SUM($H228:P228),(Input!$H$158*(1+vanilla1)^0.5)/A15stdlife))</f>
        <v>0.40616833105043404</v>
      </c>
      <c r="R228" s="67"/>
      <c r="S228" s="102"/>
      <c r="T228" s="102"/>
      <c r="U228" s="102"/>
      <c r="V228" s="102"/>
      <c r="W228" s="102"/>
      <c r="X228" s="102"/>
      <c r="Y228" s="102"/>
      <c r="Z228" s="102"/>
      <c r="AA228" s="102"/>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482"/>
      <c r="F229" s="85">
        <v>2</v>
      </c>
      <c r="G229" s="122"/>
      <c r="H229" s="146"/>
      <c r="I229" s="147"/>
      <c r="J229" s="67">
        <f>IF(A15stdlife="n/a","n/a",IF(J$3&gt;(A15stdlife+$F229),(Input!$I$158*(1+vanilla2)^0.5)-SUM($I229:I229),(Input!$I$158*(1+vanilla2)^0.5)/A15stdlife))</f>
        <v>0.3736553259591826</v>
      </c>
      <c r="K229" s="67">
        <f>IF(A15stdlife="n/a","n/a",IF(K$3&gt;(A15stdlife+$F229),(Input!$I$158*(1+vanilla2)^0.5)-SUM($I229:J229),(Input!$I$158*(1+vanilla2)^0.5)/A15stdlife))</f>
        <v>0.3736553259591826</v>
      </c>
      <c r="L229" s="67">
        <f>IF(A15stdlife="n/a","n/a",IF(L$3&gt;(A15stdlife+$F229),(Input!$I$158*(1+vanilla2)^0.5)-SUM($I229:K229),(Input!$I$158*(1+vanilla2)^0.5)/A15stdlife))</f>
        <v>0.3736553259591826</v>
      </c>
      <c r="M229" s="67">
        <f>IF(A15stdlife="n/a","n/a",IF(M$3&gt;(A15stdlife+$F229),(Input!$I$158*(1+vanilla2)^0.5)-SUM($I229:L229),(Input!$I$158*(1+vanilla2)^0.5)/A15stdlife))</f>
        <v>0.3736553259591826</v>
      </c>
      <c r="N229" s="67">
        <f>IF(A15stdlife="n/a","n/a",IF(N$3&gt;(A15stdlife+$F229),(Input!$I$158*(1+vanilla2)^0.5)-SUM($I229:M229),(Input!$I$158*(1+vanilla2)^0.5)/A15stdlife))</f>
        <v>0.3736553259591826</v>
      </c>
      <c r="O229" s="67">
        <f>IF(A15stdlife="n/a","n/a",IF(O$3&gt;(A15stdlife+$F229),(Input!$I$158*(1+vanilla2)^0.5)-SUM($I229:N229),(Input!$I$158*(1+vanilla2)^0.5)/A15stdlife))</f>
        <v>0.3736553259591826</v>
      </c>
      <c r="P229" s="67">
        <f>IF(A15stdlife="n/a","n/a",IF(P$3&gt;(A15stdlife+$F229),(Input!$I$158*(1+vanilla2)^0.5)-SUM($I229:O229),(Input!$I$158*(1+vanilla2)^0.5)/A15stdlife))</f>
        <v>0.3736553259591826</v>
      </c>
      <c r="Q229" s="67">
        <f>IF(A15stdlife="n/a","n/a",IF(Q$3&gt;(A15stdlife+$F229),(Input!$I$158*(1+vanilla2)^0.5)-SUM($I229:P229),(Input!$I$158*(1+vanilla2)^0.5)/A15stdlife))</f>
        <v>0.3736553259591826</v>
      </c>
      <c r="R229" s="67"/>
      <c r="S229" s="102"/>
      <c r="T229" s="102"/>
      <c r="U229" s="102"/>
      <c r="V229" s="102"/>
      <c r="W229" s="102"/>
      <c r="X229" s="102"/>
      <c r="Y229" s="102"/>
      <c r="Z229" s="102"/>
      <c r="AA229" s="102"/>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9"/>
      <c r="D230" s="25"/>
      <c r="E230" s="482"/>
      <c r="F230" s="85">
        <v>3</v>
      </c>
      <c r="G230" s="122"/>
      <c r="H230" s="146"/>
      <c r="I230" s="148"/>
      <c r="J230" s="147"/>
      <c r="K230" s="67">
        <f>IF(A15stdlife="n/a","n/a",IF(K$3&gt;(A15stdlife+$F230),(Input!$J$158*(1+vanilla3)^0.5)-SUM($J230:J230),(Input!$J$158*(1+vanilla3)^0.5)/A15stdlife))</f>
        <v>0.37541193724556704</v>
      </c>
      <c r="L230" s="67">
        <f>IF(A15stdlife="n/a","n/a",IF(L$3&gt;(A15stdlife+$F230),(Input!$J$158*(1+vanilla3)^0.5)-SUM($J230:K230),(Input!$J$158*(1+vanilla3)^0.5)/A15stdlife))</f>
        <v>0.37541193724556704</v>
      </c>
      <c r="M230" s="67">
        <f>IF(A15stdlife="n/a","n/a",IF(M$3&gt;(A15stdlife+$F230),(Input!$J$158*(1+vanilla3)^0.5)-SUM($J230:L230),(Input!$J$158*(1+vanilla3)^0.5)/A15stdlife))</f>
        <v>0.37541193724556704</v>
      </c>
      <c r="N230" s="67">
        <f>IF(A15stdlife="n/a","n/a",IF(N$3&gt;(A15stdlife+$F230),(Input!$J$158*(1+vanilla3)^0.5)-SUM($J230:M230),(Input!$J$158*(1+vanilla3)^0.5)/A15stdlife))</f>
        <v>0.37541193724556704</v>
      </c>
      <c r="O230" s="67">
        <f>IF(A15stdlife="n/a","n/a",IF(O$3&gt;(A15stdlife+$F230),(Input!$J$158*(1+vanilla3)^0.5)-SUM($J230:N230),(Input!$J$158*(1+vanilla3)^0.5)/A15stdlife))</f>
        <v>0.37541193724556704</v>
      </c>
      <c r="P230" s="67">
        <f>IF(A15stdlife="n/a","n/a",IF(P$3&gt;(A15stdlife+$F230),(Input!$J$158*(1+vanilla3)^0.5)-SUM($J230:O230),(Input!$J$158*(1+vanilla3)^0.5)/A15stdlife))</f>
        <v>0.37541193724556704</v>
      </c>
      <c r="Q230" s="67">
        <f>IF(A15stdlife="n/a","n/a",IF(Q$3&gt;(A15stdlife+$F230),(Input!$J$158*(1+vanilla3)^0.5)-SUM($J230:P230),(Input!$J$158*(1+vanilla3)^0.5)/A15stdlife))</f>
        <v>0.37541193724556704</v>
      </c>
      <c r="R230" s="67"/>
      <c r="S230" s="102"/>
      <c r="T230" s="102"/>
      <c r="U230" s="102"/>
      <c r="V230" s="102"/>
      <c r="W230" s="102"/>
      <c r="X230" s="102"/>
      <c r="Y230" s="102"/>
      <c r="Z230" s="102"/>
      <c r="AA230" s="102"/>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9"/>
      <c r="D231" s="25"/>
      <c r="E231" s="482"/>
      <c r="F231" s="85">
        <v>4</v>
      </c>
      <c r="G231" s="122"/>
      <c r="H231" s="146"/>
      <c r="I231" s="148"/>
      <c r="J231" s="148"/>
      <c r="K231" s="147"/>
      <c r="L231" s="67">
        <f>IF(A15stdlife="n/a","n/a",IF(L$3&gt;(A15stdlife+$F231),(Input!$K$158*(1+vanilla4)^0.5)-SUM($K231:K231),(Input!$K$158*(1+vanilla4)^0.5)/A15stdlife))</f>
        <v>0.22323270273920848</v>
      </c>
      <c r="M231" s="67">
        <f>IF(A15stdlife="n/a","n/a",IF(M$3&gt;(A15stdlife+$F231),(Input!$K$158*(1+vanilla4)^0.5)-SUM($K231:L231),(Input!$K$158*(1+vanilla4)^0.5)/A15stdlife))</f>
        <v>0.22323270273920848</v>
      </c>
      <c r="N231" s="67">
        <f>IF(A15stdlife="n/a","n/a",IF(N$3&gt;(A15stdlife+$F231),(Input!$K$158*(1+vanilla4)^0.5)-SUM($K231:M231),(Input!$K$158*(1+vanilla4)^0.5)/A15stdlife))</f>
        <v>0.22323270273920848</v>
      </c>
      <c r="O231" s="67">
        <f>IF(A15stdlife="n/a","n/a",IF(O$3&gt;(A15stdlife+$F231),(Input!$K$158*(1+vanilla4)^0.5)-SUM($K231:N231),(Input!$K$158*(1+vanilla4)^0.5)/A15stdlife))</f>
        <v>0.22323270273920848</v>
      </c>
      <c r="P231" s="67">
        <f>IF(A15stdlife="n/a","n/a",IF(P$3&gt;(A15stdlife+$F231),(Input!$K$158*(1+vanilla4)^0.5)-SUM($K231:O231),(Input!$K$158*(1+vanilla4)^0.5)/A15stdlife))</f>
        <v>0.22323270273920848</v>
      </c>
      <c r="Q231" s="67">
        <f>IF(A15stdlife="n/a","n/a",IF(Q$3&gt;(A15stdlife+$F231),(Input!$K$158*(1+vanilla4)^0.5)-SUM($K231:P231),(Input!$K$158*(1+vanilla4)^0.5)/A15stdlife))</f>
        <v>0.22323270273920848</v>
      </c>
      <c r="R231" s="67"/>
      <c r="S231" s="102"/>
      <c r="T231" s="102"/>
      <c r="U231" s="102"/>
      <c r="V231" s="102"/>
      <c r="W231" s="102"/>
      <c r="X231" s="102"/>
      <c r="Y231" s="102"/>
      <c r="Z231" s="102"/>
      <c r="AA231" s="102"/>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9"/>
      <c r="D232" s="25"/>
      <c r="E232" s="482"/>
      <c r="F232" s="85">
        <v>5</v>
      </c>
      <c r="G232" s="26"/>
      <c r="H232" s="146"/>
      <c r="I232" s="148"/>
      <c r="J232" s="148"/>
      <c r="K232" s="148"/>
      <c r="L232" s="147"/>
      <c r="M232" s="67">
        <f>IF(A15stdlife="n/a","n/a",IF(M$3&gt;(A15stdlife+$F232),(Input!$L$158*(1+vanilla5)^0.5)-SUM($L232:L232),(Input!$L$158*(1+vanilla5)^0.5)/A15stdlife))</f>
        <v>0.20145215900057631</v>
      </c>
      <c r="N232" s="67">
        <f>IF(A15stdlife="n/a","n/a",IF(N$3&gt;(A15stdlife+$F232),(Input!$L$158*(1+vanilla5)^0.5)-SUM($L232:M232),(Input!$L$158*(1+vanilla5)^0.5)/A15stdlife))</f>
        <v>0.20145215900057631</v>
      </c>
      <c r="O232" s="67">
        <f>IF(A15stdlife="n/a","n/a",IF(O$3&gt;(A15stdlife+$F232),(Input!$L$158*(1+vanilla5)^0.5)-SUM($L232:N232),(Input!$L$158*(1+vanilla5)^0.5)/A15stdlife))</f>
        <v>0.20145215900057631</v>
      </c>
      <c r="P232" s="67">
        <f>IF(A15stdlife="n/a","n/a",IF(P$3&gt;(A15stdlife+$F232),(Input!$L$158*(1+vanilla5)^0.5)-SUM($L232:O232),(Input!$L$158*(1+vanilla5)^0.5)/A15stdlife))</f>
        <v>0.20145215900057631</v>
      </c>
      <c r="Q232" s="67">
        <f>IF(A15stdlife="n/a","n/a",IF(Q$3&gt;(A15stdlife+$F232),(Input!$L$158*(1+vanilla5)^0.5)-SUM($L232:P232),(Input!$L$158*(1+vanilla5)^0.5)/A15stdlife))</f>
        <v>0.20145215900057631</v>
      </c>
      <c r="R232" s="67"/>
      <c r="S232" s="102"/>
      <c r="T232" s="102"/>
      <c r="U232" s="102"/>
      <c r="V232" s="102"/>
      <c r="W232" s="102"/>
      <c r="X232" s="102"/>
      <c r="Y232" s="102"/>
      <c r="Z232" s="102"/>
      <c r="AA232" s="102"/>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482"/>
      <c r="F233" s="85">
        <v>6</v>
      </c>
      <c r="G233" s="26"/>
      <c r="H233" s="146"/>
      <c r="I233" s="148"/>
      <c r="J233" s="148"/>
      <c r="K233" s="148"/>
      <c r="L233" s="148"/>
      <c r="M233" s="147"/>
      <c r="N233" s="67">
        <f>IF(A15stdlife="n/a","n/a",IF(N$3&gt;(A15stdlife+$F233),(Input!$M$158*(1+vanilla6)^0.5)-SUM($M233:M233),(Input!$M$158*(1+vanilla6)^0.5)/A15stdlife))</f>
        <v>0</v>
      </c>
      <c r="O233" s="67">
        <f>IF(A15stdlife="n/a","n/a",IF(O$3&gt;(A15stdlife+$F233),(Input!$M$158*(1+vanilla6)^0.5)-SUM($M233:N233),(Input!$M$158*(1+vanilla6)^0.5)/A15stdlife))</f>
        <v>0</v>
      </c>
      <c r="P233" s="67">
        <f>IF(A15stdlife="n/a","n/a",IF(P$3&gt;(A15stdlife+$F233),(Input!$M$158*(1+vanilla6)^0.5)-SUM($M233:O233),(Input!$M$158*(1+vanilla6)^0.5)/A15stdlife))</f>
        <v>0</v>
      </c>
      <c r="Q233" s="67">
        <f>IF(A15stdlife="n/a","n/a",IF(Q$3&gt;(A15stdlife+$F233),(Input!$M$158*(1+vanilla6)^0.5)-SUM($M233:P233),(Input!$M$158*(1+vanilla6)^0.5)/A15stdlife))</f>
        <v>0</v>
      </c>
      <c r="R233" s="67"/>
      <c r="S233" s="102"/>
      <c r="T233" s="102"/>
      <c r="U233" s="102"/>
      <c r="V233" s="102"/>
      <c r="W233" s="102"/>
      <c r="X233" s="102"/>
      <c r="Y233" s="102"/>
      <c r="Z233" s="102"/>
      <c r="AA233" s="102"/>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9"/>
      <c r="D234" s="25"/>
      <c r="E234" s="482"/>
      <c r="F234" s="85">
        <v>7</v>
      </c>
      <c r="G234" s="26"/>
      <c r="H234" s="146"/>
      <c r="I234" s="148"/>
      <c r="J234" s="148"/>
      <c r="K234" s="148"/>
      <c r="L234" s="148"/>
      <c r="M234" s="148"/>
      <c r="N234" s="147"/>
      <c r="O234" s="67">
        <f>IF(A15stdlife="n/a","n/a",IF(O$3&gt;(A15stdlife+$F234),(Input!$N$158*(1+vanilla7)^0.5)-SUM($N234:N234),(Input!$N$158*(1+vanilla7)^0.5)/A15stdlife))</f>
        <v>0</v>
      </c>
      <c r="P234" s="67">
        <f>IF(A15stdlife="n/a","n/a",IF(P$3&gt;(A15stdlife+$F234),(Input!$N$158*(1+vanilla7)^0.5)-SUM($N234:O234),(Input!$N$158*(1+vanilla7)^0.5)/A15stdlife))</f>
        <v>0</v>
      </c>
      <c r="Q234" s="67">
        <f>IF(A15stdlife="n/a","n/a",IF(Q$3&gt;(A15stdlife+$F234),(Input!$N$158*(1+vanilla7)^0.5)-SUM($N234:P234),(Input!$N$158*(1+vanilla7)^0.5)/A15stdlife))</f>
        <v>0</v>
      </c>
      <c r="R234" s="67"/>
      <c r="S234" s="102"/>
      <c r="T234" s="102"/>
      <c r="U234" s="102"/>
      <c r="V234" s="102"/>
      <c r="W234" s="102"/>
      <c r="X234" s="102"/>
      <c r="Y234" s="102"/>
      <c r="Z234" s="102"/>
      <c r="AA234" s="102"/>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9"/>
      <c r="D235" s="25"/>
      <c r="E235" s="482"/>
      <c r="F235" s="85">
        <v>8</v>
      </c>
      <c r="G235" s="26"/>
      <c r="H235" s="146"/>
      <c r="I235" s="148"/>
      <c r="J235" s="148"/>
      <c r="K235" s="148"/>
      <c r="L235" s="148"/>
      <c r="M235" s="148"/>
      <c r="N235" s="148"/>
      <c r="O235" s="147"/>
      <c r="P235" s="67">
        <f>IF(A15stdlife="n/a","n/a",IF(P$3&gt;(A15stdlife+$F235),(Input!$O$158*(1+vanilla8)^0.5)-SUM($O235:O235),(Input!$O$158*(1+vanilla8)^0.5)/A15stdlife))</f>
        <v>0</v>
      </c>
      <c r="Q235" s="67">
        <f>IF(A15stdlife="n/a","n/a",IF(Q$3&gt;(A15stdlife+$F235),(Input!$O$158*(1+vanilla8)^0.5)-SUM($O235:P235),(Input!$O$158*(1+vanilla8)^0.5)/A15stdlife))</f>
        <v>0</v>
      </c>
      <c r="R235" s="67"/>
      <c r="S235" s="102"/>
      <c r="T235" s="102"/>
      <c r="U235" s="102"/>
      <c r="V235" s="102"/>
      <c r="W235" s="102"/>
      <c r="X235" s="102"/>
      <c r="Y235" s="102"/>
      <c r="Z235" s="102"/>
      <c r="AA235" s="102"/>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9"/>
      <c r="D236" s="25"/>
      <c r="E236" s="482"/>
      <c r="F236" s="85">
        <v>9</v>
      </c>
      <c r="G236" s="26"/>
      <c r="H236" s="146"/>
      <c r="I236" s="148"/>
      <c r="J236" s="148"/>
      <c r="K236" s="148"/>
      <c r="L236" s="148"/>
      <c r="M236" s="148"/>
      <c r="N236" s="148"/>
      <c r="O236" s="148"/>
      <c r="P236" s="147"/>
      <c r="Q236" s="67">
        <f>IF(A15stdlife="n/a","n/a",IF(Q$3&gt;(A15stdlife+$F236),(Input!$P$158*(1+vanilla9)^0.5)-SUM($P236:P236),(Input!$P$158*(1+vanilla9)^0.5)/A15stdlife))</f>
        <v>0</v>
      </c>
      <c r="R236" s="67"/>
      <c r="S236" s="102"/>
      <c r="T236" s="102"/>
      <c r="U236" s="102"/>
      <c r="V236" s="102"/>
      <c r="W236" s="102"/>
      <c r="X236" s="102"/>
      <c r="Y236" s="102"/>
      <c r="Z236" s="102"/>
      <c r="AA236" s="102"/>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9"/>
      <c r="D237" s="25"/>
      <c r="E237" s="482"/>
      <c r="F237" s="86">
        <v>10</v>
      </c>
      <c r="G237" s="26"/>
      <c r="H237" s="146"/>
      <c r="I237" s="148"/>
      <c r="J237" s="148"/>
      <c r="K237" s="148"/>
      <c r="L237" s="148"/>
      <c r="M237" s="148"/>
      <c r="N237" s="148"/>
      <c r="O237" s="148"/>
      <c r="P237" s="148"/>
      <c r="Q237" s="147"/>
      <c r="R237" s="67"/>
      <c r="S237" s="102"/>
      <c r="T237" s="102"/>
      <c r="U237" s="102"/>
      <c r="V237" s="102"/>
      <c r="W237" s="102"/>
      <c r="X237" s="102"/>
      <c r="Y237" s="102"/>
      <c r="Z237" s="102"/>
      <c r="AA237" s="102"/>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1">
      <c r="A238" s="9"/>
      <c r="B238" s="9"/>
      <c r="C238" s="9"/>
      <c r="D238" s="25" t="str">
        <f>Asset15</f>
        <v>Furniture, fittings, plant and equipment</v>
      </c>
      <c r="E238" s="9"/>
      <c r="F238" s="9"/>
      <c r="G238" s="122"/>
      <c r="H238" s="165">
        <f>-SUM(H226:H237)</f>
        <v>-2.0069713109702283</v>
      </c>
      <c r="I238" s="165">
        <f>-SUM(I226:I237)</f>
        <v>-2.4131396420206626</v>
      </c>
      <c r="J238" s="165">
        <f>-SUM(J226:J237)</f>
        <v>-2.7867949679798452</v>
      </c>
      <c r="K238" s="165">
        <f>-SUM(K226:K237)</f>
        <v>-3.1622069052254123</v>
      </c>
      <c r="L238" s="165">
        <f>-SUM(L226:L237)</f>
        <v>-3.3854396079646207</v>
      </c>
      <c r="M238" s="165">
        <f>IF(Input!M174&gt;0, -SUM(M226:M237), 0)</f>
        <v>0</v>
      </c>
      <c r="N238" s="165">
        <f>IF(Input!N174&gt;0, -SUM(N226:N237), 0)</f>
        <v>0</v>
      </c>
      <c r="O238" s="165">
        <f>IF(Input!O174&gt;0, -SUM(O226:O237), 0)</f>
        <v>0</v>
      </c>
      <c r="P238" s="165">
        <f>IF(Input!P174&gt;0, -SUM(P226:P237), 0)</f>
        <v>0</v>
      </c>
      <c r="Q238" s="165">
        <f>IF(Input!Q174&gt;0, -SUM(Q226:Q237), 0)</f>
        <v>0</v>
      </c>
      <c r="R238" s="65"/>
      <c r="S238" s="104"/>
      <c r="T238" s="104"/>
      <c r="U238" s="104"/>
      <c r="V238" s="104"/>
      <c r="W238" s="104"/>
      <c r="X238" s="104"/>
      <c r="Y238" s="104"/>
      <c r="Z238" s="104"/>
      <c r="AA238" s="104"/>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104"/>
      <c r="BE238" s="104"/>
      <c r="BF238" s="104"/>
      <c r="BG238" s="104"/>
      <c r="BH238" s="104"/>
      <c r="BI238" s="104"/>
      <c r="BJ238" s="104"/>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31" t="str">
        <f>Asset16</f>
        <v>Land (non-system)</v>
      </c>
      <c r="D239" s="161"/>
      <c r="E239" s="33" t="s">
        <v>28</v>
      </c>
      <c r="F239" s="32"/>
      <c r="G239" s="174"/>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2"/>
      <c r="T239" s="102"/>
      <c r="U239" s="102"/>
      <c r="V239" s="102"/>
      <c r="W239" s="102"/>
      <c r="X239" s="102"/>
      <c r="Y239" s="102"/>
      <c r="Z239" s="102"/>
      <c r="AA239" s="102"/>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5"/>
      <c r="E240" s="481" t="s">
        <v>83</v>
      </c>
      <c r="F240" s="85">
        <v>0</v>
      </c>
      <c r="G240" s="122"/>
      <c r="H240" s="67"/>
      <c r="I240" s="67"/>
      <c r="J240" s="67"/>
      <c r="K240" s="67"/>
      <c r="L240" s="67"/>
      <c r="M240" s="163"/>
      <c r="N240" s="111"/>
      <c r="O240" s="67"/>
      <c r="P240" s="67"/>
      <c r="Q240" s="67"/>
      <c r="R240" s="67"/>
      <c r="S240" s="102"/>
      <c r="T240" s="102"/>
      <c r="U240" s="102"/>
      <c r="V240" s="102"/>
      <c r="W240" s="102"/>
      <c r="X240" s="102"/>
      <c r="Y240" s="102"/>
      <c r="Z240" s="102"/>
      <c r="AA240" s="102"/>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102"/>
      <c r="BE240" s="102"/>
      <c r="BF240" s="102"/>
      <c r="BG240" s="102"/>
      <c r="BH240" s="102"/>
      <c r="BI240" s="102"/>
      <c r="BJ240" s="102"/>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9"/>
      <c r="D241" s="25"/>
      <c r="E241" s="482"/>
      <c r="F241" s="85">
        <v>1</v>
      </c>
      <c r="G241" s="122"/>
      <c r="H241" s="145"/>
      <c r="I241" s="67" t="str">
        <f>IF(A16stdlife="n/a","n/a",IF(I$3&gt;(A16stdlife+$F241),(Input!$H$159*(1+vanilla1)^0.5)-SUM($H241:H241),(Input!$H$159*(1+vanilla1)^0.5)/A16stdlife))</f>
        <v>n/a</v>
      </c>
      <c r="J241" s="67" t="str">
        <f>IF(A16stdlife="n/a","n/a",IF(J$3&gt;(A16stdlife+$F241),(Input!$H$159*(1+vanilla1)^0.5)-SUM($H241:I241),(Input!$H$159*(1+vanilla1)^0.5)/A16stdlife))</f>
        <v>n/a</v>
      </c>
      <c r="K241" s="67" t="str">
        <f>IF(A16stdlife="n/a","n/a",IF(K$3&gt;(A16stdlife+$F241),(Input!$H$159*(1+vanilla1)^0.5)-SUM($H241:J241),(Input!$H$159*(1+vanilla1)^0.5)/A16stdlife))</f>
        <v>n/a</v>
      </c>
      <c r="L241" s="67" t="str">
        <f>IF(A16stdlife="n/a","n/a",IF(L$3&gt;(A16stdlife+$F241),(Input!$H$159*(1+vanilla1)^0.5)-SUM($H241:K241),(Input!$H$159*(1+vanilla1)^0.5)/A16stdlife))</f>
        <v>n/a</v>
      </c>
      <c r="M241" s="67" t="str">
        <f>IF(A16stdlife="n/a","n/a",IF(M$3&gt;(A16stdlife+$F241),(Input!$H$159*(1+vanilla1)^0.5)-SUM($H241:L241),(Input!$H$159*(1+vanilla1)^0.5)/A16stdlife))</f>
        <v>n/a</v>
      </c>
      <c r="N241" s="67" t="str">
        <f>IF(A16stdlife="n/a","n/a",IF(N$3&gt;(A16stdlife+$F241),(Input!$H$159*(1+vanilla1)^0.5)-SUM($H241:M241),(Input!$H$159*(1+vanilla1)^0.5)/A16stdlife))</f>
        <v>n/a</v>
      </c>
      <c r="O241" s="67" t="str">
        <f>IF(A16stdlife="n/a","n/a",IF(O$3&gt;(A16stdlife+$F241),(Input!$H$159*(1+vanilla1)^0.5)-SUM($H241:N241),(Input!$H$159*(1+vanilla1)^0.5)/A16stdlife))</f>
        <v>n/a</v>
      </c>
      <c r="P241" s="67" t="str">
        <f>IF(A16stdlife="n/a","n/a",IF(P$3&gt;(A16stdlife+$F241),(Input!$H$159*(1+vanilla1)^0.5)-SUM($H241:O241),(Input!$H$159*(1+vanilla1)^0.5)/A16stdlife))</f>
        <v>n/a</v>
      </c>
      <c r="Q241" s="67" t="str">
        <f>IF(A16stdlife="n/a","n/a",IF(Q$3&gt;(A16stdlife+$F241),(Input!$H$159*(1+vanilla1)^0.5)-SUM($H241:P241),(Input!$H$159*(1+vanilla1)^0.5)/A16stdlife))</f>
        <v>n/a</v>
      </c>
      <c r="R241" s="67"/>
      <c r="S241" s="102"/>
      <c r="T241" s="102"/>
      <c r="U241" s="102"/>
      <c r="V241" s="102"/>
      <c r="W241" s="102"/>
      <c r="X241" s="102"/>
      <c r="Y241" s="102"/>
      <c r="Z241" s="102"/>
      <c r="AA241" s="102"/>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482"/>
      <c r="F242" s="85">
        <v>2</v>
      </c>
      <c r="G242" s="122"/>
      <c r="H242" s="146"/>
      <c r="I242" s="147"/>
      <c r="J242" s="67" t="str">
        <f>IF(A16stdlife="n/a","n/a",IF(J$3&gt;(A16stdlife+$F242),(Input!$I$159*(1+vanilla2)^0.5)-SUM($I242:I242),(Input!$I$159*(1+vanilla2)^0.5)/A16stdlife))</f>
        <v>n/a</v>
      </c>
      <c r="K242" s="67" t="str">
        <f>IF(A16stdlife="n/a","n/a",IF(K$3&gt;(A16stdlife+$F242),(Input!$I$159*(1+vanilla2)^0.5)-SUM($I242:J242),(Input!$I$159*(1+vanilla2)^0.5)/A16stdlife))</f>
        <v>n/a</v>
      </c>
      <c r="L242" s="67" t="str">
        <f>IF(A16stdlife="n/a","n/a",IF(L$3&gt;(A16stdlife+$F242),(Input!$I$159*(1+vanilla2)^0.5)-SUM($I242:K242),(Input!$I$159*(1+vanilla2)^0.5)/A16stdlife))</f>
        <v>n/a</v>
      </c>
      <c r="M242" s="67" t="str">
        <f>IF(A16stdlife="n/a","n/a",IF(M$3&gt;(A16stdlife+$F242),(Input!$I$159*(1+vanilla2)^0.5)-SUM($I242:L242),(Input!$I$159*(1+vanilla2)^0.5)/A16stdlife))</f>
        <v>n/a</v>
      </c>
      <c r="N242" s="67" t="str">
        <f>IF(A16stdlife="n/a","n/a",IF(N$3&gt;(A16stdlife+$F242),(Input!$I$159*(1+vanilla2)^0.5)-SUM($I242:M242),(Input!$I$159*(1+vanilla2)^0.5)/A16stdlife))</f>
        <v>n/a</v>
      </c>
      <c r="O242" s="67" t="str">
        <f>IF(A16stdlife="n/a","n/a",IF(O$3&gt;(A16stdlife+$F242),(Input!$I$159*(1+vanilla2)^0.5)-SUM($I242:N242),(Input!$I$159*(1+vanilla2)^0.5)/A16stdlife))</f>
        <v>n/a</v>
      </c>
      <c r="P242" s="67" t="str">
        <f>IF(A16stdlife="n/a","n/a",IF(P$3&gt;(A16stdlife+$F242),(Input!$I$159*(1+vanilla2)^0.5)-SUM($I242:O242),(Input!$I$159*(1+vanilla2)^0.5)/A16stdlife))</f>
        <v>n/a</v>
      </c>
      <c r="Q242" s="67" t="str">
        <f>IF(A16stdlife="n/a","n/a",IF(Q$3&gt;(A16stdlife+$F242),(Input!$I$159*(1+vanilla2)^0.5)-SUM($I242:P242),(Input!$I$159*(1+vanilla2)^0.5)/A16stdlife))</f>
        <v>n/a</v>
      </c>
      <c r="R242" s="67"/>
      <c r="S242" s="102"/>
      <c r="T242" s="102"/>
      <c r="U242" s="102"/>
      <c r="V242" s="102"/>
      <c r="W242" s="102"/>
      <c r="X242" s="102"/>
      <c r="Y242" s="102"/>
      <c r="Z242" s="102"/>
      <c r="AA242" s="102"/>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9"/>
      <c r="D243" s="25"/>
      <c r="E243" s="482"/>
      <c r="F243" s="85">
        <v>3</v>
      </c>
      <c r="G243" s="122"/>
      <c r="H243" s="146"/>
      <c r="I243" s="148"/>
      <c r="J243" s="147"/>
      <c r="K243" s="67" t="str">
        <f>IF(A16stdlife="n/a","n/a",IF(K$3&gt;(A16stdlife+$F243),(Input!$J$159*(1+vanilla3)^0.5)-SUM($J243:J243),(Input!$J$159*(1+vanilla3)^0.5)/A16stdlife))</f>
        <v>n/a</v>
      </c>
      <c r="L243" s="67" t="str">
        <f>IF(A16stdlife="n/a","n/a",IF(L$3&gt;(A16stdlife+$F243),(Input!$J$159*(1+vanilla3)^0.5)-SUM($J243:K243),(Input!$J$159*(1+vanilla3)^0.5)/A16stdlife))</f>
        <v>n/a</v>
      </c>
      <c r="M243" s="67" t="str">
        <f>IF(A16stdlife="n/a","n/a",IF(M$3&gt;(A16stdlife+$F243),(Input!$J$159*(1+vanilla3)^0.5)-SUM($J243:L243),(Input!$J$159*(1+vanilla3)^0.5)/A16stdlife))</f>
        <v>n/a</v>
      </c>
      <c r="N243" s="67" t="str">
        <f>IF(A16stdlife="n/a","n/a",IF(N$3&gt;(A16stdlife+$F243),(Input!$J$159*(1+vanilla3)^0.5)-SUM($J243:M243),(Input!$J$159*(1+vanilla3)^0.5)/A16stdlife))</f>
        <v>n/a</v>
      </c>
      <c r="O243" s="67" t="str">
        <f>IF(A16stdlife="n/a","n/a",IF(O$3&gt;(A16stdlife+$F243),(Input!$J$159*(1+vanilla3)^0.5)-SUM($J243:N243),(Input!$J$159*(1+vanilla3)^0.5)/A16stdlife))</f>
        <v>n/a</v>
      </c>
      <c r="P243" s="67" t="str">
        <f>IF(A16stdlife="n/a","n/a",IF(P$3&gt;(A16stdlife+$F243),(Input!$J$159*(1+vanilla3)^0.5)-SUM($J243:O243),(Input!$J$159*(1+vanilla3)^0.5)/A16stdlife))</f>
        <v>n/a</v>
      </c>
      <c r="Q243" s="67" t="str">
        <f>IF(A16stdlife="n/a","n/a",IF(Q$3&gt;(A16stdlife+$F243),(Input!$J$159*(1+vanilla3)^0.5)-SUM($J243:P243),(Input!$J$159*(1+vanilla3)^0.5)/A16stdlife))</f>
        <v>n/a</v>
      </c>
      <c r="R243" s="67"/>
      <c r="S243" s="102"/>
      <c r="T243" s="102"/>
      <c r="U243" s="102"/>
      <c r="V243" s="102"/>
      <c r="W243" s="102"/>
      <c r="X243" s="102"/>
      <c r="Y243" s="102"/>
      <c r="Z243" s="102"/>
      <c r="AA243" s="102"/>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9"/>
      <c r="D244" s="25"/>
      <c r="E244" s="482"/>
      <c r="F244" s="85">
        <v>4</v>
      </c>
      <c r="G244" s="122"/>
      <c r="H244" s="146"/>
      <c r="I244" s="148"/>
      <c r="J244" s="148"/>
      <c r="K244" s="147"/>
      <c r="L244" s="67" t="str">
        <f>IF(A16stdlife="n/a","n/a",IF(L$3&gt;(A16stdlife+$F244),(Input!$K$159*(1+vanilla4)^0.5)-SUM($K244:K244),(Input!$K$159*(1+vanilla4)^0.5)/A16stdlife))</f>
        <v>n/a</v>
      </c>
      <c r="M244" s="67" t="str">
        <f>IF(A16stdlife="n/a","n/a",IF(M$3&gt;(A16stdlife+$F244),(Input!$K$159*(1+vanilla4)^0.5)-SUM($K244:L244),(Input!$K$159*(1+vanilla4)^0.5)/A16stdlife))</f>
        <v>n/a</v>
      </c>
      <c r="N244" s="67" t="str">
        <f>IF(A16stdlife="n/a","n/a",IF(N$3&gt;(A16stdlife+$F244),(Input!$K$159*(1+vanilla4)^0.5)-SUM($K244:M244),(Input!$K$159*(1+vanilla4)^0.5)/A16stdlife))</f>
        <v>n/a</v>
      </c>
      <c r="O244" s="67" t="str">
        <f>IF(A16stdlife="n/a","n/a",IF(O$3&gt;(A16stdlife+$F244),(Input!$K$159*(1+vanilla4)^0.5)-SUM($K244:N244),(Input!$K$159*(1+vanilla4)^0.5)/A16stdlife))</f>
        <v>n/a</v>
      </c>
      <c r="P244" s="67" t="str">
        <f>IF(A16stdlife="n/a","n/a",IF(P$3&gt;(A16stdlife+$F244),(Input!$K$159*(1+vanilla4)^0.5)-SUM($K244:O244),(Input!$K$159*(1+vanilla4)^0.5)/A16stdlife))</f>
        <v>n/a</v>
      </c>
      <c r="Q244" s="67" t="str">
        <f>IF(A16stdlife="n/a","n/a",IF(Q$3&gt;(A16stdlife+$F244),(Input!$K$159*(1+vanilla4)^0.5)-SUM($K244:P244),(Input!$K$159*(1+vanilla4)^0.5)/A16stdlife))</f>
        <v>n/a</v>
      </c>
      <c r="R244" s="67"/>
      <c r="S244" s="102"/>
      <c r="T244" s="102"/>
      <c r="U244" s="102"/>
      <c r="V244" s="102"/>
      <c r="W244" s="102"/>
      <c r="X244" s="102"/>
      <c r="Y244" s="102"/>
      <c r="Z244" s="102"/>
      <c r="AA244" s="102"/>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9"/>
      <c r="D245" s="25"/>
      <c r="E245" s="482"/>
      <c r="F245" s="85">
        <v>5</v>
      </c>
      <c r="G245" s="26"/>
      <c r="H245" s="146"/>
      <c r="I245" s="148"/>
      <c r="J245" s="148"/>
      <c r="K245" s="148"/>
      <c r="L245" s="147"/>
      <c r="M245" s="67" t="str">
        <f>IF(A16stdlife="n/a","n/a",IF(M$3&gt;(A16stdlife+$F245),(Input!$L$159*(1+vanilla5)^0.5)-SUM($L245:L245),(Input!$L$159*(1+vanilla5)^0.5)/A16stdlife))</f>
        <v>n/a</v>
      </c>
      <c r="N245" s="67" t="str">
        <f>IF(A16stdlife="n/a","n/a",IF(N$3&gt;(A16stdlife+$F245),(Input!$L$159*(1+vanilla5)^0.5)-SUM($L245:M245),(Input!$L$159*(1+vanilla5)^0.5)/A16stdlife))</f>
        <v>n/a</v>
      </c>
      <c r="O245" s="67" t="str">
        <f>IF(A16stdlife="n/a","n/a",IF(O$3&gt;(A16stdlife+$F245),(Input!$L$159*(1+vanilla5)^0.5)-SUM($L245:N245),(Input!$L$159*(1+vanilla5)^0.5)/A16stdlife))</f>
        <v>n/a</v>
      </c>
      <c r="P245" s="67" t="str">
        <f>IF(A16stdlife="n/a","n/a",IF(P$3&gt;(A16stdlife+$F245),(Input!$L$159*(1+vanilla5)^0.5)-SUM($L245:O245),(Input!$L$159*(1+vanilla5)^0.5)/A16stdlife))</f>
        <v>n/a</v>
      </c>
      <c r="Q245" s="67" t="str">
        <f>IF(A16stdlife="n/a","n/a",IF(Q$3&gt;(A16stdlife+$F245),(Input!$L$159*(1+vanilla5)^0.5)-SUM($L245:P245),(Input!$L$159*(1+vanilla5)^0.5)/A16stdlife))</f>
        <v>n/a</v>
      </c>
      <c r="R245" s="67"/>
      <c r="S245" s="102"/>
      <c r="T245" s="102"/>
      <c r="U245" s="102"/>
      <c r="V245" s="102"/>
      <c r="W245" s="102"/>
      <c r="X245" s="102"/>
      <c r="Y245" s="102"/>
      <c r="Z245" s="102"/>
      <c r="AA245" s="102"/>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482"/>
      <c r="F246" s="85">
        <v>6</v>
      </c>
      <c r="G246" s="26"/>
      <c r="H246" s="146"/>
      <c r="I246" s="148"/>
      <c r="J246" s="148"/>
      <c r="K246" s="148"/>
      <c r="L246" s="148"/>
      <c r="M246" s="147"/>
      <c r="N246" s="67" t="str">
        <f>IF(A16stdlife="n/a","n/a",IF(N$3&gt;(A16stdlife+$F246),(Input!$M$159*(1+vanilla6)^0.5)-SUM($M246:M246),(Input!$M$159*(1+vanilla6)^0.5)/A16stdlife))</f>
        <v>n/a</v>
      </c>
      <c r="O246" s="67" t="str">
        <f>IF(A16stdlife="n/a","n/a",IF(O$3&gt;(A16stdlife+$F246),(Input!$M$159*(1+vanilla6)^0.5)-SUM($M246:N246),(Input!$M$159*(1+vanilla6)^0.5)/A16stdlife))</f>
        <v>n/a</v>
      </c>
      <c r="P246" s="67" t="str">
        <f>IF(A16stdlife="n/a","n/a",IF(P$3&gt;(A16stdlife+$F246),(Input!$M$159*(1+vanilla6)^0.5)-SUM($M246:O246),(Input!$M$159*(1+vanilla6)^0.5)/A16stdlife))</f>
        <v>n/a</v>
      </c>
      <c r="Q246" s="67" t="str">
        <f>IF(A16stdlife="n/a","n/a",IF(Q$3&gt;(A16stdlife+$F246),(Input!$M$159*(1+vanilla6)^0.5)-SUM($M246:P246),(Input!$M$159*(1+vanilla6)^0.5)/A16stdlife))</f>
        <v>n/a</v>
      </c>
      <c r="R246" s="67"/>
      <c r="S246" s="102"/>
      <c r="T246" s="102"/>
      <c r="U246" s="102"/>
      <c r="V246" s="102"/>
      <c r="W246" s="102"/>
      <c r="X246" s="102"/>
      <c r="Y246" s="102"/>
      <c r="Z246" s="102"/>
      <c r="AA246" s="102"/>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9"/>
      <c r="D247" s="25"/>
      <c r="E247" s="482"/>
      <c r="F247" s="85">
        <v>7</v>
      </c>
      <c r="G247" s="26"/>
      <c r="H247" s="146"/>
      <c r="I247" s="148"/>
      <c r="J247" s="148"/>
      <c r="K247" s="148"/>
      <c r="L247" s="148"/>
      <c r="M247" s="148"/>
      <c r="N247" s="147"/>
      <c r="O247" s="67" t="str">
        <f>IF(A16stdlife="n/a","n/a",IF(O$3&gt;(A16stdlife+$F247),(Input!$N$159*(1+vanilla7)^0.5)-SUM($N247:N247),(Input!$N$159*(1+vanilla7)^0.5)/A16stdlife))</f>
        <v>n/a</v>
      </c>
      <c r="P247" s="67" t="str">
        <f>IF(A16stdlife="n/a","n/a",IF(P$3&gt;(A16stdlife+$F247),(Input!$N$159*(1+vanilla7)^0.5)-SUM($N247:O247),(Input!$N$159*(1+vanilla7)^0.5)/A16stdlife))</f>
        <v>n/a</v>
      </c>
      <c r="Q247" s="67" t="str">
        <f>IF(A16stdlife="n/a","n/a",IF(Q$3&gt;(A16stdlife+$F247),(Input!$N$159*(1+vanilla7)^0.5)-SUM($N247:P247),(Input!$N$159*(1+vanilla7)^0.5)/A16stdlife))</f>
        <v>n/a</v>
      </c>
      <c r="R247" s="67"/>
      <c r="S247" s="102"/>
      <c r="T247" s="102"/>
      <c r="U247" s="102"/>
      <c r="V247" s="102"/>
      <c r="W247" s="102"/>
      <c r="X247" s="102"/>
      <c r="Y247" s="102"/>
      <c r="Z247" s="102"/>
      <c r="AA247" s="102"/>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9"/>
      <c r="D248" s="25"/>
      <c r="E248" s="482"/>
      <c r="F248" s="85">
        <v>8</v>
      </c>
      <c r="G248" s="26"/>
      <c r="H248" s="146"/>
      <c r="I248" s="148"/>
      <c r="J248" s="148"/>
      <c r="K248" s="148"/>
      <c r="L248" s="148"/>
      <c r="M248" s="148"/>
      <c r="N248" s="148"/>
      <c r="O248" s="147"/>
      <c r="P248" s="67" t="str">
        <f>IF(A16stdlife="n/a","n/a",IF(P$3&gt;(A16stdlife+$F248),(Input!$O$159*(1+vanilla8)^0.5)-SUM($O248:O248),(Input!$O$159*(1+vanilla8)^0.5)/A16stdlife))</f>
        <v>n/a</v>
      </c>
      <c r="Q248" s="67" t="str">
        <f>IF(A16stdlife="n/a","n/a",IF(Q$3&gt;(A16stdlife+$F248),(Input!$O$159*(1+vanilla8)^0.5)-SUM($O248:P248),(Input!$O$159*(1+vanilla8)^0.5)/A16stdlife))</f>
        <v>n/a</v>
      </c>
      <c r="R248" s="67"/>
      <c r="S248" s="102"/>
      <c r="T248" s="102"/>
      <c r="U248" s="102"/>
      <c r="V248" s="102"/>
      <c r="W248" s="102"/>
      <c r="X248" s="102"/>
      <c r="Y248" s="102"/>
      <c r="Z248" s="102"/>
      <c r="AA248" s="102"/>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9"/>
      <c r="D249" s="25"/>
      <c r="E249" s="482"/>
      <c r="F249" s="85">
        <v>9</v>
      </c>
      <c r="G249" s="26"/>
      <c r="H249" s="146"/>
      <c r="I249" s="148"/>
      <c r="J249" s="148"/>
      <c r="K249" s="148"/>
      <c r="L249" s="148"/>
      <c r="M249" s="148"/>
      <c r="N249" s="148"/>
      <c r="O249" s="148"/>
      <c r="P249" s="147"/>
      <c r="Q249" s="67" t="str">
        <f>IF(A16stdlife="n/a","n/a",IF(Q$3&gt;(A16stdlife+$F249),(Input!$P$159*(1+vanilla9)^0.5)-SUM($P249:P249),(Input!$P$159*(1+vanilla9)^0.5)/A16stdlife))</f>
        <v>n/a</v>
      </c>
      <c r="R249" s="67"/>
      <c r="S249" s="102"/>
      <c r="T249" s="102"/>
      <c r="U249" s="102"/>
      <c r="V249" s="102"/>
      <c r="W249" s="102"/>
      <c r="X249" s="102"/>
      <c r="Y249" s="102"/>
      <c r="Z249" s="102"/>
      <c r="AA249" s="102"/>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9"/>
      <c r="D250" s="25"/>
      <c r="E250" s="482"/>
      <c r="F250" s="86">
        <v>10</v>
      </c>
      <c r="G250" s="26"/>
      <c r="H250" s="146"/>
      <c r="I250" s="148"/>
      <c r="J250" s="148"/>
      <c r="K250" s="148"/>
      <c r="L250" s="148"/>
      <c r="M250" s="148"/>
      <c r="N250" s="148"/>
      <c r="O250" s="148"/>
      <c r="P250" s="148"/>
      <c r="Q250" s="147"/>
      <c r="R250" s="67"/>
      <c r="S250" s="102"/>
      <c r="T250" s="102"/>
      <c r="U250" s="102"/>
      <c r="V250" s="102"/>
      <c r="W250" s="102"/>
      <c r="X250" s="102"/>
      <c r="Y250" s="102"/>
      <c r="Z250" s="102"/>
      <c r="AA250" s="102"/>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1">
      <c r="A251" s="9"/>
      <c r="B251" s="9"/>
      <c r="C251" s="9"/>
      <c r="D251" s="25" t="str">
        <f>Asset16</f>
        <v>Land (non-system)</v>
      </c>
      <c r="E251" s="9"/>
      <c r="F251" s="9"/>
      <c r="G251" s="122"/>
      <c r="H251" s="165">
        <f>-SUM(H239:H250)</f>
        <v>0</v>
      </c>
      <c r="I251" s="165">
        <f>-SUM(I239:I250)</f>
        <v>0</v>
      </c>
      <c r="J251" s="165">
        <f>-SUM(J239:J250)</f>
        <v>0</v>
      </c>
      <c r="K251" s="165">
        <f>-SUM(K239:K250)</f>
        <v>0</v>
      </c>
      <c r="L251" s="165">
        <f>-SUM(L239:L250)</f>
        <v>0</v>
      </c>
      <c r="M251" s="165">
        <f>IF(Input!M174&gt;0, -SUM(M239:M250), 0)</f>
        <v>0</v>
      </c>
      <c r="N251" s="165">
        <f>IF(Input!N174&gt;0, -SUM(N239:N250), 0)</f>
        <v>0</v>
      </c>
      <c r="O251" s="165">
        <f>IF(Input!O174&gt;0, -SUM(O239:O250), 0)</f>
        <v>0</v>
      </c>
      <c r="P251" s="165">
        <f>IF(Input!P174&gt;0, -SUM(P239:P250), 0)</f>
        <v>0</v>
      </c>
      <c r="Q251" s="165">
        <f>IF(Input!Q174&gt;0, -SUM(Q239:Q250), 0)</f>
        <v>0</v>
      </c>
      <c r="R251" s="65"/>
      <c r="S251" s="104"/>
      <c r="T251" s="104"/>
      <c r="U251" s="104"/>
      <c r="V251" s="104"/>
      <c r="W251" s="104"/>
      <c r="X251" s="104"/>
      <c r="Y251" s="104"/>
      <c r="Z251" s="104"/>
      <c r="AA251" s="104"/>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104"/>
      <c r="BE251" s="104"/>
      <c r="BF251" s="104"/>
      <c r="BG251" s="104"/>
      <c r="BH251" s="104"/>
      <c r="BI251" s="104"/>
      <c r="BJ251" s="104"/>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31" t="str">
        <f>Asset17</f>
        <v>Other non system assets</v>
      </c>
      <c r="D252" s="161"/>
      <c r="E252" s="33" t="s">
        <v>28</v>
      </c>
      <c r="F252" s="32"/>
      <c r="G252" s="174"/>
      <c r="H252" s="66">
        <f>IF(H$3&gt;A17remlife,A17value-SUM($G252:G252),IF(A17remlife="N/A","n/a",A17value/A17remlife))</f>
        <v>8.937054154083933</v>
      </c>
      <c r="I252" s="66">
        <f>IF(I$3&gt;A17remlife,A17value-SUM($G252:H252),IF(A17remlife="N/A","n/a",A17value/A17remlife))</f>
        <v>8.937054154083933</v>
      </c>
      <c r="J252" s="66">
        <f>IF(J$3&gt;A17remlife,A17value-SUM($G252:I252),IF(A17remlife="N/A","n/a",A17value/A17remlife))</f>
        <v>8.937054154083933</v>
      </c>
      <c r="K252" s="66">
        <f>IF(K$3&gt;A17remlife,A17value-SUM($G252:J252),IF(A17remlife="N/A","n/a",A17value/A17remlife))</f>
        <v>8.937054154083933</v>
      </c>
      <c r="L252" s="66">
        <f>IF(L$3&gt;A17remlife,A17value-SUM($G252:K252),IF(A17remlife="N/A","n/a",A17value/A17remlife))</f>
        <v>8.937054154083933</v>
      </c>
      <c r="M252" s="66">
        <f>IF(M$3&gt;A17remlife,A17value-SUM($G252:L252),IF(A17remlife="N/A","n/a",A17value/A17remlife))</f>
        <v>8.937054154083933</v>
      </c>
      <c r="N252" s="66">
        <f>IF(N$3&gt;A17remlife,A17value-SUM($G252:M252),IF(A17remlife="N/A","n/a",A17value/A17remlife))</f>
        <v>8.937054154083933</v>
      </c>
      <c r="O252" s="66">
        <f>IF(O$3&gt;A17remlife,A17value-SUM($G252:N252),IF(A17remlife="N/A","n/a",A17value/A17remlife))</f>
        <v>8.937054154083933</v>
      </c>
      <c r="P252" s="66">
        <f>IF(P$3&gt;A17remlife,A17value-SUM($G252:O252),IF(A17remlife="N/A","n/a",A17value/A17remlife))</f>
        <v>8.937054154083933</v>
      </c>
      <c r="Q252" s="66">
        <f>IF(Q$3&gt;A17remlife,A17value-SUM($G252:P252),IF(A17remlife="N/A","n/a",A17value/A17remlife))</f>
        <v>8.937054154083933</v>
      </c>
      <c r="R252" s="66"/>
      <c r="S252" s="102"/>
      <c r="T252" s="102"/>
      <c r="U252" s="102"/>
      <c r="V252" s="102"/>
      <c r="W252" s="102"/>
      <c r="X252" s="102"/>
      <c r="Y252" s="102"/>
      <c r="Z252" s="102"/>
      <c r="AA252" s="102"/>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5"/>
      <c r="E253" s="481" t="s">
        <v>83</v>
      </c>
      <c r="F253" s="85">
        <v>0</v>
      </c>
      <c r="G253" s="122"/>
      <c r="H253" s="67"/>
      <c r="I253" s="67"/>
      <c r="J253" s="67"/>
      <c r="K253" s="67"/>
      <c r="L253" s="67"/>
      <c r="M253" s="163"/>
      <c r="N253" s="111"/>
      <c r="O253" s="67"/>
      <c r="P253" s="67"/>
      <c r="Q253" s="67"/>
      <c r="R253" s="67"/>
      <c r="S253" s="102"/>
      <c r="T253" s="102"/>
      <c r="U253" s="102"/>
      <c r="V253" s="102"/>
      <c r="W253" s="102"/>
      <c r="X253" s="102"/>
      <c r="Y253" s="102"/>
      <c r="Z253" s="102"/>
      <c r="AA253" s="102"/>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102"/>
      <c r="BE253" s="102"/>
      <c r="BF253" s="102"/>
      <c r="BG253" s="102"/>
      <c r="BH253" s="102"/>
      <c r="BI253" s="102"/>
      <c r="BJ253" s="102"/>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9"/>
      <c r="D254" s="25"/>
      <c r="E254" s="482"/>
      <c r="F254" s="85">
        <v>1</v>
      </c>
      <c r="G254" s="122"/>
      <c r="H254" s="145"/>
      <c r="I254" s="67">
        <f>IF(A17stdlife="n/a","n/a",IF(I$3&gt;(A17stdlife+$F254),(Input!$H$160*(1+vanilla1)^0.5)-SUM($H254:H254),(Input!$H$160*(1+vanilla1)^0.5)/A17stdlife))</f>
        <v>1.1428732595056831E-2</v>
      </c>
      <c r="J254" s="67">
        <f>IF(A17stdlife="n/a","n/a",IF(J$3&gt;(A17stdlife+$F254),(Input!$H$160*(1+vanilla1)^0.5)-SUM($H254:I254),(Input!$H$160*(1+vanilla1)^0.5)/A17stdlife))</f>
        <v>1.1428732595056831E-2</v>
      </c>
      <c r="K254" s="67">
        <f>IF(A17stdlife="n/a","n/a",IF(K$3&gt;(A17stdlife+$F254),(Input!$H$160*(1+vanilla1)^0.5)-SUM($H254:J254),(Input!$H$160*(1+vanilla1)^0.5)/A17stdlife))</f>
        <v>1.1428732595056831E-2</v>
      </c>
      <c r="L254" s="67">
        <f>IF(A17stdlife="n/a","n/a",IF(L$3&gt;(A17stdlife+$F254),(Input!$H$160*(1+vanilla1)^0.5)-SUM($H254:K254),(Input!$H$160*(1+vanilla1)^0.5)/A17stdlife))</f>
        <v>1.1428732595056831E-2</v>
      </c>
      <c r="M254" s="67">
        <f>IF(A17stdlife="n/a","n/a",IF(M$3&gt;(A17stdlife+$F254),(Input!$H$160*(1+vanilla1)^0.5)-SUM($H254:L254),(Input!$H$160*(1+vanilla1)^0.5)/A17stdlife))</f>
        <v>1.1428732595056831E-2</v>
      </c>
      <c r="N254" s="67">
        <f>IF(A17stdlife="n/a","n/a",IF(N$3&gt;(A17stdlife+$F254),(Input!$H$160*(1+vanilla1)^0.5)-SUM($H254:M254),(Input!$H$160*(1+vanilla1)^0.5)/A17stdlife))</f>
        <v>1.1428732595056831E-2</v>
      </c>
      <c r="O254" s="67">
        <f>IF(A17stdlife="n/a","n/a",IF(O$3&gt;(A17stdlife+$F254),(Input!$H$160*(1+vanilla1)^0.5)-SUM($H254:N254),(Input!$H$160*(1+vanilla1)^0.5)/A17stdlife))</f>
        <v>1.1428732595056831E-2</v>
      </c>
      <c r="P254" s="67">
        <f>IF(A17stdlife="n/a","n/a",IF(P$3&gt;(A17stdlife+$F254),(Input!$H$160*(1+vanilla1)^0.5)-SUM($H254:O254),(Input!$H$160*(1+vanilla1)^0.5)/A17stdlife))</f>
        <v>1.1428732595056831E-2</v>
      </c>
      <c r="Q254" s="67">
        <f>IF(A17stdlife="n/a","n/a",IF(Q$3&gt;(A17stdlife+$F254),(Input!$H$160*(1+vanilla1)^0.5)-SUM($H254:P254),(Input!$H$160*(1+vanilla1)^0.5)/A17stdlife))</f>
        <v>1.1428732595056831E-2</v>
      </c>
      <c r="R254" s="67"/>
      <c r="S254" s="102"/>
      <c r="T254" s="102"/>
      <c r="U254" s="102"/>
      <c r="V254" s="102"/>
      <c r="W254" s="102"/>
      <c r="X254" s="102"/>
      <c r="Y254" s="102"/>
      <c r="Z254" s="102"/>
      <c r="AA254" s="102"/>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482"/>
      <c r="F255" s="85">
        <v>2</v>
      </c>
      <c r="G255" s="122"/>
      <c r="H255" s="146"/>
      <c r="I255" s="147"/>
      <c r="J255" s="67">
        <f>IF(A17stdlife="n/a","n/a",IF(J$3&gt;(A17stdlife+$F255),(Input!$I$160*(1+vanilla2)^0.5)-SUM($I255:I255),(Input!$I$160*(1+vanilla2)^0.5)/A17stdlife))</f>
        <v>2.8514924159767723E-3</v>
      </c>
      <c r="K255" s="67">
        <f>IF(A17stdlife="n/a","n/a",IF(K$3&gt;(A17stdlife+$F255),(Input!$I$160*(1+vanilla2)^0.5)-SUM($I255:J255),(Input!$I$160*(1+vanilla2)^0.5)/A17stdlife))</f>
        <v>2.8514924159767723E-3</v>
      </c>
      <c r="L255" s="67">
        <f>IF(A17stdlife="n/a","n/a",IF(L$3&gt;(A17stdlife+$F255),(Input!$I$160*(1+vanilla2)^0.5)-SUM($I255:K255),(Input!$I$160*(1+vanilla2)^0.5)/A17stdlife))</f>
        <v>2.8514924159767723E-3</v>
      </c>
      <c r="M255" s="67">
        <f>IF(A17stdlife="n/a","n/a",IF(M$3&gt;(A17stdlife+$F255),(Input!$I$160*(1+vanilla2)^0.5)-SUM($I255:L255),(Input!$I$160*(1+vanilla2)^0.5)/A17stdlife))</f>
        <v>2.8514924159767723E-3</v>
      </c>
      <c r="N255" s="67">
        <f>IF(A17stdlife="n/a","n/a",IF(N$3&gt;(A17stdlife+$F255),(Input!$I$160*(1+vanilla2)^0.5)-SUM($I255:M255),(Input!$I$160*(1+vanilla2)^0.5)/A17stdlife))</f>
        <v>2.8514924159767723E-3</v>
      </c>
      <c r="O255" s="67">
        <f>IF(A17stdlife="n/a","n/a",IF(O$3&gt;(A17stdlife+$F255),(Input!$I$160*(1+vanilla2)^0.5)-SUM($I255:N255),(Input!$I$160*(1+vanilla2)^0.5)/A17stdlife))</f>
        <v>2.8514924159767723E-3</v>
      </c>
      <c r="P255" s="67">
        <f>IF(A17stdlife="n/a","n/a",IF(P$3&gt;(A17stdlife+$F255),(Input!$I$160*(1+vanilla2)^0.5)-SUM($I255:O255),(Input!$I$160*(1+vanilla2)^0.5)/A17stdlife))</f>
        <v>2.8514924159767723E-3</v>
      </c>
      <c r="Q255" s="67">
        <f>IF(A17stdlife="n/a","n/a",IF(Q$3&gt;(A17stdlife+$F255),(Input!$I$160*(1+vanilla2)^0.5)-SUM($I255:P255),(Input!$I$160*(1+vanilla2)^0.5)/A17stdlife))</f>
        <v>2.8514924159767723E-3</v>
      </c>
      <c r="R255" s="67"/>
      <c r="S255" s="102"/>
      <c r="T255" s="102"/>
      <c r="U255" s="102"/>
      <c r="V255" s="102"/>
      <c r="W255" s="102"/>
      <c r="X255" s="102"/>
      <c r="Y255" s="102"/>
      <c r="Z255" s="102"/>
      <c r="AA255" s="102"/>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9"/>
      <c r="D256" s="25"/>
      <c r="E256" s="482"/>
      <c r="F256" s="85">
        <v>3</v>
      </c>
      <c r="G256" s="122"/>
      <c r="H256" s="146"/>
      <c r="I256" s="148"/>
      <c r="J256" s="147"/>
      <c r="K256" s="67">
        <f>IF(A17stdlife="n/a","n/a",IF(K$3&gt;(A17stdlife+$F256),(Input!$J$160*(1+vanilla3)^0.5)-SUM($J256:J256),(Input!$J$160*(1+vanilla3)^0.5)/A17stdlife))</f>
        <v>3.56539404148834E-2</v>
      </c>
      <c r="L256" s="67">
        <f>IF(A17stdlife="n/a","n/a",IF(L$3&gt;(A17stdlife+$F256),(Input!$J$160*(1+vanilla3)^0.5)-SUM($J256:K256),(Input!$J$160*(1+vanilla3)^0.5)/A17stdlife))</f>
        <v>3.56539404148834E-2</v>
      </c>
      <c r="M256" s="67">
        <f>IF(A17stdlife="n/a","n/a",IF(M$3&gt;(A17stdlife+$F256),(Input!$J$160*(1+vanilla3)^0.5)-SUM($J256:L256),(Input!$J$160*(1+vanilla3)^0.5)/A17stdlife))</f>
        <v>3.56539404148834E-2</v>
      </c>
      <c r="N256" s="67">
        <f>IF(A17stdlife="n/a","n/a",IF(N$3&gt;(A17stdlife+$F256),(Input!$J$160*(1+vanilla3)^0.5)-SUM($J256:M256),(Input!$J$160*(1+vanilla3)^0.5)/A17stdlife))</f>
        <v>3.56539404148834E-2</v>
      </c>
      <c r="O256" s="67">
        <f>IF(A17stdlife="n/a","n/a",IF(O$3&gt;(A17stdlife+$F256),(Input!$J$160*(1+vanilla3)^0.5)-SUM($J256:N256),(Input!$J$160*(1+vanilla3)^0.5)/A17stdlife))</f>
        <v>3.56539404148834E-2</v>
      </c>
      <c r="P256" s="67">
        <f>IF(A17stdlife="n/a","n/a",IF(P$3&gt;(A17stdlife+$F256),(Input!$J$160*(1+vanilla3)^0.5)-SUM($J256:O256),(Input!$J$160*(1+vanilla3)^0.5)/A17stdlife))</f>
        <v>3.56539404148834E-2</v>
      </c>
      <c r="Q256" s="67">
        <f>IF(A17stdlife="n/a","n/a",IF(Q$3&gt;(A17stdlife+$F256),(Input!$J$160*(1+vanilla3)^0.5)-SUM($J256:P256),(Input!$J$160*(1+vanilla3)^0.5)/A17stdlife))</f>
        <v>3.56539404148834E-2</v>
      </c>
      <c r="R256" s="67"/>
      <c r="S256" s="102"/>
      <c r="T256" s="102"/>
      <c r="U256" s="102"/>
      <c r="V256" s="102"/>
      <c r="W256" s="102"/>
      <c r="X256" s="102"/>
      <c r="Y256" s="102"/>
      <c r="Z256" s="102"/>
      <c r="AA256" s="102"/>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9"/>
      <c r="D257" s="25"/>
      <c r="E257" s="482"/>
      <c r="F257" s="85">
        <v>4</v>
      </c>
      <c r="G257" s="122"/>
      <c r="H257" s="146"/>
      <c r="I257" s="148"/>
      <c r="J257" s="148"/>
      <c r="K257" s="147"/>
      <c r="L257" s="67">
        <f>IF(A17stdlife="n/a","n/a",IF(L$3&gt;(A17stdlife+$F257),(Input!$K$160*(1+vanilla4)^0.5)-SUM($K257:K257),(Input!$K$160*(1+vanilla4)^0.5)/A17stdlife))</f>
        <v>5.0472618022320464E-3</v>
      </c>
      <c r="M257" s="67">
        <f>IF(A17stdlife="n/a","n/a",IF(M$3&gt;(A17stdlife+$F257),(Input!$K$160*(1+vanilla4)^0.5)-SUM($K257:L257),(Input!$K$160*(1+vanilla4)^0.5)/A17stdlife))</f>
        <v>5.0472618022320464E-3</v>
      </c>
      <c r="N257" s="67">
        <f>IF(A17stdlife="n/a","n/a",IF(N$3&gt;(A17stdlife+$F257),(Input!$K$160*(1+vanilla4)^0.5)-SUM($K257:M257),(Input!$K$160*(1+vanilla4)^0.5)/A17stdlife))</f>
        <v>5.0472618022320464E-3</v>
      </c>
      <c r="O257" s="67">
        <f>IF(A17stdlife="n/a","n/a",IF(O$3&gt;(A17stdlife+$F257),(Input!$K$160*(1+vanilla4)^0.5)-SUM($K257:N257),(Input!$K$160*(1+vanilla4)^0.5)/A17stdlife))</f>
        <v>5.0472618022320464E-3</v>
      </c>
      <c r="P257" s="67">
        <f>IF(A17stdlife="n/a","n/a",IF(P$3&gt;(A17stdlife+$F257),(Input!$K$160*(1+vanilla4)^0.5)-SUM($K257:O257),(Input!$K$160*(1+vanilla4)^0.5)/A17stdlife))</f>
        <v>5.0472618022320464E-3</v>
      </c>
      <c r="Q257" s="67">
        <f>IF(A17stdlife="n/a","n/a",IF(Q$3&gt;(A17stdlife+$F257),(Input!$K$160*(1+vanilla4)^0.5)-SUM($K257:P257),(Input!$K$160*(1+vanilla4)^0.5)/A17stdlife))</f>
        <v>5.0472618022320464E-3</v>
      </c>
      <c r="R257" s="67"/>
      <c r="S257" s="102"/>
      <c r="T257" s="102"/>
      <c r="U257" s="102"/>
      <c r="V257" s="102"/>
      <c r="W257" s="102"/>
      <c r="X257" s="102"/>
      <c r="Y257" s="102"/>
      <c r="Z257" s="102"/>
      <c r="AA257" s="102"/>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102"/>
      <c r="BE257" s="102"/>
      <c r="BF257" s="102"/>
      <c r="BG257" s="102"/>
      <c r="BH257" s="102"/>
      <c r="BI257" s="102"/>
      <c r="BJ257" s="102"/>
      <c r="BK257" s="102"/>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9"/>
      <c r="D258" s="25"/>
      <c r="E258" s="482"/>
      <c r="F258" s="85">
        <v>5</v>
      </c>
      <c r="G258" s="26"/>
      <c r="H258" s="146"/>
      <c r="I258" s="148"/>
      <c r="J258" s="148"/>
      <c r="K258" s="148"/>
      <c r="L258" s="147"/>
      <c r="M258" s="67">
        <f>IF(A17stdlife="n/a","n/a",IF(M$3&gt;(A17stdlife+$F258),(Input!$L$160*(1+vanilla5)^0.5)-SUM($L258:L258),(Input!$L$160*(1+vanilla5)^0.5)/A17stdlife))</f>
        <v>1.7190685318348217E-2</v>
      </c>
      <c r="N258" s="67">
        <f>IF(A17stdlife="n/a","n/a",IF(N$3&gt;(A17stdlife+$F258),(Input!$L$160*(1+vanilla5)^0.5)-SUM($L258:M258),(Input!$L$160*(1+vanilla5)^0.5)/A17stdlife))</f>
        <v>1.7190685318348217E-2</v>
      </c>
      <c r="O258" s="67">
        <f>IF(A17stdlife="n/a","n/a",IF(O$3&gt;(A17stdlife+$F258),(Input!$L$160*(1+vanilla5)^0.5)-SUM($L258:N258),(Input!$L$160*(1+vanilla5)^0.5)/A17stdlife))</f>
        <v>1.7190685318348217E-2</v>
      </c>
      <c r="P258" s="67">
        <f>IF(A17stdlife="n/a","n/a",IF(P$3&gt;(A17stdlife+$F258),(Input!$L$160*(1+vanilla5)^0.5)-SUM($L258:O258),(Input!$L$160*(1+vanilla5)^0.5)/A17stdlife))</f>
        <v>1.7190685318348217E-2</v>
      </c>
      <c r="Q258" s="67">
        <f>IF(A17stdlife="n/a","n/a",IF(Q$3&gt;(A17stdlife+$F258),(Input!$L$160*(1+vanilla5)^0.5)-SUM($L258:P258),(Input!$L$160*(1+vanilla5)^0.5)/A17stdlife))</f>
        <v>1.7190685318348217E-2</v>
      </c>
      <c r="R258" s="67"/>
      <c r="S258" s="102"/>
      <c r="T258" s="102"/>
      <c r="U258" s="102"/>
      <c r="V258" s="102"/>
      <c r="W258" s="102"/>
      <c r="X258" s="102"/>
      <c r="Y258" s="102"/>
      <c r="Z258" s="102"/>
      <c r="AA258" s="102"/>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482"/>
      <c r="F259" s="85">
        <v>6</v>
      </c>
      <c r="G259" s="26"/>
      <c r="H259" s="146"/>
      <c r="I259" s="148"/>
      <c r="J259" s="148"/>
      <c r="K259" s="148"/>
      <c r="L259" s="148"/>
      <c r="M259" s="147"/>
      <c r="N259" s="67">
        <f>IF(A17stdlife="n/a","n/a",IF(N$3&gt;(A17stdlife+$F259),(Input!$M$160*(1+vanilla6)^0.5)-SUM($M259:M259),(Input!$M$160*(1+vanilla6)^0.5)/A17stdlife))</f>
        <v>0</v>
      </c>
      <c r="O259" s="67">
        <f>IF(A17stdlife="n/a","n/a",IF(O$3&gt;(A17stdlife+$F259),(Input!$M$160*(1+vanilla6)^0.5)-SUM($M259:N259),(Input!$M$160*(1+vanilla6)^0.5)/A17stdlife))</f>
        <v>0</v>
      </c>
      <c r="P259" s="67">
        <f>IF(A17stdlife="n/a","n/a",IF(P$3&gt;(A17stdlife+$F259),(Input!$M$160*(1+vanilla6)^0.5)-SUM($M259:O259),(Input!$M$160*(1+vanilla6)^0.5)/A17stdlife))</f>
        <v>0</v>
      </c>
      <c r="Q259" s="67">
        <f>IF(A17stdlife="n/a","n/a",IF(Q$3&gt;(A17stdlife+$F259),(Input!$M$160*(1+vanilla6)^0.5)-SUM($M259:P259),(Input!$M$160*(1+vanilla6)^0.5)/A17stdlife))</f>
        <v>0</v>
      </c>
      <c r="R259" s="67"/>
      <c r="S259" s="102"/>
      <c r="T259" s="102"/>
      <c r="U259" s="102"/>
      <c r="V259" s="102"/>
      <c r="W259" s="102"/>
      <c r="X259" s="102"/>
      <c r="Y259" s="102"/>
      <c r="Z259" s="102"/>
      <c r="AA259" s="102"/>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9"/>
      <c r="D260" s="25"/>
      <c r="E260" s="482"/>
      <c r="F260" s="85">
        <v>7</v>
      </c>
      <c r="G260" s="26"/>
      <c r="H260" s="146"/>
      <c r="I260" s="148"/>
      <c r="J260" s="148"/>
      <c r="K260" s="148"/>
      <c r="L260" s="148"/>
      <c r="M260" s="148"/>
      <c r="N260" s="147"/>
      <c r="O260" s="67">
        <f>IF(A17stdlife="n/a","n/a",IF(O$3&gt;(A17stdlife+$F260),(Input!$N$160*(1+vanilla7)^0.5)-SUM($N260:N260),(Input!$N$160*(1+vanilla7)^0.5)/A17stdlife))</f>
        <v>0</v>
      </c>
      <c r="P260" s="67">
        <f>IF(A17stdlife="n/a","n/a",IF(P$3&gt;(A17stdlife+$F260),(Input!$N$160*(1+vanilla7)^0.5)-SUM($N260:O260),(Input!$N$160*(1+vanilla7)^0.5)/A17stdlife))</f>
        <v>0</v>
      </c>
      <c r="Q260" s="67">
        <f>IF(A17stdlife="n/a","n/a",IF(Q$3&gt;(A17stdlife+$F260),(Input!$N$160*(1+vanilla7)^0.5)-SUM($N260:P260),(Input!$N$160*(1+vanilla7)^0.5)/A17stdlife))</f>
        <v>0</v>
      </c>
      <c r="R260" s="67"/>
      <c r="S260" s="102"/>
      <c r="T260" s="102"/>
      <c r="U260" s="102"/>
      <c r="V260" s="102"/>
      <c r="W260" s="102"/>
      <c r="X260" s="102"/>
      <c r="Y260" s="102"/>
      <c r="Z260" s="102"/>
      <c r="AA260" s="102"/>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9"/>
      <c r="D261" s="25"/>
      <c r="E261" s="482"/>
      <c r="F261" s="85">
        <v>8</v>
      </c>
      <c r="G261" s="26"/>
      <c r="H261" s="146"/>
      <c r="I261" s="148"/>
      <c r="J261" s="148"/>
      <c r="K261" s="148"/>
      <c r="L261" s="148"/>
      <c r="M261" s="148"/>
      <c r="N261" s="148"/>
      <c r="O261" s="147"/>
      <c r="P261" s="67">
        <f>IF(A17stdlife="n/a","n/a",IF(P$3&gt;(A17stdlife+$F261),(Input!$O$160*(1+vanilla8)^0.5)-SUM($O261:O261),(Input!$O$160*(1+vanilla8)^0.5)/A17stdlife))</f>
        <v>0</v>
      </c>
      <c r="Q261" s="67">
        <f>IF(A17stdlife="n/a","n/a",IF(Q$3&gt;(A17stdlife+$F261),(Input!$O$160*(1+vanilla8)^0.5)-SUM($O261:P261),(Input!$O$160*(1+vanilla8)^0.5)/A17stdlife))</f>
        <v>0</v>
      </c>
      <c r="R261" s="67"/>
      <c r="S261" s="102"/>
      <c r="T261" s="102"/>
      <c r="U261" s="102"/>
      <c r="V261" s="102"/>
      <c r="W261" s="102"/>
      <c r="X261" s="102"/>
      <c r="Y261" s="102"/>
      <c r="Z261" s="102"/>
      <c r="AA261" s="102"/>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9"/>
      <c r="D262" s="25"/>
      <c r="E262" s="482"/>
      <c r="F262" s="85">
        <v>9</v>
      </c>
      <c r="G262" s="26"/>
      <c r="H262" s="146"/>
      <c r="I262" s="148"/>
      <c r="J262" s="148"/>
      <c r="K262" s="148"/>
      <c r="L262" s="148"/>
      <c r="M262" s="148"/>
      <c r="N262" s="148"/>
      <c r="O262" s="148"/>
      <c r="P262" s="147"/>
      <c r="Q262" s="67">
        <f>IF(A17stdlife="n/a","n/a",IF(Q$3&gt;(A17stdlife+$F262),(Input!$P$160*(1+vanilla9)^0.5)-SUM($P262:P262),(Input!$P$160*(1+vanilla9)^0.5)/A17stdlife))</f>
        <v>0</v>
      </c>
      <c r="R262" s="67"/>
      <c r="S262" s="102"/>
      <c r="T262" s="102"/>
      <c r="U262" s="102"/>
      <c r="V262" s="102"/>
      <c r="W262" s="102"/>
      <c r="X262" s="102"/>
      <c r="Y262" s="102"/>
      <c r="Z262" s="102"/>
      <c r="AA262" s="102"/>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9"/>
      <c r="D263" s="25"/>
      <c r="E263" s="482"/>
      <c r="F263" s="86">
        <v>10</v>
      </c>
      <c r="G263" s="26"/>
      <c r="H263" s="146"/>
      <c r="I263" s="148"/>
      <c r="J263" s="148"/>
      <c r="K263" s="148"/>
      <c r="L263" s="148"/>
      <c r="M263" s="148"/>
      <c r="N263" s="148"/>
      <c r="O263" s="148"/>
      <c r="P263" s="148"/>
      <c r="Q263" s="147"/>
      <c r="R263" s="67"/>
      <c r="S263" s="102"/>
      <c r="T263" s="102"/>
      <c r="U263" s="102"/>
      <c r="V263" s="102"/>
      <c r="W263" s="102"/>
      <c r="X263" s="102"/>
      <c r="Y263" s="102"/>
      <c r="Z263" s="102"/>
      <c r="AA263" s="102"/>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1">
      <c r="A264" s="9"/>
      <c r="B264" s="9"/>
      <c r="C264" s="9"/>
      <c r="D264" s="25" t="str">
        <f>Asset17</f>
        <v>Other non system assets</v>
      </c>
      <c r="E264" s="9"/>
      <c r="F264" s="9"/>
      <c r="G264" s="122"/>
      <c r="H264" s="165">
        <f>-SUM(H252:H263)</f>
        <v>-8.937054154083933</v>
      </c>
      <c r="I264" s="165">
        <f>-SUM(I252:I263)</f>
        <v>-8.9484828866789901</v>
      </c>
      <c r="J264" s="165">
        <f>-SUM(J252:J263)</f>
        <v>-8.9513343790949662</v>
      </c>
      <c r="K264" s="165">
        <f>-SUM(K252:K263)</f>
        <v>-8.9869883195098499</v>
      </c>
      <c r="L264" s="165">
        <f>-SUM(L252:L263)</f>
        <v>-8.9920355813120825</v>
      </c>
      <c r="M264" s="165">
        <f>IF(Input!M174&gt;0, -SUM(M252:M263), 0)</f>
        <v>0</v>
      </c>
      <c r="N264" s="165">
        <f>IF(Input!N174&gt;0, -SUM(N252:N263), 0)</f>
        <v>0</v>
      </c>
      <c r="O264" s="165">
        <f>IF(Input!O174&gt;0, -SUM(O252:O263), 0)</f>
        <v>0</v>
      </c>
      <c r="P264" s="165">
        <f>IF(Input!P174&gt;0, -SUM(P252:P263), 0)</f>
        <v>0</v>
      </c>
      <c r="Q264" s="165">
        <f>IF(Input!Q174&gt;0, -SUM(Q252:Q263), 0)</f>
        <v>0</v>
      </c>
      <c r="R264" s="65"/>
      <c r="S264" s="104"/>
      <c r="T264" s="104"/>
      <c r="U264" s="104"/>
      <c r="V264" s="104"/>
      <c r="W264" s="104"/>
      <c r="X264" s="104"/>
      <c r="Y264" s="104"/>
      <c r="Z264" s="104"/>
      <c r="AA264" s="104"/>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104"/>
      <c r="BE264" s="104"/>
      <c r="BF264" s="104"/>
      <c r="BG264" s="104"/>
      <c r="BH264" s="104"/>
      <c r="BI264" s="104"/>
      <c r="BJ264" s="104"/>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31" t="str">
        <f>Asset18</f>
        <v>IT systems</v>
      </c>
      <c r="D265" s="161"/>
      <c r="E265" s="33" t="s">
        <v>28</v>
      </c>
      <c r="F265" s="32"/>
      <c r="G265" s="174"/>
      <c r="H265" s="66">
        <f>IF(H$3&gt;A18remlife,A18value-SUM($G265:G265),IF(A18remlife="N/A","n/a",A18value/A18remlife))</f>
        <v>28.495347686595167</v>
      </c>
      <c r="I265" s="66">
        <f>IF(I$3&gt;A18remlife,A18value-SUM($G265:H265),IF(A18remlife="N/A","n/a",A18value/A18remlife))</f>
        <v>28.495347686595167</v>
      </c>
      <c r="J265" s="66">
        <f>IF(J$3&gt;A18remlife,A18value-SUM($G265:I265),IF(A18remlife="N/A","n/a",A18value/A18remlife))</f>
        <v>28.495347686595167</v>
      </c>
      <c r="K265" s="66">
        <f>IF(K$3&gt;A18remlife,A18value-SUM($G265:J265),IF(A18remlife="N/A","n/a",A18value/A18remlife))</f>
        <v>28.495347686595167</v>
      </c>
      <c r="L265" s="66">
        <f>IF(L$3&gt;A18remlife,A18value-SUM($G265:K265),IF(A18remlife="N/A","n/a",A18value/A18remlife))</f>
        <v>4.3978289313539278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5"/>
      <c r="E266" s="481" t="s">
        <v>83</v>
      </c>
      <c r="F266" s="85">
        <v>0</v>
      </c>
      <c r="G266" s="122"/>
      <c r="H266" s="67"/>
      <c r="I266" s="67"/>
      <c r="J266" s="67"/>
      <c r="K266" s="67"/>
      <c r="L266" s="67"/>
      <c r="M266" s="163"/>
      <c r="N266" s="111"/>
      <c r="O266" s="67"/>
      <c r="P266" s="67"/>
      <c r="Q266" s="67"/>
      <c r="R266" s="67"/>
      <c r="S266" s="102"/>
      <c r="T266" s="102"/>
      <c r="U266" s="102"/>
      <c r="V266" s="102"/>
      <c r="W266" s="102"/>
      <c r="X266" s="102"/>
      <c r="Y266" s="102"/>
      <c r="Z266" s="102"/>
      <c r="AA266" s="102"/>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102"/>
      <c r="BE266" s="102"/>
      <c r="BF266" s="102"/>
      <c r="BG266" s="102"/>
      <c r="BH266" s="102"/>
      <c r="BI266" s="102"/>
      <c r="BJ266" s="102"/>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9"/>
      <c r="D267" s="25"/>
      <c r="E267" s="482"/>
      <c r="F267" s="85">
        <v>1</v>
      </c>
      <c r="G267" s="122"/>
      <c r="H267" s="145"/>
      <c r="I267" s="67">
        <f>IF(A18stdlife="n/a","n/a",IF(I$3&gt;(A18stdlife+$F267),(Input!$H$161*(1+vanilla1)^0.5)-SUM($H267:H267),(Input!$H$161*(1+vanilla1)^0.5)/A18stdlife))</f>
        <v>8.8817482501414666</v>
      </c>
      <c r="J267" s="67">
        <f>IF(A18stdlife="n/a","n/a",IF(J$3&gt;(A18stdlife+$F267),(Input!$H$161*(1+vanilla1)^0.5)-SUM($H267:I267),(Input!$H$161*(1+vanilla1)^0.5)/A18stdlife))</f>
        <v>8.8817482501414666</v>
      </c>
      <c r="K267" s="67">
        <f>IF(A18stdlife="n/a","n/a",IF(K$3&gt;(A18stdlife+$F267),(Input!$H$161*(1+vanilla1)^0.5)-SUM($H267:J267),(Input!$H$161*(1+vanilla1)^0.5)/A18stdlife))</f>
        <v>8.8817482501414666</v>
      </c>
      <c r="L267" s="67">
        <f>IF(A18stdlife="n/a","n/a",IF(L$3&gt;(A18stdlife+$F267),(Input!$H$161*(1+vanilla1)^0.5)-SUM($H267:K267),(Input!$H$161*(1+vanilla1)^0.5)/A18stdlife))</f>
        <v>8.8817482501414666</v>
      </c>
      <c r="M267" s="67">
        <f>IF(A18stdlife="n/a","n/a",IF(M$3&gt;(A18stdlife+$F267),(Input!$H$161*(1+vanilla1)^0.5)-SUM($H267:L267),(Input!$H$161*(1+vanilla1)^0.5)/A18stdlife))</f>
        <v>8.8817482501414666</v>
      </c>
      <c r="N267" s="67">
        <f>IF(A18stdlife="n/a","n/a",IF(N$3&gt;(A18stdlife+$F267),(Input!$H$161*(1+vanilla1)^0.5)-SUM($H267:M267),(Input!$H$161*(1+vanilla1)^0.5)/A18stdlife))</f>
        <v>-7.1054273576010019E-15</v>
      </c>
      <c r="O267" s="67">
        <f>IF(A18stdlife="n/a","n/a",IF(O$3&gt;(A18stdlife+$F267),(Input!$H$161*(1+vanilla1)^0.5)-SUM($H267:N267),(Input!$H$161*(1+vanilla1)^0.5)/A18stdlife))</f>
        <v>0</v>
      </c>
      <c r="P267" s="67">
        <f>IF(A18stdlife="n/a","n/a",IF(P$3&gt;(A18stdlife+$F267),(Input!$H$161*(1+vanilla1)^0.5)-SUM($H267:O267),(Input!$H$161*(1+vanilla1)^0.5)/A18stdlife))</f>
        <v>0</v>
      </c>
      <c r="Q267" s="67">
        <f>IF(A18stdlife="n/a","n/a",IF(Q$3&gt;(A18stdlife+$F267),(Input!$H$161*(1+vanilla1)^0.5)-SUM($H267:P267),(Input!$H$161*(1+vanilla1)^0.5)/A18stdlife))</f>
        <v>0</v>
      </c>
      <c r="R267" s="67"/>
      <c r="S267" s="102"/>
      <c r="T267" s="102"/>
      <c r="U267" s="102"/>
      <c r="V267" s="102"/>
      <c r="W267" s="102"/>
      <c r="X267" s="102"/>
      <c r="Y267" s="102"/>
      <c r="Z267" s="102"/>
      <c r="AA267" s="102"/>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482"/>
      <c r="F268" s="85">
        <v>2</v>
      </c>
      <c r="G268" s="122"/>
      <c r="H268" s="146"/>
      <c r="I268" s="147"/>
      <c r="J268" s="67">
        <f>IF(A18stdlife="n/a","n/a",IF(J$3&gt;(A18stdlife+$F268),(Input!$I$161*(1+vanilla2)^0.5)-SUM($I268:I268),(Input!$I$161*(1+vanilla2)^0.5)/A18stdlife))</f>
        <v>9.8864300735838135</v>
      </c>
      <c r="K268" s="67">
        <f>IF(A18stdlife="n/a","n/a",IF(K$3&gt;(A18stdlife+$F268),(Input!$I$161*(1+vanilla2)^0.5)-SUM($I268:J268),(Input!$I$161*(1+vanilla2)^0.5)/A18stdlife))</f>
        <v>9.8864300735838135</v>
      </c>
      <c r="L268" s="67">
        <f>IF(A18stdlife="n/a","n/a",IF(L$3&gt;(A18stdlife+$F268),(Input!$I$161*(1+vanilla2)^0.5)-SUM($I268:K268),(Input!$I$161*(1+vanilla2)^0.5)/A18stdlife))</f>
        <v>9.8864300735838135</v>
      </c>
      <c r="M268" s="67">
        <f>IF(A18stdlife="n/a","n/a",IF(M$3&gt;(A18stdlife+$F268),(Input!$I$161*(1+vanilla2)^0.5)-SUM($I268:L268),(Input!$I$161*(1+vanilla2)^0.5)/A18stdlife))</f>
        <v>9.8864300735838135</v>
      </c>
      <c r="N268" s="67">
        <f>IF(A18stdlife="n/a","n/a",IF(N$3&gt;(A18stdlife+$F268),(Input!$I$161*(1+vanilla2)^0.5)-SUM($I268:M268),(Input!$I$161*(1+vanilla2)^0.5)/A18stdlife))</f>
        <v>9.8864300735838135</v>
      </c>
      <c r="O268" s="67">
        <f>IF(A18stdlife="n/a","n/a",IF(O$3&gt;(A18stdlife+$F268),(Input!$I$161*(1+vanilla2)^0.5)-SUM($I268:N268),(Input!$I$161*(1+vanilla2)^0.5)/A18stdlife))</f>
        <v>0</v>
      </c>
      <c r="P268" s="67">
        <f>IF(A18stdlife="n/a","n/a",IF(P$3&gt;(A18stdlife+$F268),(Input!$I$161*(1+vanilla2)^0.5)-SUM($I268:O268),(Input!$I$161*(1+vanilla2)^0.5)/A18stdlife))</f>
        <v>0</v>
      </c>
      <c r="Q268" s="67">
        <f>IF(A18stdlife="n/a","n/a",IF(Q$3&gt;(A18stdlife+$F268),(Input!$I$161*(1+vanilla2)^0.5)-SUM($I268:P268),(Input!$I$161*(1+vanilla2)^0.5)/A18stdlife))</f>
        <v>0</v>
      </c>
      <c r="R268" s="67"/>
      <c r="S268" s="102"/>
      <c r="T268" s="102"/>
      <c r="U268" s="102"/>
      <c r="V268" s="102"/>
      <c r="W268" s="102"/>
      <c r="X268" s="102"/>
      <c r="Y268" s="102"/>
      <c r="Z268" s="102"/>
      <c r="AA268" s="102"/>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9"/>
      <c r="D269" s="25"/>
      <c r="E269" s="482"/>
      <c r="F269" s="85">
        <v>3</v>
      </c>
      <c r="G269" s="122"/>
      <c r="H269" s="146"/>
      <c r="I269" s="148"/>
      <c r="J269" s="147"/>
      <c r="K269" s="67">
        <f>IF(A18stdlife="n/a","n/a",IF(K$3&gt;(A18stdlife+$F269),(Input!$J$161*(1+vanilla3)^0.5)-SUM($J269:J269),(Input!$J$161*(1+vanilla3)^0.5)/A18stdlife))</f>
        <v>6.2165274102016888</v>
      </c>
      <c r="L269" s="67">
        <f>IF(A18stdlife="n/a","n/a",IF(L$3&gt;(A18stdlife+$F269),(Input!$J$161*(1+vanilla3)^0.5)-SUM($J269:K269),(Input!$J$161*(1+vanilla3)^0.5)/A18stdlife))</f>
        <v>6.2165274102016888</v>
      </c>
      <c r="M269" s="67">
        <f>IF(A18stdlife="n/a","n/a",IF(M$3&gt;(A18stdlife+$F269),(Input!$J$161*(1+vanilla3)^0.5)-SUM($J269:L269),(Input!$J$161*(1+vanilla3)^0.5)/A18stdlife))</f>
        <v>6.2165274102016888</v>
      </c>
      <c r="N269" s="67">
        <f>IF(A18stdlife="n/a","n/a",IF(N$3&gt;(A18stdlife+$F269),(Input!$J$161*(1+vanilla3)^0.5)-SUM($J269:M269),(Input!$J$161*(1+vanilla3)^0.5)/A18stdlife))</f>
        <v>6.2165274102016888</v>
      </c>
      <c r="O269" s="67">
        <f>IF(A18stdlife="n/a","n/a",IF(O$3&gt;(A18stdlife+$F269),(Input!$J$161*(1+vanilla3)^0.5)-SUM($J269:N269),(Input!$J$161*(1+vanilla3)^0.5)/A18stdlife))</f>
        <v>6.2165274102016888</v>
      </c>
      <c r="P269" s="67">
        <f>IF(A18stdlife="n/a","n/a",IF(P$3&gt;(A18stdlife+$F269),(Input!$J$161*(1+vanilla3)^0.5)-SUM($J269:O269),(Input!$J$161*(1+vanilla3)^0.5)/A18stdlife))</f>
        <v>0</v>
      </c>
      <c r="Q269" s="67">
        <f>IF(A18stdlife="n/a","n/a",IF(Q$3&gt;(A18stdlife+$F269),(Input!$J$161*(1+vanilla3)^0.5)-SUM($J269:P269),(Input!$J$161*(1+vanilla3)^0.5)/A18stdlife))</f>
        <v>0</v>
      </c>
      <c r="R269" s="67"/>
      <c r="S269" s="102"/>
      <c r="T269" s="102"/>
      <c r="U269" s="102"/>
      <c r="V269" s="102"/>
      <c r="W269" s="102"/>
      <c r="X269" s="102"/>
      <c r="Y269" s="102"/>
      <c r="Z269" s="102"/>
      <c r="AA269" s="102"/>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9"/>
      <c r="D270" s="25"/>
      <c r="E270" s="482"/>
      <c r="F270" s="85">
        <v>4</v>
      </c>
      <c r="G270" s="122"/>
      <c r="H270" s="146"/>
      <c r="I270" s="148"/>
      <c r="J270" s="148"/>
      <c r="K270" s="147"/>
      <c r="L270" s="67">
        <f>IF(A18stdlife="n/a","n/a",IF(L$3&gt;(A18stdlife+$F270),(Input!$K$161*(1+vanilla4)^0.5)-SUM($K270:K270),(Input!$K$161*(1+vanilla4)^0.5)/A18stdlife))</f>
        <v>4.6086451039967731</v>
      </c>
      <c r="M270" s="67">
        <f>IF(A18stdlife="n/a","n/a",IF(M$3&gt;(A18stdlife+$F270),(Input!$K$161*(1+vanilla4)^0.5)-SUM($K270:L270),(Input!$K$161*(1+vanilla4)^0.5)/A18stdlife))</f>
        <v>4.6086451039967731</v>
      </c>
      <c r="N270" s="67">
        <f>IF(A18stdlife="n/a","n/a",IF(N$3&gt;(A18stdlife+$F270),(Input!$K$161*(1+vanilla4)^0.5)-SUM($K270:M270),(Input!$K$161*(1+vanilla4)^0.5)/A18stdlife))</f>
        <v>4.6086451039967731</v>
      </c>
      <c r="O270" s="67">
        <f>IF(A18stdlife="n/a","n/a",IF(O$3&gt;(A18stdlife+$F270),(Input!$K$161*(1+vanilla4)^0.5)-SUM($K270:N270),(Input!$K$161*(1+vanilla4)^0.5)/A18stdlife))</f>
        <v>4.6086451039967731</v>
      </c>
      <c r="P270" s="67">
        <f>IF(A18stdlife="n/a","n/a",IF(P$3&gt;(A18stdlife+$F270),(Input!$K$161*(1+vanilla4)^0.5)-SUM($K270:O270),(Input!$K$161*(1+vanilla4)^0.5)/A18stdlife))</f>
        <v>4.6086451039967731</v>
      </c>
      <c r="Q270" s="67">
        <f>IF(A18stdlife="n/a","n/a",IF(Q$3&gt;(A18stdlife+$F270),(Input!$K$161*(1+vanilla4)^0.5)-SUM($K270:P270),(Input!$K$161*(1+vanilla4)^0.5)/A18stdlife))</f>
        <v>3.5527136788005009E-15</v>
      </c>
      <c r="R270" s="67"/>
      <c r="S270" s="102"/>
      <c r="T270" s="102"/>
      <c r="U270" s="102"/>
      <c r="V270" s="102"/>
      <c r="W270" s="102"/>
      <c r="X270" s="102"/>
      <c r="Y270" s="102"/>
      <c r="Z270" s="102"/>
      <c r="AA270" s="102"/>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9"/>
      <c r="D271" s="25"/>
      <c r="E271" s="482"/>
      <c r="F271" s="85">
        <v>5</v>
      </c>
      <c r="G271" s="26"/>
      <c r="H271" s="146"/>
      <c r="I271" s="148"/>
      <c r="J271" s="148"/>
      <c r="K271" s="148"/>
      <c r="L271" s="147"/>
      <c r="M271" s="67">
        <f>IF(A18stdlife="n/a","n/a",IF(M$3&gt;(A18stdlife+$F271),(Input!$L$161*(1+vanilla5)^0.5)-SUM($L271:L271),(Input!$L$161*(1+vanilla5)^0.5)/A18stdlife))</f>
        <v>4.5522700204433937</v>
      </c>
      <c r="N271" s="67">
        <f>IF(A18stdlife="n/a","n/a",IF(N$3&gt;(A18stdlife+$F271),(Input!$L$161*(1+vanilla5)^0.5)-SUM($L271:M271),(Input!$L$161*(1+vanilla5)^0.5)/A18stdlife))</f>
        <v>4.5522700204433937</v>
      </c>
      <c r="O271" s="67">
        <f>IF(A18stdlife="n/a","n/a",IF(O$3&gt;(A18stdlife+$F271),(Input!$L$161*(1+vanilla5)^0.5)-SUM($L271:N271),(Input!$L$161*(1+vanilla5)^0.5)/A18stdlife))</f>
        <v>4.5522700204433937</v>
      </c>
      <c r="P271" s="67">
        <f>IF(A18stdlife="n/a","n/a",IF(P$3&gt;(A18stdlife+$F271),(Input!$L$161*(1+vanilla5)^0.5)-SUM($L271:O271),(Input!$L$161*(1+vanilla5)^0.5)/A18stdlife))</f>
        <v>4.5522700204433937</v>
      </c>
      <c r="Q271" s="67">
        <f>IF(A18stdlife="n/a","n/a",IF(Q$3&gt;(A18stdlife+$F271),(Input!$L$161*(1+vanilla5)^0.5)-SUM($L271:P271),(Input!$L$161*(1+vanilla5)^0.5)/A18stdlife))</f>
        <v>4.5522700204433937</v>
      </c>
      <c r="R271" s="67"/>
      <c r="S271" s="102"/>
      <c r="T271" s="102"/>
      <c r="U271" s="102"/>
      <c r="V271" s="102"/>
      <c r="W271" s="102"/>
      <c r="X271" s="102"/>
      <c r="Y271" s="102"/>
      <c r="Z271" s="102"/>
      <c r="AA271" s="102"/>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482"/>
      <c r="F272" s="85">
        <v>6</v>
      </c>
      <c r="G272" s="26"/>
      <c r="H272" s="146"/>
      <c r="I272" s="148"/>
      <c r="J272" s="148"/>
      <c r="K272" s="148"/>
      <c r="L272" s="148"/>
      <c r="M272" s="147"/>
      <c r="N272" s="67">
        <f>IF(A18stdlife="n/a","n/a",IF(N$3&gt;(A18stdlife+$F272),(Input!$M$161*(1+vanilla6)^0.5)-SUM($M272:M272),(Input!$M$161*(1+vanilla6)^0.5)/A18stdlife))</f>
        <v>0</v>
      </c>
      <c r="O272" s="67">
        <f>IF(A18stdlife="n/a","n/a",IF(O$3&gt;(A18stdlife+$F272),(Input!$M$161*(1+vanilla6)^0.5)-SUM($M272:N272),(Input!$M$161*(1+vanilla6)^0.5)/A18stdlife))</f>
        <v>0</v>
      </c>
      <c r="P272" s="67">
        <f>IF(A18stdlife="n/a","n/a",IF(P$3&gt;(A18stdlife+$F272),(Input!$M$161*(1+vanilla6)^0.5)-SUM($M272:O272),(Input!$M$161*(1+vanilla6)^0.5)/A18stdlife))</f>
        <v>0</v>
      </c>
      <c r="Q272" s="67">
        <f>IF(A18stdlife="n/a","n/a",IF(Q$3&gt;(A18stdlife+$F272),(Input!$M$161*(1+vanilla6)^0.5)-SUM($M272:P272),(Input!$M$161*(1+vanilla6)^0.5)/A18stdlife))</f>
        <v>0</v>
      </c>
      <c r="R272" s="67"/>
      <c r="S272" s="102"/>
      <c r="T272" s="102"/>
      <c r="U272" s="102"/>
      <c r="V272" s="102"/>
      <c r="W272" s="102"/>
      <c r="X272" s="102"/>
      <c r="Y272" s="102"/>
      <c r="Z272" s="102"/>
      <c r="AA272" s="102"/>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102"/>
      <c r="BE272" s="102"/>
      <c r="BF272" s="102"/>
      <c r="BG272" s="102"/>
      <c r="BH272" s="102"/>
      <c r="BI272" s="102"/>
      <c r="BJ272" s="102"/>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9"/>
      <c r="D273" s="25"/>
      <c r="E273" s="482"/>
      <c r="F273" s="85">
        <v>7</v>
      </c>
      <c r="G273" s="26"/>
      <c r="H273" s="146"/>
      <c r="I273" s="148"/>
      <c r="J273" s="148"/>
      <c r="K273" s="148"/>
      <c r="L273" s="148"/>
      <c r="M273" s="148"/>
      <c r="N273" s="147"/>
      <c r="O273" s="67">
        <f>IF(A18stdlife="n/a","n/a",IF(O$3&gt;(A18stdlife+$F273),(Input!$N$161*(1+vanilla7)^0.5)-SUM($N273:N273),(Input!$N$161*(1+vanilla7)^0.5)/A18stdlife))</f>
        <v>0</v>
      </c>
      <c r="P273" s="67">
        <f>IF(A18stdlife="n/a","n/a",IF(P$3&gt;(A18stdlife+$F273),(Input!$N$161*(1+vanilla7)^0.5)-SUM($N273:O273),(Input!$N$161*(1+vanilla7)^0.5)/A18stdlife))</f>
        <v>0</v>
      </c>
      <c r="Q273" s="67">
        <f>IF(A18stdlife="n/a","n/a",IF(Q$3&gt;(A18stdlife+$F273),(Input!$N$161*(1+vanilla7)^0.5)-SUM($N273:P273),(Input!$N$161*(1+vanilla7)^0.5)/A18stdlife))</f>
        <v>0</v>
      </c>
      <c r="R273" s="67"/>
      <c r="S273" s="102"/>
      <c r="T273" s="102"/>
      <c r="U273" s="102"/>
      <c r="V273" s="102"/>
      <c r="W273" s="102"/>
      <c r="X273" s="102"/>
      <c r="Y273" s="102"/>
      <c r="Z273" s="102"/>
      <c r="AA273" s="102"/>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9"/>
      <c r="D274" s="25"/>
      <c r="E274" s="482"/>
      <c r="F274" s="85">
        <v>8</v>
      </c>
      <c r="G274" s="26"/>
      <c r="H274" s="146"/>
      <c r="I274" s="148"/>
      <c r="J274" s="148"/>
      <c r="K274" s="148"/>
      <c r="L274" s="148"/>
      <c r="M274" s="148"/>
      <c r="N274" s="148"/>
      <c r="O274" s="147"/>
      <c r="P274" s="67">
        <f>IF(A18stdlife="n/a","n/a",IF(P$3&gt;(A18stdlife+$F274),(Input!$O$161*(1+vanilla8)^0.5)-SUM($O274:O274),(Input!$O$161*(1+vanilla8)^0.5)/A18stdlife))</f>
        <v>0</v>
      </c>
      <c r="Q274" s="67">
        <f>IF(A18stdlife="n/a","n/a",IF(Q$3&gt;(A18stdlife+$F274),(Input!$O$161*(1+vanilla8)^0.5)-SUM($O274:P274),(Input!$O$161*(1+vanilla8)^0.5)/A18stdlife))</f>
        <v>0</v>
      </c>
      <c r="R274" s="67"/>
      <c r="S274" s="102"/>
      <c r="T274" s="102"/>
      <c r="U274" s="102"/>
      <c r="V274" s="102"/>
      <c r="W274" s="102"/>
      <c r="X274" s="102"/>
      <c r="Y274" s="102"/>
      <c r="Z274" s="102"/>
      <c r="AA274" s="102"/>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9"/>
      <c r="D275" s="25"/>
      <c r="E275" s="482"/>
      <c r="F275" s="85">
        <v>9</v>
      </c>
      <c r="G275" s="26"/>
      <c r="H275" s="146"/>
      <c r="I275" s="148"/>
      <c r="J275" s="148"/>
      <c r="K275" s="148"/>
      <c r="L275" s="148"/>
      <c r="M275" s="148"/>
      <c r="N275" s="148"/>
      <c r="O275" s="148"/>
      <c r="P275" s="147"/>
      <c r="Q275" s="67">
        <f>IF(A18stdlife="n/a","n/a",IF(Q$3&gt;(A18stdlife+$F275),(Input!$P$161*(1+vanilla9)^0.5)-SUM($P275:P275),(Input!$P$161*(1+vanilla9)^0.5)/A18stdlife))</f>
        <v>0</v>
      </c>
      <c r="R275" s="67"/>
      <c r="S275" s="102"/>
      <c r="T275" s="102"/>
      <c r="U275" s="102"/>
      <c r="V275" s="102"/>
      <c r="W275" s="102"/>
      <c r="X275" s="102"/>
      <c r="Y275" s="102"/>
      <c r="Z275" s="102"/>
      <c r="AA275" s="102"/>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9"/>
      <c r="D276" s="25"/>
      <c r="E276" s="482"/>
      <c r="F276" s="86">
        <v>10</v>
      </c>
      <c r="G276" s="26"/>
      <c r="H276" s="146"/>
      <c r="I276" s="148"/>
      <c r="J276" s="148"/>
      <c r="K276" s="148"/>
      <c r="L276" s="148"/>
      <c r="M276" s="148"/>
      <c r="N276" s="148"/>
      <c r="O276" s="148"/>
      <c r="P276" s="148"/>
      <c r="Q276" s="147"/>
      <c r="R276" s="67"/>
      <c r="S276" s="102"/>
      <c r="T276" s="102"/>
      <c r="U276" s="102"/>
      <c r="V276" s="102"/>
      <c r="W276" s="102"/>
      <c r="X276" s="102"/>
      <c r="Y276" s="102"/>
      <c r="Z276" s="102"/>
      <c r="AA276" s="102"/>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1">
      <c r="A277" s="9"/>
      <c r="B277" s="9"/>
      <c r="C277" s="9"/>
      <c r="D277" s="25" t="str">
        <f>Asset18</f>
        <v>IT systems</v>
      </c>
      <c r="E277" s="9"/>
      <c r="F277" s="9"/>
      <c r="G277" s="122"/>
      <c r="H277" s="165">
        <f>-SUM(H265:H276)</f>
        <v>-28.495347686595167</v>
      </c>
      <c r="I277" s="165">
        <f>-SUM(I265:I276)</f>
        <v>-37.377095936736637</v>
      </c>
      <c r="J277" s="165">
        <f>-SUM(J265:J276)</f>
        <v>-47.263526010320447</v>
      </c>
      <c r="K277" s="165">
        <f>-SUM(K265:K276)</f>
        <v>-53.48005342052214</v>
      </c>
      <c r="L277" s="165">
        <f>-SUM(L265:L276)</f>
        <v>-33.991179769277672</v>
      </c>
      <c r="M277" s="165">
        <f>IF(Input!M174&gt;0, -SUM(M265:M276), 0)</f>
        <v>0</v>
      </c>
      <c r="N277" s="165">
        <f>IF(Input!N174&gt;0, -SUM(N265:N276), 0)</f>
        <v>0</v>
      </c>
      <c r="O277" s="165">
        <f>IF(Input!O174&gt;0, -SUM(O265:O276), 0)</f>
        <v>0</v>
      </c>
      <c r="P277" s="165">
        <f>IF(Input!P174&gt;0, -SUM(P265:P276), 0)</f>
        <v>0</v>
      </c>
      <c r="Q277" s="165">
        <f>IF(Input!Q174&gt;0, -SUM(Q265:Q276), 0)</f>
        <v>0</v>
      </c>
      <c r="R277" s="165"/>
      <c r="S277" s="104"/>
      <c r="T277" s="104"/>
      <c r="U277" s="104"/>
      <c r="V277" s="104"/>
      <c r="W277" s="104"/>
      <c r="X277" s="104"/>
      <c r="Y277" s="104"/>
      <c r="Z277" s="104"/>
      <c r="AA277" s="104"/>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104"/>
      <c r="BE277" s="104"/>
      <c r="BF277" s="104"/>
      <c r="BG277" s="104"/>
      <c r="BH277" s="104"/>
      <c r="BI277" s="104"/>
      <c r="BJ277" s="104"/>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31" t="str">
        <f>Asset19</f>
        <v>Motor vehicles</v>
      </c>
      <c r="D278" s="161"/>
      <c r="E278" s="33" t="s">
        <v>28</v>
      </c>
      <c r="F278" s="32"/>
      <c r="G278" s="174"/>
      <c r="H278" s="66">
        <f>IF(H$3&gt;A19remlife,A19value-SUM($G278:G278),IF(A19remlife="N/A","n/a",A19value/A19remlife))</f>
        <v>10.883441540084368</v>
      </c>
      <c r="I278" s="66">
        <f>IF(I$3&gt;A19remlife,A19value-SUM($G278:H278),IF(A19remlife="N/A","n/a",A19value/A19remlife))</f>
        <v>10.883441540084368</v>
      </c>
      <c r="J278" s="66">
        <f>IF(J$3&gt;A19remlife,A19value-SUM($G278:I278),IF(A19remlife="N/A","n/a",A19value/A19remlife))</f>
        <v>10.883441540084368</v>
      </c>
      <c r="K278" s="66">
        <f>IF(K$3&gt;A19remlife,A19value-SUM($G278:J278),IF(A19remlife="N/A","n/a",A19value/A19remlife))</f>
        <v>10.883441540084368</v>
      </c>
      <c r="L278" s="66">
        <f>IF(L$3&gt;A19remlife,A19value-SUM($G278:K278),IF(A19remlife="N/A","n/a",A19value/A19remlife))</f>
        <v>10.883441540084368</v>
      </c>
      <c r="M278" s="66">
        <f>IF(M$3&gt;A19remlife,A19value-SUM($G278:L278),IF(A19remlife="N/A","n/a",A19value/A19remlife))</f>
        <v>10.883441540084368</v>
      </c>
      <c r="N278" s="66">
        <f>IF(N$3&gt;A19remlife,A19value-SUM($G278:M278),IF(A19remlife="N/A","n/a",A19value/A19remlife))</f>
        <v>10.883441540084368</v>
      </c>
      <c r="O278" s="66">
        <f>IF(O$3&gt;A19remlife,A19value-SUM($G278:N278),IF(A19remlife="N/A","n/a",A19value/A19remlife))</f>
        <v>10.883441540084368</v>
      </c>
      <c r="P278" s="66">
        <f>IF(P$3&gt;A19remlife,A19value-SUM($G278:O278),IF(A19remlife="N/A","n/a",A19value/A19remlife))</f>
        <v>3.98338284106309</v>
      </c>
      <c r="Q278" s="66">
        <f>IF(Q$3&gt;A19remlife,A19value-SUM($G278:P278),IF(A19remlife="N/A","n/a",A19value/A19remlife))</f>
        <v>0</v>
      </c>
      <c r="R278" s="66"/>
      <c r="S278" s="102"/>
      <c r="T278" s="102"/>
      <c r="U278" s="102"/>
      <c r="V278" s="102"/>
      <c r="W278" s="102"/>
      <c r="X278" s="102"/>
      <c r="Y278" s="102"/>
      <c r="Z278" s="102"/>
      <c r="AA278" s="102"/>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5"/>
      <c r="E279" s="481" t="s">
        <v>83</v>
      </c>
      <c r="F279" s="85">
        <v>0</v>
      </c>
      <c r="G279" s="122"/>
      <c r="H279" s="67"/>
      <c r="I279" s="67"/>
      <c r="J279" s="67"/>
      <c r="K279" s="67"/>
      <c r="L279" s="67"/>
      <c r="M279" s="163"/>
      <c r="N279" s="111"/>
      <c r="O279" s="67"/>
      <c r="P279" s="67"/>
      <c r="Q279" s="67"/>
      <c r="R279" s="67"/>
      <c r="S279" s="102"/>
      <c r="T279" s="102"/>
      <c r="U279" s="102"/>
      <c r="V279" s="102"/>
      <c r="W279" s="102"/>
      <c r="X279" s="102"/>
      <c r="Y279" s="102"/>
      <c r="Z279" s="102"/>
      <c r="AA279" s="102"/>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102"/>
      <c r="BE279" s="102"/>
      <c r="BF279" s="102"/>
      <c r="BG279" s="102"/>
      <c r="BH279" s="102"/>
      <c r="BI279" s="102"/>
      <c r="BJ279" s="102"/>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9"/>
      <c r="D280" s="25"/>
      <c r="E280" s="482"/>
      <c r="F280" s="85">
        <v>1</v>
      </c>
      <c r="G280" s="122"/>
      <c r="H280" s="145"/>
      <c r="I280" s="67">
        <f>IF(A19stdlife="n/a","n/a",IF(I$3&gt;(A19stdlife+$F280),(Input!$H$162*(1+vanilla1)^0.5)-SUM($H280:H280),(Input!$H$162*(1+vanilla1)^0.5)/A19stdlife))</f>
        <v>2.2538024850286567</v>
      </c>
      <c r="J280" s="67">
        <f>IF(A19stdlife="n/a","n/a",IF(J$3&gt;(A19stdlife+$F280),(Input!$H$162*(1+vanilla1)^0.5)-SUM($H280:I280),(Input!$H$162*(1+vanilla1)^0.5)/A19stdlife))</f>
        <v>2.2538024850286567</v>
      </c>
      <c r="K280" s="67">
        <f>IF(A19stdlife="n/a","n/a",IF(K$3&gt;(A19stdlife+$F280),(Input!$H$162*(1+vanilla1)^0.5)-SUM($H280:J280),(Input!$H$162*(1+vanilla1)^0.5)/A19stdlife))</f>
        <v>2.2538024850286567</v>
      </c>
      <c r="L280" s="67">
        <f>IF(A19stdlife="n/a","n/a",IF(L$3&gt;(A19stdlife+$F280),(Input!$H$162*(1+vanilla1)^0.5)-SUM($H280:K280),(Input!$H$162*(1+vanilla1)^0.5)/A19stdlife))</f>
        <v>2.2538024850286567</v>
      </c>
      <c r="M280" s="67">
        <f>IF(A19stdlife="n/a","n/a",IF(M$3&gt;(A19stdlife+$F280),(Input!$H$162*(1+vanilla1)^0.5)-SUM($H280:L280),(Input!$H$162*(1+vanilla1)^0.5)/A19stdlife))</f>
        <v>2.2538024850286567</v>
      </c>
      <c r="N280" s="67">
        <f>IF(A19stdlife="n/a","n/a",IF(N$3&gt;(A19stdlife+$F280),(Input!$H$162*(1+vanilla1)^0.5)-SUM($H280:M280),(Input!$H$162*(1+vanilla1)^0.5)/A19stdlife))</f>
        <v>2.2538024850286567</v>
      </c>
      <c r="O280" s="67">
        <f>IF(A19stdlife="n/a","n/a",IF(O$3&gt;(A19stdlife+$F280),(Input!$H$162*(1+vanilla1)^0.5)-SUM($H280:N280),(Input!$H$162*(1+vanilla1)^0.5)/A19stdlife))</f>
        <v>2.2538024850286567</v>
      </c>
      <c r="P280" s="67">
        <f>IF(A19stdlife="n/a","n/a",IF(P$3&gt;(A19stdlife+$F280),(Input!$H$162*(1+vanilla1)^0.5)-SUM($H280:O280),(Input!$H$162*(1+vanilla1)^0.5)/A19stdlife))</f>
        <v>2.2538024850286567</v>
      </c>
      <c r="Q280" s="67">
        <f>IF(A19stdlife="n/a","n/a",IF(Q$3&gt;(A19stdlife+$F280),(Input!$H$162*(1+vanilla1)^0.5)-SUM($H280:P280),(Input!$H$162*(1+vanilla1)^0.5)/A19stdlife))</f>
        <v>2.2538024850286567</v>
      </c>
      <c r="R280" s="67"/>
      <c r="S280" s="102"/>
      <c r="T280" s="102"/>
      <c r="U280" s="102"/>
      <c r="V280" s="102"/>
      <c r="W280" s="102"/>
      <c r="X280" s="102"/>
      <c r="Y280" s="102"/>
      <c r="Z280" s="102"/>
      <c r="AA280" s="102"/>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482"/>
      <c r="F281" s="85">
        <v>2</v>
      </c>
      <c r="G281" s="122"/>
      <c r="H281" s="146"/>
      <c r="I281" s="147"/>
      <c r="J281" s="67">
        <f>IF(A19stdlife="n/a","n/a",IF(J$3&gt;(A19stdlife+$F281),(Input!$I$162*(1+vanilla2)^0.5)-SUM($I281:I281),(Input!$I$162*(1+vanilla2)^0.5)/A19stdlife))</f>
        <v>2.3766596756592349</v>
      </c>
      <c r="K281" s="67">
        <f>IF(A19stdlife="n/a","n/a",IF(K$3&gt;(A19stdlife+$F281),(Input!$I$162*(1+vanilla2)^0.5)-SUM($I281:J281),(Input!$I$162*(1+vanilla2)^0.5)/A19stdlife))</f>
        <v>2.3766596756592349</v>
      </c>
      <c r="L281" s="67">
        <f>IF(A19stdlife="n/a","n/a",IF(L$3&gt;(A19stdlife+$F281),(Input!$I$162*(1+vanilla2)^0.5)-SUM($I281:K281),(Input!$I$162*(1+vanilla2)^0.5)/A19stdlife))</f>
        <v>2.3766596756592349</v>
      </c>
      <c r="M281" s="67">
        <f>IF(A19stdlife="n/a","n/a",IF(M$3&gt;(A19stdlife+$F281),(Input!$I$162*(1+vanilla2)^0.5)-SUM($I281:L281),(Input!$I$162*(1+vanilla2)^0.5)/A19stdlife))</f>
        <v>2.3766596756592349</v>
      </c>
      <c r="N281" s="67">
        <f>IF(A19stdlife="n/a","n/a",IF(N$3&gt;(A19stdlife+$F281),(Input!$I$162*(1+vanilla2)^0.5)-SUM($I281:M281),(Input!$I$162*(1+vanilla2)^0.5)/A19stdlife))</f>
        <v>2.3766596756592349</v>
      </c>
      <c r="O281" s="67">
        <f>IF(A19stdlife="n/a","n/a",IF(O$3&gt;(A19stdlife+$F281),(Input!$I$162*(1+vanilla2)^0.5)-SUM($I281:N281),(Input!$I$162*(1+vanilla2)^0.5)/A19stdlife))</f>
        <v>2.3766596756592349</v>
      </c>
      <c r="P281" s="67">
        <f>IF(A19stdlife="n/a","n/a",IF(P$3&gt;(A19stdlife+$F281),(Input!$I$162*(1+vanilla2)^0.5)-SUM($I281:O281),(Input!$I$162*(1+vanilla2)^0.5)/A19stdlife))</f>
        <v>2.3766596756592349</v>
      </c>
      <c r="Q281" s="67">
        <f>IF(A19stdlife="n/a","n/a",IF(Q$3&gt;(A19stdlife+$F281),(Input!$I$162*(1+vanilla2)^0.5)-SUM($I281:P281),(Input!$I$162*(1+vanilla2)^0.5)/A19stdlife))</f>
        <v>2.3766596756592349</v>
      </c>
      <c r="R281" s="67"/>
      <c r="S281" s="102"/>
      <c r="T281" s="102"/>
      <c r="U281" s="102"/>
      <c r="V281" s="102"/>
      <c r="W281" s="102"/>
      <c r="X281" s="102"/>
      <c r="Y281" s="102"/>
      <c r="Z281" s="102"/>
      <c r="AA281" s="102"/>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9"/>
      <c r="D282" s="25"/>
      <c r="E282" s="482"/>
      <c r="F282" s="85">
        <v>3</v>
      </c>
      <c r="G282" s="122"/>
      <c r="H282" s="146"/>
      <c r="I282" s="148"/>
      <c r="J282" s="147"/>
      <c r="K282" s="67">
        <f>IF(A19stdlife="n/a","n/a",IF(K$3&gt;(A19stdlife+$F282),(Input!$J$162*(1+vanilla3)^0.5)-SUM($J282:J282),(Input!$J$162*(1+vanilla3)^0.5)/A19stdlife))</f>
        <v>2.5314171090590034</v>
      </c>
      <c r="L282" s="67">
        <f>IF(A19stdlife="n/a","n/a",IF(L$3&gt;(A19stdlife+$F282),(Input!$J$162*(1+vanilla3)^0.5)-SUM($J282:K282),(Input!$J$162*(1+vanilla3)^0.5)/A19stdlife))</f>
        <v>2.5314171090590034</v>
      </c>
      <c r="M282" s="67">
        <f>IF(A19stdlife="n/a","n/a",IF(M$3&gt;(A19stdlife+$F282),(Input!$J$162*(1+vanilla3)^0.5)-SUM($J282:L282),(Input!$J$162*(1+vanilla3)^0.5)/A19stdlife))</f>
        <v>2.5314171090590034</v>
      </c>
      <c r="N282" s="67">
        <f>IF(A19stdlife="n/a","n/a",IF(N$3&gt;(A19stdlife+$F282),(Input!$J$162*(1+vanilla3)^0.5)-SUM($J282:M282),(Input!$J$162*(1+vanilla3)^0.5)/A19stdlife))</f>
        <v>2.5314171090590034</v>
      </c>
      <c r="O282" s="67">
        <f>IF(A19stdlife="n/a","n/a",IF(O$3&gt;(A19stdlife+$F282),(Input!$J$162*(1+vanilla3)^0.5)-SUM($J282:N282),(Input!$J$162*(1+vanilla3)^0.5)/A19stdlife))</f>
        <v>2.5314171090590034</v>
      </c>
      <c r="P282" s="67">
        <f>IF(A19stdlife="n/a","n/a",IF(P$3&gt;(A19stdlife+$F282),(Input!$J$162*(1+vanilla3)^0.5)-SUM($J282:O282),(Input!$J$162*(1+vanilla3)^0.5)/A19stdlife))</f>
        <v>2.5314171090590034</v>
      </c>
      <c r="Q282" s="67">
        <f>IF(A19stdlife="n/a","n/a",IF(Q$3&gt;(A19stdlife+$F282),(Input!$J$162*(1+vanilla3)^0.5)-SUM($J282:P282),(Input!$J$162*(1+vanilla3)^0.5)/A19stdlife))</f>
        <v>2.5314171090590034</v>
      </c>
      <c r="R282" s="67"/>
      <c r="S282" s="102"/>
      <c r="T282" s="102"/>
      <c r="U282" s="102"/>
      <c r="V282" s="102"/>
      <c r="W282" s="102"/>
      <c r="X282" s="102"/>
      <c r="Y282" s="102"/>
      <c r="Z282" s="102"/>
      <c r="AA282" s="102"/>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9"/>
      <c r="D283" s="25"/>
      <c r="E283" s="482"/>
      <c r="F283" s="85">
        <v>4</v>
      </c>
      <c r="G283" s="122"/>
      <c r="H283" s="146"/>
      <c r="I283" s="148"/>
      <c r="J283" s="148"/>
      <c r="K283" s="147"/>
      <c r="L283" s="67">
        <f>IF(A19stdlife="n/a","n/a",IF(L$3&gt;(A19stdlife+$F283),(Input!$K$162*(1+vanilla4)^0.5)-SUM($K283:K283),(Input!$K$162*(1+vanilla4)^0.5)/A19stdlife))</f>
        <v>1.0300796592060575</v>
      </c>
      <c r="M283" s="67">
        <f>IF(A19stdlife="n/a","n/a",IF(M$3&gt;(A19stdlife+$F283),(Input!$K$162*(1+vanilla4)^0.5)-SUM($K283:L283),(Input!$K$162*(1+vanilla4)^0.5)/A19stdlife))</f>
        <v>1.0300796592060575</v>
      </c>
      <c r="N283" s="67">
        <f>IF(A19stdlife="n/a","n/a",IF(N$3&gt;(A19stdlife+$F283),(Input!$K$162*(1+vanilla4)^0.5)-SUM($K283:M283),(Input!$K$162*(1+vanilla4)^0.5)/A19stdlife))</f>
        <v>1.0300796592060575</v>
      </c>
      <c r="O283" s="67">
        <f>IF(A19stdlife="n/a","n/a",IF(O$3&gt;(A19stdlife+$F283),(Input!$K$162*(1+vanilla4)^0.5)-SUM($K283:N283),(Input!$K$162*(1+vanilla4)^0.5)/A19stdlife))</f>
        <v>1.0300796592060575</v>
      </c>
      <c r="P283" s="67">
        <f>IF(A19stdlife="n/a","n/a",IF(P$3&gt;(A19stdlife+$F283),(Input!$K$162*(1+vanilla4)^0.5)-SUM($K283:O283),(Input!$K$162*(1+vanilla4)^0.5)/A19stdlife))</f>
        <v>1.0300796592060575</v>
      </c>
      <c r="Q283" s="67">
        <f>IF(A19stdlife="n/a","n/a",IF(Q$3&gt;(A19stdlife+$F283),(Input!$K$162*(1+vanilla4)^0.5)-SUM($K283:P283),(Input!$K$162*(1+vanilla4)^0.5)/A19stdlife))</f>
        <v>1.0300796592060575</v>
      </c>
      <c r="R283" s="67"/>
      <c r="S283" s="102"/>
      <c r="T283" s="102"/>
      <c r="U283" s="102"/>
      <c r="V283" s="102"/>
      <c r="W283" s="102"/>
      <c r="X283" s="102"/>
      <c r="Y283" s="102"/>
      <c r="Z283" s="102"/>
      <c r="AA283" s="102"/>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9"/>
      <c r="D284" s="25"/>
      <c r="E284" s="482"/>
      <c r="F284" s="85">
        <v>5</v>
      </c>
      <c r="G284" s="26"/>
      <c r="H284" s="146"/>
      <c r="I284" s="148"/>
      <c r="J284" s="148"/>
      <c r="K284" s="148"/>
      <c r="L284" s="147"/>
      <c r="M284" s="67">
        <f>IF(A19stdlife="n/a","n/a",IF(M$3&gt;(A19stdlife+$F284),(Input!$L$162*(1+vanilla5)^0.5)-SUM($L284:L284),(Input!$L$162*(1+vanilla5)^0.5)/A19stdlife))</f>
        <v>0.60783897040185564</v>
      </c>
      <c r="N284" s="67">
        <f>IF(A19stdlife="n/a","n/a",IF(N$3&gt;(A19stdlife+$F284),(Input!$L$162*(1+vanilla5)^0.5)-SUM($L284:M284),(Input!$L$162*(1+vanilla5)^0.5)/A19stdlife))</f>
        <v>0.60783897040185564</v>
      </c>
      <c r="O284" s="67">
        <f>IF(A19stdlife="n/a","n/a",IF(O$3&gt;(A19stdlife+$F284),(Input!$L$162*(1+vanilla5)^0.5)-SUM($L284:N284),(Input!$L$162*(1+vanilla5)^0.5)/A19stdlife))</f>
        <v>0.60783897040185564</v>
      </c>
      <c r="P284" s="67">
        <f>IF(A19stdlife="n/a","n/a",IF(P$3&gt;(A19stdlife+$F284),(Input!$L$162*(1+vanilla5)^0.5)-SUM($L284:O284),(Input!$L$162*(1+vanilla5)^0.5)/A19stdlife))</f>
        <v>0.60783897040185564</v>
      </c>
      <c r="Q284" s="67">
        <f>IF(A19stdlife="n/a","n/a",IF(Q$3&gt;(A19stdlife+$F284),(Input!$L$162*(1+vanilla5)^0.5)-SUM($L284:P284),(Input!$L$162*(1+vanilla5)^0.5)/A19stdlife))</f>
        <v>0.60783897040185564</v>
      </c>
      <c r="R284" s="67"/>
      <c r="S284" s="102"/>
      <c r="T284" s="102"/>
      <c r="U284" s="102"/>
      <c r="V284" s="102"/>
      <c r="W284" s="102"/>
      <c r="X284" s="102"/>
      <c r="Y284" s="102"/>
      <c r="Z284" s="102"/>
      <c r="AA284" s="102"/>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482"/>
      <c r="F285" s="85">
        <v>6</v>
      </c>
      <c r="G285" s="26"/>
      <c r="H285" s="146"/>
      <c r="I285" s="148"/>
      <c r="J285" s="148"/>
      <c r="K285" s="148"/>
      <c r="L285" s="148"/>
      <c r="M285" s="147"/>
      <c r="N285" s="67">
        <f>IF(A19stdlife="n/a","n/a",IF(N$3&gt;(A19stdlife+$F285),(Input!$M$162*(1+vanilla6)^0.5)-SUM($M285:M285),(Input!$M$162*(1+vanilla6)^0.5)/A19stdlife))</f>
        <v>0</v>
      </c>
      <c r="O285" s="67">
        <f>IF(A19stdlife="n/a","n/a",IF(O$3&gt;(A19stdlife+$F285),(Input!$M$162*(1+vanilla6)^0.5)-SUM($M285:N285),(Input!$M$162*(1+vanilla6)^0.5)/A19stdlife))</f>
        <v>0</v>
      </c>
      <c r="P285" s="67">
        <f>IF(A19stdlife="n/a","n/a",IF(P$3&gt;(A19stdlife+$F285),(Input!$M$162*(1+vanilla6)^0.5)-SUM($M285:O285),(Input!$M$162*(1+vanilla6)^0.5)/A19stdlife))</f>
        <v>0</v>
      </c>
      <c r="Q285" s="67">
        <f>IF(A19stdlife="n/a","n/a",IF(Q$3&gt;(A19stdlife+$F285),(Input!$M$162*(1+vanilla6)^0.5)-SUM($M285:P285),(Input!$M$162*(1+vanilla6)^0.5)/A19stdlife))</f>
        <v>0</v>
      </c>
      <c r="R285" s="67"/>
      <c r="S285" s="102"/>
      <c r="T285" s="102"/>
      <c r="U285" s="102"/>
      <c r="V285" s="102"/>
      <c r="W285" s="102"/>
      <c r="X285" s="102"/>
      <c r="Y285" s="102"/>
      <c r="Z285" s="102"/>
      <c r="AA285" s="102"/>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9"/>
      <c r="D286" s="25"/>
      <c r="E286" s="482"/>
      <c r="F286" s="85">
        <v>7</v>
      </c>
      <c r="G286" s="26"/>
      <c r="H286" s="146"/>
      <c r="I286" s="148"/>
      <c r="J286" s="148"/>
      <c r="K286" s="148"/>
      <c r="L286" s="148"/>
      <c r="M286" s="148"/>
      <c r="N286" s="147"/>
      <c r="O286" s="67">
        <f>IF(A19stdlife="n/a","n/a",IF(O$3&gt;(A19stdlife+$F286),(Input!$N$162*(1+vanilla7)^0.5)-SUM($N286:N286),(Input!$N$162*(1+vanilla7)^0.5)/A19stdlife))</f>
        <v>0</v>
      </c>
      <c r="P286" s="67">
        <f>IF(A19stdlife="n/a","n/a",IF(P$3&gt;(A19stdlife+$F286),(Input!$N$162*(1+vanilla7)^0.5)-SUM($N286:O286),(Input!$N$162*(1+vanilla7)^0.5)/A19stdlife))</f>
        <v>0</v>
      </c>
      <c r="Q286" s="67">
        <f>IF(A19stdlife="n/a","n/a",IF(Q$3&gt;(A19stdlife+$F286),(Input!$N$162*(1+vanilla7)^0.5)-SUM($N286:P286),(Input!$N$162*(1+vanilla7)^0.5)/A19stdlife))</f>
        <v>0</v>
      </c>
      <c r="R286" s="67"/>
      <c r="S286" s="102"/>
      <c r="T286" s="102"/>
      <c r="U286" s="102"/>
      <c r="V286" s="102"/>
      <c r="W286" s="102"/>
      <c r="X286" s="102"/>
      <c r="Y286" s="102"/>
      <c r="Z286" s="102"/>
      <c r="AA286" s="102"/>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9"/>
      <c r="D287" s="25"/>
      <c r="E287" s="482"/>
      <c r="F287" s="85">
        <v>8</v>
      </c>
      <c r="G287" s="26"/>
      <c r="H287" s="146"/>
      <c r="I287" s="148"/>
      <c r="J287" s="148"/>
      <c r="K287" s="148"/>
      <c r="L287" s="148"/>
      <c r="M287" s="148"/>
      <c r="N287" s="148"/>
      <c r="O287" s="147"/>
      <c r="P287" s="67">
        <f>IF(A19stdlife="n/a","n/a",IF(P$3&gt;(A19stdlife+$F287),(Input!$O$162*(1+vanilla8)^0.5)-SUM($O287:O287),(Input!$O$162*(1+vanilla8)^0.5)/A19stdlife))</f>
        <v>0</v>
      </c>
      <c r="Q287" s="67">
        <f>IF(A19stdlife="n/a","n/a",IF(Q$3&gt;(A19stdlife+$F287),(Input!$O$162*(1+vanilla8)^0.5)-SUM($O287:P287),(Input!$O$162*(1+vanilla8)^0.5)/A19stdlife))</f>
        <v>0</v>
      </c>
      <c r="R287" s="67"/>
      <c r="S287" s="102"/>
      <c r="T287" s="102"/>
      <c r="U287" s="102"/>
      <c r="V287" s="102"/>
      <c r="W287" s="102"/>
      <c r="X287" s="102"/>
      <c r="Y287" s="102"/>
      <c r="Z287" s="102"/>
      <c r="AA287" s="102"/>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9"/>
      <c r="D288" s="25"/>
      <c r="E288" s="482"/>
      <c r="F288" s="85">
        <v>9</v>
      </c>
      <c r="G288" s="26"/>
      <c r="H288" s="146"/>
      <c r="I288" s="148"/>
      <c r="J288" s="148"/>
      <c r="K288" s="148"/>
      <c r="L288" s="148"/>
      <c r="M288" s="148"/>
      <c r="N288" s="148"/>
      <c r="O288" s="148"/>
      <c r="P288" s="147"/>
      <c r="Q288" s="67">
        <f>IF(A19stdlife="n/a","n/a",IF(Q$3&gt;(A19stdlife+$F288),(Input!$P$162*(1+vanilla9)^0.5)-SUM($P288:P288),(Input!$P$162*(1+vanilla9)^0.5)/A19stdlife))</f>
        <v>0</v>
      </c>
      <c r="R288" s="67"/>
      <c r="S288" s="102"/>
      <c r="T288" s="102"/>
      <c r="U288" s="102"/>
      <c r="V288" s="102"/>
      <c r="W288" s="102"/>
      <c r="X288" s="102"/>
      <c r="Y288" s="102"/>
      <c r="Z288" s="102"/>
      <c r="AA288" s="102"/>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9"/>
      <c r="D289" s="25"/>
      <c r="E289" s="482"/>
      <c r="F289" s="86">
        <v>10</v>
      </c>
      <c r="G289" s="26"/>
      <c r="H289" s="146"/>
      <c r="I289" s="148"/>
      <c r="J289" s="148"/>
      <c r="K289" s="148"/>
      <c r="L289" s="148"/>
      <c r="M289" s="148"/>
      <c r="N289" s="148"/>
      <c r="O289" s="148"/>
      <c r="P289" s="148"/>
      <c r="Q289" s="147"/>
      <c r="R289" s="67"/>
      <c r="S289" s="102"/>
      <c r="T289" s="102"/>
      <c r="U289" s="102"/>
      <c r="V289" s="102"/>
      <c r="W289" s="102"/>
      <c r="X289" s="102"/>
      <c r="Y289" s="102"/>
      <c r="Z289" s="102"/>
      <c r="AA289" s="102"/>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1">
      <c r="A290" s="9"/>
      <c r="B290" s="9"/>
      <c r="C290" s="9"/>
      <c r="D290" s="25" t="str">
        <f>Asset19</f>
        <v>Motor vehicles</v>
      </c>
      <c r="E290" s="9"/>
      <c r="F290" s="9"/>
      <c r="G290" s="122"/>
      <c r="H290" s="165">
        <f>-SUM(H278:H289)</f>
        <v>-10.883441540084368</v>
      </c>
      <c r="I290" s="165">
        <f>-SUM(I278:I289)</f>
        <v>-13.137244025113024</v>
      </c>
      <c r="J290" s="165">
        <f>-SUM(J278:J289)</f>
        <v>-15.513903700772259</v>
      </c>
      <c r="K290" s="165">
        <f>-SUM(K278:K289)</f>
        <v>-18.045320809831264</v>
      </c>
      <c r="L290" s="165">
        <f>-SUM(L278:L289)</f>
        <v>-19.075400469037319</v>
      </c>
      <c r="M290" s="165">
        <f>IF(Input!M174&gt;0, -SUM(M278:M289), 0)</f>
        <v>0</v>
      </c>
      <c r="N290" s="165">
        <f>IF(Input!N174&gt;0, -SUM(N278:N289), 0)</f>
        <v>0</v>
      </c>
      <c r="O290" s="165">
        <f>IF(Input!O174&gt;0, -SUM(O278:O289), 0)</f>
        <v>0</v>
      </c>
      <c r="P290" s="165">
        <f>IF(Input!P174&gt;0, -SUM(P278:P289), 0)</f>
        <v>0</v>
      </c>
      <c r="Q290" s="165">
        <f>IF(Input!Q174&gt;0, -SUM(Q278:Q289), 0)</f>
        <v>0</v>
      </c>
      <c r="R290" s="65"/>
      <c r="S290" s="104"/>
      <c r="T290" s="104"/>
      <c r="U290" s="104"/>
      <c r="V290" s="104"/>
      <c r="W290" s="104"/>
      <c r="X290" s="104"/>
      <c r="Y290" s="104"/>
      <c r="Z290" s="104"/>
      <c r="AA290" s="104"/>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104"/>
      <c r="BE290" s="104"/>
      <c r="BF290" s="104"/>
      <c r="BG290" s="104"/>
      <c r="BH290" s="104"/>
      <c r="BI290" s="104"/>
      <c r="BJ290" s="104"/>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31" t="str">
        <f>Asset20</f>
        <v>Buildings</v>
      </c>
      <c r="D291" s="161"/>
      <c r="E291" s="33" t="s">
        <v>28</v>
      </c>
      <c r="F291" s="32"/>
      <c r="G291" s="174"/>
      <c r="H291" s="66">
        <f>IF(H$3&gt;A20remlife,A20value-SUM($G291:G291),IF(A20remlife="N/A","n/a",A20value/A20remlife))</f>
        <v>3.7629353443700349</v>
      </c>
      <c r="I291" s="66">
        <f>IF(I$3&gt;A20remlife,A20value-SUM($G291:H291),IF(A20remlife="N/A","n/a",A20value/A20remlife))</f>
        <v>3.7629353443700349</v>
      </c>
      <c r="J291" s="66">
        <f>IF(J$3&gt;A20remlife,A20value-SUM($G291:I291),IF(A20remlife="N/A","n/a",A20value/A20remlife))</f>
        <v>3.7629353443700349</v>
      </c>
      <c r="K291" s="66">
        <f>IF(K$3&gt;A20remlife,A20value-SUM($G291:J291),IF(A20remlife="N/A","n/a",A20value/A20remlife))</f>
        <v>3.7629353443700349</v>
      </c>
      <c r="L291" s="66">
        <f>IF(L$3&gt;A20remlife,A20value-SUM($G291:K291),IF(A20remlife="N/A","n/a",A20value/A20remlife))</f>
        <v>3.7629353443700349</v>
      </c>
      <c r="M291" s="66">
        <f>IF(M$3&gt;A20remlife,A20value-SUM($G291:L291),IF(A20remlife="N/A","n/a",A20value/A20remlife))</f>
        <v>3.7629353443700349</v>
      </c>
      <c r="N291" s="66">
        <f>IF(N$3&gt;A20remlife,A20value-SUM($G291:M291),IF(A20remlife="N/A","n/a",A20value/A20remlife))</f>
        <v>3.7629353443700349</v>
      </c>
      <c r="O291" s="66">
        <f>IF(O$3&gt;A20remlife,A20value-SUM($G291:N291),IF(A20remlife="N/A","n/a",A20value/A20remlife))</f>
        <v>3.7629353443700349</v>
      </c>
      <c r="P291" s="66">
        <f>IF(P$3&gt;A20remlife,A20value-SUM($G291:O291),IF(A20remlife="N/A","n/a",A20value/A20remlife))</f>
        <v>3.7629353443700349</v>
      </c>
      <c r="Q291" s="66">
        <f>IF(Q$3&gt;A20remlife,A20value-SUM($G291:P291),IF(A20remlife="N/A","n/a",A20value/A20remlife))</f>
        <v>3.7629353443700349</v>
      </c>
      <c r="R291" s="66"/>
      <c r="S291" s="102"/>
      <c r="T291" s="102"/>
      <c r="U291" s="102"/>
      <c r="V291" s="102"/>
      <c r="W291" s="102"/>
      <c r="X291" s="102"/>
      <c r="Y291" s="102"/>
      <c r="Z291" s="102"/>
      <c r="AA291" s="102"/>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5"/>
      <c r="E292" s="481" t="s">
        <v>83</v>
      </c>
      <c r="F292" s="85">
        <v>0</v>
      </c>
      <c r="G292" s="122"/>
      <c r="H292" s="67"/>
      <c r="I292" s="67"/>
      <c r="J292" s="67"/>
      <c r="K292" s="67"/>
      <c r="L292" s="67"/>
      <c r="M292" s="163"/>
      <c r="N292" s="111"/>
      <c r="O292" s="67"/>
      <c r="P292" s="67"/>
      <c r="Q292" s="67"/>
      <c r="R292" s="67"/>
      <c r="S292" s="102"/>
      <c r="T292" s="102"/>
      <c r="U292" s="102"/>
      <c r="V292" s="102"/>
      <c r="W292" s="102"/>
      <c r="X292" s="102"/>
      <c r="Y292" s="102"/>
      <c r="Z292" s="102"/>
      <c r="AA292" s="102"/>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102"/>
      <c r="BE292" s="102"/>
      <c r="BF292" s="102"/>
      <c r="BG292" s="102"/>
      <c r="BH292" s="102"/>
      <c r="BI292" s="102"/>
      <c r="BJ292" s="102"/>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9"/>
      <c r="D293" s="25"/>
      <c r="E293" s="482"/>
      <c r="F293" s="85">
        <v>1</v>
      </c>
      <c r="G293" s="122"/>
      <c r="H293" s="145"/>
      <c r="I293" s="67">
        <f>IF(A20stdlife="n/a","n/a",IF(I$3&gt;(A20stdlife+$F293),(Input!$H$163*(1+vanilla1)^0.5)-SUM($H293:H293),(Input!$H$163*(1+vanilla1)^0.5)/A20stdlife))</f>
        <v>1.7512430211457264</v>
      </c>
      <c r="J293" s="67">
        <f>IF(A20stdlife="n/a","n/a",IF(J$3&gt;(A20stdlife+$F293),(Input!$H$163*(1+vanilla1)^0.5)-SUM($H293:I293),(Input!$H$163*(1+vanilla1)^0.5)/A20stdlife))</f>
        <v>1.7512430211457264</v>
      </c>
      <c r="K293" s="67">
        <f>IF(A20stdlife="n/a","n/a",IF(K$3&gt;(A20stdlife+$F293),(Input!$H$163*(1+vanilla1)^0.5)-SUM($H293:J293),(Input!$H$163*(1+vanilla1)^0.5)/A20stdlife))</f>
        <v>1.7512430211457264</v>
      </c>
      <c r="L293" s="67">
        <f>IF(A20stdlife="n/a","n/a",IF(L$3&gt;(A20stdlife+$F293),(Input!$H$163*(1+vanilla1)^0.5)-SUM($H293:K293),(Input!$H$163*(1+vanilla1)^0.5)/A20stdlife))</f>
        <v>1.7512430211457264</v>
      </c>
      <c r="M293" s="67">
        <f>IF(A20stdlife="n/a","n/a",IF(M$3&gt;(A20stdlife+$F293),(Input!$H$163*(1+vanilla1)^0.5)-SUM($H293:L293),(Input!$H$163*(1+vanilla1)^0.5)/A20stdlife))</f>
        <v>1.7512430211457264</v>
      </c>
      <c r="N293" s="67">
        <f>IF(A20stdlife="n/a","n/a",IF(N$3&gt;(A20stdlife+$F293),(Input!$H$163*(1+vanilla1)^0.5)-SUM($H293:M293),(Input!$H$163*(1+vanilla1)^0.5)/A20stdlife))</f>
        <v>1.7512430211457264</v>
      </c>
      <c r="O293" s="67">
        <f>IF(A20stdlife="n/a","n/a",IF(O$3&gt;(A20stdlife+$F293),(Input!$H$163*(1+vanilla1)^0.5)-SUM($H293:N293),(Input!$H$163*(1+vanilla1)^0.5)/A20stdlife))</f>
        <v>1.7512430211457264</v>
      </c>
      <c r="P293" s="67">
        <f>IF(A20stdlife="n/a","n/a",IF(P$3&gt;(A20stdlife+$F293),(Input!$H$163*(1+vanilla1)^0.5)-SUM($H293:O293),(Input!$H$163*(1+vanilla1)^0.5)/A20stdlife))</f>
        <v>1.7512430211457264</v>
      </c>
      <c r="Q293" s="67">
        <f>IF(A20stdlife="n/a","n/a",IF(Q$3&gt;(A20stdlife+$F293),(Input!$H$163*(1+vanilla1)^0.5)-SUM($H293:P293),(Input!$H$163*(1+vanilla1)^0.5)/A20stdlife))</f>
        <v>1.7512430211457264</v>
      </c>
      <c r="R293" s="67"/>
      <c r="S293" s="102"/>
      <c r="T293" s="102"/>
      <c r="U293" s="102"/>
      <c r="V293" s="102"/>
      <c r="W293" s="102"/>
      <c r="X293" s="102"/>
      <c r="Y293" s="102"/>
      <c r="Z293" s="102"/>
      <c r="AA293" s="102"/>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482"/>
      <c r="F294" s="85">
        <v>2</v>
      </c>
      <c r="G294" s="122"/>
      <c r="H294" s="146"/>
      <c r="I294" s="147"/>
      <c r="J294" s="67">
        <f>IF(A20stdlife="n/a","n/a",IF(J$3&gt;(A20stdlife+$F294),(Input!$I$163*(1+vanilla2)^0.5)-SUM($I294:I294),(Input!$I$163*(1+vanilla2)^0.5)/A20stdlife))</f>
        <v>1.1394930341485965</v>
      </c>
      <c r="K294" s="67">
        <f>IF(A20stdlife="n/a","n/a",IF(K$3&gt;(A20stdlife+$F294),(Input!$I$163*(1+vanilla2)^0.5)-SUM($I294:J294),(Input!$I$163*(1+vanilla2)^0.5)/A20stdlife))</f>
        <v>1.1394930341485965</v>
      </c>
      <c r="L294" s="67">
        <f>IF(A20stdlife="n/a","n/a",IF(L$3&gt;(A20stdlife+$F294),(Input!$I$163*(1+vanilla2)^0.5)-SUM($I294:K294),(Input!$I$163*(1+vanilla2)^0.5)/A20stdlife))</f>
        <v>1.1394930341485965</v>
      </c>
      <c r="M294" s="67">
        <f>IF(A20stdlife="n/a","n/a",IF(M$3&gt;(A20stdlife+$F294),(Input!$I$163*(1+vanilla2)^0.5)-SUM($I294:L294),(Input!$I$163*(1+vanilla2)^0.5)/A20stdlife))</f>
        <v>1.1394930341485965</v>
      </c>
      <c r="N294" s="67">
        <f>IF(A20stdlife="n/a","n/a",IF(N$3&gt;(A20stdlife+$F294),(Input!$I$163*(1+vanilla2)^0.5)-SUM($I294:M294),(Input!$I$163*(1+vanilla2)^0.5)/A20stdlife))</f>
        <v>1.1394930341485965</v>
      </c>
      <c r="O294" s="67">
        <f>IF(A20stdlife="n/a","n/a",IF(O$3&gt;(A20stdlife+$F294),(Input!$I$163*(1+vanilla2)^0.5)-SUM($I294:N294),(Input!$I$163*(1+vanilla2)^0.5)/A20stdlife))</f>
        <v>1.1394930341485965</v>
      </c>
      <c r="P294" s="67">
        <f>IF(A20stdlife="n/a","n/a",IF(P$3&gt;(A20stdlife+$F294),(Input!$I$163*(1+vanilla2)^0.5)-SUM($I294:O294),(Input!$I$163*(1+vanilla2)^0.5)/A20stdlife))</f>
        <v>1.1394930341485965</v>
      </c>
      <c r="Q294" s="67">
        <f>IF(A20stdlife="n/a","n/a",IF(Q$3&gt;(A20stdlife+$F294),(Input!$I$163*(1+vanilla2)^0.5)-SUM($I294:P294),(Input!$I$163*(1+vanilla2)^0.5)/A20stdlife))</f>
        <v>1.1394930341485965</v>
      </c>
      <c r="R294" s="67"/>
      <c r="S294" s="102"/>
      <c r="T294" s="102"/>
      <c r="U294" s="102"/>
      <c r="V294" s="102"/>
      <c r="W294" s="102"/>
      <c r="X294" s="102"/>
      <c r="Y294" s="102"/>
      <c r="Z294" s="102"/>
      <c r="AA294" s="102"/>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9"/>
      <c r="D295" s="25"/>
      <c r="E295" s="482"/>
      <c r="F295" s="85">
        <v>3</v>
      </c>
      <c r="G295" s="122"/>
      <c r="H295" s="146"/>
      <c r="I295" s="148"/>
      <c r="J295" s="147"/>
      <c r="K295" s="67">
        <f>IF(A20stdlife="n/a","n/a",IF(K$3&gt;(A20stdlife+$F295),(Input!$J$163*(1+vanilla3)^0.5)-SUM($J295:J295),(Input!$J$163*(1+vanilla3)^0.5)/A20stdlife))</f>
        <v>0.79253040518655316</v>
      </c>
      <c r="L295" s="67">
        <f>IF(A20stdlife="n/a","n/a",IF(L$3&gt;(A20stdlife+$F295),(Input!$J$163*(1+vanilla3)^0.5)-SUM($J295:K295),(Input!$J$163*(1+vanilla3)^0.5)/A20stdlife))</f>
        <v>0.79253040518655316</v>
      </c>
      <c r="M295" s="67">
        <f>IF(A20stdlife="n/a","n/a",IF(M$3&gt;(A20stdlife+$F295),(Input!$J$163*(1+vanilla3)^0.5)-SUM($J295:L295),(Input!$J$163*(1+vanilla3)^0.5)/A20stdlife))</f>
        <v>0.79253040518655316</v>
      </c>
      <c r="N295" s="67">
        <f>IF(A20stdlife="n/a","n/a",IF(N$3&gt;(A20stdlife+$F295),(Input!$J$163*(1+vanilla3)^0.5)-SUM($J295:M295),(Input!$J$163*(1+vanilla3)^0.5)/A20stdlife))</f>
        <v>0.79253040518655316</v>
      </c>
      <c r="O295" s="67">
        <f>IF(A20stdlife="n/a","n/a",IF(O$3&gt;(A20stdlife+$F295),(Input!$J$163*(1+vanilla3)^0.5)-SUM($J295:N295),(Input!$J$163*(1+vanilla3)^0.5)/A20stdlife))</f>
        <v>0.79253040518655316</v>
      </c>
      <c r="P295" s="67">
        <f>IF(A20stdlife="n/a","n/a",IF(P$3&gt;(A20stdlife+$F295),(Input!$J$163*(1+vanilla3)^0.5)-SUM($J295:O295),(Input!$J$163*(1+vanilla3)^0.5)/A20stdlife))</f>
        <v>0.79253040518655316</v>
      </c>
      <c r="Q295" s="67">
        <f>IF(A20stdlife="n/a","n/a",IF(Q$3&gt;(A20stdlife+$F295),(Input!$J$163*(1+vanilla3)^0.5)-SUM($J295:P295),(Input!$J$163*(1+vanilla3)^0.5)/A20stdlife))</f>
        <v>0.79253040518655316</v>
      </c>
      <c r="R295" s="67"/>
      <c r="S295" s="102"/>
      <c r="T295" s="102"/>
      <c r="U295" s="102"/>
      <c r="V295" s="102"/>
      <c r="W295" s="102"/>
      <c r="X295" s="102"/>
      <c r="Y295" s="102"/>
      <c r="Z295" s="102"/>
      <c r="AA295" s="102"/>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9"/>
      <c r="D296" s="25"/>
      <c r="E296" s="482"/>
      <c r="F296" s="85">
        <v>4</v>
      </c>
      <c r="G296" s="122"/>
      <c r="H296" s="146"/>
      <c r="I296" s="148"/>
      <c r="J296" s="148"/>
      <c r="K296" s="147"/>
      <c r="L296" s="67">
        <f>IF(A20stdlife="n/a","n/a",IF(L$3&gt;(A20stdlife+$F296),(Input!$K$163*(1+vanilla4)^0.5)-SUM($K296:K296),(Input!$K$163*(1+vanilla4)^0.5)/A20stdlife))</f>
        <v>0.46179914357433455</v>
      </c>
      <c r="M296" s="67">
        <f>IF(A20stdlife="n/a","n/a",IF(M$3&gt;(A20stdlife+$F296),(Input!$K$163*(1+vanilla4)^0.5)-SUM($K296:L296),(Input!$K$163*(1+vanilla4)^0.5)/A20stdlife))</f>
        <v>0.46179914357433455</v>
      </c>
      <c r="N296" s="67">
        <f>IF(A20stdlife="n/a","n/a",IF(N$3&gt;(A20stdlife+$F296),(Input!$K$163*(1+vanilla4)^0.5)-SUM($K296:M296),(Input!$K$163*(1+vanilla4)^0.5)/A20stdlife))</f>
        <v>0.46179914357433455</v>
      </c>
      <c r="O296" s="67">
        <f>IF(A20stdlife="n/a","n/a",IF(O$3&gt;(A20stdlife+$F296),(Input!$K$163*(1+vanilla4)^0.5)-SUM($K296:N296),(Input!$K$163*(1+vanilla4)^0.5)/A20stdlife))</f>
        <v>0.46179914357433455</v>
      </c>
      <c r="P296" s="67">
        <f>IF(A20stdlife="n/a","n/a",IF(P$3&gt;(A20stdlife+$F296),(Input!$K$163*(1+vanilla4)^0.5)-SUM($K296:O296),(Input!$K$163*(1+vanilla4)^0.5)/A20stdlife))</f>
        <v>0.46179914357433455</v>
      </c>
      <c r="Q296" s="67">
        <f>IF(A20stdlife="n/a","n/a",IF(Q$3&gt;(A20stdlife+$F296),(Input!$K$163*(1+vanilla4)^0.5)-SUM($K296:P296),(Input!$K$163*(1+vanilla4)^0.5)/A20stdlife))</f>
        <v>0.46179914357433455</v>
      </c>
      <c r="R296" s="67"/>
      <c r="S296" s="102"/>
      <c r="T296" s="102"/>
      <c r="U296" s="102"/>
      <c r="V296" s="102"/>
      <c r="W296" s="102"/>
      <c r="X296" s="102"/>
      <c r="Y296" s="102"/>
      <c r="Z296" s="102"/>
      <c r="AA296" s="102"/>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9"/>
      <c r="D297" s="25"/>
      <c r="E297" s="482"/>
      <c r="F297" s="85">
        <v>5</v>
      </c>
      <c r="G297" s="26"/>
      <c r="H297" s="146"/>
      <c r="I297" s="148"/>
      <c r="J297" s="148"/>
      <c r="K297" s="148"/>
      <c r="L297" s="147"/>
      <c r="M297" s="67">
        <f>IF(A20stdlife="n/a","n/a",IF(M$3&gt;(A20stdlife+$F297),(Input!$L$163*(1+vanilla5)^0.5)-SUM($L297:L297),(Input!$L$163*(1+vanilla5)^0.5)/A20stdlife))</f>
        <v>-0.9429199915977019</v>
      </c>
      <c r="N297" s="67">
        <f>IF(A20stdlife="n/a","n/a",IF(N$3&gt;(A20stdlife+$F297),(Input!$L$163*(1+vanilla5)^0.5)-SUM($L297:M297),(Input!$L$163*(1+vanilla5)^0.5)/A20stdlife))</f>
        <v>-0.9429199915977019</v>
      </c>
      <c r="O297" s="67">
        <f>IF(A20stdlife="n/a","n/a",IF(O$3&gt;(A20stdlife+$F297),(Input!$L$163*(1+vanilla5)^0.5)-SUM($L297:N297),(Input!$L$163*(1+vanilla5)^0.5)/A20stdlife))</f>
        <v>-0.9429199915977019</v>
      </c>
      <c r="P297" s="67">
        <f>IF(A20stdlife="n/a","n/a",IF(P$3&gt;(A20stdlife+$F297),(Input!$L$163*(1+vanilla5)^0.5)-SUM($L297:O297),(Input!$L$163*(1+vanilla5)^0.5)/A20stdlife))</f>
        <v>-0.9429199915977019</v>
      </c>
      <c r="Q297" s="67">
        <f>IF(A20stdlife="n/a","n/a",IF(Q$3&gt;(A20stdlife+$F297),(Input!$L$163*(1+vanilla5)^0.5)-SUM($L297:P297),(Input!$L$163*(1+vanilla5)^0.5)/A20stdlife))</f>
        <v>-0.9429199915977019</v>
      </c>
      <c r="R297" s="67"/>
      <c r="S297" s="102"/>
      <c r="T297" s="102"/>
      <c r="U297" s="102"/>
      <c r="V297" s="102"/>
      <c r="W297" s="102"/>
      <c r="X297" s="102"/>
      <c r="Y297" s="102"/>
      <c r="Z297" s="102"/>
      <c r="AA297" s="102"/>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5"/>
      <c r="E298" s="482"/>
      <c r="F298" s="85">
        <v>6</v>
      </c>
      <c r="G298" s="26"/>
      <c r="H298" s="146"/>
      <c r="I298" s="148"/>
      <c r="J298" s="148"/>
      <c r="K298" s="148"/>
      <c r="L298" s="148"/>
      <c r="M298" s="147"/>
      <c r="N298" s="67">
        <f>IF(A20stdlife="n/a","n/a",IF(N$3&gt;(A20stdlife+$F298),(Input!$M$163*(1+vanilla6)^0.5)-SUM($M298:M298),(Input!$M$163*(1+vanilla6)^0.5)/A20stdlife))</f>
        <v>0</v>
      </c>
      <c r="O298" s="67">
        <f>IF(A20stdlife="n/a","n/a",IF(O$3&gt;(A20stdlife+$F298),(Input!$M$163*(1+vanilla6)^0.5)-SUM($M298:N298),(Input!$M$163*(1+vanilla6)^0.5)/A20stdlife))</f>
        <v>0</v>
      </c>
      <c r="P298" s="67">
        <f>IF(A20stdlife="n/a","n/a",IF(P$3&gt;(A20stdlife+$F298),(Input!$M$163*(1+vanilla6)^0.5)-SUM($M298:O298),(Input!$M$163*(1+vanilla6)^0.5)/A20stdlife))</f>
        <v>0</v>
      </c>
      <c r="Q298" s="67">
        <f>IF(A20stdlife="n/a","n/a",IF(Q$3&gt;(A20stdlife+$F298),(Input!$M$163*(1+vanilla6)^0.5)-SUM($M298:P298),(Input!$M$163*(1+vanilla6)^0.5)/A20stdlife))</f>
        <v>0</v>
      </c>
      <c r="R298" s="67"/>
      <c r="S298" s="102"/>
      <c r="T298" s="102"/>
      <c r="U298" s="102"/>
      <c r="V298" s="102"/>
      <c r="W298" s="102"/>
      <c r="X298" s="102"/>
      <c r="Y298" s="102"/>
      <c r="Z298" s="102"/>
      <c r="AA298" s="102"/>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9"/>
      <c r="D299" s="25"/>
      <c r="E299" s="482"/>
      <c r="F299" s="85">
        <v>7</v>
      </c>
      <c r="G299" s="26"/>
      <c r="H299" s="146"/>
      <c r="I299" s="148"/>
      <c r="J299" s="148"/>
      <c r="K299" s="148"/>
      <c r="L299" s="148"/>
      <c r="M299" s="148"/>
      <c r="N299" s="147"/>
      <c r="O299" s="67">
        <f>IF(A20stdlife="n/a","n/a",IF(O$3&gt;(A20stdlife+$F299),(Input!N$163*(1+vanilla7)^0.5)-SUM($N299:N299),(Input!$N$163*(1+vanilla7)^0.5)/A20stdlife))</f>
        <v>0</v>
      </c>
      <c r="P299" s="67">
        <f>IF(A20stdlife="n/a","n/a",IF(P$3&gt;(A20stdlife+$F299),(Input!O$163*(1+vanilla7)^0.5)-SUM($N299:O299),(Input!$N$163*(1+vanilla7)^0.5)/A20stdlife))</f>
        <v>0</v>
      </c>
      <c r="Q299" s="67">
        <f>IF(A20stdlife="n/a","n/a",IF(Q$3&gt;(A20stdlife+$F299),(Input!P$163*(1+vanilla7)^0.5)-SUM($N299:P299),(Input!$N$163*(1+vanilla7)^0.5)/A20stdlife))</f>
        <v>0</v>
      </c>
      <c r="R299" s="67"/>
      <c r="S299" s="102"/>
      <c r="T299" s="102"/>
      <c r="U299" s="102"/>
      <c r="V299" s="102"/>
      <c r="W299" s="102"/>
      <c r="X299" s="102"/>
      <c r="Y299" s="102"/>
      <c r="Z299" s="102"/>
      <c r="AA299" s="102"/>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9"/>
      <c r="D300" s="25"/>
      <c r="E300" s="482"/>
      <c r="F300" s="85">
        <v>8</v>
      </c>
      <c r="G300" s="26"/>
      <c r="H300" s="146"/>
      <c r="I300" s="148"/>
      <c r="J300" s="148"/>
      <c r="K300" s="148"/>
      <c r="L300" s="148"/>
      <c r="M300" s="148"/>
      <c r="N300" s="148"/>
      <c r="O300" s="147"/>
      <c r="P300" s="67">
        <f>IF(A20stdlife="n/a","n/a",IF(P$3&gt;(A20stdlife+$F300),(Input!$O$163*(1+vanilla8)^0.5)-SUM($O300:O300),(Input!$O$163*(1+vanilla8)^0.5)/A20stdlife))</f>
        <v>0</v>
      </c>
      <c r="Q300" s="67">
        <f>IF(A20stdlife="n/a","n/a",IF(Q$3&gt;(A20stdlife+$F300),(Input!$O$163*(1+vanilla8)^0.5)-SUM($O300:P300),(Input!$O$163*(1+vanilla8)^0.5)/A20stdlife))</f>
        <v>0</v>
      </c>
      <c r="R300" s="67"/>
      <c r="S300" s="102"/>
      <c r="T300" s="102"/>
      <c r="U300" s="102"/>
      <c r="V300" s="102"/>
      <c r="W300" s="102"/>
      <c r="X300" s="102"/>
      <c r="Y300" s="102"/>
      <c r="Z300" s="102"/>
      <c r="AA300" s="102"/>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9"/>
      <c r="D301" s="25"/>
      <c r="E301" s="482"/>
      <c r="F301" s="85">
        <v>9</v>
      </c>
      <c r="G301" s="26"/>
      <c r="H301" s="146"/>
      <c r="I301" s="148"/>
      <c r="J301" s="148"/>
      <c r="K301" s="148"/>
      <c r="L301" s="148"/>
      <c r="M301" s="148"/>
      <c r="N301" s="148"/>
      <c r="O301" s="148"/>
      <c r="P301" s="147"/>
      <c r="Q301" s="67">
        <f>IF(A20stdlife="n/a","n/a",IF(Q$3&gt;(A20stdlife+$F301),(Input!$P$163*(1+vanilla9)^0.5)-SUM($P301:P301),(Input!$P$163*(1+vanilla9)^0.5)/A20stdlife))</f>
        <v>0</v>
      </c>
      <c r="R301" s="67"/>
      <c r="S301" s="102"/>
      <c r="T301" s="102"/>
      <c r="U301" s="102"/>
      <c r="V301" s="102"/>
      <c r="W301" s="102"/>
      <c r="X301" s="102"/>
      <c r="Y301" s="102"/>
      <c r="Z301" s="102"/>
      <c r="AA301" s="102"/>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9"/>
      <c r="D302" s="25"/>
      <c r="E302" s="482"/>
      <c r="F302" s="86">
        <v>10</v>
      </c>
      <c r="G302" s="26"/>
      <c r="H302" s="146"/>
      <c r="I302" s="148"/>
      <c r="J302" s="148"/>
      <c r="K302" s="148"/>
      <c r="L302" s="148"/>
      <c r="M302" s="148"/>
      <c r="N302" s="148"/>
      <c r="O302" s="148"/>
      <c r="P302" s="148"/>
      <c r="Q302" s="147"/>
      <c r="R302" s="67"/>
      <c r="S302" s="102"/>
      <c r="T302" s="102"/>
      <c r="U302" s="102"/>
      <c r="V302" s="102"/>
      <c r="W302" s="102"/>
      <c r="X302" s="102"/>
      <c r="Y302" s="102"/>
      <c r="Z302" s="102"/>
      <c r="AA302" s="102"/>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1">
      <c r="A303" s="9"/>
      <c r="B303" s="9"/>
      <c r="C303" s="9"/>
      <c r="D303" s="25" t="str">
        <f>Asset20</f>
        <v>Buildings</v>
      </c>
      <c r="E303" s="9"/>
      <c r="F303" s="9"/>
      <c r="G303" s="122"/>
      <c r="H303" s="165">
        <f>-SUM(H291:H302)</f>
        <v>-3.7629353443700349</v>
      </c>
      <c r="I303" s="165">
        <f>-SUM(I291:I302)</f>
        <v>-5.514178365515761</v>
      </c>
      <c r="J303" s="165">
        <f>-SUM(J291:J302)</f>
        <v>-6.6536713996643577</v>
      </c>
      <c r="K303" s="165">
        <f>-SUM(K291:K302)</f>
        <v>-7.4462018048509107</v>
      </c>
      <c r="L303" s="165">
        <f>-SUM(L291:L302)</f>
        <v>-7.9080009484252454</v>
      </c>
      <c r="M303" s="165">
        <f>IF(Input!M174&gt;0, -SUM(M291:M302), 0)</f>
        <v>0</v>
      </c>
      <c r="N303" s="165">
        <f>IF(Input!N174&gt;0, -SUM(N291:N302), 0)</f>
        <v>0</v>
      </c>
      <c r="O303" s="165">
        <f>IF(Input!O174&gt;0, -SUM(O291:O302), 0)</f>
        <v>0</v>
      </c>
      <c r="P303" s="165">
        <f>IF(Input!P174&gt;0, -SUM(P291:P302), 0)</f>
        <v>0</v>
      </c>
      <c r="Q303" s="165">
        <f>IF(Input!Q174&gt;0, -SUM(Q291:Q302), 0)</f>
        <v>0</v>
      </c>
      <c r="R303" s="65"/>
      <c r="S303" s="104"/>
      <c r="T303" s="104"/>
      <c r="U303" s="104"/>
      <c r="V303" s="104"/>
      <c r="W303" s="104"/>
      <c r="X303" s="104"/>
      <c r="Y303" s="104"/>
      <c r="Z303" s="104"/>
      <c r="AA303" s="104"/>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104"/>
      <c r="BE303" s="104"/>
      <c r="BF303" s="104"/>
      <c r="BG303" s="104"/>
      <c r="BH303" s="104"/>
      <c r="BI303" s="104"/>
      <c r="BJ303" s="104"/>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hidden="1" customHeight="1" outlineLevel="2">
      <c r="A304" s="9"/>
      <c r="B304" s="9"/>
      <c r="C304" s="31" t="str">
        <f>Asset21</f>
        <v>Equity raising costs</v>
      </c>
      <c r="D304" s="161"/>
      <c r="E304" s="33" t="s">
        <v>28</v>
      </c>
      <c r="F304" s="32"/>
      <c r="G304" s="174"/>
      <c r="H304" s="66" t="str">
        <f>IF(H$3&gt;A21remlife,A21value-SUM($G304:G304),IF(A21remlife="N/A","n/a",A21value/A21remlife))</f>
        <v>n/a</v>
      </c>
      <c r="I304" s="66" t="str">
        <f>IF(I$3&gt;A21remlife,A21value-SUM($G304:H304),IF(A21remlife="N/A","n/a",A21value/A21remlife))</f>
        <v>n/a</v>
      </c>
      <c r="J304" s="66" t="str">
        <f>IF(J$3&gt;A21remlife,A21value-SUM($G304:I304),IF(A21remlife="N/A","n/a",A21value/A21remlife))</f>
        <v>n/a</v>
      </c>
      <c r="K304" s="66" t="str">
        <f>IF(K$3&gt;A21remlife,A21value-SUM($G304:J304),IF(A21remlife="N/A","n/a",A21value/A21remlife))</f>
        <v>n/a</v>
      </c>
      <c r="L304" s="66" t="str">
        <f>IF(L$3&gt;A21remlife,A21value-SUM($G304:K304),IF(A21remlife="N/A","n/a",A21value/A21remlife))</f>
        <v>n/a</v>
      </c>
      <c r="M304" s="66" t="str">
        <f>IF(M$3&gt;A21remlife,A21value-SUM($G304:L304),IF(A21remlife="N/A","n/a",A21value/A21remlife))</f>
        <v>n/a</v>
      </c>
      <c r="N304" s="66" t="str">
        <f>IF(N$3&gt;A21remlife,A21value-SUM($G304:M304),IF(A21remlife="N/A","n/a",A21value/A21remlife))</f>
        <v>n/a</v>
      </c>
      <c r="O304" s="66" t="str">
        <f>IF(O$3&gt;A21remlife,A21value-SUM($G304:N304),IF(A21remlife="N/A","n/a",A21value/A21remlife))</f>
        <v>n/a</v>
      </c>
      <c r="P304" s="66" t="str">
        <f>IF(P$3&gt;A21remlife,A21value-SUM($G304:O304),IF(A21remlife="N/A","n/a",A21value/A21remlife))</f>
        <v>n/a</v>
      </c>
      <c r="Q304" s="66" t="str">
        <f>IF(Q$3&gt;A21remlife,A21value-SUM($G304:P304),IF(A21remlife="N/A","n/a",A21value/A21remlife))</f>
        <v>n/a</v>
      </c>
      <c r="R304" s="66"/>
      <c r="S304" s="102"/>
      <c r="T304" s="102"/>
      <c r="U304" s="102"/>
      <c r="V304" s="102"/>
      <c r="W304" s="102"/>
      <c r="X304" s="102"/>
      <c r="Y304" s="102"/>
      <c r="Z304" s="102"/>
      <c r="AA304" s="102"/>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hidden="1" customHeight="1" outlineLevel="2">
      <c r="A305" s="9"/>
      <c r="B305" s="9"/>
      <c r="C305" s="9"/>
      <c r="D305" s="25"/>
      <c r="E305" s="481" t="s">
        <v>83</v>
      </c>
      <c r="F305" s="85">
        <v>0</v>
      </c>
      <c r="G305" s="122"/>
      <c r="H305" s="67"/>
      <c r="I305" s="67"/>
      <c r="J305" s="67"/>
      <c r="K305" s="67"/>
      <c r="L305" s="67"/>
      <c r="M305" s="163"/>
      <c r="N305" s="111"/>
      <c r="O305" s="67"/>
      <c r="P305" s="67"/>
      <c r="Q305" s="67"/>
      <c r="R305" s="67"/>
      <c r="S305" s="102"/>
      <c r="T305" s="102"/>
      <c r="U305" s="102"/>
      <c r="V305" s="102"/>
      <c r="W305" s="102"/>
      <c r="X305" s="102"/>
      <c r="Y305" s="102"/>
      <c r="Z305" s="102"/>
      <c r="AA305" s="102"/>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102"/>
      <c r="BE305" s="102"/>
      <c r="BF305" s="102"/>
      <c r="BG305" s="102"/>
      <c r="BH305" s="102"/>
      <c r="BI305" s="102"/>
      <c r="BJ305" s="102"/>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hidden="1" customHeight="1" outlineLevel="2">
      <c r="A306" s="9"/>
      <c r="B306" s="9"/>
      <c r="C306" s="9"/>
      <c r="D306" s="25"/>
      <c r="E306" s="482"/>
      <c r="F306" s="85">
        <v>1</v>
      </c>
      <c r="G306" s="122"/>
      <c r="H306" s="145"/>
      <c r="I306" s="67">
        <f>IF(A21stdlife="n/a","n/a",IF(I$3&gt;(A21stdlife+$F306),(Input!$H$164*(1+vanilla1)^0.5)-SUM($H306:H306),(Input!$H$164*(1+vanilla1)^0.5)/A21stdlife))</f>
        <v>0.54542270889716626</v>
      </c>
      <c r="J306" s="67">
        <f>IF(A21stdlife="n/a","n/a",IF(J$3&gt;(A21stdlife+$F306),(Input!$H$164*(1+vanilla1)^0.5)-SUM($H306:I306),(Input!$H$164*(1+vanilla1)^0.5)/A21stdlife))</f>
        <v>0.54542270889716626</v>
      </c>
      <c r="K306" s="67">
        <f>IF(A21stdlife="n/a","n/a",IF(K$3&gt;(A21stdlife+$F306),(Input!$H$164*(1+vanilla1)^0.5)-SUM($H306:J306),(Input!$H$164*(1+vanilla1)^0.5)/A21stdlife))</f>
        <v>0.54542270889716626</v>
      </c>
      <c r="L306" s="67">
        <f>IF(A21stdlife="n/a","n/a",IF(L$3&gt;(A21stdlife+$F306),(Input!$H$164*(1+vanilla1)^0.5)-SUM($H306:K306),(Input!$H$164*(1+vanilla1)^0.5)/A21stdlife))</f>
        <v>0.54542270889716626</v>
      </c>
      <c r="M306" s="67">
        <f>IF(A21stdlife="n/a","n/a",IF(M$3&gt;(A21stdlife+$F306),(Input!$H$164*(1+vanilla1)^0.5)-SUM($H306:L306),(Input!$H$164*(1+vanilla1)^0.5)/A21stdlife))</f>
        <v>0.54542270889716626</v>
      </c>
      <c r="N306" s="67">
        <f>IF(A21stdlife="n/a","n/a",IF(N$3&gt;(A21stdlife+$F306),(Input!$H$164*(1+vanilla1)^0.5)-SUM($H306:M306),(Input!$H$164*(1+vanilla1)^0.5)/A21stdlife))</f>
        <v>0.54542270889716626</v>
      </c>
      <c r="O306" s="67">
        <f>IF(A21stdlife="n/a","n/a",IF(O$3&gt;(A21stdlife+$F306),(Input!$H$164*(1+vanilla1)^0.5)-SUM($H306:N306),(Input!$H$164*(1+vanilla1)^0.5)/A21stdlife))</f>
        <v>0.54542270889716626</v>
      </c>
      <c r="P306" s="67">
        <f>IF(A21stdlife="n/a","n/a",IF(P$3&gt;(A21stdlife+$F306),(Input!$H$164*(1+vanilla1)^0.5)-SUM($H306:O306),(Input!$H$164*(1+vanilla1)^0.5)/A21stdlife))</f>
        <v>0.54542270889716626</v>
      </c>
      <c r="Q306" s="67">
        <f>IF(A21stdlife="n/a","n/a",IF(Q$3&gt;(A21stdlife+$F306),(Input!$H$164*(1+vanilla1)^0.5)-SUM($H306:P306),(Input!$H$164*(1+vanilla1)^0.5)/A21stdlife))</f>
        <v>0.54542270889716626</v>
      </c>
      <c r="R306" s="67"/>
      <c r="S306" s="102"/>
      <c r="T306" s="102"/>
      <c r="U306" s="102"/>
      <c r="V306" s="102"/>
      <c r="W306" s="102"/>
      <c r="X306" s="102"/>
      <c r="Y306" s="102"/>
      <c r="Z306" s="102"/>
      <c r="AA306" s="102"/>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hidden="1" customHeight="1" outlineLevel="2">
      <c r="A307" s="9"/>
      <c r="B307" s="9"/>
      <c r="C307" s="9"/>
      <c r="D307" s="25"/>
      <c r="E307" s="482"/>
      <c r="F307" s="85">
        <v>2</v>
      </c>
      <c r="G307" s="122"/>
      <c r="H307" s="146"/>
      <c r="I307" s="147"/>
      <c r="J307" s="67">
        <f>IF(A21stdlife="n/a","n/a",IF(J$3&gt;(A21stdlife+$F307),(Input!$I$164*(1+vanilla2)^0.5)-SUM($I307:I307),(Input!$I$164*(1+vanilla2)^0.5)/A21stdlife))</f>
        <v>0</v>
      </c>
      <c r="K307" s="67">
        <f>IF(A21stdlife="n/a","n/a",IF(K$3&gt;(A21stdlife+$F307),(Input!$I$164*(1+vanilla2)^0.5)-SUM($I307:J307),(Input!$I$164*(1+vanilla2)^0.5)/A21stdlife))</f>
        <v>0</v>
      </c>
      <c r="L307" s="67">
        <f>IF(A21stdlife="n/a","n/a",IF(L$3&gt;(A21stdlife+$F307),(Input!$I$164*(1+vanilla2)^0.5)-SUM($I307:K307),(Input!$I$164*(1+vanilla2)^0.5)/A21stdlife))</f>
        <v>0</v>
      </c>
      <c r="M307" s="67">
        <f>IF(A21stdlife="n/a","n/a",IF(M$3&gt;(A21stdlife+$F307),(Input!$I$164*(1+vanilla2)^0.5)-SUM($I307:L307),(Input!$I$164*(1+vanilla2)^0.5)/A21stdlife))</f>
        <v>0</v>
      </c>
      <c r="N307" s="67">
        <f>IF(A21stdlife="n/a","n/a",IF(N$3&gt;(A21stdlife+$F307),(Input!$I$164*(1+vanilla2)^0.5)-SUM($I307:M307),(Input!$I$164*(1+vanilla2)^0.5)/A21stdlife))</f>
        <v>0</v>
      </c>
      <c r="O307" s="67">
        <f>IF(A21stdlife="n/a","n/a",IF(O$3&gt;(A21stdlife+$F307),(Input!$I$164*(1+vanilla2)^0.5)-SUM($I307:N307),(Input!$I$164*(1+vanilla2)^0.5)/A21stdlife))</f>
        <v>0</v>
      </c>
      <c r="P307" s="67">
        <f>IF(A21stdlife="n/a","n/a",IF(P$3&gt;(A21stdlife+$F307),(Input!$I$164*(1+vanilla2)^0.5)-SUM($I307:O307),(Input!$I$164*(1+vanilla2)^0.5)/A21stdlife))</f>
        <v>0</v>
      </c>
      <c r="Q307" s="67">
        <f>IF(A21stdlife="n/a","n/a",IF(Q$3&gt;(A21stdlife+$F307),(Input!$I$164*(1+vanilla2)^0.5)-SUM($I307:P307),(Input!$I$164*(1+vanilla2)^0.5)/A21stdlife))</f>
        <v>0</v>
      </c>
      <c r="R307" s="67"/>
      <c r="S307" s="102"/>
      <c r="T307" s="102"/>
      <c r="U307" s="102"/>
      <c r="V307" s="102"/>
      <c r="W307" s="102"/>
      <c r="X307" s="102"/>
      <c r="Y307" s="102"/>
      <c r="Z307" s="102"/>
      <c r="AA307" s="102"/>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hidden="1" customHeight="1" outlineLevel="2">
      <c r="A308" s="9"/>
      <c r="B308" s="9"/>
      <c r="C308" s="9"/>
      <c r="D308" s="25"/>
      <c r="E308" s="482"/>
      <c r="F308" s="85">
        <v>3</v>
      </c>
      <c r="G308" s="122"/>
      <c r="H308" s="146"/>
      <c r="I308" s="148"/>
      <c r="J308" s="147"/>
      <c r="K308" s="67">
        <f>IF(A21stdlife="n/a","n/a",IF(K$3&gt;(A21stdlife+$F308),(Input!$J$164*(1+vanilla3)^0.5)-SUM($J308:J308),(Input!$J$164*(1+vanilla3)^0.5)/A21stdlife))</f>
        <v>0</v>
      </c>
      <c r="L308" s="67">
        <f>IF(A21stdlife="n/a","n/a",IF(L$3&gt;(A21stdlife+$F308),(Input!$J$164*(1+vanilla3)^0.5)-SUM($J308:K308),(Input!$J$164*(1+vanilla3)^0.5)/A21stdlife))</f>
        <v>0</v>
      </c>
      <c r="M308" s="67">
        <f>IF(A21stdlife="n/a","n/a",IF(M$3&gt;(A21stdlife+$F308),(Input!$J$164*(1+vanilla3)^0.5)-SUM($J308:L308),(Input!$J$164*(1+vanilla3)^0.5)/A21stdlife))</f>
        <v>0</v>
      </c>
      <c r="N308" s="67">
        <f>IF(A21stdlife="n/a","n/a",IF(N$3&gt;(A21stdlife+$F308),(Input!$J$164*(1+vanilla3)^0.5)-SUM($J308:M308),(Input!$J$164*(1+vanilla3)^0.5)/A21stdlife))</f>
        <v>0</v>
      </c>
      <c r="O308" s="67">
        <f>IF(A21stdlife="n/a","n/a",IF(O$3&gt;(A21stdlife+$F308),(Input!$J$164*(1+vanilla3)^0.5)-SUM($J308:N308),(Input!$J$164*(1+vanilla3)^0.5)/A21stdlife))</f>
        <v>0</v>
      </c>
      <c r="P308" s="67">
        <f>IF(A21stdlife="n/a","n/a",IF(P$3&gt;(A21stdlife+$F308),(Input!$J$164*(1+vanilla3)^0.5)-SUM($J308:O308),(Input!$J$164*(1+vanilla3)^0.5)/A21stdlife))</f>
        <v>0</v>
      </c>
      <c r="Q308" s="67">
        <f>IF(A21stdlife="n/a","n/a",IF(Q$3&gt;(A21stdlife+$F308),(Input!$J$164*(1+vanilla3)^0.5)-SUM($J308:P308),(Input!$J$164*(1+vanilla3)^0.5)/A21stdlife))</f>
        <v>0</v>
      </c>
      <c r="R308" s="67"/>
      <c r="S308" s="102"/>
      <c r="T308" s="102"/>
      <c r="U308" s="102"/>
      <c r="V308" s="102"/>
      <c r="W308" s="102"/>
      <c r="X308" s="102"/>
      <c r="Y308" s="102"/>
      <c r="Z308" s="102"/>
      <c r="AA308" s="102"/>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hidden="1" customHeight="1" outlineLevel="2">
      <c r="A309" s="9"/>
      <c r="B309" s="9"/>
      <c r="C309" s="9"/>
      <c r="D309" s="25"/>
      <c r="E309" s="482"/>
      <c r="F309" s="85">
        <v>4</v>
      </c>
      <c r="G309" s="122"/>
      <c r="H309" s="146"/>
      <c r="I309" s="148"/>
      <c r="J309" s="148"/>
      <c r="K309" s="147"/>
      <c r="L309" s="67">
        <f>IF(A21stdlife="n/a","n/a",IF(L$3&gt;(A21stdlife+$F309),(Input!$K$164*(1+vanilla4)^0.5)-SUM($K309:K309),(Input!$K$164*(1+vanilla4)^0.5)/A21stdlife))</f>
        <v>0</v>
      </c>
      <c r="M309" s="67">
        <f>IF(A21stdlife="n/a","n/a",IF(M$3&gt;(A21stdlife+$F309),(Input!$K$164*(1+vanilla4)^0.5)-SUM($K309:L309),(Input!$K$164*(1+vanilla4)^0.5)/A21stdlife))</f>
        <v>0</v>
      </c>
      <c r="N309" s="67">
        <f>IF(A21stdlife="n/a","n/a",IF(N$3&gt;(A21stdlife+$F309),(Input!$K$164*(1+vanilla4)^0.5)-SUM($K309:M309),(Input!$K$164*(1+vanilla4)^0.5)/A21stdlife))</f>
        <v>0</v>
      </c>
      <c r="O309" s="67">
        <f>IF(A21stdlife="n/a","n/a",IF(O$3&gt;(A21stdlife+$F309),(Input!$K$164*(1+vanilla4)^0.5)-SUM($K309:N309),(Input!$K$164*(1+vanilla4)^0.5)/A21stdlife))</f>
        <v>0</v>
      </c>
      <c r="P309" s="67">
        <f>IF(A21stdlife="n/a","n/a",IF(P$3&gt;(A21stdlife+$F309),(Input!$K$164*(1+vanilla4)^0.5)-SUM($K309:O309),(Input!$K$164*(1+vanilla4)^0.5)/A21stdlife))</f>
        <v>0</v>
      </c>
      <c r="Q309" s="67">
        <f>IF(A21stdlife="n/a","n/a",IF(Q$3&gt;(A21stdlife+$F309),(Input!$K$164*(1+vanilla4)^0.5)-SUM($K309:P309),(Input!$K$164*(1+vanilla4)^0.5)/A21stdlife))</f>
        <v>0</v>
      </c>
      <c r="R309" s="67"/>
      <c r="S309" s="102"/>
      <c r="T309" s="102"/>
      <c r="U309" s="102"/>
      <c r="V309" s="102"/>
      <c r="W309" s="102"/>
      <c r="X309" s="102"/>
      <c r="Y309" s="102"/>
      <c r="Z309" s="102"/>
      <c r="AA309" s="102"/>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hidden="1" customHeight="1" outlineLevel="2">
      <c r="A310" s="9"/>
      <c r="B310" s="9"/>
      <c r="C310" s="9"/>
      <c r="D310" s="25"/>
      <c r="E310" s="482"/>
      <c r="F310" s="85">
        <v>5</v>
      </c>
      <c r="G310" s="26"/>
      <c r="H310" s="146"/>
      <c r="I310" s="148"/>
      <c r="J310" s="148"/>
      <c r="K310" s="148"/>
      <c r="L310" s="147"/>
      <c r="M310" s="67">
        <f>IF(A21stdlife="n/a","n/a",IF(M$3&gt;(A21stdlife+$F310),(Input!$L$164*(1+vanilla5)^0.5)-SUM($L310:L310),(Input!$L$164*(1+vanilla5)^0.5)/A21stdlife))</f>
        <v>0</v>
      </c>
      <c r="N310" s="67">
        <f>IF(A21stdlife="n/a","n/a",IF(N$3&gt;(A21stdlife+$F310),(Input!$L$164*(1+vanilla5)^0.5)-SUM($L310:M310),(Input!$L$164*(1+vanilla5)^0.5)/A21stdlife))</f>
        <v>0</v>
      </c>
      <c r="O310" s="67">
        <f>IF(A21stdlife="n/a","n/a",IF(O$3&gt;(A21stdlife+$F310),(Input!$L$164*(1+vanilla5)^0.5)-SUM($L310:N310),(Input!$L$164*(1+vanilla5)^0.5)/A21stdlife))</f>
        <v>0</v>
      </c>
      <c r="P310" s="67">
        <f>IF(A21stdlife="n/a","n/a",IF(P$3&gt;(A21stdlife+$F310),(Input!$L$164*(1+vanilla5)^0.5)-SUM($L310:O310),(Input!$L$164*(1+vanilla5)^0.5)/A21stdlife))</f>
        <v>0</v>
      </c>
      <c r="Q310" s="67">
        <f>IF(A21stdlife="n/a","n/a",IF(Q$3&gt;(A21stdlife+$F310),(Input!$L$164*(1+vanilla5)^0.5)-SUM($L310:P310),(Input!$L$164*(1+vanilla5)^0.5)/A21stdlife))</f>
        <v>0</v>
      </c>
      <c r="R310" s="67"/>
      <c r="S310" s="102"/>
      <c r="T310" s="102"/>
      <c r="U310" s="102"/>
      <c r="V310" s="102"/>
      <c r="W310" s="102"/>
      <c r="X310" s="102"/>
      <c r="Y310" s="102"/>
      <c r="Z310" s="102"/>
      <c r="AA310" s="102"/>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hidden="1" customHeight="1" outlineLevel="2">
      <c r="A311" s="9"/>
      <c r="B311" s="9"/>
      <c r="C311" s="9"/>
      <c r="D311" s="25"/>
      <c r="E311" s="482"/>
      <c r="F311" s="85">
        <v>6</v>
      </c>
      <c r="G311" s="26"/>
      <c r="H311" s="146"/>
      <c r="I311" s="148"/>
      <c r="J311" s="148"/>
      <c r="K311" s="148"/>
      <c r="L311" s="148"/>
      <c r="M311" s="147"/>
      <c r="N311" s="67">
        <f>IF(A21stdlife="n/a","n/a",IF(N$3&gt;(A21stdlife+$F311),(Input!$M$164*(1+vanilla6)^0.5)-SUM($M311:M311),(Input!$M$164*(1+vanilla6)^0.5)/A21stdlife))</f>
        <v>0</v>
      </c>
      <c r="O311" s="67">
        <f>IF(A21stdlife="n/a","n/a",IF(O$3&gt;(A21stdlife+$F311),(Input!$M$164*(1+vanilla6)^0.5)-SUM($M311:N311),(Input!$M$164*(1+vanilla6)^0.5)/A21stdlife))</f>
        <v>0</v>
      </c>
      <c r="P311" s="67">
        <f>IF(A21stdlife="n/a","n/a",IF(P$3&gt;(A21stdlife+$F311),(Input!$M$164*(1+vanilla6)^0.5)-SUM($M311:O311),(Input!$M$164*(1+vanilla6)^0.5)/A21stdlife))</f>
        <v>0</v>
      </c>
      <c r="Q311" s="67">
        <f>IF(A21stdlife="n/a","n/a",IF(Q$3&gt;(A21stdlife+$F311),(Input!$M$164*(1+vanilla6)^0.5)-SUM($M311:P311),(Input!$M$164*(1+vanilla6)^0.5)/A21stdlife))</f>
        <v>0</v>
      </c>
      <c r="R311" s="67"/>
      <c r="S311" s="102"/>
      <c r="T311" s="102"/>
      <c r="U311" s="102"/>
      <c r="V311" s="102"/>
      <c r="W311" s="102"/>
      <c r="X311" s="102"/>
      <c r="Y311" s="102"/>
      <c r="Z311" s="102"/>
      <c r="AA311" s="102"/>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hidden="1" customHeight="1" outlineLevel="2">
      <c r="A312" s="9"/>
      <c r="B312" s="9"/>
      <c r="C312" s="9"/>
      <c r="D312" s="25"/>
      <c r="E312" s="482"/>
      <c r="F312" s="85">
        <v>7</v>
      </c>
      <c r="G312" s="26"/>
      <c r="H312" s="146"/>
      <c r="I312" s="148"/>
      <c r="J312" s="148"/>
      <c r="K312" s="148"/>
      <c r="L312" s="148"/>
      <c r="M312" s="148"/>
      <c r="N312" s="147"/>
      <c r="O312" s="67">
        <f>IF(A21stdlife="n/a","n/a",IF(O$3&gt;(A21stdlife+$F312),(Input!$N$164*(1+vanilla7)^0.5)-SUM($N312:N312),(Input!$N$164*(1+vanilla7)^0.5)/A21stdlife))</f>
        <v>0</v>
      </c>
      <c r="P312" s="67">
        <f>IF(A21stdlife="n/a","n/a",IF(P$3&gt;(A21stdlife+$F312),(Input!$N$164*(1+vanilla7)^0.5)-SUM($N312:O312),(Input!$N$164*(1+vanilla7)^0.5)/A21stdlife))</f>
        <v>0</v>
      </c>
      <c r="Q312" s="67">
        <f>IF(A21stdlife="n/a","n/a",IF(Q$3&gt;(A21stdlife+$F312),(Input!$N$164*(1+vanilla7)^0.5)-SUM($N312:P312),(Input!$N$164*(1+vanilla7)^0.5)/A21stdlife))</f>
        <v>0</v>
      </c>
      <c r="R312" s="67"/>
      <c r="S312" s="102"/>
      <c r="T312" s="102"/>
      <c r="U312" s="102"/>
      <c r="V312" s="102"/>
      <c r="W312" s="102"/>
      <c r="X312" s="102"/>
      <c r="Y312" s="102"/>
      <c r="Z312" s="102"/>
      <c r="AA312" s="102"/>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hidden="1" customHeight="1" outlineLevel="2">
      <c r="A313" s="9"/>
      <c r="B313" s="9"/>
      <c r="C313" s="9"/>
      <c r="D313" s="25"/>
      <c r="E313" s="482"/>
      <c r="F313" s="85">
        <v>8</v>
      </c>
      <c r="G313" s="26"/>
      <c r="H313" s="146"/>
      <c r="I313" s="148"/>
      <c r="J313" s="148"/>
      <c r="K313" s="148"/>
      <c r="L313" s="148"/>
      <c r="M313" s="148"/>
      <c r="N313" s="148"/>
      <c r="O313" s="147"/>
      <c r="P313" s="67">
        <f>IF(A21stdlife="n/a","n/a",IF(P$3&gt;(A21stdlife+$F313),(Input!$O$164*(1+vanilla8)^0.5)-SUM($O313:O313),(Input!$O$164*(1+vanilla8)^0.5)/A21stdlife))</f>
        <v>0</v>
      </c>
      <c r="Q313" s="67">
        <f>IF(A21stdlife="n/a","n/a",IF(Q$3&gt;(A21stdlife+$F313),(Input!$O$164*(1+vanilla8)^0.5)-SUM($O313:P313),(Input!$O$164*(1+vanilla8)^0.5)/A21stdlife))</f>
        <v>0</v>
      </c>
      <c r="R313" s="67"/>
      <c r="S313" s="102"/>
      <c r="T313" s="102"/>
      <c r="U313" s="102"/>
      <c r="V313" s="102"/>
      <c r="W313" s="102"/>
      <c r="X313" s="102"/>
      <c r="Y313" s="102"/>
      <c r="Z313" s="102"/>
      <c r="AA313" s="102"/>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hidden="1" customHeight="1" outlineLevel="2">
      <c r="A314" s="9"/>
      <c r="B314" s="9"/>
      <c r="C314" s="9"/>
      <c r="D314" s="25"/>
      <c r="E314" s="482"/>
      <c r="F314" s="85">
        <v>9</v>
      </c>
      <c r="G314" s="26"/>
      <c r="H314" s="146"/>
      <c r="I314" s="148"/>
      <c r="J314" s="148"/>
      <c r="K314" s="148"/>
      <c r="L314" s="148"/>
      <c r="M314" s="148"/>
      <c r="N314" s="148"/>
      <c r="O314" s="148"/>
      <c r="P314" s="147"/>
      <c r="Q314" s="67">
        <f>IF(A21stdlife="n/a","n/a",IF(Q$3&gt;(A21stdlife+$F314),(Input!$P$164*(1+vanilla9)^0.5)-SUM($P314:P314),(Input!$P$164*(1+vanilla9)^0.5)/A21stdlife))</f>
        <v>0</v>
      </c>
      <c r="R314" s="67"/>
      <c r="S314" s="102"/>
      <c r="T314" s="102"/>
      <c r="U314" s="102"/>
      <c r="V314" s="102"/>
      <c r="W314" s="102"/>
      <c r="X314" s="102"/>
      <c r="Y314" s="102"/>
      <c r="Z314" s="102"/>
      <c r="AA314" s="102"/>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hidden="1" customHeight="1" outlineLevel="2">
      <c r="A315" s="9"/>
      <c r="B315" s="9"/>
      <c r="C315" s="9"/>
      <c r="D315" s="25"/>
      <c r="E315" s="482"/>
      <c r="F315" s="86">
        <v>10</v>
      </c>
      <c r="G315" s="26"/>
      <c r="H315" s="146"/>
      <c r="I315" s="148"/>
      <c r="J315" s="148"/>
      <c r="K315" s="148"/>
      <c r="L315" s="148"/>
      <c r="M315" s="148"/>
      <c r="N315" s="148"/>
      <c r="O315" s="148"/>
      <c r="P315" s="148"/>
      <c r="Q315" s="147"/>
      <c r="R315" s="67"/>
      <c r="S315" s="102"/>
      <c r="T315" s="102"/>
      <c r="U315" s="102"/>
      <c r="V315" s="102"/>
      <c r="W315" s="102"/>
      <c r="X315" s="102"/>
      <c r="Y315" s="102"/>
      <c r="Z315" s="102"/>
      <c r="AA315" s="102"/>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hidden="1" customHeight="1" outlineLevel="1">
      <c r="A316" s="9"/>
      <c r="B316" s="9"/>
      <c r="C316" s="9"/>
      <c r="D316" s="25" t="str">
        <f>Asset21</f>
        <v>Equity raising costs</v>
      </c>
      <c r="E316" s="9"/>
      <c r="F316" s="9"/>
      <c r="G316" s="122"/>
      <c r="H316" s="165">
        <f>-SUM(H304:H315)</f>
        <v>0</v>
      </c>
      <c r="I316" s="165">
        <f>-SUM(I304:I315)</f>
        <v>-0.54542270889716626</v>
      </c>
      <c r="J316" s="165">
        <f>-SUM(J304:J315)</f>
        <v>-0.54542270889716626</v>
      </c>
      <c r="K316" s="165">
        <f>-SUM(K304:K315)</f>
        <v>-0.54542270889716626</v>
      </c>
      <c r="L316" s="165">
        <f>-SUM(L304:L315)</f>
        <v>-0.54542270889716626</v>
      </c>
      <c r="M316" s="165">
        <f>IF(Input!M174&gt;0, -SUM(M304:M315), 0)</f>
        <v>0</v>
      </c>
      <c r="N316" s="165">
        <f>IF(Input!N174&gt;0, -SUM(N304:N315), 0)</f>
        <v>0</v>
      </c>
      <c r="O316" s="165">
        <f>IF(Input!O174&gt;0, -SUM(O304:O315), 0)</f>
        <v>0</v>
      </c>
      <c r="P316" s="165">
        <f>IF(Input!P174&gt;0, -SUM(P304:P315), 0)</f>
        <v>0</v>
      </c>
      <c r="Q316" s="165">
        <f>IF(Input!Q174&gt;0, -SUM(Q304:Q315), 0)</f>
        <v>0</v>
      </c>
      <c r="R316" s="65"/>
      <c r="S316" s="104"/>
      <c r="T316" s="104"/>
      <c r="U316" s="104"/>
      <c r="V316" s="104"/>
      <c r="W316" s="104"/>
      <c r="X316" s="104"/>
      <c r="Y316" s="104"/>
      <c r="Z316" s="104"/>
      <c r="AA316" s="104"/>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104"/>
      <c r="BE316" s="104"/>
      <c r="BF316" s="104"/>
      <c r="BG316" s="104"/>
      <c r="BH316" s="104"/>
      <c r="BI316" s="104"/>
      <c r="BJ316" s="104"/>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5.75" hidden="1" customHeight="1" outlineLevel="2">
      <c r="A317" s="9"/>
      <c r="B317" s="9"/>
      <c r="C317" s="31">
        <f>Asset22</f>
        <v>0</v>
      </c>
      <c r="D317" s="161"/>
      <c r="E317" s="33" t="s">
        <v>28</v>
      </c>
      <c r="F317" s="32"/>
      <c r="G317" s="174"/>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5.25" hidden="1" customHeight="1" outlineLevel="2">
      <c r="A318" s="9"/>
      <c r="B318" s="9"/>
      <c r="C318" s="9"/>
      <c r="D318" s="25"/>
      <c r="E318" s="481" t="s">
        <v>83</v>
      </c>
      <c r="F318" s="85">
        <v>0</v>
      </c>
      <c r="G318" s="122"/>
      <c r="H318" s="67"/>
      <c r="I318" s="67"/>
      <c r="J318" s="67"/>
      <c r="K318" s="67"/>
      <c r="L318" s="67"/>
      <c r="M318" s="163"/>
      <c r="N318" s="111"/>
      <c r="O318" s="67"/>
      <c r="P318" s="67"/>
      <c r="Q318" s="67"/>
      <c r="R318" s="67"/>
      <c r="S318" s="102"/>
      <c r="T318" s="102"/>
      <c r="U318" s="102"/>
      <c r="V318" s="102"/>
      <c r="W318" s="102"/>
      <c r="X318" s="102"/>
      <c r="Y318" s="102"/>
      <c r="Z318" s="102"/>
      <c r="AA318" s="102"/>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102"/>
      <c r="BE318" s="102"/>
      <c r="BF318" s="102"/>
      <c r="BG318" s="102"/>
      <c r="BH318" s="102"/>
      <c r="BI318" s="102"/>
      <c r="BJ318" s="102"/>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5.25" hidden="1" customHeight="1" outlineLevel="2">
      <c r="A319" s="9"/>
      <c r="B319" s="9"/>
      <c r="C319" s="9"/>
      <c r="D319" s="25"/>
      <c r="E319" s="482"/>
      <c r="F319" s="85">
        <v>1</v>
      </c>
      <c r="G319" s="122"/>
      <c r="H319" s="145"/>
      <c r="I319" s="67">
        <f>IF(A22stdlife="n/a","n/a",IF(I$3&gt;(A22stdlife+$F319),(Input!$H$165*(1+vanilla1)^0.5)-SUM($H319:H319),(Input!$H$165*(1+vanilla1)^0.5)/A22stdlife))</f>
        <v>0</v>
      </c>
      <c r="J319" s="67">
        <f>IF(A22stdlife="n/a","n/a",IF(J$3&gt;(A22stdlife+$F319),(Input!$H$165*(1+vanilla1)^0.5)-SUM($H319:I319),(Input!$H$165*(1+vanilla1)^0.5)/A22stdlife))</f>
        <v>0</v>
      </c>
      <c r="K319" s="67">
        <f>IF(A22stdlife="n/a","n/a",IF(K$3&gt;(A22stdlife+$F319),(Input!$H$165*(1+vanilla1)^0.5)-SUM($H319:J319),(Input!$H$165*(1+vanilla1)^0.5)/A22stdlife))</f>
        <v>0</v>
      </c>
      <c r="L319" s="67">
        <f>IF(A22stdlife="n/a","n/a",IF(L$3&gt;(A22stdlife+$F319),(Input!$H$165*(1+vanilla1)^0.5)-SUM($H319:K319),(Input!$H$165*(1+vanilla1)^0.5)/A22stdlife))</f>
        <v>0</v>
      </c>
      <c r="M319" s="67">
        <f>IF(A22stdlife="n/a","n/a",IF(M$3&gt;(A22stdlife+$F319),(Input!$H$165*(1+vanilla1)^0.5)-SUM($H319:L319),(Input!$H$165*(1+vanilla1)^0.5)/A22stdlife))</f>
        <v>0</v>
      </c>
      <c r="N319" s="67">
        <f>IF(A22stdlife="n/a","n/a",IF(N$3&gt;(A22stdlife+$F319),(Input!$H$165*(1+vanilla1)^0.5)-SUM($H319:M319),(Input!$H$165*(1+vanilla1)^0.5)/A22stdlife))</f>
        <v>0</v>
      </c>
      <c r="O319" s="67">
        <f>IF(A22stdlife="n/a","n/a",IF(O$3&gt;(A22stdlife+$F319),(Input!$H$165*(1+vanilla1)^0.5)-SUM($H319:N319),(Input!$H$165*(1+vanilla1)^0.5)/A22stdlife))</f>
        <v>0</v>
      </c>
      <c r="P319" s="67">
        <f>IF(A22stdlife="n/a","n/a",IF(P$3&gt;(A22stdlife+$F319),(Input!$H$165*(1+vanilla1)^0.5)-SUM($H319:O319),(Input!$H$165*(1+vanilla1)^0.5)/A22stdlife))</f>
        <v>0</v>
      </c>
      <c r="Q319" s="67">
        <f>IF(A22stdlife="n/a","n/a",IF(Q$3&gt;(A22stdlife+$F319),(Input!$H$165*(1+vanilla1)^0.5)-SUM($H319:P319),(Input!$H$165*(1+vanilla1)^0.5)/A22stdlife))</f>
        <v>0</v>
      </c>
      <c r="R319" s="67"/>
      <c r="S319" s="102"/>
      <c r="T319" s="102"/>
      <c r="U319" s="102"/>
      <c r="V319" s="102"/>
      <c r="W319" s="102"/>
      <c r="X319" s="102"/>
      <c r="Y319" s="102"/>
      <c r="Z319" s="102"/>
      <c r="AA319" s="102"/>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5.25" hidden="1" customHeight="1" outlineLevel="2">
      <c r="A320" s="9"/>
      <c r="B320" s="9"/>
      <c r="C320" s="9"/>
      <c r="D320" s="25"/>
      <c r="E320" s="482"/>
      <c r="F320" s="85">
        <v>2</v>
      </c>
      <c r="G320" s="122"/>
      <c r="H320" s="146"/>
      <c r="I320" s="147"/>
      <c r="J320" s="67">
        <f>IF(A22stdlife="n/a","n/a",IF(J$3&gt;(A22stdlife+$F320),(Input!$I$165*(1+vanilla2)^0.5)-SUM($I320:I320),(Input!$I$165*(1+vanilla2)^0.5)/A22stdlife))</f>
        <v>0</v>
      </c>
      <c r="K320" s="67">
        <f>IF(A22stdlife="n/a","n/a",IF(K$3&gt;(A22stdlife+$F320),(Input!$I$165*(1+vanilla2)^0.5)-SUM($I320:J320),(Input!$I$165*(1+vanilla2)^0.5)/A22stdlife))</f>
        <v>0</v>
      </c>
      <c r="L320" s="67">
        <f>IF(A22stdlife="n/a","n/a",IF(L$3&gt;(A22stdlife+$F320),(Input!$I$165*(1+vanilla2)^0.5)-SUM($I320:K320),(Input!$I$165*(1+vanilla2)^0.5)/A22stdlife))</f>
        <v>0</v>
      </c>
      <c r="M320" s="67">
        <f>IF(A22stdlife="n/a","n/a",IF(M$3&gt;(A22stdlife+$F320),(Input!$I$165*(1+vanilla2)^0.5)-SUM($I320:L320),(Input!$I$165*(1+vanilla2)^0.5)/A22stdlife))</f>
        <v>0</v>
      </c>
      <c r="N320" s="67">
        <f>IF(A22stdlife="n/a","n/a",IF(N$3&gt;(A22stdlife+$F320),(Input!$I$165*(1+vanilla2)^0.5)-SUM($I320:M320),(Input!$I$165*(1+vanilla2)^0.5)/A22stdlife))</f>
        <v>0</v>
      </c>
      <c r="O320" s="67">
        <f>IF(A22stdlife="n/a","n/a",IF(O$3&gt;(A22stdlife+$F320),(Input!$I$165*(1+vanilla2)^0.5)-SUM($I320:N320),(Input!$I$165*(1+vanilla2)^0.5)/A22stdlife))</f>
        <v>0</v>
      </c>
      <c r="P320" s="67">
        <f>IF(A22stdlife="n/a","n/a",IF(P$3&gt;(A22stdlife+$F320),(Input!$I$165*(1+vanilla2)^0.5)-SUM($I320:O320),(Input!$I$165*(1+vanilla2)^0.5)/A22stdlife))</f>
        <v>0</v>
      </c>
      <c r="Q320" s="67">
        <f>IF(A22stdlife="n/a","n/a",IF(Q$3&gt;(A22stdlife+$F320),(Input!$I$165*(1+vanilla2)^0.5)-SUM($I320:P320),(Input!$I$165*(1+vanilla2)^0.5)/A22stdlife))</f>
        <v>0</v>
      </c>
      <c r="R320" s="67"/>
      <c r="S320" s="102"/>
      <c r="T320" s="102"/>
      <c r="U320" s="102"/>
      <c r="V320" s="102"/>
      <c r="W320" s="102"/>
      <c r="X320" s="102"/>
      <c r="Y320" s="102"/>
      <c r="Z320" s="102"/>
      <c r="AA320" s="102"/>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5.25" hidden="1" customHeight="1" outlineLevel="2">
      <c r="A321" s="9"/>
      <c r="B321" s="9"/>
      <c r="C321" s="9"/>
      <c r="D321" s="25"/>
      <c r="E321" s="482"/>
      <c r="F321" s="85">
        <v>3</v>
      </c>
      <c r="G321" s="122"/>
      <c r="H321" s="146"/>
      <c r="I321" s="148"/>
      <c r="J321" s="147"/>
      <c r="K321" s="67">
        <f>IF(A22stdlife="n/a","n/a",IF(K$3&gt;(A22stdlife+$F321),(Input!$J$165*(1+vanilla3)^0.5)-SUM($J321:J321),(Input!$J$165*(1+vanilla3)^0.5)/A22stdlife))</f>
        <v>0</v>
      </c>
      <c r="L321" s="67">
        <f>IF(A22stdlife="n/a","n/a",IF(L$3&gt;(A22stdlife+$F321),(Input!$J$165*(1+vanilla3)^0.5)-SUM($J321:K321),(Input!$J$165*(1+vanilla3)^0.5)/A22stdlife))</f>
        <v>0</v>
      </c>
      <c r="M321" s="67">
        <f>IF(A22stdlife="n/a","n/a",IF(M$3&gt;(A22stdlife+$F321),(Input!$J$165*(1+vanilla3)^0.5)-SUM($J321:L321),(Input!$J$165*(1+vanilla3)^0.5)/A22stdlife))</f>
        <v>0</v>
      </c>
      <c r="N321" s="67">
        <f>IF(A22stdlife="n/a","n/a",IF(N$3&gt;(A22stdlife+$F321),(Input!$J$165*(1+vanilla3)^0.5)-SUM($J321:M321),(Input!$J$165*(1+vanilla3)^0.5)/A22stdlife))</f>
        <v>0</v>
      </c>
      <c r="O321" s="67">
        <f>IF(A22stdlife="n/a","n/a",IF(O$3&gt;(A22stdlife+$F321),(Input!$J$165*(1+vanilla3)^0.5)-SUM($J321:N321),(Input!$J$165*(1+vanilla3)^0.5)/A22stdlife))</f>
        <v>0</v>
      </c>
      <c r="P321" s="67">
        <f>IF(A22stdlife="n/a","n/a",IF(P$3&gt;(A22stdlife+$F321),(Input!$J$165*(1+vanilla3)^0.5)-SUM($J321:O321),(Input!$J$165*(1+vanilla3)^0.5)/A22stdlife))</f>
        <v>0</v>
      </c>
      <c r="Q321" s="67">
        <f>IF(A22stdlife="n/a","n/a",IF(Q$3&gt;(A22stdlife+$F321),(Input!$J$165*(1+vanilla3)^0.5)-SUM($J321:P321),(Input!$J$165*(1+vanilla3)^0.5)/A22stdlife))</f>
        <v>0</v>
      </c>
      <c r="R321" s="67"/>
      <c r="S321" s="102"/>
      <c r="T321" s="102"/>
      <c r="U321" s="102"/>
      <c r="V321" s="102"/>
      <c r="W321" s="102"/>
      <c r="X321" s="102"/>
      <c r="Y321" s="102"/>
      <c r="Z321" s="102"/>
      <c r="AA321" s="102"/>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5.25" hidden="1" customHeight="1" outlineLevel="2">
      <c r="A322" s="9"/>
      <c r="B322" s="9"/>
      <c r="C322" s="9"/>
      <c r="D322" s="25"/>
      <c r="E322" s="482"/>
      <c r="F322" s="85">
        <v>4</v>
      </c>
      <c r="G322" s="122"/>
      <c r="H322" s="146"/>
      <c r="I322" s="148"/>
      <c r="J322" s="148"/>
      <c r="K322" s="147"/>
      <c r="L322" s="67">
        <f>IF(A22stdlife="n/a","n/a",IF(L$3&gt;(A22stdlife+$F322),(Input!$K$165*(1+vanilla4)^0.5)-SUM($K322:K322),(Input!$K$165*(1+vanilla4)^0.5)/A22stdlife))</f>
        <v>0</v>
      </c>
      <c r="M322" s="67">
        <f>IF(A22stdlife="n/a","n/a",IF(M$3&gt;(A22stdlife+$F322),(Input!$K$165*(1+vanilla4)^0.5)-SUM($K322:L322),(Input!$K$165*(1+vanilla4)^0.5)/A22stdlife))</f>
        <v>0</v>
      </c>
      <c r="N322" s="67">
        <f>IF(A22stdlife="n/a","n/a",IF(N$3&gt;(A22stdlife+$F322),(Input!$K$165*(1+vanilla4)^0.5)-SUM($K322:M322),(Input!$K$165*(1+vanilla4)^0.5)/A22stdlife))</f>
        <v>0</v>
      </c>
      <c r="O322" s="67">
        <f>IF(A22stdlife="n/a","n/a",IF(O$3&gt;(A22stdlife+$F322),(Input!$K$165*(1+vanilla4)^0.5)-SUM($K322:N322),(Input!$K$165*(1+vanilla4)^0.5)/A22stdlife))</f>
        <v>0</v>
      </c>
      <c r="P322" s="67">
        <f>IF(A22stdlife="n/a","n/a",IF(P$3&gt;(A22stdlife+$F322),(Input!$K$165*(1+vanilla4)^0.5)-SUM($K322:O322),(Input!$K$165*(1+vanilla4)^0.5)/A22stdlife))</f>
        <v>0</v>
      </c>
      <c r="Q322" s="67">
        <f>IF(A22stdlife="n/a","n/a",IF(Q$3&gt;(A22stdlife+$F322),(Input!$K$165*(1+vanilla4)^0.5)-SUM($K322:P322),(Input!$K$165*(1+vanilla4)^0.5)/A22stdlife))</f>
        <v>0</v>
      </c>
      <c r="R322" s="67"/>
      <c r="S322" s="102"/>
      <c r="T322" s="102"/>
      <c r="U322" s="102"/>
      <c r="V322" s="102"/>
      <c r="W322" s="102"/>
      <c r="X322" s="102"/>
      <c r="Y322" s="102"/>
      <c r="Z322" s="102"/>
      <c r="AA322" s="102"/>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5.25" hidden="1" customHeight="1" outlineLevel="2">
      <c r="A323" s="9"/>
      <c r="B323" s="9"/>
      <c r="C323" s="9"/>
      <c r="D323" s="25"/>
      <c r="E323" s="482"/>
      <c r="F323" s="85">
        <v>5</v>
      </c>
      <c r="G323" s="26"/>
      <c r="H323" s="146"/>
      <c r="I323" s="148"/>
      <c r="J323" s="148"/>
      <c r="K323" s="148"/>
      <c r="L323" s="147"/>
      <c r="M323" s="67">
        <f>IF(A22stdlife="n/a","n/a",IF(M$3&gt;(A22stdlife+$F323),(Input!$L$165*(1+vanilla5)^0.5)-SUM($L323:L323),(Input!$L$165*(1+vanilla5)^0.5)/A22stdlife))</f>
        <v>0</v>
      </c>
      <c r="N323" s="67">
        <f>IF(A22stdlife="n/a","n/a",IF(N$3&gt;(A22stdlife+$F323),(Input!$L$165*(1+vanilla5)^0.5)-SUM($L323:M323),(Input!$L$165*(1+vanilla5)^0.5)/A22stdlife))</f>
        <v>0</v>
      </c>
      <c r="O323" s="67">
        <f>IF(A22stdlife="n/a","n/a",IF(O$3&gt;(A22stdlife+$F323),(Input!$L$165*(1+vanilla5)^0.5)-SUM($L323:N323),(Input!$L$165*(1+vanilla5)^0.5)/A22stdlife))</f>
        <v>0</v>
      </c>
      <c r="P323" s="67">
        <f>IF(A22stdlife="n/a","n/a",IF(P$3&gt;(A22stdlife+$F323),(Input!$L$165*(1+vanilla5)^0.5)-SUM($L323:O323),(Input!$L$165*(1+vanilla5)^0.5)/A22stdlife))</f>
        <v>0</v>
      </c>
      <c r="Q323" s="67">
        <f>IF(A22stdlife="n/a","n/a",IF(Q$3&gt;(A22stdlife+$F323),(Input!$L$165*(1+vanilla5)^0.5)-SUM($L323:P323),(Input!$L$165*(1+vanilla5)^0.5)/A22stdlife))</f>
        <v>0</v>
      </c>
      <c r="R323" s="67"/>
      <c r="S323" s="102"/>
      <c r="T323" s="102"/>
      <c r="U323" s="102"/>
      <c r="V323" s="102"/>
      <c r="W323" s="102"/>
      <c r="X323" s="102"/>
      <c r="Y323" s="102"/>
      <c r="Z323" s="102"/>
      <c r="AA323" s="102"/>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5.25" hidden="1" customHeight="1" outlineLevel="2">
      <c r="A324" s="9"/>
      <c r="B324" s="9"/>
      <c r="C324" s="9"/>
      <c r="D324" s="25"/>
      <c r="E324" s="482"/>
      <c r="F324" s="85">
        <v>6</v>
      </c>
      <c r="G324" s="26"/>
      <c r="H324" s="146"/>
      <c r="I324" s="148"/>
      <c r="J324" s="148"/>
      <c r="K324" s="148"/>
      <c r="L324" s="148"/>
      <c r="M324" s="147"/>
      <c r="N324" s="67">
        <f>IF(A22stdlife="n/a","n/a",IF(N$3&gt;(A22stdlife+$F324),(Input!$M$165*(1+vanilla6)^0.5)-SUM($M324:M324),(Input!$M$165*(1+vanilla6)^0.5)/A22stdlife))</f>
        <v>0</v>
      </c>
      <c r="O324" s="67">
        <f>IF(A22stdlife="n/a","n/a",IF(O$3&gt;(A22stdlife+$F324),(Input!$M$165*(1+vanilla6)^0.5)-SUM($M324:N324),(Input!$M$165*(1+vanilla6)^0.5)/A22stdlife))</f>
        <v>0</v>
      </c>
      <c r="P324" s="67">
        <f>IF(A22stdlife="n/a","n/a",IF(P$3&gt;(A22stdlife+$F324),(Input!$M$165*(1+vanilla6)^0.5)-SUM($M324:O324),(Input!$M$165*(1+vanilla6)^0.5)/A22stdlife))</f>
        <v>0</v>
      </c>
      <c r="Q324" s="67">
        <f>IF(A22stdlife="n/a","n/a",IF(Q$3&gt;(A22stdlife+$F324),(Input!$M$165*(1+vanilla6)^0.5)-SUM($M324:P324),(Input!$M$165*(1+vanilla6)^0.5)/A22stdlife))</f>
        <v>0</v>
      </c>
      <c r="R324" s="67"/>
      <c r="S324" s="102"/>
      <c r="T324" s="102"/>
      <c r="U324" s="102"/>
      <c r="V324" s="102"/>
      <c r="W324" s="102"/>
      <c r="X324" s="102"/>
      <c r="Y324" s="102"/>
      <c r="Z324" s="102"/>
      <c r="AA324" s="102"/>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29.25" hidden="1" customHeight="1" outlineLevel="2">
      <c r="A325" s="9"/>
      <c r="B325" s="9"/>
      <c r="C325" s="9"/>
      <c r="D325" s="25"/>
      <c r="E325" s="482"/>
      <c r="F325" s="85">
        <v>7</v>
      </c>
      <c r="G325" s="26"/>
      <c r="H325" s="146"/>
      <c r="I325" s="148"/>
      <c r="J325" s="148"/>
      <c r="K325" s="148"/>
      <c r="L325" s="148"/>
      <c r="M325" s="148"/>
      <c r="N325" s="147"/>
      <c r="O325" s="67">
        <f>IF(A22stdlife="n/a","n/a",IF(O$3&gt;(A22stdlife+$F325),(Input!$N$165*(1+vanilla7)^0.5)-SUM($N325:N325),(Input!$N$165*(1+vanilla7)^0.5)/A22stdlife))</f>
        <v>0</v>
      </c>
      <c r="P325" s="67">
        <f>IF(A22stdlife="n/a","n/a",IF(P$3&gt;(A22stdlife+$F325),(Input!$N$165*(1+vanilla7)^0.5)-SUM($N325:O325),(Input!$N$165*(1+vanilla7)^0.5)/A22stdlife))</f>
        <v>0</v>
      </c>
      <c r="Q325" s="67">
        <f>IF(A22stdlife="n/a","n/a",IF(Q$3&gt;(A22stdlife+$F325),(Input!$N$165*(1+vanilla7)^0.5)-SUM($N325:P325),(Input!$N$165*(1+vanilla7)^0.5)/A22stdlife))</f>
        <v>0</v>
      </c>
      <c r="R325" s="67"/>
      <c r="S325" s="102"/>
      <c r="T325" s="102"/>
      <c r="U325" s="102"/>
      <c r="V325" s="102"/>
      <c r="W325" s="102"/>
      <c r="X325" s="102"/>
      <c r="Y325" s="102"/>
      <c r="Z325" s="102"/>
      <c r="AA325" s="102"/>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24.75" hidden="1" customHeight="1" outlineLevel="2">
      <c r="A326" s="9"/>
      <c r="B326" s="9"/>
      <c r="C326" s="9"/>
      <c r="D326" s="25"/>
      <c r="E326" s="482"/>
      <c r="F326" s="85">
        <v>8</v>
      </c>
      <c r="G326" s="26"/>
      <c r="H326" s="146"/>
      <c r="I326" s="148"/>
      <c r="J326" s="148"/>
      <c r="K326" s="148"/>
      <c r="L326" s="148"/>
      <c r="M326" s="148"/>
      <c r="N326" s="148"/>
      <c r="O326" s="147"/>
      <c r="P326" s="67">
        <f>IF(A22stdlife="n/a","n/a",IF(P$3&gt;(A22stdlife+$F326),(Input!$O$165*(1+vanilla8)^0.5)-SUM($O326:O326),(Input!$O$165*(1+vanilla8)^0.5)/A22stdlife))</f>
        <v>0</v>
      </c>
      <c r="Q326" s="67">
        <f>IF(A22stdlife="n/a","n/a",IF(Q$3&gt;(A22stdlife+$F326),(Input!$O$165*(1+vanilla8)^0.5)-SUM($O326:P326),(Input!$O$165*(1+vanilla8)^0.5)/A22stdlife))</f>
        <v>0</v>
      </c>
      <c r="R326" s="67"/>
      <c r="S326" s="102"/>
      <c r="T326" s="102"/>
      <c r="U326" s="102"/>
      <c r="V326" s="102"/>
      <c r="W326" s="102"/>
      <c r="X326" s="102"/>
      <c r="Y326" s="102"/>
      <c r="Z326" s="102"/>
      <c r="AA326" s="102"/>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21" hidden="1" customHeight="1" outlineLevel="2">
      <c r="A327" s="9"/>
      <c r="B327" s="9"/>
      <c r="C327" s="9"/>
      <c r="D327" s="25"/>
      <c r="E327" s="482"/>
      <c r="F327" s="85">
        <v>9</v>
      </c>
      <c r="G327" s="26"/>
      <c r="H327" s="146"/>
      <c r="I327" s="148"/>
      <c r="J327" s="148"/>
      <c r="K327" s="148"/>
      <c r="L327" s="148"/>
      <c r="M327" s="148"/>
      <c r="N327" s="148"/>
      <c r="O327" s="148"/>
      <c r="P327" s="147"/>
      <c r="Q327" s="67">
        <f>IF(A22stdlife="n/a","n/a",IF(Q$3&gt;(A22stdlife+$F327),(Input!$P$165*(1+vanilla9)^0.5)-SUM($P327:P327),(Input!$P$165*(1+vanilla9)^0.5)/A22stdlife))</f>
        <v>0</v>
      </c>
      <c r="R327" s="67"/>
      <c r="S327" s="102"/>
      <c r="T327" s="102"/>
      <c r="U327" s="102"/>
      <c r="V327" s="102"/>
      <c r="W327" s="102"/>
      <c r="X327" s="102"/>
      <c r="Y327" s="102"/>
      <c r="Z327" s="102"/>
      <c r="AA327" s="102"/>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25.5" hidden="1" customHeight="1" outlineLevel="2">
      <c r="A328" s="9"/>
      <c r="B328" s="9"/>
      <c r="C328" s="9"/>
      <c r="D328" s="25"/>
      <c r="E328" s="482"/>
      <c r="F328" s="86">
        <v>10</v>
      </c>
      <c r="G328" s="26"/>
      <c r="H328" s="146"/>
      <c r="I328" s="148"/>
      <c r="J328" s="148"/>
      <c r="K328" s="148"/>
      <c r="L328" s="148"/>
      <c r="M328" s="148"/>
      <c r="N328" s="148"/>
      <c r="O328" s="148"/>
      <c r="P328" s="148"/>
      <c r="Q328" s="147"/>
      <c r="R328" s="67"/>
      <c r="S328" s="102"/>
      <c r="T328" s="102"/>
      <c r="U328" s="102"/>
      <c r="V328" s="102"/>
      <c r="W328" s="102"/>
      <c r="X328" s="102"/>
      <c r="Y328" s="102"/>
      <c r="Z328" s="102"/>
      <c r="AA328" s="102"/>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30" hidden="1" customHeight="1" outlineLevel="1">
      <c r="A329" s="9"/>
      <c r="B329" s="9"/>
      <c r="C329" s="9"/>
      <c r="D329" s="25">
        <f>Asset22</f>
        <v>0</v>
      </c>
      <c r="E329" s="9"/>
      <c r="F329" s="9"/>
      <c r="G329" s="122"/>
      <c r="H329" s="165">
        <f>-SUM(H317:H328)</f>
        <v>0</v>
      </c>
      <c r="I329" s="165">
        <f>-SUM(I317:I328)</f>
        <v>0</v>
      </c>
      <c r="J329" s="165">
        <f>-SUM(J317:J328)</f>
        <v>0</v>
      </c>
      <c r="K329" s="165">
        <f>-SUM(K317:K328)</f>
        <v>0</v>
      </c>
      <c r="L329" s="165">
        <f>-SUM(L317:L328)</f>
        <v>0</v>
      </c>
      <c r="M329" s="165">
        <f>IF(Input!M174&gt;0, -SUM(M317:M328), 0)</f>
        <v>0</v>
      </c>
      <c r="N329" s="165">
        <f>IF(Input!N174&gt;0, -SUM(N317:N328), 0)</f>
        <v>0</v>
      </c>
      <c r="O329" s="165">
        <f>IF(Input!O174&gt;0, -SUM(O317:O328), 0)</f>
        <v>0</v>
      </c>
      <c r="P329" s="165">
        <f>IF(Input!P174&gt;0, -SUM(P317:P328), 0)</f>
        <v>0</v>
      </c>
      <c r="Q329" s="165">
        <f>IF(Input!Q174&gt;0, -SUM(Q317:Q328), 0)</f>
        <v>0</v>
      </c>
      <c r="R329" s="65"/>
      <c r="S329" s="104"/>
      <c r="T329" s="104"/>
      <c r="U329" s="104"/>
      <c r="V329" s="104"/>
      <c r="W329" s="104"/>
      <c r="X329" s="104"/>
      <c r="Y329" s="104"/>
      <c r="Z329" s="104"/>
      <c r="AA329" s="104"/>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104"/>
      <c r="BE329" s="104"/>
      <c r="BF329" s="104"/>
      <c r="BG329" s="104"/>
      <c r="BH329" s="104"/>
      <c r="BI329" s="104"/>
      <c r="BJ329" s="104"/>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5.25" hidden="1" customHeight="1" outlineLevel="2">
      <c r="A330" s="9"/>
      <c r="B330" s="9"/>
      <c r="C330" s="31">
        <f>Asset23</f>
        <v>0</v>
      </c>
      <c r="D330" s="161"/>
      <c r="E330" s="33" t="s">
        <v>28</v>
      </c>
      <c r="F330" s="32"/>
      <c r="G330" s="174"/>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5.25" hidden="1" customHeight="1" outlineLevel="2">
      <c r="A331" s="9"/>
      <c r="B331" s="9"/>
      <c r="C331" s="9"/>
      <c r="D331" s="25"/>
      <c r="E331" s="481" t="s">
        <v>83</v>
      </c>
      <c r="F331" s="85">
        <v>0</v>
      </c>
      <c r="G331" s="122"/>
      <c r="H331" s="67"/>
      <c r="I331" s="67"/>
      <c r="J331" s="67"/>
      <c r="K331" s="67"/>
      <c r="L331" s="67"/>
      <c r="M331" s="163"/>
      <c r="N331" s="111"/>
      <c r="O331" s="67"/>
      <c r="P331" s="67"/>
      <c r="Q331" s="67"/>
      <c r="R331" s="67"/>
      <c r="S331" s="102"/>
      <c r="T331" s="102"/>
      <c r="U331" s="102"/>
      <c r="V331" s="102"/>
      <c r="W331" s="102"/>
      <c r="X331" s="102"/>
      <c r="Y331" s="102"/>
      <c r="Z331" s="102"/>
      <c r="AA331" s="102"/>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102"/>
      <c r="BE331" s="102"/>
      <c r="BF331" s="102"/>
      <c r="BG331" s="102"/>
      <c r="BH331" s="102"/>
      <c r="BI331" s="102"/>
      <c r="BJ331" s="102"/>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5.25" hidden="1" customHeight="1" outlineLevel="2">
      <c r="A332" s="9"/>
      <c r="B332" s="9"/>
      <c r="C332" s="9"/>
      <c r="D332" s="25"/>
      <c r="E332" s="482"/>
      <c r="F332" s="85">
        <v>1</v>
      </c>
      <c r="G332" s="122"/>
      <c r="H332" s="145"/>
      <c r="I332" s="67">
        <f>IF(A23stdlife="n/a","n/a",IF(I$3&gt;(A23stdlife+$F332),(Input!$H$166*(1+vanilla1)^0.5)-SUM($H332:H332),(Input!$H$166*(1+vanilla1)^0.5)/A23stdlife))</f>
        <v>0</v>
      </c>
      <c r="J332" s="67">
        <f>IF(A23stdlife="n/a","n/a",IF(J$3&gt;(A23stdlife+$F332),(Input!$H$166*(1+vanilla1)^0.5)-SUM($H332:I332),(Input!$H$166*(1+vanilla1)^0.5)/A23stdlife))</f>
        <v>0</v>
      </c>
      <c r="K332" s="67">
        <f>IF(A23stdlife="n/a","n/a",IF(K$3&gt;(A23stdlife+$F332),(Input!$H$166*(1+vanilla1)^0.5)-SUM($H332:J332),(Input!$H$166*(1+vanilla1)^0.5)/A23stdlife))</f>
        <v>0</v>
      </c>
      <c r="L332" s="67">
        <f>IF(A23stdlife="n/a","n/a",IF(L$3&gt;(A23stdlife+$F332),(Input!$H$166*(1+vanilla1)^0.5)-SUM($H332:K332),(Input!$H$166*(1+vanilla1)^0.5)/A23stdlife))</f>
        <v>0</v>
      </c>
      <c r="M332" s="67">
        <f>IF(A23stdlife="n/a","n/a",IF(M$3&gt;(A23stdlife+$F332),(Input!$H$166*(1+vanilla1)^0.5)-SUM($H332:L332),(Input!$H$166*(1+vanilla1)^0.5)/A23stdlife))</f>
        <v>0</v>
      </c>
      <c r="N332" s="67">
        <f>IF(A23stdlife="n/a","n/a",IF(N$3&gt;(A23stdlife+$F332),(Input!$H$166*(1+vanilla1)^0.5)-SUM($H332:M332),(Input!$H$166*(1+vanilla1)^0.5)/A23stdlife))</f>
        <v>0</v>
      </c>
      <c r="O332" s="67">
        <f>IF(A23stdlife="n/a","n/a",IF(O$3&gt;(A23stdlife+$F332),(Input!$H$166*(1+vanilla1)^0.5)-SUM($H332:N332),(Input!$H$166*(1+vanilla1)^0.5)/A23stdlife))</f>
        <v>0</v>
      </c>
      <c r="P332" s="67">
        <f>IF(A23stdlife="n/a","n/a",IF(P$3&gt;(A23stdlife+$F332),(Input!$H$166*(1+vanilla1)^0.5)-SUM($H332:O332),(Input!$H$166*(1+vanilla1)^0.5)/A23stdlife))</f>
        <v>0</v>
      </c>
      <c r="Q332" s="67">
        <f>IF(A23stdlife="n/a","n/a",IF(Q$3&gt;(A23stdlife+$F332),(Input!$H$166*(1+vanilla1)^0.5)-SUM($H332:P332),(Input!$H$166*(1+vanilla1)^0.5)/A23stdlife))</f>
        <v>0</v>
      </c>
      <c r="R332" s="67"/>
      <c r="S332" s="102"/>
      <c r="T332" s="102"/>
      <c r="U332" s="102"/>
      <c r="V332" s="102"/>
      <c r="W332" s="102"/>
      <c r="X332" s="102"/>
      <c r="Y332" s="102"/>
      <c r="Z332" s="102"/>
      <c r="AA332" s="102"/>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5.25" hidden="1" customHeight="1" outlineLevel="2">
      <c r="A333" s="9"/>
      <c r="B333" s="9"/>
      <c r="C333" s="9"/>
      <c r="D333" s="25"/>
      <c r="E333" s="482"/>
      <c r="F333" s="85">
        <v>2</v>
      </c>
      <c r="G333" s="122"/>
      <c r="H333" s="146"/>
      <c r="I333" s="147"/>
      <c r="J333" s="67">
        <f>IF(A23stdlife="n/a","n/a",IF(J$3&gt;(A23stdlife+$F333),(Input!$I$166*(1+vanilla2)^0.5)-SUM($I333:I333),(Input!$I$166*(1+vanilla2)^0.5)/A23stdlife))</f>
        <v>0</v>
      </c>
      <c r="K333" s="67">
        <f>IF(A23stdlife="n/a","n/a",IF(K$3&gt;(A23stdlife+$F333),(Input!$I$166*(1+vanilla2)^0.5)-SUM($I333:J333),(Input!$I$166*(1+vanilla2)^0.5)/A23stdlife))</f>
        <v>0</v>
      </c>
      <c r="L333" s="67">
        <f>IF(A23stdlife="n/a","n/a",IF(L$3&gt;(A23stdlife+$F333),(Input!$I$166*(1+vanilla2)^0.5)-SUM($I333:K333),(Input!$I$166*(1+vanilla2)^0.5)/A23stdlife))</f>
        <v>0</v>
      </c>
      <c r="M333" s="67">
        <f>IF(A23stdlife="n/a","n/a",IF(M$3&gt;(A23stdlife+$F333),(Input!$I$166*(1+vanilla2)^0.5)-SUM($I333:L333),(Input!$I$166*(1+vanilla2)^0.5)/A23stdlife))</f>
        <v>0</v>
      </c>
      <c r="N333" s="67">
        <f>IF(A23stdlife="n/a","n/a",IF(N$3&gt;(A23stdlife+$F333),(Input!$I$166*(1+vanilla2)^0.5)-SUM($I333:M333),(Input!$I$166*(1+vanilla2)^0.5)/A23stdlife))</f>
        <v>0</v>
      </c>
      <c r="O333" s="67">
        <f>IF(A23stdlife="n/a","n/a",IF(O$3&gt;(A23stdlife+$F333),(Input!$I$166*(1+vanilla2)^0.5)-SUM($I333:N333),(Input!$I$166*(1+vanilla2)^0.5)/A23stdlife))</f>
        <v>0</v>
      </c>
      <c r="P333" s="67">
        <f>IF(A23stdlife="n/a","n/a",IF(P$3&gt;(A23stdlife+$F333),(Input!$I$166*(1+vanilla2)^0.5)-SUM($I333:O333),(Input!$I$166*(1+vanilla2)^0.5)/A23stdlife))</f>
        <v>0</v>
      </c>
      <c r="Q333" s="67">
        <f>IF(A23stdlife="n/a","n/a",IF(Q$3&gt;(A23stdlife+$F333),(Input!$I$166*(1+vanilla2)^0.5)-SUM($I333:P333),(Input!$I$166*(1+vanilla2)^0.5)/A23stdlife))</f>
        <v>0</v>
      </c>
      <c r="R333" s="67"/>
      <c r="S333" s="102"/>
      <c r="T333" s="102"/>
      <c r="U333" s="102"/>
      <c r="V333" s="102"/>
      <c r="W333" s="102"/>
      <c r="X333" s="102"/>
      <c r="Y333" s="102"/>
      <c r="Z333" s="102"/>
      <c r="AA333" s="102"/>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5.25" hidden="1" customHeight="1" outlineLevel="2">
      <c r="A334" s="9"/>
      <c r="B334" s="9"/>
      <c r="C334" s="9"/>
      <c r="D334" s="25"/>
      <c r="E334" s="482"/>
      <c r="F334" s="85">
        <v>3</v>
      </c>
      <c r="G334" s="122"/>
      <c r="H334" s="146"/>
      <c r="I334" s="148"/>
      <c r="J334" s="147"/>
      <c r="K334" s="67">
        <f>IF(A23stdlife="n/a","n/a",IF(K$3&gt;(A23stdlife+$F334),(Input!$J$166*(1+vanilla3)^0.5)-SUM($J334:J334),(Input!$J$166*(1+vanilla3)^0.5)/A23stdlife))</f>
        <v>0</v>
      </c>
      <c r="L334" s="67">
        <f>IF(A23stdlife="n/a","n/a",IF(L$3&gt;(A23stdlife+$F334),(Input!$J$166*(1+vanilla3)^0.5)-SUM($J334:K334),(Input!$J$166*(1+vanilla3)^0.5)/A23stdlife))</f>
        <v>0</v>
      </c>
      <c r="M334" s="67">
        <f>IF(A23stdlife="n/a","n/a",IF(M$3&gt;(A23stdlife+$F334),(Input!$J$166*(1+vanilla3)^0.5)-SUM($J334:L334),(Input!$J$166*(1+vanilla3)^0.5)/A23stdlife))</f>
        <v>0</v>
      </c>
      <c r="N334" s="67">
        <f>IF(A23stdlife="n/a","n/a",IF(N$3&gt;(A23stdlife+$F334),(Input!$J$166*(1+vanilla3)^0.5)-SUM($J334:M334),(Input!$J$166*(1+vanilla3)^0.5)/A23stdlife))</f>
        <v>0</v>
      </c>
      <c r="O334" s="67">
        <f>IF(A23stdlife="n/a","n/a",IF(O$3&gt;(A23stdlife+$F334),(Input!$J$166*(1+vanilla3)^0.5)-SUM($J334:N334),(Input!$J$166*(1+vanilla3)^0.5)/A23stdlife))</f>
        <v>0</v>
      </c>
      <c r="P334" s="67">
        <f>IF(A23stdlife="n/a","n/a",IF(P$3&gt;(A23stdlife+$F334),(Input!$J$166*(1+vanilla3)^0.5)-SUM($J334:O334),(Input!$J$166*(1+vanilla3)^0.5)/A23stdlife))</f>
        <v>0</v>
      </c>
      <c r="Q334" s="67">
        <f>IF(A23stdlife="n/a","n/a",IF(Q$3&gt;(A23stdlife+$F334),(Input!$J$166*(1+vanilla3)^0.5)-SUM($J334:P334),(Input!$J$166*(1+vanilla3)^0.5)/A23stdlife))</f>
        <v>0</v>
      </c>
      <c r="R334" s="67"/>
      <c r="S334" s="102"/>
      <c r="T334" s="102"/>
      <c r="U334" s="102"/>
      <c r="V334" s="102"/>
      <c r="W334" s="102"/>
      <c r="X334" s="102"/>
      <c r="Y334" s="102"/>
      <c r="Z334" s="102"/>
      <c r="AA334" s="102"/>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5.25" hidden="1" customHeight="1" outlineLevel="2">
      <c r="A335" s="9"/>
      <c r="B335" s="9"/>
      <c r="C335" s="9"/>
      <c r="D335" s="25"/>
      <c r="E335" s="482"/>
      <c r="F335" s="85">
        <v>4</v>
      </c>
      <c r="G335" s="122"/>
      <c r="H335" s="146"/>
      <c r="I335" s="148"/>
      <c r="J335" s="148"/>
      <c r="K335" s="147"/>
      <c r="L335" s="67">
        <f>IF(A23stdlife="n/a","n/a",IF(L$3&gt;(A23stdlife+$F335),(Input!$K$166*(1+vanilla4)^0.5)-SUM($K335:K335),(Input!$K$166*(1+vanilla4)^0.5)/A23stdlife))</f>
        <v>0</v>
      </c>
      <c r="M335" s="67">
        <f>IF(A23stdlife="n/a","n/a",IF(M$3&gt;(A23stdlife+$F335),(Input!$K$166*(1+vanilla4)^0.5)-SUM($K335:L335),(Input!$K$166*(1+vanilla4)^0.5)/A23stdlife))</f>
        <v>0</v>
      </c>
      <c r="N335" s="67">
        <f>IF(A23stdlife="n/a","n/a",IF(N$3&gt;(A23stdlife+$F335),(Input!$K$166*(1+vanilla4)^0.5)-SUM($K335:M335),(Input!$K$166*(1+vanilla4)^0.5)/A23stdlife))</f>
        <v>0</v>
      </c>
      <c r="O335" s="67">
        <f>IF(A23stdlife="n/a","n/a",IF(O$3&gt;(A23stdlife+$F335),(Input!$K$166*(1+vanilla4)^0.5)-SUM($K335:N335),(Input!$K$166*(1+vanilla4)^0.5)/A23stdlife))</f>
        <v>0</v>
      </c>
      <c r="P335" s="67">
        <f>IF(A23stdlife="n/a","n/a",IF(P$3&gt;(A23stdlife+$F335),(Input!$K$166*(1+vanilla4)^0.5)-SUM($K335:O335),(Input!$K$166*(1+vanilla4)^0.5)/A23stdlife))</f>
        <v>0</v>
      </c>
      <c r="Q335" s="67">
        <f>IF(A23stdlife="n/a","n/a",IF(Q$3&gt;(A23stdlife+$F335),(Input!$K$166*(1+vanilla4)^0.5)-SUM($K335:P335),(Input!$K$166*(1+vanilla4)^0.5)/A23stdlife))</f>
        <v>0</v>
      </c>
      <c r="R335" s="67"/>
      <c r="S335" s="102"/>
      <c r="T335" s="102"/>
      <c r="U335" s="102"/>
      <c r="V335" s="102"/>
      <c r="W335" s="102"/>
      <c r="X335" s="102"/>
      <c r="Y335" s="102"/>
      <c r="Z335" s="102"/>
      <c r="AA335" s="102"/>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5.25" hidden="1" customHeight="1" outlineLevel="2">
      <c r="A336" s="9"/>
      <c r="B336" s="9"/>
      <c r="C336" s="9"/>
      <c r="D336" s="25"/>
      <c r="E336" s="482"/>
      <c r="F336" s="85">
        <v>5</v>
      </c>
      <c r="G336" s="26"/>
      <c r="H336" s="146"/>
      <c r="I336" s="148"/>
      <c r="J336" s="148"/>
      <c r="K336" s="148"/>
      <c r="L336" s="147"/>
      <c r="M336" s="67">
        <f>IF(A23stdlife="n/a","n/a",IF(M$3&gt;(A23stdlife+$F336),(Input!$L$166*(1+vanilla5)^0.5)-SUM($L336:L336),(Input!$L$166*(1+vanilla5)^0.5)/A23stdlife))</f>
        <v>0</v>
      </c>
      <c r="N336" s="67">
        <f>IF(A23stdlife="n/a","n/a",IF(N$3&gt;(A23stdlife+$F336),(Input!$L$166*(1+vanilla5)^0.5)-SUM($L336:M336),(Input!$L$166*(1+vanilla5)^0.5)/A23stdlife))</f>
        <v>0</v>
      </c>
      <c r="O336" s="67">
        <f>IF(A23stdlife="n/a","n/a",IF(O$3&gt;(A23stdlife+$F336),(Input!$L$166*(1+vanilla5)^0.5)-SUM($L336:N336),(Input!$L$166*(1+vanilla5)^0.5)/A23stdlife))</f>
        <v>0</v>
      </c>
      <c r="P336" s="67">
        <f>IF(A23stdlife="n/a","n/a",IF(P$3&gt;(A23stdlife+$F336),(Input!$L$166*(1+vanilla5)^0.5)-SUM($L336:O336),(Input!$L$166*(1+vanilla5)^0.5)/A23stdlife))</f>
        <v>0</v>
      </c>
      <c r="Q336" s="67">
        <f>IF(A23stdlife="n/a","n/a",IF(Q$3&gt;(A23stdlife+$F336),(Input!$L$166*(1+vanilla5)^0.5)-SUM($L336:P336),(Input!$L$166*(1+vanilla5)^0.5)/A23stdlife))</f>
        <v>0</v>
      </c>
      <c r="R336" s="67"/>
      <c r="S336" s="102"/>
      <c r="T336" s="102"/>
      <c r="U336" s="102"/>
      <c r="V336" s="102"/>
      <c r="W336" s="102"/>
      <c r="X336" s="102"/>
      <c r="Y336" s="102"/>
      <c r="Z336" s="102"/>
      <c r="AA336" s="102"/>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5.25" hidden="1" customHeight="1" outlineLevel="2">
      <c r="A337" s="9"/>
      <c r="B337" s="9"/>
      <c r="C337" s="9"/>
      <c r="D337" s="25"/>
      <c r="E337" s="482"/>
      <c r="F337" s="85">
        <v>6</v>
      </c>
      <c r="G337" s="26"/>
      <c r="H337" s="146"/>
      <c r="I337" s="148"/>
      <c r="J337" s="148"/>
      <c r="K337" s="148"/>
      <c r="L337" s="148"/>
      <c r="M337" s="147"/>
      <c r="N337" s="67">
        <f>IF(A23stdlife="n/a","n/a",IF(N$3&gt;(A23stdlife+$F337),(Input!$M$166*(1+vanilla6)^0.5)-SUM($M337:M337),(Input!$M$166*(1+vanilla6)^0.5)/A23stdlife))</f>
        <v>0</v>
      </c>
      <c r="O337" s="67">
        <f>IF(A23stdlife="n/a","n/a",IF(O$3&gt;(A23stdlife+$F337),(Input!$M$166*(1+vanilla6)^0.5)-SUM($M337:N337),(Input!$M$166*(1+vanilla6)^0.5)/A23stdlife))</f>
        <v>0</v>
      </c>
      <c r="P337" s="67">
        <f>IF(A23stdlife="n/a","n/a",IF(P$3&gt;(A23stdlife+$F337),(Input!$M$166*(1+vanilla6)^0.5)-SUM($M337:O337),(Input!$M$166*(1+vanilla6)^0.5)/A23stdlife))</f>
        <v>0</v>
      </c>
      <c r="Q337" s="67">
        <f>IF(A23stdlife="n/a","n/a",IF(Q$3&gt;(A23stdlife+$F337),(Input!$M$166*(1+vanilla6)^0.5)-SUM($M337:P337),(Input!$M$166*(1+vanilla6)^0.5)/A23stdlife))</f>
        <v>0</v>
      </c>
      <c r="R337" s="67"/>
      <c r="S337" s="102"/>
      <c r="T337" s="102"/>
      <c r="U337" s="102"/>
      <c r="V337" s="102"/>
      <c r="W337" s="102"/>
      <c r="X337" s="102"/>
      <c r="Y337" s="102"/>
      <c r="Z337" s="102"/>
      <c r="AA337" s="102"/>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5.25" hidden="1" customHeight="1" outlineLevel="2">
      <c r="A338" s="9"/>
      <c r="B338" s="9"/>
      <c r="C338" s="9"/>
      <c r="D338" s="25"/>
      <c r="E338" s="482"/>
      <c r="F338" s="85">
        <v>7</v>
      </c>
      <c r="G338" s="26"/>
      <c r="H338" s="146"/>
      <c r="I338" s="148"/>
      <c r="J338" s="148"/>
      <c r="K338" s="148"/>
      <c r="L338" s="148"/>
      <c r="M338" s="148"/>
      <c r="N338" s="147"/>
      <c r="O338" s="67">
        <f>IF(A23stdlife="n/a","n/a",IF(O$3&gt;(A23stdlife+$F338),(Input!$N$166*(1+vanilla7)^0.5)-SUM($N338:N338),(Input!$N$166*(1+vanilla7)^0.5)/A23stdlife))</f>
        <v>0</v>
      </c>
      <c r="P338" s="67">
        <f>IF(A23stdlife="n/a","n/a",IF(P$3&gt;(A23stdlife+$F338),(Input!$N$166*(1+vanilla7)^0.5)-SUM($N338:O338),(Input!$N$166*(1+vanilla7)^0.5)/A23stdlife))</f>
        <v>0</v>
      </c>
      <c r="Q338" s="67">
        <f>IF(A23stdlife="n/a","n/a",IF(Q$3&gt;(A23stdlife+$F338),(Input!$N$166*(1+vanilla7)^0.5)-SUM($N338:P338),(Input!$N$166*(1+vanilla7)^0.5)/A23stdlife))</f>
        <v>0</v>
      </c>
      <c r="R338" s="67"/>
      <c r="S338" s="102"/>
      <c r="T338" s="102"/>
      <c r="U338" s="102"/>
      <c r="V338" s="102"/>
      <c r="W338" s="102"/>
      <c r="X338" s="102"/>
      <c r="Y338" s="102"/>
      <c r="Z338" s="102"/>
      <c r="AA338" s="102"/>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5.25" hidden="1" customHeight="1" outlineLevel="2">
      <c r="A339" s="9"/>
      <c r="B339" s="9"/>
      <c r="C339" s="9"/>
      <c r="D339" s="25"/>
      <c r="E339" s="482"/>
      <c r="F339" s="85">
        <v>8</v>
      </c>
      <c r="G339" s="26"/>
      <c r="H339" s="146"/>
      <c r="I339" s="148"/>
      <c r="J339" s="148"/>
      <c r="K339" s="148"/>
      <c r="L339" s="148"/>
      <c r="M339" s="148"/>
      <c r="N339" s="148"/>
      <c r="O339" s="147"/>
      <c r="P339" s="67">
        <f>IF(A23stdlife="n/a","n/a",IF(P$3&gt;(A23stdlife+$F339),(Input!$O$166*(1+vanilla8)^0.5)-SUM($O339:O339),(Input!$O$166*(1+vanilla8)^0.5)/A23stdlife))</f>
        <v>0</v>
      </c>
      <c r="Q339" s="67">
        <f>IF(A23stdlife="n/a","n/a",IF(Q$3&gt;(A23stdlife+$F339),(Input!$O$166*(1+vanilla8)^0.5)-SUM($O339:P339),(Input!$O$166*(1+vanilla8)^0.5)/A23stdlife))</f>
        <v>0</v>
      </c>
      <c r="R339" s="67"/>
      <c r="S339" s="102"/>
      <c r="T339" s="102"/>
      <c r="U339" s="102"/>
      <c r="V339" s="102"/>
      <c r="W339" s="102"/>
      <c r="X339" s="102"/>
      <c r="Y339" s="102"/>
      <c r="Z339" s="102"/>
      <c r="AA339" s="102"/>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5.25" hidden="1" customHeight="1" outlineLevel="2">
      <c r="A340" s="9"/>
      <c r="B340" s="9"/>
      <c r="C340" s="9"/>
      <c r="D340" s="25"/>
      <c r="E340" s="482"/>
      <c r="F340" s="85">
        <v>9</v>
      </c>
      <c r="G340" s="26"/>
      <c r="H340" s="146"/>
      <c r="I340" s="148"/>
      <c r="J340" s="148"/>
      <c r="K340" s="148"/>
      <c r="L340" s="148"/>
      <c r="M340" s="148"/>
      <c r="N340" s="148"/>
      <c r="O340" s="148"/>
      <c r="P340" s="147"/>
      <c r="Q340" s="67">
        <f>IF(A23stdlife="n/a","n/a",IF(Q$3&gt;(A23stdlife+$F340),(Input!$P$166*(1+vanilla9)^0.5)-SUM($P340:P340),(Input!$P$166*(1+vanilla9)^0.5)/A23stdlife))</f>
        <v>0</v>
      </c>
      <c r="R340" s="67"/>
      <c r="S340" s="102"/>
      <c r="T340" s="102"/>
      <c r="U340" s="102"/>
      <c r="V340" s="102"/>
      <c r="W340" s="102"/>
      <c r="X340" s="102"/>
      <c r="Y340" s="102"/>
      <c r="Z340" s="102"/>
      <c r="AA340" s="102"/>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5.25" hidden="1" customHeight="1" outlineLevel="2">
      <c r="A341" s="9"/>
      <c r="B341" s="9"/>
      <c r="C341" s="9"/>
      <c r="D341" s="25"/>
      <c r="E341" s="482"/>
      <c r="F341" s="86">
        <v>10</v>
      </c>
      <c r="G341" s="26"/>
      <c r="H341" s="146"/>
      <c r="I341" s="148"/>
      <c r="J341" s="148"/>
      <c r="K341" s="148"/>
      <c r="L341" s="148"/>
      <c r="M341" s="148"/>
      <c r="N341" s="148"/>
      <c r="O341" s="148"/>
      <c r="P341" s="148"/>
      <c r="Q341" s="147"/>
      <c r="R341" s="67"/>
      <c r="S341" s="102"/>
      <c r="T341" s="102"/>
      <c r="U341" s="102"/>
      <c r="V341" s="102"/>
      <c r="W341" s="102"/>
      <c r="X341" s="102"/>
      <c r="Y341" s="102"/>
      <c r="Z341" s="102"/>
      <c r="AA341" s="102"/>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27" hidden="1" customHeight="1" outlineLevel="1">
      <c r="A342" s="9"/>
      <c r="B342" s="9"/>
      <c r="C342" s="9"/>
      <c r="D342" s="25">
        <f>Asset23</f>
        <v>0</v>
      </c>
      <c r="E342" s="9"/>
      <c r="F342" s="9"/>
      <c r="G342" s="122"/>
      <c r="H342" s="165">
        <f>-SUM(H330:H341)</f>
        <v>0</v>
      </c>
      <c r="I342" s="165">
        <f>-SUM(I330:I341)</f>
        <v>0</v>
      </c>
      <c r="J342" s="165">
        <f>-SUM(J330:J341)</f>
        <v>0</v>
      </c>
      <c r="K342" s="165">
        <f>-SUM(K330:K341)</f>
        <v>0</v>
      </c>
      <c r="L342" s="165">
        <f>-SUM(L330:L341)</f>
        <v>0</v>
      </c>
      <c r="M342" s="165">
        <f>IF(Input!M174&gt;0, -SUM(M330:M341), 0)</f>
        <v>0</v>
      </c>
      <c r="N342" s="165">
        <f>IF(Input!N174&gt;0, -SUM(N330:N341), 0)</f>
        <v>0</v>
      </c>
      <c r="O342" s="165">
        <f>IF(Input!O174&gt;0, -SUM(O330:O341), 0)</f>
        <v>0</v>
      </c>
      <c r="P342" s="165">
        <f>IF(Input!P174&gt;0, -SUM(P330:P341), 0)</f>
        <v>0</v>
      </c>
      <c r="Q342" s="165">
        <f>IF(Input!Q174&gt;0, -SUM(Q330:Q341), 0)</f>
        <v>0</v>
      </c>
      <c r="R342" s="65"/>
      <c r="S342" s="104"/>
      <c r="T342" s="104"/>
      <c r="U342" s="104"/>
      <c r="V342" s="104"/>
      <c r="W342" s="104"/>
      <c r="X342" s="104"/>
      <c r="Y342" s="104"/>
      <c r="Z342" s="104"/>
      <c r="AA342" s="104"/>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104"/>
      <c r="BE342" s="104"/>
      <c r="BF342" s="104"/>
      <c r="BG342" s="104"/>
      <c r="BH342" s="104"/>
      <c r="BI342" s="104"/>
      <c r="BJ342" s="104"/>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5.25" hidden="1" customHeight="1" outlineLevel="2">
      <c r="A343" s="9"/>
      <c r="B343" s="9"/>
      <c r="C343" s="31">
        <f>Asset24</f>
        <v>0</v>
      </c>
      <c r="D343" s="161"/>
      <c r="E343" s="33" t="s">
        <v>28</v>
      </c>
      <c r="F343" s="32"/>
      <c r="G343" s="174"/>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5.25" hidden="1" customHeight="1" outlineLevel="2">
      <c r="A344" s="9"/>
      <c r="B344" s="9"/>
      <c r="C344" s="9"/>
      <c r="D344" s="25"/>
      <c r="E344" s="481" t="s">
        <v>83</v>
      </c>
      <c r="F344" s="85">
        <v>0</v>
      </c>
      <c r="G344" s="122"/>
      <c r="H344" s="67"/>
      <c r="I344" s="67"/>
      <c r="J344" s="67"/>
      <c r="K344" s="67"/>
      <c r="L344" s="67"/>
      <c r="M344" s="163"/>
      <c r="N344" s="111"/>
      <c r="O344" s="67"/>
      <c r="P344" s="67"/>
      <c r="Q344" s="67"/>
      <c r="R344" s="67"/>
      <c r="S344" s="102"/>
      <c r="T344" s="102"/>
      <c r="U344" s="102"/>
      <c r="V344" s="102"/>
      <c r="W344" s="102"/>
      <c r="X344" s="102"/>
      <c r="Y344" s="102"/>
      <c r="Z344" s="102"/>
      <c r="AA344" s="102"/>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102"/>
      <c r="BE344" s="102"/>
      <c r="BF344" s="102"/>
      <c r="BG344" s="102"/>
      <c r="BH344" s="102"/>
      <c r="BI344" s="102"/>
      <c r="BJ344" s="102"/>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5.25" hidden="1" customHeight="1" outlineLevel="2">
      <c r="A345" s="9"/>
      <c r="B345" s="9"/>
      <c r="C345" s="9"/>
      <c r="D345" s="25"/>
      <c r="E345" s="482"/>
      <c r="F345" s="85">
        <v>1</v>
      </c>
      <c r="G345" s="122"/>
      <c r="H345" s="145"/>
      <c r="I345" s="67">
        <f>IF(A24stdlife="n/a","n/a",IF(I$3&gt;(A24stdlife+$F345),(Input!$H$167*(1+vanilla1)^0.5)-SUM($H345:H345),(Input!$H$167*(1+vanilla1)^0.5)/A24stdlife))</f>
        <v>0</v>
      </c>
      <c r="J345" s="67">
        <f>IF(A24stdlife="n/a","n/a",IF(J$3&gt;(A24stdlife+$F345),(Input!$H$167*(1+vanilla1)^0.5)-SUM($H345:I345),(Input!$H$167*(1+vanilla1)^0.5)/A24stdlife))</f>
        <v>0</v>
      </c>
      <c r="K345" s="67">
        <f>IF(A24stdlife="n/a","n/a",IF(K$3&gt;(A24stdlife+$F345),(Input!$H$167*(1+vanilla1)^0.5)-SUM($H345:J345),(Input!$H$167*(1+vanilla1)^0.5)/A24stdlife))</f>
        <v>0</v>
      </c>
      <c r="L345" s="67">
        <f>IF(A24stdlife="n/a","n/a",IF(L$3&gt;(A24stdlife+$F345),(Input!$H$167*(1+vanilla1)^0.5)-SUM($H345:K345),(Input!$H$167*(1+vanilla1)^0.5)/A24stdlife))</f>
        <v>0</v>
      </c>
      <c r="M345" s="67">
        <f>IF(A24stdlife="n/a","n/a",IF(M$3&gt;(A24stdlife+$F345),(Input!$H$167*(1+vanilla1)^0.5)-SUM($H345:L345),(Input!$H$167*(1+vanilla1)^0.5)/A24stdlife))</f>
        <v>0</v>
      </c>
      <c r="N345" s="67">
        <f>IF(A24stdlife="n/a","n/a",IF(N$3&gt;(A24stdlife+$F345),(Input!$H$167*(1+vanilla1)^0.5)-SUM($H345:M345),(Input!$H$167*(1+vanilla1)^0.5)/A24stdlife))</f>
        <v>0</v>
      </c>
      <c r="O345" s="67">
        <f>IF(A24stdlife="n/a","n/a",IF(O$3&gt;(A24stdlife+$F345),(Input!$H$167*(1+vanilla1)^0.5)-SUM($H345:N345),(Input!$H$167*(1+vanilla1)^0.5)/A24stdlife))</f>
        <v>0</v>
      </c>
      <c r="P345" s="67">
        <f>IF(A24stdlife="n/a","n/a",IF(P$3&gt;(A24stdlife+$F345),(Input!$H$167*(1+vanilla1)^0.5)-SUM($H345:O345),(Input!$H$167*(1+vanilla1)^0.5)/A24stdlife))</f>
        <v>0</v>
      </c>
      <c r="Q345" s="67">
        <f>IF(A24stdlife="n/a","n/a",IF(Q$3&gt;(A24stdlife+$F345),(Input!$H$167*(1+vanilla1)^0.5)-SUM($H345:P345),(Input!$H$167*(1+vanilla1)^0.5)/A24stdlife))</f>
        <v>0</v>
      </c>
      <c r="R345" s="67"/>
      <c r="S345" s="102"/>
      <c r="T345" s="102"/>
      <c r="U345" s="102"/>
      <c r="V345" s="102"/>
      <c r="W345" s="102"/>
      <c r="X345" s="102"/>
      <c r="Y345" s="102"/>
      <c r="Z345" s="102"/>
      <c r="AA345" s="102"/>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5.25" hidden="1" customHeight="1" outlineLevel="2">
      <c r="A346" s="9"/>
      <c r="B346" s="9"/>
      <c r="C346" s="9"/>
      <c r="D346" s="25"/>
      <c r="E346" s="482"/>
      <c r="F346" s="85">
        <v>2</v>
      </c>
      <c r="G346" s="122"/>
      <c r="H346" s="146"/>
      <c r="I346" s="147"/>
      <c r="J346" s="67">
        <f>IF(A24stdlife="n/a","n/a",IF(J$3&gt;(A24stdlife+$F346),(Input!$I$167*(1+vanilla2)^0.5)-SUM($I346:I346),(Input!$I$167*(1+vanilla2)^0.5)/A24stdlife))</f>
        <v>0</v>
      </c>
      <c r="K346" s="67">
        <f>IF(A24stdlife="n/a","n/a",IF(K$3&gt;(A24stdlife+$F346),(Input!$I$167*(1+vanilla2)^0.5)-SUM($I346:J346),(Input!$I$167*(1+vanilla2)^0.5)/A24stdlife))</f>
        <v>0</v>
      </c>
      <c r="L346" s="67">
        <f>IF(A24stdlife="n/a","n/a",IF(L$3&gt;(A24stdlife+$F346),(Input!$I$167*(1+vanilla2)^0.5)-SUM($I346:K346),(Input!$I$167*(1+vanilla2)^0.5)/A24stdlife))</f>
        <v>0</v>
      </c>
      <c r="M346" s="67">
        <f>IF(A24stdlife="n/a","n/a",IF(M$3&gt;(A24stdlife+$F346),(Input!$I$167*(1+vanilla2)^0.5)-SUM($I346:L346),(Input!$I$167*(1+vanilla2)^0.5)/A24stdlife))</f>
        <v>0</v>
      </c>
      <c r="N346" s="67">
        <f>IF(A24stdlife="n/a","n/a",IF(N$3&gt;(A24stdlife+$F346),(Input!$I$167*(1+vanilla2)^0.5)-SUM($I346:M346),(Input!$I$167*(1+vanilla2)^0.5)/A24stdlife))</f>
        <v>0</v>
      </c>
      <c r="O346" s="67">
        <f>IF(A24stdlife="n/a","n/a",IF(O$3&gt;(A24stdlife+$F346),(Input!$I$167*(1+vanilla2)^0.5)-SUM($I346:N346),(Input!$I$167*(1+vanilla2)^0.5)/A24stdlife))</f>
        <v>0</v>
      </c>
      <c r="P346" s="67">
        <f>IF(A24stdlife="n/a","n/a",IF(P$3&gt;(A24stdlife+$F346),(Input!$I$167*(1+vanilla2)^0.5)-SUM($I346:O346),(Input!$I$167*(1+vanilla2)^0.5)/A24stdlife))</f>
        <v>0</v>
      </c>
      <c r="Q346" s="67">
        <f>IF(A24stdlife="n/a","n/a",IF(Q$3&gt;(A24stdlife+$F346),(Input!$I$167*(1+vanilla2)^0.5)-SUM($I346:P346),(Input!$I$167*(1+vanilla2)^0.5)/A24stdlife))</f>
        <v>0</v>
      </c>
      <c r="R346" s="67"/>
      <c r="S346" s="102"/>
      <c r="T346" s="102"/>
      <c r="U346" s="102"/>
      <c r="V346" s="102"/>
      <c r="W346" s="102"/>
      <c r="X346" s="102"/>
      <c r="Y346" s="102"/>
      <c r="Z346" s="102"/>
      <c r="AA346" s="102"/>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5.25" hidden="1" customHeight="1" outlineLevel="2">
      <c r="A347" s="9"/>
      <c r="B347" s="9"/>
      <c r="C347" s="9"/>
      <c r="D347" s="25"/>
      <c r="E347" s="482"/>
      <c r="F347" s="85">
        <v>3</v>
      </c>
      <c r="G347" s="122"/>
      <c r="H347" s="146"/>
      <c r="I347" s="148"/>
      <c r="J347" s="147"/>
      <c r="K347" s="67">
        <f>IF(A24stdlife="n/a","n/a",IF(K$3&gt;(A24stdlife+$F347),(Input!$J$167*(1+vanilla3)^0.5)-SUM($J347:J347),(Input!$J$167*(1+vanilla3)^0.5)/A24stdlife))</f>
        <v>0</v>
      </c>
      <c r="L347" s="67">
        <f>IF(A24stdlife="n/a","n/a",IF(L$3&gt;(A24stdlife+$F347),(Input!$J$167*(1+vanilla3)^0.5)-SUM($J347:K347),(Input!$J$167*(1+vanilla3)^0.5)/A24stdlife))</f>
        <v>0</v>
      </c>
      <c r="M347" s="67">
        <f>IF(A24stdlife="n/a","n/a",IF(M$3&gt;(A24stdlife+$F347),(Input!$J$167*(1+vanilla3)^0.5)-SUM($J347:L347),(Input!$J$167*(1+vanilla3)^0.5)/A24stdlife))</f>
        <v>0</v>
      </c>
      <c r="N347" s="67">
        <f>IF(A24stdlife="n/a","n/a",IF(N$3&gt;(A24stdlife+$F347),(Input!$J$167*(1+vanilla3)^0.5)-SUM($J347:M347),(Input!$J$167*(1+vanilla3)^0.5)/A24stdlife))</f>
        <v>0</v>
      </c>
      <c r="O347" s="67">
        <f>IF(A24stdlife="n/a","n/a",IF(O$3&gt;(A24stdlife+$F347),(Input!$J$167*(1+vanilla3)^0.5)-SUM($J347:N347),(Input!$J$167*(1+vanilla3)^0.5)/A24stdlife))</f>
        <v>0</v>
      </c>
      <c r="P347" s="67">
        <f>IF(A24stdlife="n/a","n/a",IF(P$3&gt;(A24stdlife+$F347),(Input!$J$167*(1+vanilla3)^0.5)-SUM($J347:O347),(Input!$J$167*(1+vanilla3)^0.5)/A24stdlife))</f>
        <v>0</v>
      </c>
      <c r="Q347" s="67">
        <f>IF(A24stdlife="n/a","n/a",IF(Q$3&gt;(A24stdlife+$F347),(Input!$J$167*(1+vanilla3)^0.5)-SUM($J347:P347),(Input!$J$167*(1+vanilla3)^0.5)/A24stdlife))</f>
        <v>0</v>
      </c>
      <c r="R347" s="67"/>
      <c r="S347" s="102"/>
      <c r="T347" s="102"/>
      <c r="U347" s="102"/>
      <c r="V347" s="102"/>
      <c r="W347" s="102"/>
      <c r="X347" s="102"/>
      <c r="Y347" s="102"/>
      <c r="Z347" s="102"/>
      <c r="AA347" s="102"/>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5.25" hidden="1" customHeight="1" outlineLevel="2">
      <c r="A348" s="9"/>
      <c r="B348" s="9"/>
      <c r="C348" s="9"/>
      <c r="D348" s="25"/>
      <c r="E348" s="482"/>
      <c r="F348" s="85">
        <v>4</v>
      </c>
      <c r="G348" s="122"/>
      <c r="H348" s="146"/>
      <c r="I348" s="148"/>
      <c r="J348" s="148"/>
      <c r="K348" s="147"/>
      <c r="L348" s="67">
        <f>IF(A24stdlife="n/a","n/a",IF(L$3&gt;(A24stdlife+$F348),(Input!$K$167*(1+vanilla4)^0.5)-SUM($K348:K348),(Input!$K$167*(1+vanilla4)^0.5)/A24stdlife))</f>
        <v>0</v>
      </c>
      <c r="M348" s="67">
        <f>IF(A24stdlife="n/a","n/a",IF(M$3&gt;(A24stdlife+$F348),(Input!$K$167*(1+vanilla4)^0.5)-SUM($K348:L348),(Input!$K$167*(1+vanilla4)^0.5)/A24stdlife))</f>
        <v>0</v>
      </c>
      <c r="N348" s="67">
        <f>IF(A24stdlife="n/a","n/a",IF(N$3&gt;(A24stdlife+$F348),(Input!$K$167*(1+vanilla4)^0.5)-SUM($K348:M348),(Input!$K$167*(1+vanilla4)^0.5)/A24stdlife))</f>
        <v>0</v>
      </c>
      <c r="O348" s="67">
        <f>IF(A24stdlife="n/a","n/a",IF(O$3&gt;(A24stdlife+$F348),(Input!$K$167*(1+vanilla4)^0.5)-SUM($K348:N348),(Input!$K$167*(1+vanilla4)^0.5)/A24stdlife))</f>
        <v>0</v>
      </c>
      <c r="P348" s="67">
        <f>IF(A24stdlife="n/a","n/a",IF(P$3&gt;(A24stdlife+$F348),(Input!$K$167*(1+vanilla4)^0.5)-SUM($K348:O348),(Input!$K$167*(1+vanilla4)^0.5)/A24stdlife))</f>
        <v>0</v>
      </c>
      <c r="Q348" s="67">
        <f>IF(A24stdlife="n/a","n/a",IF(Q$3&gt;(A24stdlife+$F348),(Input!$K$167*(1+vanilla4)^0.5)-SUM($K348:P348),(Input!$K$167*(1+vanilla4)^0.5)/A24stdlife))</f>
        <v>0</v>
      </c>
      <c r="R348" s="67"/>
      <c r="S348" s="102"/>
      <c r="T348" s="102"/>
      <c r="U348" s="102"/>
      <c r="V348" s="102"/>
      <c r="W348" s="102"/>
      <c r="X348" s="102"/>
      <c r="Y348" s="102"/>
      <c r="Z348" s="102"/>
      <c r="AA348" s="102"/>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5.25" hidden="1" customHeight="1" outlineLevel="2">
      <c r="A349" s="9"/>
      <c r="B349" s="9"/>
      <c r="C349" s="9"/>
      <c r="D349" s="25"/>
      <c r="E349" s="482"/>
      <c r="F349" s="85">
        <v>5</v>
      </c>
      <c r="G349" s="26"/>
      <c r="H349" s="146"/>
      <c r="I349" s="148"/>
      <c r="J349" s="148"/>
      <c r="K349" s="148"/>
      <c r="L349" s="147"/>
      <c r="M349" s="67">
        <f>IF(A24stdlife="n/a","n/a",IF(M$3&gt;(A24stdlife+$F349),(Input!$L$167*(1+vanilla5)^0.5)-SUM($L349:L349),(Input!$L$167*(1+vanilla5)^0.5)/A24stdlife))</f>
        <v>0</v>
      </c>
      <c r="N349" s="67">
        <f>IF(A24stdlife="n/a","n/a",IF(N$3&gt;(A24stdlife+$F349),(Input!$L$167*(1+vanilla5)^0.5)-SUM($L349:M349),(Input!$L$167*(1+vanilla5)^0.5)/A24stdlife))</f>
        <v>0</v>
      </c>
      <c r="O349" s="67">
        <f>IF(A24stdlife="n/a","n/a",IF(O$3&gt;(A24stdlife+$F349),(Input!$L$167*(1+vanilla5)^0.5)-SUM($L349:N349),(Input!$L$167*(1+vanilla5)^0.5)/A24stdlife))</f>
        <v>0</v>
      </c>
      <c r="P349" s="67">
        <f>IF(A24stdlife="n/a","n/a",IF(P$3&gt;(A24stdlife+$F349),(Input!$L$167*(1+vanilla5)^0.5)-SUM($L349:O349),(Input!$L$167*(1+vanilla5)^0.5)/A24stdlife))</f>
        <v>0</v>
      </c>
      <c r="Q349" s="67">
        <f>IF(A24stdlife="n/a","n/a",IF(Q$3&gt;(A24stdlife+$F349),(Input!$L$167*(1+vanilla5)^0.5)-SUM($L349:P349),(Input!$L$167*(1+vanilla5)^0.5)/A24stdlife))</f>
        <v>0</v>
      </c>
      <c r="R349" s="67"/>
      <c r="S349" s="102"/>
      <c r="T349" s="102"/>
      <c r="U349" s="102"/>
      <c r="V349" s="102"/>
      <c r="W349" s="102"/>
      <c r="X349" s="102"/>
      <c r="Y349" s="102"/>
      <c r="Z349" s="102"/>
      <c r="AA349" s="102"/>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5.25" hidden="1" customHeight="1" outlineLevel="2">
      <c r="A350" s="9"/>
      <c r="B350" s="9"/>
      <c r="C350" s="9"/>
      <c r="D350" s="25"/>
      <c r="E350" s="482"/>
      <c r="F350" s="85">
        <v>6</v>
      </c>
      <c r="G350" s="26"/>
      <c r="H350" s="146"/>
      <c r="I350" s="148"/>
      <c r="J350" s="148"/>
      <c r="K350" s="148"/>
      <c r="L350" s="148"/>
      <c r="M350" s="147"/>
      <c r="N350" s="67">
        <f>IF(A24stdlife="n/a","n/a",IF(N$3&gt;(A24stdlife+$F350),(Input!$M$167*(1+vanilla6)^0.5)-SUM($M350:M350),(Input!$M$167*(1+vanilla6)^0.5)/A24stdlife))</f>
        <v>0</v>
      </c>
      <c r="O350" s="67">
        <f>IF(A24stdlife="n/a","n/a",IF(O$3&gt;(A24stdlife+$F350),(Input!$M$167*(1+vanilla6)^0.5)-SUM($M350:N350),(Input!$M$167*(1+vanilla6)^0.5)/A24stdlife))</f>
        <v>0</v>
      </c>
      <c r="P350" s="67">
        <f>IF(A24stdlife="n/a","n/a",IF(P$3&gt;(A24stdlife+$F350),(Input!$M$167*(1+vanilla6)^0.5)-SUM($M350:O350),(Input!$M$167*(1+vanilla6)^0.5)/A24stdlife))</f>
        <v>0</v>
      </c>
      <c r="Q350" s="67">
        <f>IF(A24stdlife="n/a","n/a",IF(Q$3&gt;(A24stdlife+$F350),(Input!$M$167*(1+vanilla6)^0.5)-SUM($M350:P350),(Input!$M$167*(1+vanilla6)^0.5)/A24stdlife))</f>
        <v>0</v>
      </c>
      <c r="R350" s="67"/>
      <c r="S350" s="102"/>
      <c r="T350" s="102"/>
      <c r="U350" s="102"/>
      <c r="V350" s="102"/>
      <c r="W350" s="102"/>
      <c r="X350" s="102"/>
      <c r="Y350" s="102"/>
      <c r="Z350" s="102"/>
      <c r="AA350" s="102"/>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5.25" hidden="1" customHeight="1" outlineLevel="2">
      <c r="A351" s="9"/>
      <c r="B351" s="9"/>
      <c r="C351" s="9"/>
      <c r="D351" s="25"/>
      <c r="E351" s="482"/>
      <c r="F351" s="85">
        <v>7</v>
      </c>
      <c r="G351" s="26"/>
      <c r="H351" s="146"/>
      <c r="I351" s="148"/>
      <c r="J351" s="148"/>
      <c r="K351" s="148"/>
      <c r="L351" s="148"/>
      <c r="M351" s="148"/>
      <c r="N351" s="147"/>
      <c r="O351" s="67">
        <f>IF(A24stdlife="n/a","n/a",IF(O$3&gt;(A24stdlife+$F351),(Input!$N$167*(1+vanilla7)^0.5)-SUM($N351:N351),(Input!$N$167*(1+vanilla7)^0.5)/A24stdlife))</f>
        <v>0</v>
      </c>
      <c r="P351" s="67">
        <f>IF(A24stdlife="n/a","n/a",IF(P$3&gt;(A24stdlife+$F351),(Input!$N$167*(1+vanilla7)^0.5)-SUM($N351:O351),(Input!$N$167*(1+vanilla7)^0.5)/A24stdlife))</f>
        <v>0</v>
      </c>
      <c r="Q351" s="67">
        <f>IF(A24stdlife="n/a","n/a",IF(Q$3&gt;(A24stdlife+$F351),(Input!$N$167*(1+vanilla7)^0.5)-SUM($N351:P351),(Input!$N$167*(1+vanilla7)^0.5)/A24stdlife))</f>
        <v>0</v>
      </c>
      <c r="R351" s="67"/>
      <c r="S351" s="102"/>
      <c r="T351" s="102"/>
      <c r="U351" s="102"/>
      <c r="V351" s="102"/>
      <c r="W351" s="102"/>
      <c r="X351" s="102"/>
      <c r="Y351" s="102"/>
      <c r="Z351" s="102"/>
      <c r="AA351" s="102"/>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5.25" hidden="1" customHeight="1" outlineLevel="2">
      <c r="A352" s="9"/>
      <c r="B352" s="9"/>
      <c r="C352" s="9"/>
      <c r="D352" s="25"/>
      <c r="E352" s="482"/>
      <c r="F352" s="85">
        <v>8</v>
      </c>
      <c r="G352" s="26"/>
      <c r="H352" s="146"/>
      <c r="I352" s="148"/>
      <c r="J352" s="148"/>
      <c r="K352" s="148"/>
      <c r="L352" s="148"/>
      <c r="M352" s="148"/>
      <c r="N352" s="148"/>
      <c r="O352" s="147"/>
      <c r="P352" s="67">
        <f>IF(A24stdlife="n/a","n/a",IF(P$3&gt;(A24stdlife+$F352),(Input!$O$167*(1+vanilla8)^0.5)-SUM($O352:O352),(Input!$O$167*(1+vanilla8)^0.5)/A24stdlife))</f>
        <v>0</v>
      </c>
      <c r="Q352" s="67">
        <f>IF(A24stdlife="n/a","n/a",IF(Q$3&gt;(A24stdlife+$F352),(Input!$O$167*(1+vanilla8)^0.5)-SUM($O352:P352),(Input!$O$167*(1+vanilla8)^0.5)/A24stdlife))</f>
        <v>0</v>
      </c>
      <c r="R352" s="67"/>
      <c r="S352" s="102"/>
      <c r="T352" s="102"/>
      <c r="U352" s="102"/>
      <c r="V352" s="102"/>
      <c r="W352" s="102"/>
      <c r="X352" s="102"/>
      <c r="Y352" s="102"/>
      <c r="Z352" s="102"/>
      <c r="AA352" s="102"/>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5.25" hidden="1" customHeight="1" outlineLevel="2">
      <c r="A353" s="9"/>
      <c r="B353" s="9"/>
      <c r="C353" s="9"/>
      <c r="D353" s="25"/>
      <c r="E353" s="482"/>
      <c r="F353" s="85">
        <v>9</v>
      </c>
      <c r="G353" s="26"/>
      <c r="H353" s="146"/>
      <c r="I353" s="148"/>
      <c r="J353" s="148"/>
      <c r="K353" s="148"/>
      <c r="L353" s="148"/>
      <c r="M353" s="148"/>
      <c r="N353" s="148"/>
      <c r="O353" s="148"/>
      <c r="P353" s="147"/>
      <c r="Q353" s="67">
        <f>IF(A24stdlife="n/a","n/a",IF(Q$3&gt;(A24stdlife+$F353),(Input!$P$167*(1+vanilla9)^0.5)-SUM($P353:P353),(Input!$P$167*(1+vanilla9)^0.5)/A24stdlife))</f>
        <v>0</v>
      </c>
      <c r="R353" s="67"/>
      <c r="S353" s="102"/>
      <c r="T353" s="102"/>
      <c r="U353" s="102"/>
      <c r="V353" s="102"/>
      <c r="W353" s="102"/>
      <c r="X353" s="102"/>
      <c r="Y353" s="102"/>
      <c r="Z353" s="102"/>
      <c r="AA353" s="102"/>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5.25" hidden="1" customHeight="1" outlineLevel="2">
      <c r="A354" s="9"/>
      <c r="B354" s="9"/>
      <c r="C354" s="9"/>
      <c r="D354" s="25"/>
      <c r="E354" s="482"/>
      <c r="F354" s="86">
        <v>10</v>
      </c>
      <c r="G354" s="26"/>
      <c r="H354" s="146"/>
      <c r="I354" s="148"/>
      <c r="J354" s="148"/>
      <c r="K354" s="148"/>
      <c r="L354" s="148"/>
      <c r="M354" s="148"/>
      <c r="N354" s="148"/>
      <c r="O354" s="148"/>
      <c r="P354" s="148"/>
      <c r="Q354" s="147"/>
      <c r="R354" s="67"/>
      <c r="S354" s="102"/>
      <c r="T354" s="102"/>
      <c r="U354" s="102"/>
      <c r="V354" s="102"/>
      <c r="W354" s="102"/>
      <c r="X354" s="102"/>
      <c r="Y354" s="102"/>
      <c r="Z354" s="102"/>
      <c r="AA354" s="102"/>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24" hidden="1" customHeight="1" outlineLevel="1">
      <c r="A355" s="9"/>
      <c r="B355" s="9"/>
      <c r="C355" s="9"/>
      <c r="D355" s="25">
        <f>Asset24</f>
        <v>0</v>
      </c>
      <c r="E355" s="9"/>
      <c r="F355" s="9"/>
      <c r="G355" s="122"/>
      <c r="H355" s="165">
        <f>-SUM(H343:H354)</f>
        <v>0</v>
      </c>
      <c r="I355" s="165">
        <f>-SUM(I343:I354)</f>
        <v>0</v>
      </c>
      <c r="J355" s="165">
        <f>-SUM(J343:J354)</f>
        <v>0</v>
      </c>
      <c r="K355" s="165">
        <f>-SUM(K343:K354)</f>
        <v>0</v>
      </c>
      <c r="L355" s="165">
        <f>-SUM(L343:L354)</f>
        <v>0</v>
      </c>
      <c r="M355" s="165">
        <f>IF(Input!M174&gt;0, -SUM(M343:M354), 0)</f>
        <v>0</v>
      </c>
      <c r="N355" s="165">
        <f>IF(Input!N174&gt;0, -SUM(N343:N354), 0)</f>
        <v>0</v>
      </c>
      <c r="O355" s="165">
        <f>IF(Input!O174&gt;0, -SUM(O343:O354), 0)</f>
        <v>0</v>
      </c>
      <c r="P355" s="165">
        <f>IF(Input!P174&gt;0, -SUM(P343:P354), 0)</f>
        <v>0</v>
      </c>
      <c r="Q355" s="165">
        <f>IF(Input!Q174&gt;0, -SUM(Q343:Q354), 0)</f>
        <v>0</v>
      </c>
      <c r="R355" s="65"/>
      <c r="S355" s="104"/>
      <c r="T355" s="104"/>
      <c r="U355" s="104"/>
      <c r="V355" s="104"/>
      <c r="W355" s="104"/>
      <c r="X355" s="104"/>
      <c r="Y355" s="104"/>
      <c r="Z355" s="104"/>
      <c r="AA355" s="104"/>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104"/>
      <c r="BE355" s="104"/>
      <c r="BF355" s="104"/>
      <c r="BG355" s="104"/>
      <c r="BH355" s="104"/>
      <c r="BI355" s="104"/>
      <c r="BJ355" s="104"/>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5.25" hidden="1" customHeight="1" outlineLevel="2">
      <c r="A356" s="9"/>
      <c r="B356" s="9"/>
      <c r="C356" s="31">
        <f>Asset25</f>
        <v>0</v>
      </c>
      <c r="D356" s="161"/>
      <c r="E356" s="33" t="s">
        <v>28</v>
      </c>
      <c r="F356" s="32"/>
      <c r="G356" s="174"/>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5.25" hidden="1" customHeight="1" outlineLevel="2">
      <c r="A357" s="9"/>
      <c r="B357" s="9"/>
      <c r="C357" s="9"/>
      <c r="D357" s="25"/>
      <c r="E357" s="481" t="s">
        <v>83</v>
      </c>
      <c r="F357" s="85">
        <v>0</v>
      </c>
      <c r="G357" s="122"/>
      <c r="H357" s="67"/>
      <c r="I357" s="67"/>
      <c r="J357" s="67"/>
      <c r="K357" s="67"/>
      <c r="L357" s="67"/>
      <c r="M357" s="163"/>
      <c r="N357" s="111"/>
      <c r="O357" s="67"/>
      <c r="P357" s="67"/>
      <c r="Q357" s="67"/>
      <c r="R357" s="67"/>
      <c r="S357" s="102"/>
      <c r="T357" s="102"/>
      <c r="U357" s="102"/>
      <c r="V357" s="102"/>
      <c r="W357" s="102"/>
      <c r="X357" s="102"/>
      <c r="Y357" s="102"/>
      <c r="Z357" s="102"/>
      <c r="AA357" s="102"/>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102"/>
      <c r="BE357" s="102"/>
      <c r="BF357" s="102"/>
      <c r="BG357" s="102"/>
      <c r="BH357" s="102"/>
      <c r="BI357" s="102"/>
      <c r="BJ357" s="102"/>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5.25" hidden="1" customHeight="1" outlineLevel="2">
      <c r="A358" s="9"/>
      <c r="B358" s="9"/>
      <c r="C358" s="9"/>
      <c r="D358" s="25"/>
      <c r="E358" s="482"/>
      <c r="F358" s="85">
        <v>1</v>
      </c>
      <c r="G358" s="122"/>
      <c r="H358" s="145"/>
      <c r="I358" s="67">
        <f>IF(A25stdlife="n/a","n/a",IF(I$3&gt;(A25stdlife+$F358),(Input!$H$168*(1+vanilla1)^0.5)-SUM($H358:H358),(Input!$H$168*(1+vanilla1)^0.5)/A25stdlife))</f>
        <v>0</v>
      </c>
      <c r="J358" s="67">
        <f>IF(A25stdlife="n/a","n/a",IF(J$3&gt;(A25stdlife+$F358),(Input!$H$168*(1+vanilla1)^0.5)-SUM($H358:I358),(Input!$H$168*(1+vanilla1)^0.5)/A25stdlife))</f>
        <v>0</v>
      </c>
      <c r="K358" s="67">
        <f>IF(A25stdlife="n/a","n/a",IF(K$3&gt;(A25stdlife+$F358),(Input!$H$168*(1+vanilla1)^0.5)-SUM($H358:J358),(Input!$H$168*(1+vanilla1)^0.5)/A25stdlife))</f>
        <v>0</v>
      </c>
      <c r="L358" s="67">
        <f>IF(A25stdlife="n/a","n/a",IF(L$3&gt;(A25stdlife+$F358),(Input!$H$168*(1+vanilla1)^0.5)-SUM($H358:K358),(Input!$H$168*(1+vanilla1)^0.5)/A25stdlife))</f>
        <v>0</v>
      </c>
      <c r="M358" s="67">
        <f>IF(A25stdlife="n/a","n/a",IF(M$3&gt;(A25stdlife+$F358),(Input!$H$168*(1+vanilla1)^0.5)-SUM($H358:L358),(Input!$H$168*(1+vanilla1)^0.5)/A25stdlife))</f>
        <v>0</v>
      </c>
      <c r="N358" s="67">
        <f>IF(A25stdlife="n/a","n/a",IF(N$3&gt;(A25stdlife+$F358),(Input!$H$168*(1+vanilla1)^0.5)-SUM($H358:M358),(Input!$H$168*(1+vanilla1)^0.5)/A25stdlife))</f>
        <v>0</v>
      </c>
      <c r="O358" s="67">
        <f>IF(A25stdlife="n/a","n/a",IF(O$3&gt;(A25stdlife+$F358),(Input!$H$168*(1+vanilla1)^0.5)-SUM($H358:N358),(Input!$H$168*(1+vanilla1)^0.5)/A25stdlife))</f>
        <v>0</v>
      </c>
      <c r="P358" s="67">
        <f>IF(A25stdlife="n/a","n/a",IF(P$3&gt;(A25stdlife+$F358),(Input!$H$168*(1+vanilla1)^0.5)-SUM($H358:O358),(Input!$H$168*(1+vanilla1)^0.5)/A25stdlife))</f>
        <v>0</v>
      </c>
      <c r="Q358" s="67">
        <f>IF(A25stdlife="n/a","n/a",IF(Q$3&gt;(A25stdlife+$F358),(Input!$H$168*(1+vanilla1)^0.5)-SUM($H358:P358),(Input!$H$168*(1+vanilla1)^0.5)/A25stdlife))</f>
        <v>0</v>
      </c>
      <c r="R358" s="67"/>
      <c r="S358" s="102"/>
      <c r="T358" s="102"/>
      <c r="U358" s="102"/>
      <c r="V358" s="102"/>
      <c r="W358" s="102"/>
      <c r="X358" s="102"/>
      <c r="Y358" s="102"/>
      <c r="Z358" s="102"/>
      <c r="AA358" s="102"/>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5.25" hidden="1" customHeight="1" outlineLevel="2">
      <c r="A359" s="9"/>
      <c r="B359" s="9"/>
      <c r="C359" s="9"/>
      <c r="D359" s="25"/>
      <c r="E359" s="482"/>
      <c r="F359" s="85">
        <v>2</v>
      </c>
      <c r="G359" s="122"/>
      <c r="H359" s="146"/>
      <c r="I359" s="147"/>
      <c r="J359" s="67">
        <f>IF(A25stdlife="n/a","n/a",IF(J$3&gt;(A25stdlife+$F359),(Input!$I$168*(1+vanilla2)^0.5)-SUM($I359:I359),(Input!$I$168*(1+vanilla2)^0.5)/A25stdlife))</f>
        <v>0</v>
      </c>
      <c r="K359" s="67">
        <f>IF(A25stdlife="n/a","n/a",IF(K$3&gt;(A25stdlife+$F359),(Input!$I$168*(1+vanilla2)^0.5)-SUM($I359:J359),(Input!$I$168*(1+vanilla2)^0.5)/A25stdlife))</f>
        <v>0</v>
      </c>
      <c r="L359" s="67">
        <f>IF(A25stdlife="n/a","n/a",IF(L$3&gt;(A25stdlife+$F359),(Input!$I$168*(1+vanilla2)^0.5)-SUM($I359:K359),(Input!$I$168*(1+vanilla2)^0.5)/A25stdlife))</f>
        <v>0</v>
      </c>
      <c r="M359" s="67">
        <f>IF(A25stdlife="n/a","n/a",IF(M$3&gt;(A25stdlife+$F359),(Input!$I$168*(1+vanilla2)^0.5)-SUM($I359:L359),(Input!$I$168*(1+vanilla2)^0.5)/A25stdlife))</f>
        <v>0</v>
      </c>
      <c r="N359" s="67">
        <f>IF(A25stdlife="n/a","n/a",IF(N$3&gt;(A25stdlife+$F359),(Input!$I$168*(1+vanilla2)^0.5)-SUM($I359:M359),(Input!$I$168*(1+vanilla2)^0.5)/A25stdlife))</f>
        <v>0</v>
      </c>
      <c r="O359" s="67">
        <f>IF(A25stdlife="n/a","n/a",IF(O$3&gt;(A25stdlife+$F359),(Input!$I$168*(1+vanilla2)^0.5)-SUM($I359:N359),(Input!$I$168*(1+vanilla2)^0.5)/A25stdlife))</f>
        <v>0</v>
      </c>
      <c r="P359" s="67">
        <f>IF(A25stdlife="n/a","n/a",IF(P$3&gt;(A25stdlife+$F359),(Input!$I$168*(1+vanilla2)^0.5)-SUM($I359:O359),(Input!$I$168*(1+vanilla2)^0.5)/A25stdlife))</f>
        <v>0</v>
      </c>
      <c r="Q359" s="67">
        <f>IF(A25stdlife="n/a","n/a",IF(Q$3&gt;(A25stdlife+$F359),(Input!$I$168*(1+vanilla2)^0.5)-SUM($I359:P359),(Input!$I$168*(1+vanilla2)^0.5)/A25stdlife))</f>
        <v>0</v>
      </c>
      <c r="R359" s="67"/>
      <c r="S359" s="102"/>
      <c r="T359" s="102"/>
      <c r="U359" s="102"/>
      <c r="V359" s="102"/>
      <c r="W359" s="102"/>
      <c r="X359" s="102"/>
      <c r="Y359" s="102"/>
      <c r="Z359" s="102"/>
      <c r="AA359" s="102"/>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5.25" hidden="1" customHeight="1" outlineLevel="2">
      <c r="A360" s="9"/>
      <c r="B360" s="9"/>
      <c r="C360" s="9"/>
      <c r="D360" s="25"/>
      <c r="E360" s="482"/>
      <c r="F360" s="85">
        <v>3</v>
      </c>
      <c r="G360" s="122"/>
      <c r="H360" s="146"/>
      <c r="I360" s="148"/>
      <c r="J360" s="147"/>
      <c r="K360" s="67">
        <f>IF(A25stdlife="n/a","n/a",IF(K$3&gt;(A25stdlife+$F360),(Input!$J$168*(1+vanilla3)^0.5)-SUM($J360:J360),(Input!$J$168*(1+vanilla3)^0.5)/A25stdlife))</f>
        <v>0</v>
      </c>
      <c r="L360" s="67">
        <f>IF(A25stdlife="n/a","n/a",IF(L$3&gt;(A25stdlife+$F360),(Input!$J$168*(1+vanilla3)^0.5)-SUM($J360:K360),(Input!$J$168*(1+vanilla3)^0.5)/A25stdlife))</f>
        <v>0</v>
      </c>
      <c r="M360" s="67">
        <f>IF(A25stdlife="n/a","n/a",IF(M$3&gt;(A25stdlife+$F360),(Input!$J$168*(1+vanilla3)^0.5)-SUM($J360:L360),(Input!$J$168*(1+vanilla3)^0.5)/A25stdlife))</f>
        <v>0</v>
      </c>
      <c r="N360" s="67">
        <f>IF(A25stdlife="n/a","n/a",IF(N$3&gt;(A25stdlife+$F360),(Input!$J$168*(1+vanilla3)^0.5)-SUM($J360:M360),(Input!$J$168*(1+vanilla3)^0.5)/A25stdlife))</f>
        <v>0</v>
      </c>
      <c r="O360" s="67">
        <f>IF(A25stdlife="n/a","n/a",IF(O$3&gt;(A25stdlife+$F360),(Input!$J$168*(1+vanilla3)^0.5)-SUM($J360:N360),(Input!$J$168*(1+vanilla3)^0.5)/A25stdlife))</f>
        <v>0</v>
      </c>
      <c r="P360" s="67">
        <f>IF(A25stdlife="n/a","n/a",IF(P$3&gt;(A25stdlife+$F360),(Input!$J$168*(1+vanilla3)^0.5)-SUM($J360:O360),(Input!$J$168*(1+vanilla3)^0.5)/A25stdlife))</f>
        <v>0</v>
      </c>
      <c r="Q360" s="67">
        <f>IF(A25stdlife="n/a","n/a",IF(Q$3&gt;(A25stdlife+$F360),(Input!$J$168*(1+vanilla3)^0.5)-SUM($J360:P360),(Input!$J$168*(1+vanilla3)^0.5)/A25stdlife))</f>
        <v>0</v>
      </c>
      <c r="R360" s="67"/>
      <c r="S360" s="102"/>
      <c r="T360" s="102"/>
      <c r="U360" s="102"/>
      <c r="V360" s="102"/>
      <c r="W360" s="102"/>
      <c r="X360" s="102"/>
      <c r="Y360" s="102"/>
      <c r="Z360" s="102"/>
      <c r="AA360" s="102"/>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5.25" hidden="1" customHeight="1" outlineLevel="2">
      <c r="A361" s="9"/>
      <c r="B361" s="9"/>
      <c r="C361" s="9"/>
      <c r="D361" s="25"/>
      <c r="E361" s="482"/>
      <c r="F361" s="85">
        <v>4</v>
      </c>
      <c r="G361" s="122"/>
      <c r="H361" s="146"/>
      <c r="I361" s="148"/>
      <c r="J361" s="148"/>
      <c r="K361" s="147"/>
      <c r="L361" s="67">
        <f>IF(A25stdlife="n/a","n/a",IF(L$3&gt;(A25stdlife+$F361),(Input!$K$168*(1+vanilla4)^0.5)-SUM($K361:K361),(Input!$K$168*(1+vanilla4)^0.5)/A25stdlife))</f>
        <v>0</v>
      </c>
      <c r="M361" s="67">
        <f>IF(A25stdlife="n/a","n/a",IF(M$3&gt;(A25stdlife+$F361),(Input!$K$168*(1+vanilla4)^0.5)-SUM($K361:L361),(Input!$K$168*(1+vanilla4)^0.5)/A25stdlife))</f>
        <v>0</v>
      </c>
      <c r="N361" s="67">
        <f>IF(A25stdlife="n/a","n/a",IF(N$3&gt;(A25stdlife+$F361),(Input!$K$168*(1+vanilla4)^0.5)-SUM($K361:M361),(Input!$K$168*(1+vanilla4)^0.5)/A25stdlife))</f>
        <v>0</v>
      </c>
      <c r="O361" s="67">
        <f>IF(A25stdlife="n/a","n/a",IF(O$3&gt;(A25stdlife+$F361),(Input!$K$168*(1+vanilla4)^0.5)-SUM($K361:N361),(Input!$K$168*(1+vanilla4)^0.5)/A25stdlife))</f>
        <v>0</v>
      </c>
      <c r="P361" s="67">
        <f>IF(A25stdlife="n/a","n/a",IF(P$3&gt;(A25stdlife+$F361),(Input!$K$168*(1+vanilla4)^0.5)-SUM($K361:O361),(Input!$K$168*(1+vanilla4)^0.5)/A25stdlife))</f>
        <v>0</v>
      </c>
      <c r="Q361" s="67">
        <f>IF(A25stdlife="n/a","n/a",IF(Q$3&gt;(A25stdlife+$F361),(Input!$K$168*(1+vanilla4)^0.5)-SUM($K361:P361),(Input!$K$168*(1+vanilla4)^0.5)/A25stdlife))</f>
        <v>0</v>
      </c>
      <c r="R361" s="67"/>
      <c r="S361" s="102"/>
      <c r="T361" s="102"/>
      <c r="U361" s="102"/>
      <c r="V361" s="102"/>
      <c r="W361" s="102"/>
      <c r="X361" s="102"/>
      <c r="Y361" s="102"/>
      <c r="Z361" s="102"/>
      <c r="AA361" s="102"/>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5.25" hidden="1" customHeight="1" outlineLevel="2">
      <c r="A362" s="9"/>
      <c r="B362" s="9"/>
      <c r="C362" s="9"/>
      <c r="D362" s="25"/>
      <c r="E362" s="482"/>
      <c r="F362" s="85">
        <v>5</v>
      </c>
      <c r="G362" s="26"/>
      <c r="H362" s="146"/>
      <c r="I362" s="148"/>
      <c r="J362" s="148"/>
      <c r="K362" s="148"/>
      <c r="L362" s="147"/>
      <c r="M362" s="67">
        <f>IF(A25stdlife="n/a","n/a",IF(M$3&gt;(A25stdlife+$F362),(Input!$L$168*(1+vanilla5)^0.5)-SUM($L362:L362),(Input!$L$168*(1+vanilla5)^0.5)/A25stdlife))</f>
        <v>0</v>
      </c>
      <c r="N362" s="67">
        <f>IF(A25stdlife="n/a","n/a",IF(N$3&gt;(A25stdlife+$F362),(Input!$L$168*(1+vanilla5)^0.5)-SUM($L362:M362),(Input!$L$168*(1+vanilla5)^0.5)/A25stdlife))</f>
        <v>0</v>
      </c>
      <c r="O362" s="67">
        <f>IF(A25stdlife="n/a","n/a",IF(O$3&gt;(A25stdlife+$F362),(Input!$L$168*(1+vanilla5)^0.5)-SUM($L362:N362),(Input!$L$168*(1+vanilla5)^0.5)/A25stdlife))</f>
        <v>0</v>
      </c>
      <c r="P362" s="67">
        <f>IF(A25stdlife="n/a","n/a",IF(P$3&gt;(A25stdlife+$F362),(Input!$L$168*(1+vanilla5)^0.5)-SUM($L362:O362),(Input!$L$168*(1+vanilla5)^0.5)/A25stdlife))</f>
        <v>0</v>
      </c>
      <c r="Q362" s="67">
        <f>IF(A25stdlife="n/a","n/a",IF(Q$3&gt;(A25stdlife+$F362),(Input!$L$168*(1+vanilla5)^0.5)-SUM($L362:P362),(Input!$L$168*(1+vanilla5)^0.5)/A25stdlife))</f>
        <v>0</v>
      </c>
      <c r="R362" s="67"/>
      <c r="S362" s="102"/>
      <c r="T362" s="102"/>
      <c r="U362" s="102"/>
      <c r="V362" s="102"/>
      <c r="W362" s="102"/>
      <c r="X362" s="102"/>
      <c r="Y362" s="102"/>
      <c r="Z362" s="102"/>
      <c r="AA362" s="102"/>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5.25" hidden="1" customHeight="1" outlineLevel="2">
      <c r="A363" s="9"/>
      <c r="B363" s="9"/>
      <c r="C363" s="9"/>
      <c r="D363" s="25"/>
      <c r="E363" s="482"/>
      <c r="F363" s="85">
        <v>6</v>
      </c>
      <c r="G363" s="26"/>
      <c r="H363" s="146"/>
      <c r="I363" s="148"/>
      <c r="J363" s="148"/>
      <c r="K363" s="148"/>
      <c r="L363" s="148"/>
      <c r="M363" s="147"/>
      <c r="N363" s="67">
        <f>IF(A25stdlife="n/a","n/a",IF(N$3&gt;(A25stdlife+$F363),(Input!$M$168*(1+vanilla6)^0.5)-SUM($M363:M363),(Input!$M$168*(1+vanilla6)^0.5)/A25stdlife))</f>
        <v>0</v>
      </c>
      <c r="O363" s="67">
        <f>IF(A25stdlife="n/a","n/a",IF(O$3&gt;(A25stdlife+$F363),(Input!$M$168*(1+vanilla6)^0.5)-SUM($M363:N363),(Input!$M$168*(1+vanilla6)^0.5)/A25stdlife))</f>
        <v>0</v>
      </c>
      <c r="P363" s="67">
        <f>IF(A25stdlife="n/a","n/a",IF(P$3&gt;(A25stdlife+$F363),(Input!$M$168*(1+vanilla6)^0.5)-SUM($M363:O363),(Input!$M$168*(1+vanilla6)^0.5)/A25stdlife))</f>
        <v>0</v>
      </c>
      <c r="Q363" s="67">
        <f>IF(A25stdlife="n/a","n/a",IF(Q$3&gt;(A25stdlife+$F363),(Input!$M$168*(1+vanilla6)^0.5)-SUM($M363:P363),(Input!$M$168*(1+vanilla6)^0.5)/A25stdlife))</f>
        <v>0</v>
      </c>
      <c r="R363" s="67"/>
      <c r="S363" s="102"/>
      <c r="T363" s="102"/>
      <c r="U363" s="102"/>
      <c r="V363" s="102"/>
      <c r="W363" s="102"/>
      <c r="X363" s="102"/>
      <c r="Y363" s="102"/>
      <c r="Z363" s="102"/>
      <c r="AA363" s="102"/>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5.25" hidden="1" customHeight="1" outlineLevel="2">
      <c r="A364" s="9"/>
      <c r="B364" s="9"/>
      <c r="C364" s="9"/>
      <c r="D364" s="25"/>
      <c r="E364" s="482"/>
      <c r="F364" s="85">
        <v>7</v>
      </c>
      <c r="G364" s="26"/>
      <c r="H364" s="146"/>
      <c r="I364" s="148"/>
      <c r="J364" s="148"/>
      <c r="K364" s="148"/>
      <c r="L364" s="148"/>
      <c r="M364" s="148"/>
      <c r="N364" s="147"/>
      <c r="O364" s="67">
        <f>IF(A25stdlife="n/a","n/a",IF(O$3&gt;(A25stdlife+$F364),(Input!$N$168*(1+vanilla7)^0.5)-SUM($N364:N364),(Input!$N$168*(1+vanilla7)^0.5)/A25stdlife))</f>
        <v>0</v>
      </c>
      <c r="P364" s="67">
        <f>IF(A25stdlife="n/a","n/a",IF(P$3&gt;(A25stdlife+$F364),(Input!$N$168*(1+vanilla7)^0.5)-SUM($N364:O364),(Input!$N$168*(1+vanilla7)^0.5)/A25stdlife))</f>
        <v>0</v>
      </c>
      <c r="Q364" s="67">
        <f>IF(A25stdlife="n/a","n/a",IF(Q$3&gt;(A25stdlife+$F364),(Input!$N$168*(1+vanilla7)^0.5)-SUM($N364:P364),(Input!$N$168*(1+vanilla7)^0.5)/A25stdlife))</f>
        <v>0</v>
      </c>
      <c r="R364" s="67"/>
      <c r="S364" s="102"/>
      <c r="T364" s="102"/>
      <c r="U364" s="102"/>
      <c r="V364" s="102"/>
      <c r="W364" s="102"/>
      <c r="X364" s="102"/>
      <c r="Y364" s="102"/>
      <c r="Z364" s="102"/>
      <c r="AA364" s="102"/>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5.25" hidden="1" customHeight="1" outlineLevel="2">
      <c r="A365" s="9"/>
      <c r="B365" s="9"/>
      <c r="C365" s="9"/>
      <c r="D365" s="25"/>
      <c r="E365" s="482"/>
      <c r="F365" s="85">
        <v>8</v>
      </c>
      <c r="G365" s="26"/>
      <c r="H365" s="146"/>
      <c r="I365" s="148"/>
      <c r="J365" s="148"/>
      <c r="K365" s="148"/>
      <c r="L365" s="148"/>
      <c r="M365" s="148"/>
      <c r="N365" s="148"/>
      <c r="O365" s="147"/>
      <c r="P365" s="67">
        <f>IF(A25stdlife="n/a","n/a",IF(P$3&gt;(A25stdlife+$F365),(Input!$O$168*(1+vanilla8)^0.5)-SUM($O365:O365),(Input!$O$168*(1+vanilla8)^0.5)/A25stdlife))</f>
        <v>0</v>
      </c>
      <c r="Q365" s="67">
        <f>IF(A25stdlife="n/a","n/a",IF(Q$3&gt;(A25stdlife+$F365),(Input!$O$168*(1+vanilla8)^0.5)-SUM($O365:P365),(Input!$O$168*(1+vanilla8)^0.5)/A25stdlife))</f>
        <v>0</v>
      </c>
      <c r="R365" s="67"/>
      <c r="S365" s="102"/>
      <c r="T365" s="102"/>
      <c r="U365" s="102"/>
      <c r="V365" s="102"/>
      <c r="W365" s="102"/>
      <c r="X365" s="102"/>
      <c r="Y365" s="102"/>
      <c r="Z365" s="102"/>
      <c r="AA365" s="102"/>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5.25" hidden="1" customHeight="1" outlineLevel="2">
      <c r="A366" s="9"/>
      <c r="B366" s="9"/>
      <c r="C366" s="9"/>
      <c r="D366" s="25"/>
      <c r="E366" s="482"/>
      <c r="F366" s="85">
        <v>9</v>
      </c>
      <c r="G366" s="26"/>
      <c r="H366" s="146"/>
      <c r="I366" s="148"/>
      <c r="J366" s="148"/>
      <c r="K366" s="148"/>
      <c r="L366" s="148"/>
      <c r="M366" s="148"/>
      <c r="N366" s="148"/>
      <c r="O366" s="148"/>
      <c r="P366" s="147"/>
      <c r="Q366" s="67">
        <f>IF(A25stdlife="n/a","n/a",IF(Q$3&gt;(A25stdlife+$F366),(Input!$P$168*(1+vanilla9)^0.5)-SUM($P366:P366),(Input!$P$168*(1+vanilla9)^0.5)/A25stdlife))</f>
        <v>0</v>
      </c>
      <c r="R366" s="67"/>
      <c r="S366" s="102"/>
      <c r="T366" s="102"/>
      <c r="U366" s="102"/>
      <c r="V366" s="102"/>
      <c r="W366" s="102"/>
      <c r="X366" s="102"/>
      <c r="Y366" s="102"/>
      <c r="Z366" s="102"/>
      <c r="AA366" s="102"/>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5.25" hidden="1" customHeight="1" outlineLevel="2">
      <c r="A367" s="9"/>
      <c r="B367" s="9"/>
      <c r="C367" s="9"/>
      <c r="D367" s="25"/>
      <c r="E367" s="482"/>
      <c r="F367" s="86">
        <v>10</v>
      </c>
      <c r="G367" s="26"/>
      <c r="H367" s="146"/>
      <c r="I367" s="148"/>
      <c r="J367" s="148"/>
      <c r="K367" s="148"/>
      <c r="L367" s="148"/>
      <c r="M367" s="148"/>
      <c r="N367" s="148"/>
      <c r="O367" s="148"/>
      <c r="P367" s="148"/>
      <c r="Q367" s="147"/>
      <c r="R367" s="67"/>
      <c r="S367" s="102"/>
      <c r="T367" s="102"/>
      <c r="U367" s="102"/>
      <c r="V367" s="102"/>
      <c r="W367" s="102"/>
      <c r="X367" s="102"/>
      <c r="Y367" s="102"/>
      <c r="Z367" s="102"/>
      <c r="AA367" s="102"/>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5">
        <f>Asset25</f>
        <v>0</v>
      </c>
      <c r="E368" s="9"/>
      <c r="F368" s="9"/>
      <c r="G368" s="122"/>
      <c r="H368" s="165">
        <f>-SUM(H356:H367)</f>
        <v>0</v>
      </c>
      <c r="I368" s="165">
        <f>-SUM(I356:I367)</f>
        <v>0</v>
      </c>
      <c r="J368" s="165">
        <f>-SUM(J356:J367)</f>
        <v>0</v>
      </c>
      <c r="K368" s="165">
        <f>-SUM(K356:K367)</f>
        <v>0</v>
      </c>
      <c r="L368" s="165">
        <f>-SUM(L356:L367)</f>
        <v>0</v>
      </c>
      <c r="M368" s="165">
        <f>IF(Input!M174&gt;0, -SUM(M356:M367), 0)</f>
        <v>0</v>
      </c>
      <c r="N368" s="165">
        <f>IF(Input!N174&gt;0, -SUM(N356:N367), 0)</f>
        <v>0</v>
      </c>
      <c r="O368" s="165">
        <f>IF(Input!O174&gt;0, -SUM(O356:O367), 0)</f>
        <v>0</v>
      </c>
      <c r="P368" s="165">
        <f>IF(Input!P174&gt;0, -SUM(P356:P367), 0)</f>
        <v>0</v>
      </c>
      <c r="Q368" s="165">
        <f>IF(Input!Q174&gt;0, -SUM(Q356:Q367), 0)</f>
        <v>0</v>
      </c>
      <c r="R368" s="65"/>
      <c r="S368" s="104"/>
      <c r="T368" s="104"/>
      <c r="U368" s="104"/>
      <c r="V368" s="104"/>
      <c r="W368" s="104"/>
      <c r="X368" s="104"/>
      <c r="Y368" s="104"/>
      <c r="Z368" s="104"/>
      <c r="AA368" s="104"/>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104"/>
      <c r="BE368" s="104"/>
      <c r="BF368" s="104"/>
      <c r="BG368" s="104"/>
      <c r="BH368" s="104"/>
      <c r="BI368" s="104"/>
      <c r="BJ368" s="104"/>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5.25" hidden="1" customHeight="1" outlineLevel="2">
      <c r="A369" s="9"/>
      <c r="B369" s="9"/>
      <c r="C369" s="31">
        <f>Asset26</f>
        <v>0</v>
      </c>
      <c r="D369" s="161"/>
      <c r="E369" s="33" t="s">
        <v>28</v>
      </c>
      <c r="F369" s="32"/>
      <c r="G369" s="174"/>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5.25" hidden="1" customHeight="1" outlineLevel="2">
      <c r="A370" s="9"/>
      <c r="B370" s="9"/>
      <c r="C370" s="9"/>
      <c r="D370" s="25"/>
      <c r="E370" s="481" t="s">
        <v>83</v>
      </c>
      <c r="F370" s="85">
        <v>0</v>
      </c>
      <c r="G370" s="122"/>
      <c r="H370" s="67"/>
      <c r="I370" s="67"/>
      <c r="J370" s="67"/>
      <c r="K370" s="67"/>
      <c r="L370" s="67"/>
      <c r="M370" s="163"/>
      <c r="N370" s="111"/>
      <c r="O370" s="67"/>
      <c r="P370" s="67"/>
      <c r="Q370" s="67"/>
      <c r="R370" s="67"/>
      <c r="S370" s="102"/>
      <c r="T370" s="102"/>
      <c r="U370" s="102"/>
      <c r="V370" s="102"/>
      <c r="W370" s="102"/>
      <c r="X370" s="102"/>
      <c r="Y370" s="102"/>
      <c r="Z370" s="102"/>
      <c r="AA370" s="102"/>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102"/>
      <c r="BE370" s="102"/>
      <c r="BF370" s="102"/>
      <c r="BG370" s="102"/>
      <c r="BH370" s="102"/>
      <c r="BI370" s="102"/>
      <c r="BJ370" s="102"/>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5.25" hidden="1" customHeight="1" outlineLevel="2">
      <c r="A371" s="9"/>
      <c r="B371" s="9"/>
      <c r="C371" s="9"/>
      <c r="D371" s="25"/>
      <c r="E371" s="482"/>
      <c r="F371" s="85">
        <v>1</v>
      </c>
      <c r="G371" s="122"/>
      <c r="H371" s="145"/>
      <c r="I371" s="67">
        <f>IF(A26stdlife="n/a","n/a",IF(I$3&gt;(A26stdlife+$F371),(Input!$H$169*(1+vanilla1)^0.5)-SUM($H371:H371),(Input!$H$169*(1+vanilla1)^0.5)/A26stdlife))</f>
        <v>0</v>
      </c>
      <c r="J371" s="67">
        <f>IF(A26stdlife="n/a","n/a",IF(J$3&gt;(A26stdlife+$F371),(Input!$H$169*(1+vanilla1)^0.5)-SUM($H371:I371),(Input!$H$169*(1+vanilla1)^0.5)/A26stdlife))</f>
        <v>0</v>
      </c>
      <c r="K371" s="67">
        <f>IF(A26stdlife="n/a","n/a",IF(K$3&gt;(A26stdlife+$F371),(Input!$H$169*(1+vanilla1)^0.5)-SUM($H371:J371),(Input!$H$169*(1+vanilla1)^0.5)/A26stdlife))</f>
        <v>0</v>
      </c>
      <c r="L371" s="67">
        <f>IF(A26stdlife="n/a","n/a",IF(L$3&gt;(A26stdlife+$F371),(Input!$H$169*(1+vanilla1)^0.5)-SUM($H371:K371),(Input!$H$169*(1+vanilla1)^0.5)/A26stdlife))</f>
        <v>0</v>
      </c>
      <c r="M371" s="67">
        <f>IF(A26stdlife="n/a","n/a",IF(M$3&gt;(A26stdlife+$F371),(Input!$H$169*(1+vanilla1)^0.5)-SUM($H371:L371),(Input!$H$169*(1+vanilla1)^0.5)/A26stdlife))</f>
        <v>0</v>
      </c>
      <c r="N371" s="67">
        <f>IF(A26stdlife="n/a","n/a",IF(N$3&gt;(A26stdlife+$F371),(Input!$H$169*(1+vanilla1)^0.5)-SUM($H371:M371),(Input!$H$169*(1+vanilla1)^0.5)/A26stdlife))</f>
        <v>0</v>
      </c>
      <c r="O371" s="67">
        <f>IF(A26stdlife="n/a","n/a",IF(O$3&gt;(A26stdlife+$F371),(Input!$H$169*(1+vanilla1)^0.5)-SUM($H371:N371),(Input!$H$169*(1+vanilla1)^0.5)/A26stdlife))</f>
        <v>0</v>
      </c>
      <c r="P371" s="67">
        <f>IF(A26stdlife="n/a","n/a",IF(P$3&gt;(A26stdlife+$F371),(Input!$H$169*(1+vanilla1)^0.5)-SUM($H371:O371),(Input!$H$169*(1+vanilla1)^0.5)/A26stdlife))</f>
        <v>0</v>
      </c>
      <c r="Q371" s="67">
        <f>IF(A26stdlife="n/a","n/a",IF(Q$3&gt;(A26stdlife+$F371),(Input!$H$169*(1+vanilla1)^0.5)-SUM($H371:P371),(Input!$H$169*(1+vanilla1)^0.5)/A26stdlife))</f>
        <v>0</v>
      </c>
      <c r="R371" s="67"/>
      <c r="S371" s="102"/>
      <c r="T371" s="102"/>
      <c r="U371" s="102"/>
      <c r="V371" s="102"/>
      <c r="W371" s="102"/>
      <c r="X371" s="102"/>
      <c r="Y371" s="102"/>
      <c r="Z371" s="102"/>
      <c r="AA371" s="102"/>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5.25" hidden="1" customHeight="1" outlineLevel="2">
      <c r="A372" s="9"/>
      <c r="B372" s="9"/>
      <c r="C372" s="9"/>
      <c r="D372" s="25"/>
      <c r="E372" s="482"/>
      <c r="F372" s="85">
        <v>2</v>
      </c>
      <c r="G372" s="122"/>
      <c r="H372" s="146"/>
      <c r="I372" s="147"/>
      <c r="J372" s="67">
        <f>IF(A26stdlife="n/a","n/a",IF(J$3&gt;(A26stdlife+$F372),(Input!$I$169*(1+vanilla2)^0.5)-SUM($I372:I372),(Input!$I$169*(1+vanilla2)^0.5)/A26stdlife))</f>
        <v>0</v>
      </c>
      <c r="K372" s="67">
        <f>IF(A26stdlife="n/a","n/a",IF(K$3&gt;(A26stdlife+$F372),(Input!$I$169*(1+vanilla2)^0.5)-SUM($I372:J372),(Input!$I$169*(1+vanilla2)^0.5)/A26stdlife))</f>
        <v>0</v>
      </c>
      <c r="L372" s="67">
        <f>IF(A26stdlife="n/a","n/a",IF(L$3&gt;(A26stdlife+$F372),(Input!$I$169*(1+vanilla2)^0.5)-SUM($I372:K372),(Input!$I$169*(1+vanilla2)^0.5)/A26stdlife))</f>
        <v>0</v>
      </c>
      <c r="M372" s="67">
        <f>IF(A26stdlife="n/a","n/a",IF(M$3&gt;(A26stdlife+$F372),(Input!$I$169*(1+vanilla2)^0.5)-SUM($I372:L372),(Input!$I$169*(1+vanilla2)^0.5)/A26stdlife))</f>
        <v>0</v>
      </c>
      <c r="N372" s="67">
        <f>IF(A26stdlife="n/a","n/a",IF(N$3&gt;(A26stdlife+$F372),(Input!$I$169*(1+vanilla2)^0.5)-SUM($I372:M372),(Input!$I$169*(1+vanilla2)^0.5)/A26stdlife))</f>
        <v>0</v>
      </c>
      <c r="O372" s="67">
        <f>IF(A26stdlife="n/a","n/a",IF(O$3&gt;(A26stdlife+$F372),(Input!$I$169*(1+vanilla2)^0.5)-SUM($I372:N372),(Input!$I$169*(1+vanilla2)^0.5)/A26stdlife))</f>
        <v>0</v>
      </c>
      <c r="P372" s="67">
        <f>IF(A26stdlife="n/a","n/a",IF(P$3&gt;(A26stdlife+$F372),(Input!$I$169*(1+vanilla2)^0.5)-SUM($I372:O372),(Input!$I$169*(1+vanilla2)^0.5)/A26stdlife))</f>
        <v>0</v>
      </c>
      <c r="Q372" s="67">
        <f>IF(A26stdlife="n/a","n/a",IF(Q$3&gt;(A26stdlife+$F372),(Input!$I$169*(1+vanilla2)^0.5)-SUM($I372:P372),(Input!$I$169*(1+vanilla2)^0.5)/A26stdlife))</f>
        <v>0</v>
      </c>
      <c r="R372" s="67"/>
      <c r="S372" s="102"/>
      <c r="T372" s="102"/>
      <c r="U372" s="102"/>
      <c r="V372" s="102"/>
      <c r="W372" s="102"/>
      <c r="X372" s="102"/>
      <c r="Y372" s="102"/>
      <c r="Z372" s="102"/>
      <c r="AA372" s="102"/>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5.25" hidden="1" customHeight="1" outlineLevel="2">
      <c r="A373" s="9"/>
      <c r="B373" s="9"/>
      <c r="C373" s="9"/>
      <c r="D373" s="25"/>
      <c r="E373" s="482"/>
      <c r="F373" s="85">
        <v>3</v>
      </c>
      <c r="G373" s="122"/>
      <c r="H373" s="146"/>
      <c r="I373" s="148"/>
      <c r="J373" s="147"/>
      <c r="K373" s="67">
        <f>IF(A26stdlife="n/a","n/a",IF(K$3&gt;(A26stdlife+$F373),(Input!$J$169*(1+vanilla3)^0.5)-SUM($J373:J373),(Input!$J$169*(1+vanilla3)^0.5)/A26stdlife))</f>
        <v>0</v>
      </c>
      <c r="L373" s="67">
        <f>IF(A26stdlife="n/a","n/a",IF(L$3&gt;(A26stdlife+$F373),(Input!$J$169*(1+vanilla3)^0.5)-SUM($J373:K373),(Input!$J$169*(1+vanilla3)^0.5)/A26stdlife))</f>
        <v>0</v>
      </c>
      <c r="M373" s="67">
        <f>IF(A26stdlife="n/a","n/a",IF(M$3&gt;(A26stdlife+$F373),(Input!$J$169*(1+vanilla3)^0.5)-SUM($J373:L373),(Input!$J$169*(1+vanilla3)^0.5)/A26stdlife))</f>
        <v>0</v>
      </c>
      <c r="N373" s="67">
        <f>IF(A26stdlife="n/a","n/a",IF(N$3&gt;(A26stdlife+$F373),(Input!$J$169*(1+vanilla3)^0.5)-SUM($J373:M373),(Input!$J$169*(1+vanilla3)^0.5)/A26stdlife))</f>
        <v>0</v>
      </c>
      <c r="O373" s="67">
        <f>IF(A26stdlife="n/a","n/a",IF(O$3&gt;(A26stdlife+$F373),(Input!$J$169*(1+vanilla3)^0.5)-SUM($J373:N373),(Input!$J$169*(1+vanilla3)^0.5)/A26stdlife))</f>
        <v>0</v>
      </c>
      <c r="P373" s="67">
        <f>IF(A26stdlife="n/a","n/a",IF(P$3&gt;(A26stdlife+$F373),(Input!$J$169*(1+vanilla3)^0.5)-SUM($J373:O373),(Input!$J$169*(1+vanilla3)^0.5)/A26stdlife))</f>
        <v>0</v>
      </c>
      <c r="Q373" s="67">
        <f>IF(A26stdlife="n/a","n/a",IF(Q$3&gt;(A26stdlife+$F373),(Input!$J$169*(1+vanilla3)^0.5)-SUM($J373:P373),(Input!$J$169*(1+vanilla3)^0.5)/A26stdlife))</f>
        <v>0</v>
      </c>
      <c r="R373" s="67"/>
      <c r="S373" s="102"/>
      <c r="T373" s="102"/>
      <c r="U373" s="102"/>
      <c r="V373" s="102"/>
      <c r="W373" s="102"/>
      <c r="X373" s="102"/>
      <c r="Y373" s="102"/>
      <c r="Z373" s="102"/>
      <c r="AA373" s="102"/>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5.25" hidden="1" customHeight="1" outlineLevel="2">
      <c r="A374" s="9"/>
      <c r="B374" s="9"/>
      <c r="C374" s="9"/>
      <c r="D374" s="25"/>
      <c r="E374" s="482"/>
      <c r="F374" s="85">
        <v>4</v>
      </c>
      <c r="G374" s="122"/>
      <c r="H374" s="146"/>
      <c r="I374" s="148"/>
      <c r="J374" s="148"/>
      <c r="K374" s="147"/>
      <c r="L374" s="67">
        <f>IF(A26stdlife="n/a","n/a",IF(L$3&gt;(A26stdlife+$F374),(Input!$K$169*(1+vanilla4)^0.5)-SUM($K374:K374),(Input!$K$169*(1+vanilla4)^0.5)/A26stdlife))</f>
        <v>0</v>
      </c>
      <c r="M374" s="67">
        <f>IF(A26stdlife="n/a","n/a",IF(M$3&gt;(A26stdlife+$F374),(Input!$K$169*(1+vanilla4)^0.5)-SUM($K374:L374),(Input!$K$169*(1+vanilla4)^0.5)/A26stdlife))</f>
        <v>0</v>
      </c>
      <c r="N374" s="67">
        <f>IF(A26stdlife="n/a","n/a",IF(N$3&gt;(A26stdlife+$F374),(Input!$K$169*(1+vanilla4)^0.5)-SUM($K374:M374),(Input!$K$169*(1+vanilla4)^0.5)/A26stdlife))</f>
        <v>0</v>
      </c>
      <c r="O374" s="67">
        <f>IF(A26stdlife="n/a","n/a",IF(O$3&gt;(A26stdlife+$F374),(Input!$K$169*(1+vanilla4)^0.5)-SUM($K374:N374),(Input!$K$169*(1+vanilla4)^0.5)/A26stdlife))</f>
        <v>0</v>
      </c>
      <c r="P374" s="67">
        <f>IF(A26stdlife="n/a","n/a",IF(P$3&gt;(A26stdlife+$F374),(Input!$K$169*(1+vanilla4)^0.5)-SUM($K374:O374),(Input!$K$169*(1+vanilla4)^0.5)/A26stdlife))</f>
        <v>0</v>
      </c>
      <c r="Q374" s="67">
        <f>IF(A26stdlife="n/a","n/a",IF(Q$3&gt;(A26stdlife+$F374),(Input!$K$169*(1+vanilla4)^0.5)-SUM($K374:P374),(Input!$K$169*(1+vanilla4)^0.5)/A26stdlife))</f>
        <v>0</v>
      </c>
      <c r="R374" s="67"/>
      <c r="S374" s="102"/>
      <c r="T374" s="102"/>
      <c r="U374" s="102"/>
      <c r="V374" s="102"/>
      <c r="W374" s="102"/>
      <c r="X374" s="102"/>
      <c r="Y374" s="102"/>
      <c r="Z374" s="102"/>
      <c r="AA374" s="102"/>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5.25" hidden="1" customHeight="1" outlineLevel="2">
      <c r="A375" s="9"/>
      <c r="B375" s="9"/>
      <c r="C375" s="9"/>
      <c r="D375" s="25"/>
      <c r="E375" s="482"/>
      <c r="F375" s="85">
        <v>5</v>
      </c>
      <c r="G375" s="26"/>
      <c r="H375" s="146"/>
      <c r="I375" s="148"/>
      <c r="J375" s="148"/>
      <c r="K375" s="148"/>
      <c r="L375" s="147"/>
      <c r="M375" s="67">
        <f>IF(A26stdlife="n/a","n/a",IF(M$3&gt;(A26stdlife+$F375),(Input!$L$169*(1+vanilla5)^0.5)-SUM($L375:L375),(Input!$L$169*(1+vanilla5)^0.5)/A26stdlife))</f>
        <v>0</v>
      </c>
      <c r="N375" s="67">
        <f>IF(A26stdlife="n/a","n/a",IF(N$3&gt;(A26stdlife+$F375),(Input!$L$169*(1+vanilla5)^0.5)-SUM($L375:M375),(Input!$L$169*(1+vanilla5)^0.5)/A26stdlife))</f>
        <v>0</v>
      </c>
      <c r="O375" s="67">
        <f>IF(A26stdlife="n/a","n/a",IF(O$3&gt;(A26stdlife+$F375),(Input!$L$169*(1+vanilla5)^0.5)-SUM($L375:N375),(Input!$L$169*(1+vanilla5)^0.5)/A26stdlife))</f>
        <v>0</v>
      </c>
      <c r="P375" s="67">
        <f>IF(A26stdlife="n/a","n/a",IF(P$3&gt;(A26stdlife+$F375),(Input!$L$169*(1+vanilla5)^0.5)-SUM($L375:O375),(Input!$L$169*(1+vanilla5)^0.5)/A26stdlife))</f>
        <v>0</v>
      </c>
      <c r="Q375" s="67">
        <f>IF(A26stdlife="n/a","n/a",IF(Q$3&gt;(A26stdlife+$F375),(Input!$L$169*(1+vanilla5)^0.5)-SUM($L375:P375),(Input!$L$169*(1+vanilla5)^0.5)/A26stdlife))</f>
        <v>0</v>
      </c>
      <c r="R375" s="67"/>
      <c r="S375" s="102"/>
      <c r="T375" s="102"/>
      <c r="U375" s="102"/>
      <c r="V375" s="102"/>
      <c r="W375" s="102"/>
      <c r="X375" s="102"/>
      <c r="Y375" s="102"/>
      <c r="Z375" s="102"/>
      <c r="AA375" s="102"/>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5.25" hidden="1" customHeight="1" outlineLevel="2">
      <c r="A376" s="9"/>
      <c r="B376" s="9"/>
      <c r="C376" s="9"/>
      <c r="D376" s="25"/>
      <c r="E376" s="482"/>
      <c r="F376" s="85">
        <v>6</v>
      </c>
      <c r="G376" s="26"/>
      <c r="H376" s="146"/>
      <c r="I376" s="148"/>
      <c r="J376" s="148"/>
      <c r="K376" s="148"/>
      <c r="L376" s="148"/>
      <c r="M376" s="147"/>
      <c r="N376" s="67">
        <f>IF(A26stdlife="n/a","n/a",IF(N$3&gt;(A26stdlife+$F376),(Input!$M$169*(1+vanilla6)^0.5)-SUM($M376:M376),(Input!$M$169*(1+vanilla6)^0.5)/A26stdlife))</f>
        <v>0</v>
      </c>
      <c r="O376" s="67">
        <f>IF(A26stdlife="n/a","n/a",IF(O$3&gt;(A26stdlife+$F376),(Input!$M$169*(1+vanilla6)^0.5)-SUM($M376:N376),(Input!$M$169*(1+vanilla6)^0.5)/A26stdlife))</f>
        <v>0</v>
      </c>
      <c r="P376" s="67">
        <f>IF(A26stdlife="n/a","n/a",IF(P$3&gt;(A26stdlife+$F376),(Input!$M$169*(1+vanilla6)^0.5)-SUM($M376:O376),(Input!$M$169*(1+vanilla6)^0.5)/A26stdlife))</f>
        <v>0</v>
      </c>
      <c r="Q376" s="67">
        <f>IF(A26stdlife="n/a","n/a",IF(Q$3&gt;(A26stdlife+$F376),(Input!$M$169*(1+vanilla6)^0.5)-SUM($M376:P376),(Input!$M$169*(1+vanilla6)^0.5)/A26stdlife))</f>
        <v>0</v>
      </c>
      <c r="R376" s="67"/>
      <c r="S376" s="102"/>
      <c r="T376" s="102"/>
      <c r="U376" s="102"/>
      <c r="V376" s="102"/>
      <c r="W376" s="102"/>
      <c r="X376" s="102"/>
      <c r="Y376" s="102"/>
      <c r="Z376" s="102"/>
      <c r="AA376" s="102"/>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5.25" hidden="1" customHeight="1" outlineLevel="2">
      <c r="A377" s="9"/>
      <c r="B377" s="9"/>
      <c r="C377" s="9"/>
      <c r="D377" s="25"/>
      <c r="E377" s="482"/>
      <c r="F377" s="85">
        <v>7</v>
      </c>
      <c r="G377" s="26"/>
      <c r="H377" s="146"/>
      <c r="I377" s="148"/>
      <c r="J377" s="148"/>
      <c r="K377" s="148"/>
      <c r="L377" s="148"/>
      <c r="M377" s="148"/>
      <c r="N377" s="147"/>
      <c r="O377" s="67">
        <f>IF(A26stdlife="n/a","n/a",IF(O$3&gt;(A26stdlife+$F377),(Input!$N$169*(1+vanilla7)^0.5)-SUM($N377:N377),(Input!$N$169*(1+vanilla7)^0.5)/A26stdlife))</f>
        <v>0</v>
      </c>
      <c r="P377" s="67">
        <f>IF(A26stdlife="n/a","n/a",IF(P$3&gt;(A26stdlife+$F377),(Input!$N$169*(1+vanilla7)^0.5)-SUM($N377:O377),(Input!$N$169*(1+vanilla7)^0.5)/A26stdlife))</f>
        <v>0</v>
      </c>
      <c r="Q377" s="67">
        <f>IF(A26stdlife="n/a","n/a",IF(Q$3&gt;(A26stdlife+$F377),(Input!$N$169*(1+vanilla7)^0.5)-SUM($N377:P377),(Input!$N$169*(1+vanilla7)^0.5)/A26stdlife))</f>
        <v>0</v>
      </c>
      <c r="R377" s="67"/>
      <c r="S377" s="102"/>
      <c r="T377" s="102"/>
      <c r="U377" s="102"/>
      <c r="V377" s="102"/>
      <c r="W377" s="102"/>
      <c r="X377" s="102"/>
      <c r="Y377" s="102"/>
      <c r="Z377" s="102"/>
      <c r="AA377" s="102"/>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5.25" hidden="1" customHeight="1" outlineLevel="2">
      <c r="A378" s="9"/>
      <c r="B378" s="9"/>
      <c r="C378" s="9"/>
      <c r="D378" s="25"/>
      <c r="E378" s="482"/>
      <c r="F378" s="85">
        <v>8</v>
      </c>
      <c r="G378" s="26"/>
      <c r="H378" s="146"/>
      <c r="I378" s="148"/>
      <c r="J378" s="148"/>
      <c r="K378" s="148"/>
      <c r="L378" s="148"/>
      <c r="M378" s="148"/>
      <c r="N378" s="148"/>
      <c r="O378" s="147"/>
      <c r="P378" s="67">
        <f>IF(A26stdlife="n/a","n/a",IF(P$3&gt;(A26stdlife+$F378),(Input!$O$169*(1+vanilla8)^0.5)-SUM($O378:O378),(Input!$O$169*(1+vanilla8)^0.5)/A26stdlife))</f>
        <v>0</v>
      </c>
      <c r="Q378" s="67">
        <f>IF(A26stdlife="n/a","n/a",IF(Q$3&gt;(A26stdlife+$F378),(Input!$O$169*(1+vanilla8)^0.5)-SUM($O378:P378),(Input!$O$169*(1+vanilla8)^0.5)/A26stdlife))</f>
        <v>0</v>
      </c>
      <c r="R378" s="67"/>
      <c r="S378" s="102"/>
      <c r="T378" s="102"/>
      <c r="U378" s="102"/>
      <c r="V378" s="102"/>
      <c r="W378" s="102"/>
      <c r="X378" s="102"/>
      <c r="Y378" s="102"/>
      <c r="Z378" s="102"/>
      <c r="AA378" s="102"/>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5.25" hidden="1" customHeight="1" outlineLevel="2">
      <c r="A379" s="9"/>
      <c r="B379" s="9"/>
      <c r="C379" s="9"/>
      <c r="D379" s="25"/>
      <c r="E379" s="482"/>
      <c r="F379" s="85">
        <v>9</v>
      </c>
      <c r="G379" s="26"/>
      <c r="H379" s="146"/>
      <c r="I379" s="148"/>
      <c r="J379" s="148"/>
      <c r="K379" s="148"/>
      <c r="L379" s="148"/>
      <c r="M379" s="148"/>
      <c r="N379" s="148"/>
      <c r="O379" s="148"/>
      <c r="P379" s="147"/>
      <c r="Q379" s="67">
        <f>IF(A26stdlife="n/a","n/a",IF(Q$3&gt;(A26stdlife+$F379),(Input!$P$169*(1+vanilla9)^0.5)-SUM($P379:P379),(Input!$P$169*(1+vanilla9)^0.5)/A26stdlife))</f>
        <v>0</v>
      </c>
      <c r="R379" s="67"/>
      <c r="S379" s="102"/>
      <c r="T379" s="102"/>
      <c r="U379" s="102"/>
      <c r="V379" s="102"/>
      <c r="W379" s="102"/>
      <c r="X379" s="102"/>
      <c r="Y379" s="102"/>
      <c r="Z379" s="102"/>
      <c r="AA379" s="102"/>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5.25" hidden="1" customHeight="1" outlineLevel="2">
      <c r="A380" s="9"/>
      <c r="B380" s="9"/>
      <c r="C380" s="9"/>
      <c r="D380" s="25"/>
      <c r="E380" s="482"/>
      <c r="F380" s="86">
        <v>10</v>
      </c>
      <c r="G380" s="26"/>
      <c r="H380" s="146"/>
      <c r="I380" s="148"/>
      <c r="J380" s="148"/>
      <c r="K380" s="148"/>
      <c r="L380" s="148"/>
      <c r="M380" s="148"/>
      <c r="N380" s="148"/>
      <c r="O380" s="148"/>
      <c r="P380" s="148"/>
      <c r="Q380" s="147"/>
      <c r="R380" s="67"/>
      <c r="S380" s="102"/>
      <c r="T380" s="102"/>
      <c r="U380" s="102"/>
      <c r="V380" s="102"/>
      <c r="W380" s="102"/>
      <c r="X380" s="102"/>
      <c r="Y380" s="102"/>
      <c r="Z380" s="102"/>
      <c r="AA380" s="102"/>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5">
        <f>Asset26</f>
        <v>0</v>
      </c>
      <c r="E381" s="9"/>
      <c r="F381" s="9"/>
      <c r="G381" s="122"/>
      <c r="H381" s="165">
        <f>-SUM(H369:H380)</f>
        <v>0</v>
      </c>
      <c r="I381" s="165">
        <f>-SUM(I369:I380)</f>
        <v>0</v>
      </c>
      <c r="J381" s="165">
        <f>-SUM(J369:J380)</f>
        <v>0</v>
      </c>
      <c r="K381" s="165">
        <f>-SUM(K369:K380)</f>
        <v>0</v>
      </c>
      <c r="L381" s="165">
        <f>-SUM(L369:L380)</f>
        <v>0</v>
      </c>
      <c r="M381" s="165">
        <f>IF(Input!M174&gt;0, -SUM(M369:M380), 0)</f>
        <v>0</v>
      </c>
      <c r="N381" s="165">
        <f>IF(Input!N174&gt;0, -SUM(N369:N380), 0)</f>
        <v>0</v>
      </c>
      <c r="O381" s="165">
        <f>IF(Input!O174&gt;0, -SUM(O369:O380), 0)</f>
        <v>0</v>
      </c>
      <c r="P381" s="165">
        <f>IF(Input!P174&gt;0, -SUM(P369:P380), 0)</f>
        <v>0</v>
      </c>
      <c r="Q381" s="165">
        <f>IF(Input!Q174&gt;0, -SUM(Q369:Q380), 0)</f>
        <v>0</v>
      </c>
      <c r="R381" s="65"/>
      <c r="S381" s="104"/>
      <c r="T381" s="104"/>
      <c r="U381" s="104"/>
      <c r="V381" s="104"/>
      <c r="W381" s="104"/>
      <c r="X381" s="104"/>
      <c r="Y381" s="104"/>
      <c r="Z381" s="104"/>
      <c r="AA381" s="104"/>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104"/>
      <c r="BE381" s="104"/>
      <c r="BF381" s="104"/>
      <c r="BG381" s="104"/>
      <c r="BH381" s="104"/>
      <c r="BI381" s="104"/>
      <c r="BJ381" s="104"/>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5.25" hidden="1" customHeight="1" outlineLevel="2">
      <c r="A382" s="9"/>
      <c r="B382" s="9"/>
      <c r="C382" s="31">
        <f>Asset27</f>
        <v>0</v>
      </c>
      <c r="D382" s="161"/>
      <c r="E382" s="33" t="s">
        <v>28</v>
      </c>
      <c r="F382" s="32"/>
      <c r="G382" s="174"/>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5.25" hidden="1" customHeight="1" outlineLevel="2">
      <c r="A383" s="9"/>
      <c r="B383" s="9"/>
      <c r="C383" s="9"/>
      <c r="D383" s="25"/>
      <c r="E383" s="481" t="s">
        <v>83</v>
      </c>
      <c r="F383" s="85">
        <v>0</v>
      </c>
      <c r="G383" s="122"/>
      <c r="H383" s="67"/>
      <c r="I383" s="67"/>
      <c r="J383" s="67"/>
      <c r="K383" s="67"/>
      <c r="L383" s="67"/>
      <c r="M383" s="163"/>
      <c r="N383" s="111"/>
      <c r="O383" s="67"/>
      <c r="P383" s="67"/>
      <c r="Q383" s="67"/>
      <c r="R383" s="67"/>
      <c r="S383" s="102"/>
      <c r="T383" s="102"/>
      <c r="U383" s="102"/>
      <c r="V383" s="102"/>
      <c r="W383" s="102"/>
      <c r="X383" s="102"/>
      <c r="Y383" s="102"/>
      <c r="Z383" s="102"/>
      <c r="AA383" s="102"/>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102"/>
      <c r="BE383" s="102"/>
      <c r="BF383" s="102"/>
      <c r="BG383" s="102"/>
      <c r="BH383" s="102"/>
      <c r="BI383" s="102"/>
      <c r="BJ383" s="102"/>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5.25" hidden="1" customHeight="1" outlineLevel="2">
      <c r="A384" s="9"/>
      <c r="B384" s="9"/>
      <c r="C384" s="9"/>
      <c r="D384" s="25"/>
      <c r="E384" s="482"/>
      <c r="F384" s="85">
        <v>1</v>
      </c>
      <c r="G384" s="122"/>
      <c r="H384" s="145"/>
      <c r="I384" s="67">
        <f>IF(A27stdlife="n/a","n/a",IF(I$3&gt;(A27stdlife+$F384),(Input!$H$170*(1+vanilla1)^0.5)-SUM($H384:H384),(Input!$H$170*(1+vanilla1)^0.5)/A27stdlife))</f>
        <v>0</v>
      </c>
      <c r="J384" s="67">
        <f>IF(A27stdlife="n/a","n/a",IF(J$3&gt;(A27stdlife+$F384),(Input!$H$170*(1+vanilla1)^0.5)-SUM($H384:I384),(Input!$H$170*(1+vanilla1)^0.5)/A27stdlife))</f>
        <v>0</v>
      </c>
      <c r="K384" s="67">
        <f>IF(A27stdlife="n/a","n/a",IF(K$3&gt;(A27stdlife+$F384),(Input!$H$170*(1+vanilla1)^0.5)-SUM($H384:J384),(Input!$H$170*(1+vanilla1)^0.5)/A27stdlife))</f>
        <v>0</v>
      </c>
      <c r="L384" s="67">
        <f>IF(A27stdlife="n/a","n/a",IF(L$3&gt;(A27stdlife+$F384),(Input!$H$170*(1+vanilla1)^0.5)-SUM($H384:K384),(Input!$H$170*(1+vanilla1)^0.5)/A27stdlife))</f>
        <v>0</v>
      </c>
      <c r="M384" s="67">
        <f>IF(A27stdlife="n/a","n/a",IF(M$3&gt;(A27stdlife+$F384),(Input!$H$170*(1+vanilla1)^0.5)-SUM($H384:L384),(Input!$H$170*(1+vanilla1)^0.5)/A27stdlife))</f>
        <v>0</v>
      </c>
      <c r="N384" s="67">
        <f>IF(A27stdlife="n/a","n/a",IF(N$3&gt;(A27stdlife+$F384),(Input!$H$170*(1+vanilla1)^0.5)-SUM($H384:M384),(Input!$H$170*(1+vanilla1)^0.5)/A27stdlife))</f>
        <v>0</v>
      </c>
      <c r="O384" s="67">
        <f>IF(A27stdlife="n/a","n/a",IF(O$3&gt;(A27stdlife+$F384),(Input!$H$170*(1+vanilla1)^0.5)-SUM($H384:N384),(Input!$H$170*(1+vanilla1)^0.5)/A27stdlife))</f>
        <v>0</v>
      </c>
      <c r="P384" s="67">
        <f>IF(A27stdlife="n/a","n/a",IF(P$3&gt;(A27stdlife+$F384),(Input!$H$170*(1+vanilla1)^0.5)-SUM($H384:O384),(Input!$H$170*(1+vanilla1)^0.5)/A27stdlife))</f>
        <v>0</v>
      </c>
      <c r="Q384" s="67">
        <f>IF(A27stdlife="n/a","n/a",IF(Q$3&gt;(A27stdlife+$F384),(Input!$H$170*(1+vanilla1)^0.5)-SUM($H384:P384),(Input!$H$170*(1+vanilla1)^0.5)/A27stdlife))</f>
        <v>0</v>
      </c>
      <c r="R384" s="67"/>
      <c r="S384" s="102"/>
      <c r="T384" s="102"/>
      <c r="U384" s="102"/>
      <c r="V384" s="102"/>
      <c r="W384" s="102"/>
      <c r="X384" s="102"/>
      <c r="Y384" s="102"/>
      <c r="Z384" s="102"/>
      <c r="AA384" s="102"/>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5.25" hidden="1" customHeight="1" outlineLevel="2">
      <c r="A385" s="9"/>
      <c r="B385" s="9"/>
      <c r="C385" s="9"/>
      <c r="D385" s="25"/>
      <c r="E385" s="482"/>
      <c r="F385" s="85">
        <v>2</v>
      </c>
      <c r="G385" s="122"/>
      <c r="H385" s="146"/>
      <c r="I385" s="147"/>
      <c r="J385" s="67">
        <f>IF(A27stdlife="n/a","n/a",IF(J$3&gt;(A27stdlife+$F385),(Input!$I$170*(1+vanilla2)^0.5)-SUM($I385:I385),(Input!$I$170*(1+vanilla2)^0.5)/A27stdlife))</f>
        <v>0</v>
      </c>
      <c r="K385" s="67">
        <f>IF(A27stdlife="n/a","n/a",IF(K$3&gt;(A27stdlife+$F385),(Input!$I$170*(1+vanilla2)^0.5)-SUM($I385:J385),(Input!$I$170*(1+vanilla2)^0.5)/A27stdlife))</f>
        <v>0</v>
      </c>
      <c r="L385" s="67">
        <f>IF(A27stdlife="n/a","n/a",IF(L$3&gt;(A27stdlife+$F385),(Input!$I$170*(1+vanilla2)^0.5)-SUM($I385:K385),(Input!$I$170*(1+vanilla2)^0.5)/A27stdlife))</f>
        <v>0</v>
      </c>
      <c r="M385" s="67">
        <f>IF(A27stdlife="n/a","n/a",IF(M$3&gt;(A27stdlife+$F385),(Input!$I$170*(1+vanilla2)^0.5)-SUM($I385:L385),(Input!$I$170*(1+vanilla2)^0.5)/A27stdlife))</f>
        <v>0</v>
      </c>
      <c r="N385" s="67">
        <f>IF(A27stdlife="n/a","n/a",IF(N$3&gt;(A27stdlife+$F385),(Input!$I$170*(1+vanilla2)^0.5)-SUM($I385:M385),(Input!$I$170*(1+vanilla2)^0.5)/A27stdlife))</f>
        <v>0</v>
      </c>
      <c r="O385" s="67">
        <f>IF(A27stdlife="n/a","n/a",IF(O$3&gt;(A27stdlife+$F385),(Input!$I$170*(1+vanilla2)^0.5)-SUM($I385:N385),(Input!$I$170*(1+vanilla2)^0.5)/A27stdlife))</f>
        <v>0</v>
      </c>
      <c r="P385" s="67">
        <f>IF(A27stdlife="n/a","n/a",IF(P$3&gt;(A27stdlife+$F385),(Input!$I$170*(1+vanilla2)^0.5)-SUM($I385:O385),(Input!$I$170*(1+vanilla2)^0.5)/A27stdlife))</f>
        <v>0</v>
      </c>
      <c r="Q385" s="67">
        <f>IF(A27stdlife="n/a","n/a",IF(Q$3&gt;(A27stdlife+$F385),(Input!$I$170*(1+vanilla2)^0.5)-SUM($I385:P385),(Input!$I$170*(1+vanilla2)^0.5)/A27stdlife))</f>
        <v>0</v>
      </c>
      <c r="R385" s="67"/>
      <c r="S385" s="102"/>
      <c r="T385" s="102"/>
      <c r="U385" s="102"/>
      <c r="V385" s="102"/>
      <c r="W385" s="102"/>
      <c r="X385" s="102"/>
      <c r="Y385" s="102"/>
      <c r="Z385" s="102"/>
      <c r="AA385" s="102"/>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5.25" hidden="1" customHeight="1" outlineLevel="2">
      <c r="A386" s="9"/>
      <c r="B386" s="9"/>
      <c r="C386" s="9"/>
      <c r="D386" s="25"/>
      <c r="E386" s="482"/>
      <c r="F386" s="85">
        <v>3</v>
      </c>
      <c r="G386" s="122"/>
      <c r="H386" s="146"/>
      <c r="I386" s="148"/>
      <c r="J386" s="147"/>
      <c r="K386" s="67">
        <f>IF(A27stdlife="n/a","n/a",IF(K$3&gt;(A27stdlife+$F386),(Input!$J$170*(1+vanilla3)^0.5)-SUM($J386:J386),(Input!$J$170*(1+vanilla3)^0.5)/A27stdlife))</f>
        <v>0</v>
      </c>
      <c r="L386" s="67">
        <f>IF(A27stdlife="n/a","n/a",IF(L$3&gt;(A27stdlife+$F386),(Input!$J$170*(1+vanilla3)^0.5)-SUM($J386:K386),(Input!$J$170*(1+vanilla3)^0.5)/A27stdlife))</f>
        <v>0</v>
      </c>
      <c r="M386" s="67">
        <f>IF(A27stdlife="n/a","n/a",IF(M$3&gt;(A27stdlife+$F386),(Input!$J$170*(1+vanilla3)^0.5)-SUM($J386:L386),(Input!$J$170*(1+vanilla3)^0.5)/A27stdlife))</f>
        <v>0</v>
      </c>
      <c r="N386" s="67">
        <f>IF(A27stdlife="n/a","n/a",IF(N$3&gt;(A27stdlife+$F386),(Input!$J$170*(1+vanilla3)^0.5)-SUM($J386:M386),(Input!$J$170*(1+vanilla3)^0.5)/A27stdlife))</f>
        <v>0</v>
      </c>
      <c r="O386" s="67">
        <f>IF(A27stdlife="n/a","n/a",IF(O$3&gt;(A27stdlife+$F386),(Input!$J$170*(1+vanilla3)^0.5)-SUM($J386:N386),(Input!$J$170*(1+vanilla3)^0.5)/A27stdlife))</f>
        <v>0</v>
      </c>
      <c r="P386" s="67">
        <f>IF(A27stdlife="n/a","n/a",IF(P$3&gt;(A27stdlife+$F386),(Input!$J$170*(1+vanilla3)^0.5)-SUM($J386:O386),(Input!$J$170*(1+vanilla3)^0.5)/A27stdlife))</f>
        <v>0</v>
      </c>
      <c r="Q386" s="67">
        <f>IF(A27stdlife="n/a","n/a",IF(Q$3&gt;(A27stdlife+$F386),(Input!$J$170*(1+vanilla3)^0.5)-SUM($J386:P386),(Input!$J$170*(1+vanilla3)^0.5)/A27stdlife))</f>
        <v>0</v>
      </c>
      <c r="R386" s="67"/>
      <c r="S386" s="102"/>
      <c r="T386" s="102"/>
      <c r="U386" s="102"/>
      <c r="V386" s="102"/>
      <c r="W386" s="102"/>
      <c r="X386" s="102"/>
      <c r="Y386" s="102"/>
      <c r="Z386" s="102"/>
      <c r="AA386" s="102"/>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5.25" hidden="1" customHeight="1" outlineLevel="2">
      <c r="A387" s="9"/>
      <c r="B387" s="9"/>
      <c r="C387" s="9"/>
      <c r="D387" s="25"/>
      <c r="E387" s="482"/>
      <c r="F387" s="85">
        <v>4</v>
      </c>
      <c r="G387" s="122"/>
      <c r="H387" s="146"/>
      <c r="I387" s="148"/>
      <c r="J387" s="148"/>
      <c r="K387" s="147"/>
      <c r="L387" s="67">
        <f>IF(A27stdlife="n/a","n/a",IF(L$3&gt;(A27stdlife+$F387),(Input!$K$170*(1+vanilla4)^0.5)-SUM($K387:K387),(Input!$K$170*(1+vanilla4)^0.5)/A27stdlife))</f>
        <v>0</v>
      </c>
      <c r="M387" s="67">
        <f>IF(A27stdlife="n/a","n/a",IF(M$3&gt;(A27stdlife+$F387),(Input!$K$170*(1+vanilla4)^0.5)-SUM($K387:L387),(Input!$K$170*(1+vanilla4)^0.5)/A27stdlife))</f>
        <v>0</v>
      </c>
      <c r="N387" s="67">
        <f>IF(A27stdlife="n/a","n/a",IF(N$3&gt;(A27stdlife+$F387),(Input!$K$170*(1+vanilla4)^0.5)-SUM($K387:M387),(Input!$K$170*(1+vanilla4)^0.5)/A27stdlife))</f>
        <v>0</v>
      </c>
      <c r="O387" s="67">
        <f>IF(A27stdlife="n/a","n/a",IF(O$3&gt;(A27stdlife+$F387),(Input!$K$170*(1+vanilla4)^0.5)-SUM($K387:N387),(Input!$K$170*(1+vanilla4)^0.5)/A27stdlife))</f>
        <v>0</v>
      </c>
      <c r="P387" s="67">
        <f>IF(A27stdlife="n/a","n/a",IF(P$3&gt;(A27stdlife+$F387),(Input!$K$170*(1+vanilla4)^0.5)-SUM($K387:O387),(Input!$K$170*(1+vanilla4)^0.5)/A27stdlife))</f>
        <v>0</v>
      </c>
      <c r="Q387" s="67">
        <f>IF(A27stdlife="n/a","n/a",IF(Q$3&gt;(A27stdlife+$F387),(Input!$K$170*(1+vanilla4)^0.5)-SUM($K387:P387),(Input!$K$170*(1+vanilla4)^0.5)/A27stdlife))</f>
        <v>0</v>
      </c>
      <c r="R387" s="67"/>
      <c r="S387" s="102"/>
      <c r="T387" s="102"/>
      <c r="U387" s="102"/>
      <c r="V387" s="102"/>
      <c r="W387" s="102"/>
      <c r="X387" s="102"/>
      <c r="Y387" s="102"/>
      <c r="Z387" s="102"/>
      <c r="AA387" s="102"/>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5.25" hidden="1" customHeight="1" outlineLevel="2">
      <c r="A388" s="9"/>
      <c r="B388" s="9"/>
      <c r="C388" s="9"/>
      <c r="D388" s="25"/>
      <c r="E388" s="482"/>
      <c r="F388" s="85">
        <v>5</v>
      </c>
      <c r="G388" s="26"/>
      <c r="H388" s="146"/>
      <c r="I388" s="148"/>
      <c r="J388" s="148"/>
      <c r="K388" s="148"/>
      <c r="L388" s="147"/>
      <c r="M388" s="67">
        <f>IF(A27stdlife="n/a","n/a",IF(M$3&gt;(A27stdlife+$F388),(Input!$L$170*(1+vanilla5)^0.5)-SUM($L388:L388),(Input!$L$170*(1+vanilla5)^0.5)/A27stdlife))</f>
        <v>0</v>
      </c>
      <c r="N388" s="67">
        <f>IF(A27stdlife="n/a","n/a",IF(N$3&gt;(A27stdlife+$F388),(Input!$L$170*(1+vanilla5)^0.5)-SUM($L388:M388),(Input!$L$170*(1+vanilla5)^0.5)/A27stdlife))</f>
        <v>0</v>
      </c>
      <c r="O388" s="67">
        <f>IF(A27stdlife="n/a","n/a",IF(O$3&gt;(A27stdlife+$F388),(Input!$L$170*(1+vanilla5)^0.5)-SUM($L388:N388),(Input!$L$170*(1+vanilla5)^0.5)/A27stdlife))</f>
        <v>0</v>
      </c>
      <c r="P388" s="67">
        <f>IF(A27stdlife="n/a","n/a",IF(P$3&gt;(A27stdlife+$F388),(Input!$L$170*(1+vanilla5)^0.5)-SUM($L388:O388),(Input!$L$170*(1+vanilla5)^0.5)/A27stdlife))</f>
        <v>0</v>
      </c>
      <c r="Q388" s="67">
        <f>IF(A27stdlife="n/a","n/a",IF(Q$3&gt;(A27stdlife+$F388),(Input!$L$170*(1+vanilla5)^0.5)-SUM($L388:P388),(Input!$L$170*(1+vanilla5)^0.5)/A27stdlife))</f>
        <v>0</v>
      </c>
      <c r="R388" s="67"/>
      <c r="S388" s="102"/>
      <c r="T388" s="102"/>
      <c r="U388" s="102"/>
      <c r="V388" s="102"/>
      <c r="W388" s="102"/>
      <c r="X388" s="102"/>
      <c r="Y388" s="102"/>
      <c r="Z388" s="102"/>
      <c r="AA388" s="102"/>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5.25" hidden="1" customHeight="1" outlineLevel="2">
      <c r="A389" s="9"/>
      <c r="B389" s="9"/>
      <c r="C389" s="9"/>
      <c r="D389" s="25"/>
      <c r="E389" s="482"/>
      <c r="F389" s="85">
        <v>6</v>
      </c>
      <c r="G389" s="26"/>
      <c r="H389" s="146"/>
      <c r="I389" s="148"/>
      <c r="J389" s="148"/>
      <c r="K389" s="148"/>
      <c r="L389" s="148"/>
      <c r="M389" s="147"/>
      <c r="N389" s="67">
        <f>IF(A27stdlife="n/a","n/a",IF(N$3&gt;(A27stdlife+$F389),(Input!$M$170*(1+vanilla6)^0.5)-SUM($M389:M389),(Input!$M$170*(1+vanilla6)^0.5)/A27stdlife))</f>
        <v>0</v>
      </c>
      <c r="O389" s="67">
        <f>IF(A27stdlife="n/a","n/a",IF(O$3&gt;(A27stdlife+$F389),(Input!$M$170*(1+vanilla6)^0.5)-SUM($M389:N389),(Input!$M$170*(1+vanilla6)^0.5)/A27stdlife))</f>
        <v>0</v>
      </c>
      <c r="P389" s="67">
        <f>IF(A27stdlife="n/a","n/a",IF(P$3&gt;(A27stdlife+$F389),(Input!$M$170*(1+vanilla6)^0.5)-SUM($M389:O389),(Input!$M$170*(1+vanilla6)^0.5)/A27stdlife))</f>
        <v>0</v>
      </c>
      <c r="Q389" s="67">
        <f>IF(A27stdlife="n/a","n/a",IF(Q$3&gt;(A27stdlife+$F389),(Input!$M$170*(1+vanilla6)^0.5)-SUM($M389:P389),(Input!$M$170*(1+vanilla6)^0.5)/A27stdlife))</f>
        <v>0</v>
      </c>
      <c r="R389" s="67"/>
      <c r="S389" s="102"/>
      <c r="T389" s="102"/>
      <c r="U389" s="102"/>
      <c r="V389" s="102"/>
      <c r="W389" s="102"/>
      <c r="X389" s="102"/>
      <c r="Y389" s="102"/>
      <c r="Z389" s="102"/>
      <c r="AA389" s="102"/>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5.25" hidden="1" customHeight="1" outlineLevel="2">
      <c r="A390" s="9"/>
      <c r="B390" s="9"/>
      <c r="C390" s="9"/>
      <c r="D390" s="25"/>
      <c r="E390" s="482"/>
      <c r="F390" s="85">
        <v>7</v>
      </c>
      <c r="G390" s="26"/>
      <c r="H390" s="146"/>
      <c r="I390" s="148"/>
      <c r="J390" s="148"/>
      <c r="K390" s="148"/>
      <c r="L390" s="148"/>
      <c r="M390" s="148"/>
      <c r="N390" s="147"/>
      <c r="O390" s="67">
        <f>IF(A27stdlife="n/a","n/a",IF(O$3&gt;(A27stdlife+$F390),(Input!$N$170*(1+vanilla7)^0.5)-SUM($N390:N390),(Input!$N$170*(1+vanilla7)^0.5)/A27stdlife))</f>
        <v>0</v>
      </c>
      <c r="P390" s="67">
        <f>IF(A27stdlife="n/a","n/a",IF(P$3&gt;(A27stdlife+$F390),(Input!$N$170*(1+vanilla7)^0.5)-SUM($N390:O390),(Input!$N$170*(1+vanilla7)^0.5)/A27stdlife))</f>
        <v>0</v>
      </c>
      <c r="Q390" s="67">
        <f>IF(A27stdlife="n/a","n/a",IF(Q$3&gt;(A27stdlife+$F390),(Input!$N$170*(1+vanilla7)^0.5)-SUM($N390:P390),(Input!$N$170*(1+vanilla7)^0.5)/A27stdlife))</f>
        <v>0</v>
      </c>
      <c r="R390" s="67"/>
      <c r="S390" s="102"/>
      <c r="T390" s="102"/>
      <c r="U390" s="102"/>
      <c r="V390" s="102"/>
      <c r="W390" s="102"/>
      <c r="X390" s="102"/>
      <c r="Y390" s="102"/>
      <c r="Z390" s="102"/>
      <c r="AA390" s="102"/>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5.25" hidden="1" customHeight="1" outlineLevel="2">
      <c r="A391" s="9"/>
      <c r="B391" s="9"/>
      <c r="C391" s="9"/>
      <c r="D391" s="25"/>
      <c r="E391" s="482"/>
      <c r="F391" s="85">
        <v>8</v>
      </c>
      <c r="G391" s="26"/>
      <c r="H391" s="146"/>
      <c r="I391" s="148"/>
      <c r="J391" s="148"/>
      <c r="K391" s="148"/>
      <c r="L391" s="148"/>
      <c r="M391" s="148"/>
      <c r="N391" s="148"/>
      <c r="O391" s="147"/>
      <c r="P391" s="67">
        <f>IF(A27stdlife="n/a","n/a",IF(P$3&gt;(A27stdlife+$F391),(Input!$O$170*(1+vanilla8)^0.5)-SUM($O391:O391),(Input!$O$170*(1+vanilla8)^0.5)/A27stdlife))</f>
        <v>0</v>
      </c>
      <c r="Q391" s="67">
        <f>IF(A27stdlife="n/a","n/a",IF(Q$3&gt;(A27stdlife+$F391),(Input!$O$170*(1+vanilla8)^0.5)-SUM($O391:P391),(Input!$O$170*(1+vanilla8)^0.5)/A27stdlife))</f>
        <v>0</v>
      </c>
      <c r="R391" s="67"/>
      <c r="S391" s="102"/>
      <c r="T391" s="102"/>
      <c r="U391" s="102"/>
      <c r="V391" s="102"/>
      <c r="W391" s="102"/>
      <c r="X391" s="102"/>
      <c r="Y391" s="102"/>
      <c r="Z391" s="102"/>
      <c r="AA391" s="102"/>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5.25" hidden="1" customHeight="1" outlineLevel="2">
      <c r="A392" s="9"/>
      <c r="B392" s="9"/>
      <c r="C392" s="9"/>
      <c r="D392" s="25"/>
      <c r="E392" s="482"/>
      <c r="F392" s="85">
        <v>9</v>
      </c>
      <c r="G392" s="26"/>
      <c r="H392" s="146"/>
      <c r="I392" s="148"/>
      <c r="J392" s="148"/>
      <c r="K392" s="148"/>
      <c r="L392" s="148"/>
      <c r="M392" s="148"/>
      <c r="N392" s="148"/>
      <c r="O392" s="148"/>
      <c r="P392" s="147"/>
      <c r="Q392" s="67">
        <f>IF(A27stdlife="n/a","n/a",IF(Q$3&gt;(A27stdlife+$F392),(Input!$P$170*(1+vanilla9)^0.5)-SUM($P392:P392),(Input!$P$170*(1+vanilla9)^0.5)/A27stdlife))</f>
        <v>0</v>
      </c>
      <c r="R392" s="67"/>
      <c r="S392" s="102"/>
      <c r="T392" s="102"/>
      <c r="U392" s="102"/>
      <c r="V392" s="102"/>
      <c r="W392" s="102"/>
      <c r="X392" s="102"/>
      <c r="Y392" s="102"/>
      <c r="Z392" s="102"/>
      <c r="AA392" s="102"/>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5.25" hidden="1" customHeight="1" outlineLevel="2">
      <c r="A393" s="9"/>
      <c r="B393" s="9"/>
      <c r="C393" s="9"/>
      <c r="D393" s="25"/>
      <c r="E393" s="482"/>
      <c r="F393" s="86">
        <v>10</v>
      </c>
      <c r="G393" s="26"/>
      <c r="H393" s="146"/>
      <c r="I393" s="148"/>
      <c r="J393" s="148"/>
      <c r="K393" s="148"/>
      <c r="L393" s="148"/>
      <c r="M393" s="148"/>
      <c r="N393" s="148"/>
      <c r="O393" s="148"/>
      <c r="P393" s="148"/>
      <c r="Q393" s="147"/>
      <c r="R393" s="67"/>
      <c r="S393" s="102"/>
      <c r="T393" s="102"/>
      <c r="U393" s="102"/>
      <c r="V393" s="102"/>
      <c r="W393" s="102"/>
      <c r="X393" s="102"/>
      <c r="Y393" s="102"/>
      <c r="Z393" s="102"/>
      <c r="AA393" s="102"/>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5">
        <f>Asset27</f>
        <v>0</v>
      </c>
      <c r="E394" s="9"/>
      <c r="F394" s="9"/>
      <c r="G394" s="122"/>
      <c r="H394" s="165">
        <f>-SUM(H382:H393)</f>
        <v>0</v>
      </c>
      <c r="I394" s="165">
        <f>-SUM(I382:I393)</f>
        <v>0</v>
      </c>
      <c r="J394" s="165">
        <f>-SUM(J382:J393)</f>
        <v>0</v>
      </c>
      <c r="K394" s="165">
        <f>-SUM(K382:K393)</f>
        <v>0</v>
      </c>
      <c r="L394" s="165">
        <f>-SUM(L382:L393)</f>
        <v>0</v>
      </c>
      <c r="M394" s="165">
        <f>IF(Input!M174&gt;0, -SUM(M382:M393), 0)</f>
        <v>0</v>
      </c>
      <c r="N394" s="165">
        <f>IF(Input!N174&gt;0, -SUM(N382:N393), 0)</f>
        <v>0</v>
      </c>
      <c r="O394" s="165">
        <f>IF(Input!O174&gt;0, -SUM(O382:O393), 0)</f>
        <v>0</v>
      </c>
      <c r="P394" s="165">
        <f>IF(Input!P174&gt;0, -SUM(P382:P393), 0)</f>
        <v>0</v>
      </c>
      <c r="Q394" s="165">
        <f>IF(Input!Q174&gt;0, -SUM(Q382:Q393), 0)</f>
        <v>0</v>
      </c>
      <c r="R394" s="65"/>
      <c r="S394" s="104"/>
      <c r="T394" s="104"/>
      <c r="U394" s="104"/>
      <c r="V394" s="104"/>
      <c r="W394" s="104"/>
      <c r="X394" s="104"/>
      <c r="Y394" s="104"/>
      <c r="Z394" s="104"/>
      <c r="AA394" s="104"/>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104"/>
      <c r="BE394" s="104"/>
      <c r="BF394" s="104"/>
      <c r="BG394" s="104"/>
      <c r="BH394" s="104"/>
      <c r="BI394" s="104"/>
      <c r="BJ394" s="104"/>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5.25" hidden="1" customHeight="1" outlineLevel="2">
      <c r="A395" s="9"/>
      <c r="B395" s="9"/>
      <c r="C395" s="31">
        <f>Asset28</f>
        <v>0</v>
      </c>
      <c r="D395" s="161"/>
      <c r="E395" s="33" t="s">
        <v>28</v>
      </c>
      <c r="F395" s="32"/>
      <c r="G395" s="174"/>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5.25" hidden="1" customHeight="1" outlineLevel="2">
      <c r="A396" s="9"/>
      <c r="B396" s="9"/>
      <c r="C396" s="9"/>
      <c r="D396" s="25"/>
      <c r="E396" s="481" t="s">
        <v>83</v>
      </c>
      <c r="F396" s="85">
        <v>0</v>
      </c>
      <c r="G396" s="122"/>
      <c r="H396" s="67"/>
      <c r="I396" s="67"/>
      <c r="J396" s="67"/>
      <c r="K396" s="67"/>
      <c r="L396" s="67"/>
      <c r="M396" s="163"/>
      <c r="N396" s="111"/>
      <c r="O396" s="67"/>
      <c r="P396" s="67"/>
      <c r="Q396" s="67"/>
      <c r="R396" s="67"/>
      <c r="S396" s="102"/>
      <c r="T396" s="102"/>
      <c r="U396" s="102"/>
      <c r="V396" s="102"/>
      <c r="W396" s="102"/>
      <c r="X396" s="102"/>
      <c r="Y396" s="102"/>
      <c r="Z396" s="102"/>
      <c r="AA396" s="102"/>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102"/>
      <c r="BE396" s="102"/>
      <c r="BF396" s="102"/>
      <c r="BG396" s="102"/>
      <c r="BH396" s="102"/>
      <c r="BI396" s="102"/>
      <c r="BJ396" s="102"/>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5.25" hidden="1" customHeight="1" outlineLevel="2">
      <c r="A397" s="9"/>
      <c r="B397" s="9"/>
      <c r="C397" s="9"/>
      <c r="D397" s="25"/>
      <c r="E397" s="482"/>
      <c r="F397" s="85">
        <v>1</v>
      </c>
      <c r="G397" s="122"/>
      <c r="H397" s="145"/>
      <c r="I397" s="67">
        <f>IF(A28stdlife="n/a","n/a",IF(I$3&gt;(A28stdlife+$F397),(Input!$H$171*(1+vanilla1)^0.5)-SUM($H397:H397),(Input!$H$171*(1+vanilla1)^0.5)/A28stdlife))</f>
        <v>0</v>
      </c>
      <c r="J397" s="67">
        <f>IF(A28stdlife="n/a","n/a",IF(J$3&gt;(A28stdlife+$F397),(Input!$H$171*(1+vanilla1)^0.5)-SUM($H397:I397),(Input!$H$171*(1+vanilla1)^0.5)/A28stdlife))</f>
        <v>0</v>
      </c>
      <c r="K397" s="67">
        <f>IF(A28stdlife="n/a","n/a",IF(K$3&gt;(A28stdlife+$F397),(Input!$H$171*(1+vanilla1)^0.5)-SUM($H397:J397),(Input!$H$171*(1+vanilla1)^0.5)/A28stdlife))</f>
        <v>0</v>
      </c>
      <c r="L397" s="67">
        <f>IF(A28stdlife="n/a","n/a",IF(L$3&gt;(A28stdlife+$F397),(Input!$H$171*(1+vanilla1)^0.5)-SUM($H397:K397),(Input!$H$171*(1+vanilla1)^0.5)/A28stdlife))</f>
        <v>0</v>
      </c>
      <c r="M397" s="67">
        <f>IF(A28stdlife="n/a","n/a",IF(M$3&gt;(A28stdlife+$F397),(Input!$H$171*(1+vanilla1)^0.5)-SUM($H397:L397),(Input!$H$171*(1+vanilla1)^0.5)/A28stdlife))</f>
        <v>0</v>
      </c>
      <c r="N397" s="67">
        <f>IF(A28stdlife="n/a","n/a",IF(N$3&gt;(A28stdlife+$F397),(Input!$H$171*(1+vanilla1)^0.5)-SUM($H397:M397),(Input!$H$171*(1+vanilla1)^0.5)/A28stdlife))</f>
        <v>0</v>
      </c>
      <c r="O397" s="67">
        <f>IF(A28stdlife="n/a","n/a",IF(O$3&gt;(A28stdlife+$F397),(Input!$H$171*(1+vanilla1)^0.5)-SUM($H397:N397),(Input!$H$171*(1+vanilla1)^0.5)/A28stdlife))</f>
        <v>0</v>
      </c>
      <c r="P397" s="67">
        <f>IF(A28stdlife="n/a","n/a",IF(P$3&gt;(A28stdlife+$F397),(Input!$H$171*(1+vanilla1)^0.5)-SUM($H397:O397),(Input!$H$171*(1+vanilla1)^0.5)/A28stdlife))</f>
        <v>0</v>
      </c>
      <c r="Q397" s="67">
        <f>IF(A28stdlife="n/a","n/a",IF(Q$3&gt;(A28stdlife+$F397),(Input!$H$171*(1+vanilla1)^0.5)-SUM($H397:P397),(Input!$H$171*(1+vanilla1)^0.5)/A28stdlife))</f>
        <v>0</v>
      </c>
      <c r="R397" s="67"/>
      <c r="S397" s="102"/>
      <c r="T397" s="102"/>
      <c r="U397" s="102"/>
      <c r="V397" s="102"/>
      <c r="W397" s="102"/>
      <c r="X397" s="102"/>
      <c r="Y397" s="102"/>
      <c r="Z397" s="102"/>
      <c r="AA397" s="102"/>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5.25" hidden="1" customHeight="1" outlineLevel="2">
      <c r="A398" s="9"/>
      <c r="B398" s="9"/>
      <c r="C398" s="9"/>
      <c r="D398" s="25"/>
      <c r="E398" s="482"/>
      <c r="F398" s="85">
        <v>2</v>
      </c>
      <c r="G398" s="122"/>
      <c r="H398" s="146"/>
      <c r="I398" s="147"/>
      <c r="J398" s="67">
        <f>IF(A28stdlife="n/a","n/a",IF(J$3&gt;(A28stdlife+$F398),(Input!$I$171*(1+vanilla2)^0.5)-SUM($I398:I398),(Input!$I$171*(1+vanilla2)^0.5)/A28stdlife))</f>
        <v>0</v>
      </c>
      <c r="K398" s="67">
        <f>IF(A28stdlife="n/a","n/a",IF(K$3&gt;(A28stdlife+$F398),(Input!$I$171*(1+vanilla2)^0.5)-SUM($I398:J398),(Input!$I$171*(1+vanilla2)^0.5)/A28stdlife))</f>
        <v>0</v>
      </c>
      <c r="L398" s="67">
        <f>IF(A28stdlife="n/a","n/a",IF(L$3&gt;(A28stdlife+$F398),(Input!$I$171*(1+vanilla2)^0.5)-SUM($I398:K398),(Input!$I$171*(1+vanilla2)^0.5)/A28stdlife))</f>
        <v>0</v>
      </c>
      <c r="M398" s="67">
        <f>IF(A28stdlife="n/a","n/a",IF(M$3&gt;(A28stdlife+$F398),(Input!$I$171*(1+vanilla2)^0.5)-SUM($I398:L398),(Input!$I$171*(1+vanilla2)^0.5)/A28stdlife))</f>
        <v>0</v>
      </c>
      <c r="N398" s="67">
        <f>IF(A28stdlife="n/a","n/a",IF(N$3&gt;(A28stdlife+$F398),(Input!$I$171*(1+vanilla2)^0.5)-SUM($I398:M398),(Input!$I$171*(1+vanilla2)^0.5)/A28stdlife))</f>
        <v>0</v>
      </c>
      <c r="O398" s="67">
        <f>IF(A28stdlife="n/a","n/a",IF(O$3&gt;(A28stdlife+$F398),(Input!$I$171*(1+vanilla2)^0.5)-SUM($I398:N398),(Input!$I$171*(1+vanilla2)^0.5)/A28stdlife))</f>
        <v>0</v>
      </c>
      <c r="P398" s="67">
        <f>IF(A28stdlife="n/a","n/a",IF(P$3&gt;(A28stdlife+$F398),(Input!$I$171*(1+vanilla2)^0.5)-SUM($I398:O398),(Input!$I$171*(1+vanilla2)^0.5)/A28stdlife))</f>
        <v>0</v>
      </c>
      <c r="Q398" s="67">
        <f>IF(A28stdlife="n/a","n/a",IF(Q$3&gt;(A28stdlife+$F398),(Input!$I$171*(1+vanilla2)^0.5)-SUM($I398:P398),(Input!$I$171*(1+vanilla2)^0.5)/A28stdlife))</f>
        <v>0</v>
      </c>
      <c r="R398" s="67"/>
      <c r="S398" s="102"/>
      <c r="T398" s="102"/>
      <c r="U398" s="102"/>
      <c r="V398" s="102"/>
      <c r="W398" s="102"/>
      <c r="X398" s="102"/>
      <c r="Y398" s="102"/>
      <c r="Z398" s="102"/>
      <c r="AA398" s="102"/>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5.25" hidden="1" customHeight="1" outlineLevel="2">
      <c r="A399" s="9"/>
      <c r="B399" s="9"/>
      <c r="C399" s="9"/>
      <c r="D399" s="25"/>
      <c r="E399" s="482"/>
      <c r="F399" s="85">
        <v>3</v>
      </c>
      <c r="G399" s="122"/>
      <c r="H399" s="146"/>
      <c r="I399" s="148"/>
      <c r="J399" s="147"/>
      <c r="K399" s="67">
        <f>IF(A28stdlife="n/a","n/a",IF(K$3&gt;(A28stdlife+$F399),(Input!$J$171*(1+vanilla3)^0.5)-SUM($J399:J399),(Input!$J$171*(1+vanilla3)^0.5)/A28stdlife))</f>
        <v>0</v>
      </c>
      <c r="L399" s="67">
        <f>IF(A28stdlife="n/a","n/a",IF(L$3&gt;(A28stdlife+$F399),(Input!$J$171*(1+vanilla3)^0.5)-SUM($J399:K399),(Input!$J$171*(1+vanilla3)^0.5)/A28stdlife))</f>
        <v>0</v>
      </c>
      <c r="M399" s="67">
        <f>IF(A28stdlife="n/a","n/a",IF(M$3&gt;(A28stdlife+$F399),(Input!$J$171*(1+vanilla3)^0.5)-SUM($J399:L399),(Input!$J$171*(1+vanilla3)^0.5)/A28stdlife))</f>
        <v>0</v>
      </c>
      <c r="N399" s="67">
        <f>IF(A28stdlife="n/a","n/a",IF(N$3&gt;(A28stdlife+$F399),(Input!$J$171*(1+vanilla3)^0.5)-SUM($J399:M399),(Input!$J$171*(1+vanilla3)^0.5)/A28stdlife))</f>
        <v>0</v>
      </c>
      <c r="O399" s="67">
        <f>IF(A28stdlife="n/a","n/a",IF(O$3&gt;(A28stdlife+$F399),(Input!$J$171*(1+vanilla3)^0.5)-SUM($J399:N399),(Input!$J$171*(1+vanilla3)^0.5)/A28stdlife))</f>
        <v>0</v>
      </c>
      <c r="P399" s="67">
        <f>IF(A28stdlife="n/a","n/a",IF(P$3&gt;(A28stdlife+$F399),(Input!$J$171*(1+vanilla3)^0.5)-SUM($J399:O399),(Input!$J$171*(1+vanilla3)^0.5)/A28stdlife))</f>
        <v>0</v>
      </c>
      <c r="Q399" s="67">
        <f>IF(A28stdlife="n/a","n/a",IF(Q$3&gt;(A28stdlife+$F399),(Input!$J$171*(1+vanilla3)^0.5)-SUM($J399:P399),(Input!$J$171*(1+vanilla3)^0.5)/A28stdlife))</f>
        <v>0</v>
      </c>
      <c r="R399" s="67"/>
      <c r="S399" s="102"/>
      <c r="T399" s="102"/>
      <c r="U399" s="102"/>
      <c r="V399" s="102"/>
      <c r="W399" s="102"/>
      <c r="X399" s="102"/>
      <c r="Y399" s="102"/>
      <c r="Z399" s="102"/>
      <c r="AA399" s="102"/>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5.25" hidden="1" customHeight="1" outlineLevel="2">
      <c r="A400" s="9"/>
      <c r="B400" s="9"/>
      <c r="C400" s="9"/>
      <c r="D400" s="25"/>
      <c r="E400" s="482"/>
      <c r="F400" s="85">
        <v>4</v>
      </c>
      <c r="G400" s="122"/>
      <c r="H400" s="146"/>
      <c r="I400" s="148"/>
      <c r="J400" s="148"/>
      <c r="K400" s="147"/>
      <c r="L400" s="67">
        <f>IF(A28stdlife="n/a","n/a",IF(L$3&gt;(A28stdlife+$F400),(Input!$K$171*(1+vanilla4)^0.5)-SUM($K400:K400),(Input!$K$171*(1+vanilla4)^0.5)/A28stdlife))</f>
        <v>0</v>
      </c>
      <c r="M400" s="67">
        <f>IF(A28stdlife="n/a","n/a",IF(M$3&gt;(A28stdlife+$F400),(Input!$K$171*(1+vanilla4)^0.5)-SUM($K400:L400),(Input!$K$171*(1+vanilla4)^0.5)/A28stdlife))</f>
        <v>0</v>
      </c>
      <c r="N400" s="67">
        <f>IF(A28stdlife="n/a","n/a",IF(N$3&gt;(A28stdlife+$F400),(Input!$K$171*(1+vanilla4)^0.5)-SUM($K400:M400),(Input!$K$171*(1+vanilla4)^0.5)/A28stdlife))</f>
        <v>0</v>
      </c>
      <c r="O400" s="67">
        <f>IF(A28stdlife="n/a","n/a",IF(O$3&gt;(A28stdlife+$F400),(Input!$K$171*(1+vanilla4)^0.5)-SUM($K400:N400),(Input!$K$171*(1+vanilla4)^0.5)/A28stdlife))</f>
        <v>0</v>
      </c>
      <c r="P400" s="67">
        <f>IF(A28stdlife="n/a","n/a",IF(P$3&gt;(A28stdlife+$F400),(Input!$K$171*(1+vanilla4)^0.5)-SUM($K400:O400),(Input!$K$171*(1+vanilla4)^0.5)/A28stdlife))</f>
        <v>0</v>
      </c>
      <c r="Q400" s="67">
        <f>IF(A28stdlife="n/a","n/a",IF(Q$3&gt;(A28stdlife+$F400),(Input!$K$171*(1+vanilla4)^0.5)-SUM($K400:P400),(Input!$K$171*(1+vanilla4)^0.5)/A28stdlife))</f>
        <v>0</v>
      </c>
      <c r="R400" s="67"/>
      <c r="S400" s="102"/>
      <c r="T400" s="102"/>
      <c r="U400" s="102"/>
      <c r="V400" s="102"/>
      <c r="W400" s="102"/>
      <c r="X400" s="102"/>
      <c r="Y400" s="102"/>
      <c r="Z400" s="102"/>
      <c r="AA400" s="102"/>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5.25" hidden="1" customHeight="1" outlineLevel="2">
      <c r="A401" s="9"/>
      <c r="B401" s="9"/>
      <c r="C401" s="9"/>
      <c r="D401" s="25"/>
      <c r="E401" s="482"/>
      <c r="F401" s="85">
        <v>5</v>
      </c>
      <c r="G401" s="26"/>
      <c r="H401" s="146"/>
      <c r="I401" s="148"/>
      <c r="J401" s="148"/>
      <c r="K401" s="148"/>
      <c r="L401" s="147"/>
      <c r="M401" s="67">
        <f>IF(A28stdlife="n/a","n/a",IF(M$3&gt;(A28stdlife+$F401),(Input!$L$171*(1+vanilla5)^0.5)-SUM($L401:L401),(Input!$L$171*(1+vanilla5)^0.5)/A28stdlife))</f>
        <v>0</v>
      </c>
      <c r="N401" s="67">
        <f>IF(A28stdlife="n/a","n/a",IF(N$3&gt;(A28stdlife+$F401),(Input!$L$171*(1+vanilla5)^0.5)-SUM($L401:M401),(Input!$L$171*(1+vanilla5)^0.5)/A28stdlife))</f>
        <v>0</v>
      </c>
      <c r="O401" s="67">
        <f>IF(A28stdlife="n/a","n/a",IF(O$3&gt;(A28stdlife+$F401),(Input!$L$171*(1+vanilla5)^0.5)-SUM($L401:N401),(Input!$L$171*(1+vanilla5)^0.5)/A28stdlife))</f>
        <v>0</v>
      </c>
      <c r="P401" s="67">
        <f>IF(A28stdlife="n/a","n/a",IF(P$3&gt;(A28stdlife+$F401),(Input!$L$171*(1+vanilla5)^0.5)-SUM($L401:O401),(Input!$L$171*(1+vanilla5)^0.5)/A28stdlife))</f>
        <v>0</v>
      </c>
      <c r="Q401" s="67">
        <f>IF(A28stdlife="n/a","n/a",IF(Q$3&gt;(A28stdlife+$F401),(Input!$L$171*(1+vanilla5)^0.5)-SUM($L401:P401),(Input!$L$171*(1+vanilla5)^0.5)/A28stdlife))</f>
        <v>0</v>
      </c>
      <c r="R401" s="67"/>
      <c r="S401" s="102"/>
      <c r="T401" s="102"/>
      <c r="U401" s="102"/>
      <c r="V401" s="102"/>
      <c r="W401" s="102"/>
      <c r="X401" s="102"/>
      <c r="Y401" s="102"/>
      <c r="Z401" s="102"/>
      <c r="AA401" s="102"/>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5.25" hidden="1" customHeight="1" outlineLevel="2">
      <c r="A402" s="9"/>
      <c r="B402" s="9"/>
      <c r="C402" s="9"/>
      <c r="D402" s="25"/>
      <c r="E402" s="482"/>
      <c r="F402" s="85">
        <v>6</v>
      </c>
      <c r="G402" s="26"/>
      <c r="H402" s="146"/>
      <c r="I402" s="148"/>
      <c r="J402" s="148"/>
      <c r="K402" s="148"/>
      <c r="L402" s="148"/>
      <c r="M402" s="147"/>
      <c r="N402" s="67">
        <f>IF(A28stdlife="n/a","n/a",IF(N$3&gt;(A28stdlife+$F402),(Input!$M$171*(1+vanilla6)^0.5)-SUM($M402:M402),(Input!$M$171*(1+vanilla6)^0.5)/A28stdlife))</f>
        <v>0</v>
      </c>
      <c r="O402" s="67">
        <f>IF(A28stdlife="n/a","n/a",IF(O$3&gt;(A28stdlife+$F402),(Input!$M$171*(1+vanilla6)^0.5)-SUM($M402:N402),(Input!$M$171*(1+vanilla6)^0.5)/A28stdlife))</f>
        <v>0</v>
      </c>
      <c r="P402" s="67">
        <f>IF(A28stdlife="n/a","n/a",IF(P$3&gt;(A28stdlife+$F402),(Input!$M$171*(1+vanilla6)^0.5)-SUM($M402:O402),(Input!$M$171*(1+vanilla6)^0.5)/A28stdlife))</f>
        <v>0</v>
      </c>
      <c r="Q402" s="67">
        <f>IF(A28stdlife="n/a","n/a",IF(Q$3&gt;(A28stdlife+$F402),(Input!$M$171*(1+vanilla6)^0.5)-SUM($M402:P402),(Input!$M$171*(1+vanilla6)^0.5)/A28stdlife))</f>
        <v>0</v>
      </c>
      <c r="R402" s="67"/>
      <c r="S402" s="102"/>
      <c r="T402" s="102"/>
      <c r="U402" s="102"/>
      <c r="V402" s="102"/>
      <c r="W402" s="102"/>
      <c r="X402" s="102"/>
      <c r="Y402" s="102"/>
      <c r="Z402" s="102"/>
      <c r="AA402" s="102"/>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5.25" hidden="1" customHeight="1" outlineLevel="2">
      <c r="A403" s="9"/>
      <c r="B403" s="9"/>
      <c r="C403" s="9"/>
      <c r="D403" s="25"/>
      <c r="E403" s="482"/>
      <c r="F403" s="85">
        <v>7</v>
      </c>
      <c r="G403" s="26"/>
      <c r="H403" s="146"/>
      <c r="I403" s="148"/>
      <c r="J403" s="148"/>
      <c r="K403" s="148"/>
      <c r="L403" s="148"/>
      <c r="M403" s="148"/>
      <c r="N403" s="147"/>
      <c r="O403" s="67">
        <f>IF(A28stdlife="n/a","n/a",IF(O$3&gt;(A28stdlife+$F403),(Input!$N$171*(1+vanilla7)^0.5)-SUM($N403:N403),(Input!$N$171*(1+vanilla7)^0.5)/A28stdlife))</f>
        <v>0</v>
      </c>
      <c r="P403" s="67">
        <f>IF(A28stdlife="n/a","n/a",IF(P$3&gt;(A28stdlife+$F403),(Input!$N$171*(1+vanilla7)^0.5)-SUM($N403:O403),(Input!$N$171*(1+vanilla7)^0.5)/A28stdlife))</f>
        <v>0</v>
      </c>
      <c r="Q403" s="67">
        <f>IF(A28stdlife="n/a","n/a",IF(Q$3&gt;(A28stdlife+$F403),(Input!$N$171*(1+vanilla7)^0.5)-SUM($N403:P403),(Input!$N$171*(1+vanilla7)^0.5)/A28stdlife))</f>
        <v>0</v>
      </c>
      <c r="R403" s="67"/>
      <c r="S403" s="102"/>
      <c r="T403" s="102"/>
      <c r="U403" s="102"/>
      <c r="V403" s="102"/>
      <c r="W403" s="102"/>
      <c r="X403" s="102"/>
      <c r="Y403" s="102"/>
      <c r="Z403" s="102"/>
      <c r="AA403" s="102"/>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5.25" hidden="1" customHeight="1" outlineLevel="2">
      <c r="A404" s="9"/>
      <c r="B404" s="9"/>
      <c r="C404" s="9"/>
      <c r="D404" s="25"/>
      <c r="E404" s="482"/>
      <c r="F404" s="85">
        <v>8</v>
      </c>
      <c r="G404" s="26"/>
      <c r="H404" s="146"/>
      <c r="I404" s="148"/>
      <c r="J404" s="148"/>
      <c r="K404" s="148"/>
      <c r="L404" s="148"/>
      <c r="M404" s="148"/>
      <c r="N404" s="148"/>
      <c r="O404" s="147"/>
      <c r="P404" s="67">
        <f>IF(A28stdlife="n/a","n/a",IF(P$3&gt;(A28stdlife+$F404),(Input!$O$171*(1+vanilla8)^0.5)-SUM($O404:O404),(Input!$O$171*(1+vanilla8)^0.5)/A28stdlife))</f>
        <v>0</v>
      </c>
      <c r="Q404" s="67">
        <f>IF(A28stdlife="n/a","n/a",IF(Q$3&gt;(A28stdlife+$F404),(Input!$O$171*(1+vanilla8)^0.5)-SUM($O404:P404),(Input!$O$171*(1+vanilla8)^0.5)/A28stdlife))</f>
        <v>0</v>
      </c>
      <c r="R404" s="67"/>
      <c r="S404" s="102"/>
      <c r="T404" s="102"/>
      <c r="U404" s="102"/>
      <c r="V404" s="102"/>
      <c r="W404" s="102"/>
      <c r="X404" s="102"/>
      <c r="Y404" s="102"/>
      <c r="Z404" s="102"/>
      <c r="AA404" s="102"/>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5.25" hidden="1" customHeight="1" outlineLevel="2">
      <c r="A405" s="9"/>
      <c r="B405" s="9"/>
      <c r="C405" s="9"/>
      <c r="D405" s="25"/>
      <c r="E405" s="482"/>
      <c r="F405" s="85">
        <v>9</v>
      </c>
      <c r="G405" s="26"/>
      <c r="H405" s="146"/>
      <c r="I405" s="148"/>
      <c r="J405" s="148"/>
      <c r="K405" s="148"/>
      <c r="L405" s="148"/>
      <c r="M405" s="148"/>
      <c r="N405" s="148"/>
      <c r="O405" s="148"/>
      <c r="P405" s="147"/>
      <c r="Q405" s="67">
        <f>IF(A28stdlife="n/a","n/a",IF(Q$3&gt;(A28stdlife+$F405),(Input!$P$171*(1+vanilla9)^0.5)-SUM($P405:P405),(Input!$P$171*(1+vanilla9)^0.5)/A28stdlife))</f>
        <v>0</v>
      </c>
      <c r="R405" s="67"/>
      <c r="S405" s="102"/>
      <c r="T405" s="102"/>
      <c r="U405" s="102"/>
      <c r="V405" s="102"/>
      <c r="W405" s="102"/>
      <c r="X405" s="102"/>
      <c r="Y405" s="102"/>
      <c r="Z405" s="102"/>
      <c r="AA405" s="102"/>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5.25" hidden="1" customHeight="1" outlineLevel="2">
      <c r="A406" s="9"/>
      <c r="B406" s="9"/>
      <c r="C406" s="9"/>
      <c r="D406" s="25"/>
      <c r="E406" s="482"/>
      <c r="F406" s="86">
        <v>10</v>
      </c>
      <c r="G406" s="26"/>
      <c r="H406" s="146"/>
      <c r="I406" s="148"/>
      <c r="J406" s="148"/>
      <c r="K406" s="148"/>
      <c r="L406" s="148"/>
      <c r="M406" s="148"/>
      <c r="N406" s="148"/>
      <c r="O406" s="148"/>
      <c r="P406" s="148"/>
      <c r="Q406" s="147"/>
      <c r="R406" s="67"/>
      <c r="S406" s="102"/>
      <c r="T406" s="102"/>
      <c r="U406" s="102"/>
      <c r="V406" s="102"/>
      <c r="W406" s="102"/>
      <c r="X406" s="102"/>
      <c r="Y406" s="102"/>
      <c r="Z406" s="102"/>
      <c r="AA406" s="102"/>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5">
        <f>Asset28</f>
        <v>0</v>
      </c>
      <c r="E407" s="9"/>
      <c r="F407" s="9"/>
      <c r="G407" s="122"/>
      <c r="H407" s="165">
        <f>-SUM(H395:H406)</f>
        <v>0</v>
      </c>
      <c r="I407" s="165">
        <f>-SUM(I395:I406)</f>
        <v>0</v>
      </c>
      <c r="J407" s="165">
        <f>-SUM(J395:J406)</f>
        <v>0</v>
      </c>
      <c r="K407" s="165">
        <f>-SUM(K395:K406)</f>
        <v>0</v>
      </c>
      <c r="L407" s="165">
        <f>-SUM(L395:L406)</f>
        <v>0</v>
      </c>
      <c r="M407" s="165">
        <f>IF(Input!M174&gt;0, -SUM(M395:M406), 0)</f>
        <v>0</v>
      </c>
      <c r="N407" s="165">
        <f>IF(Input!N174&gt;0, -SUM(N395:N406), 0)</f>
        <v>0</v>
      </c>
      <c r="O407" s="165">
        <f>IF(Input!O174&gt;0, -SUM(O395:O406), 0)</f>
        <v>0</v>
      </c>
      <c r="P407" s="165">
        <f>IF(Input!P174&gt;0, -SUM(P395:P406), 0)</f>
        <v>0</v>
      </c>
      <c r="Q407" s="165">
        <f>IF(Input!Q174&gt;0, -SUM(Q395:Q406), 0)</f>
        <v>0</v>
      </c>
      <c r="R407" s="65"/>
      <c r="S407" s="104"/>
      <c r="T407" s="104"/>
      <c r="U407" s="104"/>
      <c r="V407" s="104"/>
      <c r="W407" s="104"/>
      <c r="X407" s="104"/>
      <c r="Y407" s="104"/>
      <c r="Z407" s="104"/>
      <c r="AA407" s="104"/>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104"/>
      <c r="BE407" s="104"/>
      <c r="BF407" s="104"/>
      <c r="BG407" s="104"/>
      <c r="BH407" s="104"/>
      <c r="BI407" s="104"/>
      <c r="BJ407" s="104"/>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5.25" hidden="1" customHeight="1" outlineLevel="2">
      <c r="A408" s="9"/>
      <c r="B408" s="9"/>
      <c r="C408" s="31">
        <f>Asset29</f>
        <v>0</v>
      </c>
      <c r="D408" s="161"/>
      <c r="E408" s="33" t="s">
        <v>28</v>
      </c>
      <c r="F408" s="32"/>
      <c r="G408" s="174"/>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5.25" hidden="1" customHeight="1" outlineLevel="2">
      <c r="A409" s="9"/>
      <c r="B409" s="9"/>
      <c r="C409" s="9"/>
      <c r="D409" s="25"/>
      <c r="E409" s="481" t="s">
        <v>83</v>
      </c>
      <c r="F409" s="85">
        <v>0</v>
      </c>
      <c r="G409" s="122"/>
      <c r="H409" s="67"/>
      <c r="I409" s="67"/>
      <c r="J409" s="67"/>
      <c r="K409" s="67"/>
      <c r="L409" s="67"/>
      <c r="M409" s="163"/>
      <c r="N409" s="111"/>
      <c r="O409" s="67"/>
      <c r="P409" s="67"/>
      <c r="Q409" s="67"/>
      <c r="R409" s="67"/>
      <c r="S409" s="102"/>
      <c r="T409" s="102"/>
      <c r="U409" s="102"/>
      <c r="V409" s="102"/>
      <c r="W409" s="102"/>
      <c r="X409" s="102"/>
      <c r="Y409" s="102"/>
      <c r="Z409" s="102"/>
      <c r="AA409" s="102"/>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102"/>
      <c r="BE409" s="102"/>
      <c r="BF409" s="102"/>
      <c r="BG409" s="102"/>
      <c r="BH409" s="102"/>
      <c r="BI409" s="102"/>
      <c r="BJ409" s="102"/>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5.25" hidden="1" customHeight="1" outlineLevel="2">
      <c r="A410" s="9"/>
      <c r="B410" s="9"/>
      <c r="C410" s="9"/>
      <c r="D410" s="25"/>
      <c r="E410" s="482"/>
      <c r="F410" s="85">
        <v>1</v>
      </c>
      <c r="G410" s="122"/>
      <c r="H410" s="145"/>
      <c r="I410" s="67">
        <f>IF(A29stdlife="n/a","n/a",IF(I$3&gt;(A29stdlife+$F410),(Input!$H$172*(1+vanilla1)^0.5)-SUM($H410:H410),(Input!$H$172*(1+vanilla1)^0.5)/A29stdlife))</f>
        <v>0</v>
      </c>
      <c r="J410" s="67">
        <f>IF(A29stdlife="n/a","n/a",IF(J$3&gt;(A29stdlife+$F410),(Input!$H$172*(1+vanilla1)^0.5)-SUM($H410:I410),(Input!$H$172*(1+vanilla1)^0.5)/A29stdlife))</f>
        <v>0</v>
      </c>
      <c r="K410" s="67">
        <f>IF(A29stdlife="n/a","n/a",IF(K$3&gt;(A29stdlife+$F410),(Input!$H$172*(1+vanilla1)^0.5)-SUM($H410:J410),(Input!$H$172*(1+vanilla1)^0.5)/A29stdlife))</f>
        <v>0</v>
      </c>
      <c r="L410" s="67">
        <f>IF(A29stdlife="n/a","n/a",IF(L$3&gt;(A29stdlife+$F410),(Input!$H$172*(1+vanilla1)^0.5)-SUM($H410:K410),(Input!$H$172*(1+vanilla1)^0.5)/A29stdlife))</f>
        <v>0</v>
      </c>
      <c r="M410" s="67">
        <f>IF(A29stdlife="n/a","n/a",IF(M$3&gt;(A29stdlife+$F410),(Input!$H$172*(1+vanilla1)^0.5)-SUM($H410:L410),(Input!$H$172*(1+vanilla1)^0.5)/A29stdlife))</f>
        <v>0</v>
      </c>
      <c r="N410" s="67">
        <f>IF(A29stdlife="n/a","n/a",IF(N$3&gt;(A29stdlife+$F410),(Input!$H$172*(1+vanilla1)^0.5)-SUM($H410:M410),(Input!$H$172*(1+vanilla1)^0.5)/A29stdlife))</f>
        <v>0</v>
      </c>
      <c r="O410" s="67">
        <f>IF(A29stdlife="n/a","n/a",IF(O$3&gt;(A29stdlife+$F410),(Input!$H$172*(1+vanilla1)^0.5)-SUM($H410:N410),(Input!$H$172*(1+vanilla1)^0.5)/A29stdlife))</f>
        <v>0</v>
      </c>
      <c r="P410" s="67">
        <f>IF(A29stdlife="n/a","n/a",IF(P$3&gt;(A29stdlife+$F410),(Input!$H$172*(1+vanilla1)^0.5)-SUM($H410:O410),(Input!$H$172*(1+vanilla1)^0.5)/A29stdlife))</f>
        <v>0</v>
      </c>
      <c r="Q410" s="67">
        <f>IF(A29stdlife="n/a","n/a",IF(Q$3&gt;(A29stdlife+$F410),(Input!$H$172*(1+vanilla1)^0.5)-SUM($H410:P410),(Input!$H$172*(1+vanilla1)^0.5)/A29stdlife))</f>
        <v>0</v>
      </c>
      <c r="R410" s="67"/>
      <c r="S410" s="102"/>
      <c r="T410" s="102"/>
      <c r="U410" s="102"/>
      <c r="V410" s="102"/>
      <c r="W410" s="102"/>
      <c r="X410" s="102"/>
      <c r="Y410" s="102"/>
      <c r="Z410" s="102"/>
      <c r="AA410" s="102"/>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5.25" hidden="1" customHeight="1" outlineLevel="2">
      <c r="A411" s="9"/>
      <c r="B411" s="9"/>
      <c r="C411" s="9"/>
      <c r="D411" s="25"/>
      <c r="E411" s="482"/>
      <c r="F411" s="85">
        <v>2</v>
      </c>
      <c r="G411" s="122"/>
      <c r="H411" s="146"/>
      <c r="I411" s="147"/>
      <c r="J411" s="67">
        <f>IF(A29stdlife="n/a","n/a",IF(J$3&gt;(A29stdlife+$F411),(Input!$I$172*(1+vanilla2)^0.5)-SUM($I411:I411),(Input!$I$172*(1+vanilla2)^0.5)/A29stdlife))</f>
        <v>0</v>
      </c>
      <c r="K411" s="67">
        <f>IF(A29stdlife="n/a","n/a",IF(K$3&gt;(A29stdlife+$F411),(Input!$I$172*(1+vanilla2)^0.5)-SUM($I411:J411),(Input!$I$172*(1+vanilla2)^0.5)/A29stdlife))</f>
        <v>0</v>
      </c>
      <c r="L411" s="67">
        <f>IF(A29stdlife="n/a","n/a",IF(L$3&gt;(A29stdlife+$F411),(Input!$I$172*(1+vanilla2)^0.5)-SUM($I411:K411),(Input!$I$172*(1+vanilla2)^0.5)/A29stdlife))</f>
        <v>0</v>
      </c>
      <c r="M411" s="67">
        <f>IF(A29stdlife="n/a","n/a",IF(M$3&gt;(A29stdlife+$F411),(Input!$I$172*(1+vanilla2)^0.5)-SUM($I411:L411),(Input!$I$172*(1+vanilla2)^0.5)/A29stdlife))</f>
        <v>0</v>
      </c>
      <c r="N411" s="67">
        <f>IF(A29stdlife="n/a","n/a",IF(N$3&gt;(A29stdlife+$F411),(Input!$I$172*(1+vanilla2)^0.5)-SUM($I411:M411),(Input!$I$172*(1+vanilla2)^0.5)/A29stdlife))</f>
        <v>0</v>
      </c>
      <c r="O411" s="67">
        <f>IF(A29stdlife="n/a","n/a",IF(O$3&gt;(A29stdlife+$F411),(Input!$I$172*(1+vanilla2)^0.5)-SUM($I411:N411),(Input!$I$172*(1+vanilla2)^0.5)/A29stdlife))</f>
        <v>0</v>
      </c>
      <c r="P411" s="67">
        <f>IF(A29stdlife="n/a","n/a",IF(P$3&gt;(A29stdlife+$F411),(Input!$I$172*(1+vanilla2)^0.5)-SUM($I411:O411),(Input!$I$172*(1+vanilla2)^0.5)/A29stdlife))</f>
        <v>0</v>
      </c>
      <c r="Q411" s="67">
        <f>IF(A29stdlife="n/a","n/a",IF(Q$3&gt;(A29stdlife+$F411),(Input!$I$172*(1+vanilla2)^0.5)-SUM($I411:P411),(Input!$I$172*(1+vanilla2)^0.5)/A29stdlife))</f>
        <v>0</v>
      </c>
      <c r="R411" s="67"/>
      <c r="S411" s="102"/>
      <c r="T411" s="102"/>
      <c r="U411" s="102"/>
      <c r="V411" s="102"/>
      <c r="W411" s="102"/>
      <c r="X411" s="102"/>
      <c r="Y411" s="102"/>
      <c r="Z411" s="102"/>
      <c r="AA411" s="102"/>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5.25" hidden="1" customHeight="1" outlineLevel="2">
      <c r="A412" s="9"/>
      <c r="B412" s="9"/>
      <c r="C412" s="9"/>
      <c r="D412" s="25"/>
      <c r="E412" s="482"/>
      <c r="F412" s="85">
        <v>3</v>
      </c>
      <c r="G412" s="122"/>
      <c r="H412" s="146"/>
      <c r="I412" s="148"/>
      <c r="J412" s="147"/>
      <c r="K412" s="67">
        <f>IF(A29stdlife="n/a","n/a",IF(K$3&gt;(A29stdlife+$F412),(Input!$J$172*(1+vanilla3)^0.5)-SUM($J412:J412),(Input!$J$172*(1+vanilla3)^0.5)/A29stdlife))</f>
        <v>0</v>
      </c>
      <c r="L412" s="67">
        <f>IF(A29stdlife="n/a","n/a",IF(L$3&gt;(A29stdlife+$F412),(Input!$J$172*(1+vanilla3)^0.5)-SUM($J412:K412),(Input!$J$172*(1+vanilla3)^0.5)/A29stdlife))</f>
        <v>0</v>
      </c>
      <c r="M412" s="67">
        <f>IF(A29stdlife="n/a","n/a",IF(M$3&gt;(A29stdlife+$F412),(Input!$J$172*(1+vanilla3)^0.5)-SUM($J412:L412),(Input!$J$172*(1+vanilla3)^0.5)/A29stdlife))</f>
        <v>0</v>
      </c>
      <c r="N412" s="67">
        <f>IF(A29stdlife="n/a","n/a",IF(N$3&gt;(A29stdlife+$F412),(Input!$J$172*(1+vanilla3)^0.5)-SUM($J412:M412),(Input!$J$172*(1+vanilla3)^0.5)/A29stdlife))</f>
        <v>0</v>
      </c>
      <c r="O412" s="67">
        <f>IF(A29stdlife="n/a","n/a",IF(O$3&gt;(A29stdlife+$F412),(Input!$J$172*(1+vanilla3)^0.5)-SUM($J412:N412),(Input!$J$172*(1+vanilla3)^0.5)/A29stdlife))</f>
        <v>0</v>
      </c>
      <c r="P412" s="67">
        <f>IF(A29stdlife="n/a","n/a",IF(P$3&gt;(A29stdlife+$F412),(Input!$J$172*(1+vanilla3)^0.5)-SUM($J412:O412),(Input!$J$172*(1+vanilla3)^0.5)/A29stdlife))</f>
        <v>0</v>
      </c>
      <c r="Q412" s="67">
        <f>IF(A29stdlife="n/a","n/a",IF(Q$3&gt;(A29stdlife+$F412),(Input!$J$172*(1+vanilla3)^0.5)-SUM($J412:P412),(Input!$J$172*(1+vanilla3)^0.5)/A29stdlife))</f>
        <v>0</v>
      </c>
      <c r="R412" s="67"/>
      <c r="S412" s="102"/>
      <c r="T412" s="102"/>
      <c r="U412" s="102"/>
      <c r="V412" s="102"/>
      <c r="W412" s="102"/>
      <c r="X412" s="102"/>
      <c r="Y412" s="102"/>
      <c r="Z412" s="102"/>
      <c r="AA412" s="102"/>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5.25" hidden="1" customHeight="1" outlineLevel="2">
      <c r="A413" s="9"/>
      <c r="B413" s="9"/>
      <c r="C413" s="9"/>
      <c r="D413" s="25"/>
      <c r="E413" s="482"/>
      <c r="F413" s="85">
        <v>4</v>
      </c>
      <c r="G413" s="122"/>
      <c r="H413" s="146"/>
      <c r="I413" s="148"/>
      <c r="J413" s="148"/>
      <c r="K413" s="147"/>
      <c r="L413" s="67">
        <f>IF(A29stdlife="n/a","n/a",IF(L$3&gt;(A29stdlife+$F413),(Input!$K$172*(1+vanilla4)^0.5)-SUM($K413:K413),(Input!$K$172*(1+vanilla4)^0.5)/A29stdlife))</f>
        <v>0</v>
      </c>
      <c r="M413" s="67">
        <f>IF(A29stdlife="n/a","n/a",IF(M$3&gt;(A29stdlife+$F413),(Input!$K$172*(1+vanilla4)^0.5)-SUM($K413:L413),(Input!$K$172*(1+vanilla4)^0.5)/A29stdlife))</f>
        <v>0</v>
      </c>
      <c r="N413" s="67">
        <f>IF(A29stdlife="n/a","n/a",IF(N$3&gt;(A29stdlife+$F413),(Input!$K$172*(1+vanilla4)^0.5)-SUM($K413:M413),(Input!$K$172*(1+vanilla4)^0.5)/A29stdlife))</f>
        <v>0</v>
      </c>
      <c r="O413" s="67">
        <f>IF(A29stdlife="n/a","n/a",IF(O$3&gt;(A29stdlife+$F413),(Input!$K$172*(1+vanilla4)^0.5)-SUM($K413:N413),(Input!$K$172*(1+vanilla4)^0.5)/A29stdlife))</f>
        <v>0</v>
      </c>
      <c r="P413" s="67">
        <f>IF(A29stdlife="n/a","n/a",IF(P$3&gt;(A29stdlife+$F413),(Input!$K$172*(1+vanilla4)^0.5)-SUM($K413:O413),(Input!$K$172*(1+vanilla4)^0.5)/A29stdlife))</f>
        <v>0</v>
      </c>
      <c r="Q413" s="67">
        <f>IF(A29stdlife="n/a","n/a",IF(Q$3&gt;(A29stdlife+$F413),(Input!$K$172*(1+vanilla4)^0.5)-SUM($K413:P413),(Input!$K$172*(1+vanilla4)^0.5)/A29stdlife))</f>
        <v>0</v>
      </c>
      <c r="R413" s="67"/>
      <c r="S413" s="102"/>
      <c r="T413" s="102"/>
      <c r="U413" s="102"/>
      <c r="V413" s="102"/>
      <c r="W413" s="102"/>
      <c r="X413" s="102"/>
      <c r="Y413" s="102"/>
      <c r="Z413" s="102"/>
      <c r="AA413" s="102"/>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5.25" hidden="1" customHeight="1" outlineLevel="2">
      <c r="A414" s="9"/>
      <c r="B414" s="9"/>
      <c r="C414" s="9"/>
      <c r="D414" s="25"/>
      <c r="E414" s="482"/>
      <c r="F414" s="85">
        <v>5</v>
      </c>
      <c r="G414" s="26"/>
      <c r="H414" s="146"/>
      <c r="I414" s="148"/>
      <c r="J414" s="148"/>
      <c r="K414" s="148"/>
      <c r="L414" s="147"/>
      <c r="M414" s="67">
        <f>IF(A29stdlife="n/a","n/a",IF(M$3&gt;(A29stdlife+$F414),(Input!$L$172*(1+vanilla5)^0.5)-SUM($L414:L414),(Input!$L$172*(1+vanilla5)^0.5)/A29stdlife))</f>
        <v>0</v>
      </c>
      <c r="N414" s="67">
        <f>IF(A29stdlife="n/a","n/a",IF(N$3&gt;(A29stdlife+$F414),(Input!$L$172*(1+vanilla5)^0.5)-SUM($L414:M414),(Input!$L$172*(1+vanilla5)^0.5)/A29stdlife))</f>
        <v>0</v>
      </c>
      <c r="O414" s="67">
        <f>IF(A29stdlife="n/a","n/a",IF(O$3&gt;(A29stdlife+$F414),(Input!$L$172*(1+vanilla5)^0.5)-SUM($L414:N414),(Input!$L$172*(1+vanilla5)^0.5)/A29stdlife))</f>
        <v>0</v>
      </c>
      <c r="P414" s="67">
        <f>IF(A29stdlife="n/a","n/a",IF(P$3&gt;(A29stdlife+$F414),(Input!$L$172*(1+vanilla5)^0.5)-SUM($L414:O414),(Input!$L$172*(1+vanilla5)^0.5)/A29stdlife))</f>
        <v>0</v>
      </c>
      <c r="Q414" s="67">
        <f>IF(A29stdlife="n/a","n/a",IF(Q$3&gt;(A29stdlife+$F414),(Input!$L$172*(1+vanilla5)^0.5)-SUM($L414:P414),(Input!$L$172*(1+vanilla5)^0.5)/A29stdlife))</f>
        <v>0</v>
      </c>
      <c r="R414" s="67"/>
      <c r="S414" s="102"/>
      <c r="T414" s="102"/>
      <c r="U414" s="102"/>
      <c r="V414" s="102"/>
      <c r="W414" s="102"/>
      <c r="X414" s="102"/>
      <c r="Y414" s="102"/>
      <c r="Z414" s="102"/>
      <c r="AA414" s="102"/>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5.25" hidden="1" customHeight="1" outlineLevel="2">
      <c r="A415" s="9"/>
      <c r="B415" s="9"/>
      <c r="C415" s="9"/>
      <c r="D415" s="25"/>
      <c r="E415" s="482"/>
      <c r="F415" s="85">
        <v>6</v>
      </c>
      <c r="G415" s="26"/>
      <c r="H415" s="146"/>
      <c r="I415" s="148"/>
      <c r="J415" s="148"/>
      <c r="K415" s="148"/>
      <c r="L415" s="148"/>
      <c r="M415" s="147"/>
      <c r="N415" s="67">
        <f>IF(A29stdlife="n/a","n/a",IF(N$3&gt;(A29stdlife+$F415),(Input!$M$172*(1+vanilla6)^0.5)-SUM($M415:M415),(Input!$M$172*(1+vanilla6)^0.5)/A29stdlife))</f>
        <v>0</v>
      </c>
      <c r="O415" s="67">
        <f>IF(A29stdlife="n/a","n/a",IF(O$3&gt;(A29stdlife+$F415),(Input!$M$172*(1+vanilla6)^0.5)-SUM($M415:N415),(Input!$M$172*(1+vanilla6)^0.5)/A29stdlife))</f>
        <v>0</v>
      </c>
      <c r="P415" s="67">
        <f>IF(A29stdlife="n/a","n/a",IF(P$3&gt;(A29stdlife+$F415),(Input!$M$172*(1+vanilla6)^0.5)-SUM($M415:O415),(Input!$M$172*(1+vanilla6)^0.5)/A29stdlife))</f>
        <v>0</v>
      </c>
      <c r="Q415" s="67">
        <f>IF(A29stdlife="n/a","n/a",IF(Q$3&gt;(A29stdlife+$F415),(Input!$M$172*(1+vanilla6)^0.5)-SUM($M415:P415),(Input!$M$172*(1+vanilla6)^0.5)/A29stdlife))</f>
        <v>0</v>
      </c>
      <c r="R415" s="67"/>
      <c r="S415" s="102"/>
      <c r="T415" s="102"/>
      <c r="U415" s="102"/>
      <c r="V415" s="102"/>
      <c r="W415" s="102"/>
      <c r="X415" s="102"/>
      <c r="Y415" s="102"/>
      <c r="Z415" s="102"/>
      <c r="AA415" s="102"/>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5.25" hidden="1" customHeight="1" outlineLevel="2">
      <c r="A416" s="9"/>
      <c r="B416" s="9"/>
      <c r="C416" s="9"/>
      <c r="D416" s="25"/>
      <c r="E416" s="482"/>
      <c r="F416" s="85">
        <v>7</v>
      </c>
      <c r="G416" s="26"/>
      <c r="H416" s="146"/>
      <c r="I416" s="148"/>
      <c r="J416" s="148"/>
      <c r="K416" s="148"/>
      <c r="L416" s="148"/>
      <c r="M416" s="148"/>
      <c r="N416" s="147"/>
      <c r="O416" s="67">
        <f>IF(A29stdlife="n/a","n/a",IF(O$3&gt;(A29stdlife+$F416),(Input!$N$172*(1+vanilla7)^0.5)-SUM($N416:N416),(Input!$N$172*(1+vanilla7)^0.5)/A29stdlife))</f>
        <v>0</v>
      </c>
      <c r="P416" s="67">
        <f>IF(A29stdlife="n/a","n/a",IF(P$3&gt;(A29stdlife+$F416),(Input!$N$172*(1+vanilla7)^0.5)-SUM($N416:O416),(Input!$N$172*(1+vanilla7)^0.5)/A29stdlife))</f>
        <v>0</v>
      </c>
      <c r="Q416" s="67">
        <f>IF(A29stdlife="n/a","n/a",IF(Q$3&gt;(A29stdlife+$F416),(Input!$N$172*(1+vanilla7)^0.5)-SUM($N416:P416),(Input!$N$172*(1+vanilla7)^0.5)/A29stdlife))</f>
        <v>0</v>
      </c>
      <c r="R416" s="67"/>
      <c r="S416" s="102"/>
      <c r="T416" s="102"/>
      <c r="U416" s="102"/>
      <c r="V416" s="102"/>
      <c r="W416" s="102"/>
      <c r="X416" s="102"/>
      <c r="Y416" s="102"/>
      <c r="Z416" s="102"/>
      <c r="AA416" s="102"/>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5.25" hidden="1" customHeight="1" outlineLevel="2">
      <c r="A417" s="9"/>
      <c r="B417" s="9"/>
      <c r="C417" s="9"/>
      <c r="D417" s="25"/>
      <c r="E417" s="482"/>
      <c r="F417" s="85">
        <v>8</v>
      </c>
      <c r="G417" s="26"/>
      <c r="H417" s="146"/>
      <c r="I417" s="148"/>
      <c r="J417" s="148"/>
      <c r="K417" s="148"/>
      <c r="L417" s="148"/>
      <c r="M417" s="148"/>
      <c r="N417" s="148"/>
      <c r="O417" s="147"/>
      <c r="P417" s="67">
        <f>IF(A29stdlife="n/a","n/a",IF(P$3&gt;(A29stdlife+$F417),(Input!$O$172*(1+vanilla8)^0.5)-SUM($O417:O417),(Input!$O$172*(1+vanilla8)^0.5)/A29stdlife))</f>
        <v>0</v>
      </c>
      <c r="Q417" s="67">
        <f>IF(A29stdlife="n/a","n/a",IF(Q$3&gt;(A29stdlife+$F417),(Input!$O$172*(1+vanilla8)^0.5)-SUM($O417:P417),(Input!$O$172*(1+vanilla8)^0.5)/A29stdlife))</f>
        <v>0</v>
      </c>
      <c r="R417" s="67"/>
      <c r="S417" s="102"/>
      <c r="T417" s="102"/>
      <c r="U417" s="102"/>
      <c r="V417" s="102"/>
      <c r="W417" s="102"/>
      <c r="X417" s="102"/>
      <c r="Y417" s="102"/>
      <c r="Z417" s="102"/>
      <c r="AA417" s="102"/>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5.25" hidden="1" customHeight="1" outlineLevel="2">
      <c r="A418" s="9"/>
      <c r="B418" s="9"/>
      <c r="C418" s="9"/>
      <c r="D418" s="25"/>
      <c r="E418" s="482"/>
      <c r="F418" s="85">
        <v>9</v>
      </c>
      <c r="G418" s="26"/>
      <c r="H418" s="146"/>
      <c r="I418" s="148"/>
      <c r="J418" s="148"/>
      <c r="K418" s="148"/>
      <c r="L418" s="148"/>
      <c r="M418" s="148"/>
      <c r="N418" s="148"/>
      <c r="O418" s="148"/>
      <c r="P418" s="147"/>
      <c r="Q418" s="67">
        <f>IF(A29stdlife="n/a","n/a",IF(Q$3&gt;(A29stdlife+$F418),(Input!$P$172*(1+vanilla9)^0.5)-SUM($P418:P418),(Input!$P$172*(1+vanilla9)^0.5)/A29stdlife))</f>
        <v>0</v>
      </c>
      <c r="R418" s="67"/>
      <c r="S418" s="102"/>
      <c r="T418" s="102"/>
      <c r="U418" s="102"/>
      <c r="V418" s="102"/>
      <c r="W418" s="102"/>
      <c r="X418" s="102"/>
      <c r="Y418" s="102"/>
      <c r="Z418" s="102"/>
      <c r="AA418" s="102"/>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5.25" hidden="1" customHeight="1" outlineLevel="2">
      <c r="A419" s="9"/>
      <c r="B419" s="9"/>
      <c r="C419" s="9"/>
      <c r="D419" s="25"/>
      <c r="E419" s="482"/>
      <c r="F419" s="86">
        <v>10</v>
      </c>
      <c r="G419" s="26"/>
      <c r="H419" s="146"/>
      <c r="I419" s="148"/>
      <c r="J419" s="148"/>
      <c r="K419" s="148"/>
      <c r="L419" s="148"/>
      <c r="M419" s="148"/>
      <c r="N419" s="148"/>
      <c r="O419" s="148"/>
      <c r="P419" s="148"/>
      <c r="Q419" s="147"/>
      <c r="R419" s="67"/>
      <c r="S419" s="102"/>
      <c r="T419" s="102"/>
      <c r="U419" s="102"/>
      <c r="V419" s="102"/>
      <c r="W419" s="102"/>
      <c r="X419" s="102"/>
      <c r="Y419" s="102"/>
      <c r="Z419" s="102"/>
      <c r="AA419" s="102"/>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5">
        <f>Asset29</f>
        <v>0</v>
      </c>
      <c r="E420" s="9"/>
      <c r="F420" s="9"/>
      <c r="G420" s="122"/>
      <c r="H420" s="165">
        <f>-SUM(H408:H419)</f>
        <v>0</v>
      </c>
      <c r="I420" s="165">
        <f>-SUM(I408:I419)</f>
        <v>0</v>
      </c>
      <c r="J420" s="165">
        <f>-SUM(J408:J419)</f>
        <v>0</v>
      </c>
      <c r="K420" s="165">
        <f>-SUM(K408:K419)</f>
        <v>0</v>
      </c>
      <c r="L420" s="165">
        <f>-SUM(L408:L419)</f>
        <v>0</v>
      </c>
      <c r="M420" s="165">
        <f>IF(Input!M174&gt;0, -SUM(M408:M419), 0)</f>
        <v>0</v>
      </c>
      <c r="N420" s="165">
        <f>IF(Input!N174&gt;0, -SUM(N408:N419), 0)</f>
        <v>0</v>
      </c>
      <c r="O420" s="165">
        <f>IF(Input!O174&gt;0, -SUM(O408:O419), 0)</f>
        <v>0</v>
      </c>
      <c r="P420" s="165">
        <f>IF(Input!P174&gt;0, -SUM(P408:P419), 0)</f>
        <v>0</v>
      </c>
      <c r="Q420" s="165">
        <f>IF(Input!Q174&gt;0, -SUM(Q408:Q419), 0)</f>
        <v>0</v>
      </c>
      <c r="R420" s="65"/>
      <c r="S420" s="104"/>
      <c r="T420" s="104"/>
      <c r="U420" s="104"/>
      <c r="V420" s="104"/>
      <c r="W420" s="104"/>
      <c r="X420" s="104"/>
      <c r="Y420" s="104"/>
      <c r="Z420" s="104"/>
      <c r="AA420" s="104"/>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104"/>
      <c r="BE420" s="104"/>
      <c r="BF420" s="104"/>
      <c r="BG420" s="104"/>
      <c r="BH420" s="104"/>
      <c r="BI420" s="104"/>
      <c r="BJ420" s="104"/>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5.25" hidden="1" customHeight="1" outlineLevel="2">
      <c r="A421" s="9"/>
      <c r="B421" s="9"/>
      <c r="C421" s="31">
        <f>Asset30</f>
        <v>0</v>
      </c>
      <c r="D421" s="161"/>
      <c r="E421" s="33" t="s">
        <v>28</v>
      </c>
      <c r="F421" s="32"/>
      <c r="G421" s="174"/>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5.25" hidden="1" customHeight="1" outlineLevel="2">
      <c r="A422" s="9"/>
      <c r="B422" s="9"/>
      <c r="C422" s="9"/>
      <c r="D422" s="25"/>
      <c r="E422" s="481" t="s">
        <v>83</v>
      </c>
      <c r="F422" s="85">
        <v>0</v>
      </c>
      <c r="G422" s="122"/>
      <c r="H422" s="67"/>
      <c r="I422" s="67"/>
      <c r="J422" s="67"/>
      <c r="K422" s="67"/>
      <c r="L422" s="67"/>
      <c r="M422" s="163"/>
      <c r="N422" s="111"/>
      <c r="O422" s="67"/>
      <c r="P422" s="67"/>
      <c r="Q422" s="67"/>
      <c r="R422" s="67"/>
      <c r="S422" s="102"/>
      <c r="T422" s="102"/>
      <c r="U422" s="102"/>
      <c r="V422" s="102"/>
      <c r="W422" s="102"/>
      <c r="X422" s="102"/>
      <c r="Y422" s="102"/>
      <c r="Z422" s="102"/>
      <c r="AA422" s="102"/>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102"/>
      <c r="BE422" s="102"/>
      <c r="BF422" s="102"/>
      <c r="BG422" s="102"/>
      <c r="BH422" s="102"/>
      <c r="BI422" s="102"/>
      <c r="BJ422" s="102"/>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5.25" hidden="1" customHeight="1" outlineLevel="2">
      <c r="A423" s="9"/>
      <c r="B423" s="9"/>
      <c r="C423" s="9"/>
      <c r="D423" s="25"/>
      <c r="E423" s="482"/>
      <c r="F423" s="85">
        <v>1</v>
      </c>
      <c r="G423" s="122"/>
      <c r="H423" s="145"/>
      <c r="I423" s="67">
        <f>IF(A30stdlife="n/a","n/a",IF(I$3&gt;(A30stdlife+$F423),(Input!$H$173*(1+vanilla1)^0.5)-SUM($H423:H423),(Input!$H$173*(1+vanilla1)^0.5)/A30stdlife))</f>
        <v>0</v>
      </c>
      <c r="J423" s="67">
        <f>IF(A30stdlife="n/a","n/a",IF(J$3&gt;(A30stdlife+$F423),(Input!$H$173*(1+vanilla1)^0.5)-SUM($H423:I423),(Input!$H$173*(1+vanilla1)^0.5)/A30stdlife))</f>
        <v>0</v>
      </c>
      <c r="K423" s="67">
        <f>IF(A30stdlife="n/a","n/a",IF(K$3&gt;(A30stdlife+$F423),(Input!$H$173*(1+vanilla1)^0.5)-SUM($H423:J423),(Input!$H$173*(1+vanilla1)^0.5)/A30stdlife))</f>
        <v>0</v>
      </c>
      <c r="L423" s="67">
        <f>IF(A30stdlife="n/a","n/a",IF(L$3&gt;(A30stdlife+$F423),(Input!$H$173*(1+vanilla1)^0.5)-SUM($H423:K423),(Input!$H$173*(1+vanilla1)^0.5)/A30stdlife))</f>
        <v>0</v>
      </c>
      <c r="M423" s="67">
        <f>IF(A30stdlife="n/a","n/a",IF(M$3&gt;(A30stdlife+$F423),(Input!$H$173*(1+vanilla1)^0.5)-SUM($H423:L423),(Input!$H$173*(1+vanilla1)^0.5)/A30stdlife))</f>
        <v>0</v>
      </c>
      <c r="N423" s="67">
        <f>IF(A30stdlife="n/a","n/a",IF(N$3&gt;(A30stdlife+$F423),(Input!$H$173*(1+vanilla1)^0.5)-SUM($H423:M423),(Input!$H$173*(1+vanilla1)^0.5)/A30stdlife))</f>
        <v>0</v>
      </c>
      <c r="O423" s="67">
        <f>IF(A30stdlife="n/a","n/a",IF(O$3&gt;(A30stdlife+$F423),(Input!$H$173*(1+vanilla1)^0.5)-SUM($H423:N423),(Input!$H$173*(1+vanilla1)^0.5)/A30stdlife))</f>
        <v>0</v>
      </c>
      <c r="P423" s="67">
        <f>IF(A30stdlife="n/a","n/a",IF(P$3&gt;(A30stdlife+$F423),(Input!$H$173*(1+vanilla1)^0.5)-SUM($H423:O423),(Input!$H$173*(1+vanilla1)^0.5)/A30stdlife))</f>
        <v>0</v>
      </c>
      <c r="Q423" s="67">
        <f>IF(A30stdlife="n/a","n/a",IF(Q$3&gt;(A30stdlife+$F423),(Input!$H$173*(1+vanilla1)^0.5)-SUM($H423:P423),(Input!$H$173*(1+vanilla1)^0.5)/A30stdlife))</f>
        <v>0</v>
      </c>
      <c r="R423" s="67"/>
      <c r="S423" s="102"/>
      <c r="T423" s="102"/>
      <c r="U423" s="102"/>
      <c r="V423" s="102"/>
      <c r="W423" s="102"/>
      <c r="X423" s="102"/>
      <c r="Y423" s="102"/>
      <c r="Z423" s="102"/>
      <c r="AA423" s="102"/>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5.25" hidden="1" customHeight="1" outlineLevel="2">
      <c r="A424" s="9"/>
      <c r="B424" s="9"/>
      <c r="C424" s="9"/>
      <c r="D424" s="25"/>
      <c r="E424" s="482"/>
      <c r="F424" s="85">
        <v>2</v>
      </c>
      <c r="G424" s="122"/>
      <c r="H424" s="146"/>
      <c r="I424" s="147"/>
      <c r="J424" s="67">
        <f>IF(A30stdlife="n/a","n/a",IF(J$3&gt;(A30stdlife+$F424),(Input!$I$173*(1+vanilla2)^0.5)-SUM($I424:I424),(Input!$I$173*(1+vanilla2)^0.5)/A30stdlife))</f>
        <v>0</v>
      </c>
      <c r="K424" s="67">
        <f>IF(A30stdlife="n/a","n/a",IF(K$3&gt;(A30stdlife+$F424),(Input!$I$173*(1+vanilla2)^0.5)-SUM($I424:J424),(Input!$I$173*(1+vanilla2)^0.5)/A30stdlife))</f>
        <v>0</v>
      </c>
      <c r="L424" s="67">
        <f>IF(A30stdlife="n/a","n/a",IF(L$3&gt;(A30stdlife+$F424),(Input!$I$173*(1+vanilla2)^0.5)-SUM($I424:K424),(Input!$I$173*(1+vanilla2)^0.5)/A30stdlife))</f>
        <v>0</v>
      </c>
      <c r="M424" s="67">
        <f>IF(A30stdlife="n/a","n/a",IF(M$3&gt;(A30stdlife+$F424),(Input!$I$173*(1+vanilla2)^0.5)-SUM($I424:L424),(Input!$I$173*(1+vanilla2)^0.5)/A30stdlife))</f>
        <v>0</v>
      </c>
      <c r="N424" s="67">
        <f>IF(A30stdlife="n/a","n/a",IF(N$3&gt;(A30stdlife+$F424),(Input!$I$173*(1+vanilla2)^0.5)-SUM($I424:M424),(Input!$I$173*(1+vanilla2)^0.5)/A30stdlife))</f>
        <v>0</v>
      </c>
      <c r="O424" s="67">
        <f>IF(A30stdlife="n/a","n/a",IF(O$3&gt;(A30stdlife+$F424),(Input!$I$173*(1+vanilla2)^0.5)-SUM($I424:N424),(Input!$I$173*(1+vanilla2)^0.5)/A30stdlife))</f>
        <v>0</v>
      </c>
      <c r="P424" s="67">
        <f>IF(A30stdlife="n/a","n/a",IF(P$3&gt;(A30stdlife+$F424),(Input!$I$173*(1+vanilla2)^0.5)-SUM($I424:O424),(Input!$I$173*(1+vanilla2)^0.5)/A30stdlife))</f>
        <v>0</v>
      </c>
      <c r="Q424" s="67">
        <f>IF(A30stdlife="n/a","n/a",IF(Q$3&gt;(A30stdlife+$F424),(Input!$I$173*(1+vanilla2)^0.5)-SUM($I424:P424),(Input!$I$173*(1+vanilla2)^0.5)/A30stdlife))</f>
        <v>0</v>
      </c>
      <c r="R424" s="67"/>
      <c r="S424" s="102"/>
      <c r="T424" s="102"/>
      <c r="U424" s="102"/>
      <c r="V424" s="102"/>
      <c r="W424" s="102"/>
      <c r="X424" s="102"/>
      <c r="Y424" s="102"/>
      <c r="Z424" s="102"/>
      <c r="AA424" s="102"/>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5.25" hidden="1" customHeight="1" outlineLevel="2">
      <c r="A425" s="9"/>
      <c r="B425" s="9"/>
      <c r="C425" s="9"/>
      <c r="D425" s="25"/>
      <c r="E425" s="482"/>
      <c r="F425" s="85">
        <v>3</v>
      </c>
      <c r="G425" s="122"/>
      <c r="H425" s="146"/>
      <c r="I425" s="148"/>
      <c r="J425" s="147"/>
      <c r="K425" s="67">
        <f>IF(A30stdlife="n/a","n/a",IF(K$3&gt;(A30stdlife+$F425),(Input!$J$173*(1+vanilla3)^0.5)-SUM($J425:J425),(Input!$J$173*(1+vanilla3)^0.5)/A30stdlife))</f>
        <v>0</v>
      </c>
      <c r="L425" s="67">
        <f>IF(A30stdlife="n/a","n/a",IF(L$3&gt;(A30stdlife+$F425),(Input!$J$173*(1+vanilla3)^0.5)-SUM($J425:K425),(Input!$J$173*(1+vanilla3)^0.5)/A30stdlife))</f>
        <v>0</v>
      </c>
      <c r="M425" s="67">
        <f>IF(A30stdlife="n/a","n/a",IF(M$3&gt;(A30stdlife+$F425),(Input!$J$173*(1+vanilla3)^0.5)-SUM($J425:L425),(Input!$J$173*(1+vanilla3)^0.5)/A30stdlife))</f>
        <v>0</v>
      </c>
      <c r="N425" s="67">
        <f>IF(A30stdlife="n/a","n/a",IF(N$3&gt;(A30stdlife+$F425),(Input!$J$173*(1+vanilla3)^0.5)-SUM($J425:M425),(Input!$J$173*(1+vanilla3)^0.5)/A30stdlife))</f>
        <v>0</v>
      </c>
      <c r="O425" s="67">
        <f>IF(A30stdlife="n/a","n/a",IF(O$3&gt;(A30stdlife+$F425),(Input!$J$173*(1+vanilla3)^0.5)-SUM($J425:N425),(Input!$J$173*(1+vanilla3)^0.5)/A30stdlife))</f>
        <v>0</v>
      </c>
      <c r="P425" s="67">
        <f>IF(A30stdlife="n/a","n/a",IF(P$3&gt;(A30stdlife+$F425),(Input!$J$173*(1+vanilla3)^0.5)-SUM($J425:O425),(Input!$J$173*(1+vanilla3)^0.5)/A30stdlife))</f>
        <v>0</v>
      </c>
      <c r="Q425" s="67">
        <f>IF(A30stdlife="n/a","n/a",IF(Q$3&gt;(A30stdlife+$F425),(Input!$J$173*(1+vanilla3)^0.5)-SUM($J425:P425),(Input!$J$173*(1+vanilla3)^0.5)/A30stdlife))</f>
        <v>0</v>
      </c>
      <c r="R425" s="67"/>
      <c r="S425" s="102"/>
      <c r="T425" s="102"/>
      <c r="U425" s="102"/>
      <c r="V425" s="102"/>
      <c r="W425" s="102"/>
      <c r="X425" s="102"/>
      <c r="Y425" s="102"/>
      <c r="Z425" s="102"/>
      <c r="AA425" s="102"/>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5.25" hidden="1" customHeight="1" outlineLevel="2">
      <c r="A426" s="9"/>
      <c r="B426" s="9"/>
      <c r="C426" s="9"/>
      <c r="D426" s="25"/>
      <c r="E426" s="482"/>
      <c r="F426" s="85">
        <v>4</v>
      </c>
      <c r="G426" s="122"/>
      <c r="H426" s="146"/>
      <c r="I426" s="148"/>
      <c r="J426" s="148"/>
      <c r="K426" s="147"/>
      <c r="L426" s="67">
        <f>IF(A30stdlife="n/a","n/a",IF(L$3&gt;(A30stdlife+$F426),(Input!$K$173*(1+vanilla4)^0.5)-SUM($K426:K426),(Input!$K$173*(1+vanilla4)^0.5)/A30stdlife))</f>
        <v>0</v>
      </c>
      <c r="M426" s="67">
        <f>IF(A30stdlife="n/a","n/a",IF(M$3&gt;(A30stdlife+$F426),(Input!$K$173*(1+vanilla4)^0.5)-SUM($K426:L426),(Input!$K$173*(1+vanilla4)^0.5)/A30stdlife))</f>
        <v>0</v>
      </c>
      <c r="N426" s="67">
        <f>IF(A30stdlife="n/a","n/a",IF(N$3&gt;(A30stdlife+$F426),(Input!$K$173*(1+vanilla4)^0.5)-SUM($K426:M426),(Input!$K$173*(1+vanilla4)^0.5)/A30stdlife))</f>
        <v>0</v>
      </c>
      <c r="O426" s="67">
        <f>IF(A30stdlife="n/a","n/a",IF(O$3&gt;(A30stdlife+$F426),(Input!$K$173*(1+vanilla4)^0.5)-SUM($K426:N426),(Input!$K$173*(1+vanilla4)^0.5)/A30stdlife))</f>
        <v>0</v>
      </c>
      <c r="P426" s="67">
        <f>IF(A30stdlife="n/a","n/a",IF(P$3&gt;(A30stdlife+$F426),(Input!$K$173*(1+vanilla4)^0.5)-SUM($K426:O426),(Input!$K$173*(1+vanilla4)^0.5)/A30stdlife))</f>
        <v>0</v>
      </c>
      <c r="Q426" s="67">
        <f>IF(A30stdlife="n/a","n/a",IF(Q$3&gt;(A30stdlife+$F426),(Input!$K$173*(1+vanilla4)^0.5)-SUM($K426:P426),(Input!$K$173*(1+vanilla4)^0.5)/A30stdlife))</f>
        <v>0</v>
      </c>
      <c r="R426" s="67"/>
      <c r="S426" s="102"/>
      <c r="T426" s="102"/>
      <c r="U426" s="102"/>
      <c r="V426" s="102"/>
      <c r="W426" s="102"/>
      <c r="X426" s="102"/>
      <c r="Y426" s="102"/>
      <c r="Z426" s="102"/>
      <c r="AA426" s="102"/>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5.25" hidden="1" customHeight="1" outlineLevel="2">
      <c r="A427" s="9"/>
      <c r="B427" s="9"/>
      <c r="C427" s="9"/>
      <c r="D427" s="25"/>
      <c r="E427" s="482"/>
      <c r="F427" s="85">
        <v>5</v>
      </c>
      <c r="G427" s="26"/>
      <c r="H427" s="146"/>
      <c r="I427" s="148"/>
      <c r="J427" s="148"/>
      <c r="K427" s="148"/>
      <c r="L427" s="147"/>
      <c r="M427" s="67">
        <f>IF(A30stdlife="n/a","n/a",IF(M$3&gt;(A30stdlife+$F427),(Input!$L$173*(1+vanilla5)^0.5)-SUM($L427:L427),(Input!$L$173*(1+vanilla5)^0.5)/A30stdlife))</f>
        <v>0</v>
      </c>
      <c r="N427" s="67">
        <f>IF(A30stdlife="n/a","n/a",IF(N$3&gt;(A30stdlife+$F427),(Input!$L$173*(1+vanilla5)^0.5)-SUM($L427:M427),(Input!$L$173*(1+vanilla5)^0.5)/A30stdlife))</f>
        <v>0</v>
      </c>
      <c r="O427" s="67">
        <f>IF(A30stdlife="n/a","n/a",IF(O$3&gt;(A30stdlife+$F427),(Input!$L$173*(1+vanilla5)^0.5)-SUM($L427:N427),(Input!$L$173*(1+vanilla5)^0.5)/A30stdlife))</f>
        <v>0</v>
      </c>
      <c r="P427" s="67">
        <f>IF(A30stdlife="n/a","n/a",IF(P$3&gt;(A30stdlife+$F427),(Input!$L$173*(1+vanilla5)^0.5)-SUM($L427:O427),(Input!$L$173*(1+vanilla5)^0.5)/A30stdlife))</f>
        <v>0</v>
      </c>
      <c r="Q427" s="67">
        <f>IF(A30stdlife="n/a","n/a",IF(Q$3&gt;(A30stdlife+$F427),(Input!$L$173*(1+vanilla5)^0.5)-SUM($L427:P427),(Input!$L$173*(1+vanilla5)^0.5)/A30stdlife))</f>
        <v>0</v>
      </c>
      <c r="R427" s="67"/>
      <c r="S427" s="102"/>
      <c r="T427" s="102"/>
      <c r="U427" s="102"/>
      <c r="V427" s="102"/>
      <c r="W427" s="102"/>
      <c r="X427" s="102"/>
      <c r="Y427" s="102"/>
      <c r="Z427" s="102"/>
      <c r="AA427" s="102"/>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5.25" hidden="1" customHeight="1" outlineLevel="2">
      <c r="A428" s="9"/>
      <c r="B428" s="9"/>
      <c r="C428" s="9"/>
      <c r="D428" s="25"/>
      <c r="E428" s="482"/>
      <c r="F428" s="85">
        <v>6</v>
      </c>
      <c r="G428" s="26"/>
      <c r="H428" s="146"/>
      <c r="I428" s="148"/>
      <c r="J428" s="148"/>
      <c r="K428" s="148"/>
      <c r="L428" s="148"/>
      <c r="M428" s="147"/>
      <c r="N428" s="67">
        <f>IF(A30stdlife="n/a","n/a",IF(N$3&gt;(A30stdlife+$F428),(Input!$M$173*(1+vanilla6)^0.5)-SUM($M428:M428),(Input!$M$173*(1+vanilla6)^0.5)/A30stdlife))</f>
        <v>0</v>
      </c>
      <c r="O428" s="67">
        <f>IF(A30stdlife="n/a","n/a",IF(O$3&gt;(A30stdlife+$F428),(Input!$M$173*(1+vanilla6)^0.5)-SUM($M428:N428),(Input!$M$173*(1+vanilla6)^0.5)/A30stdlife))</f>
        <v>0</v>
      </c>
      <c r="P428" s="67">
        <f>IF(A30stdlife="n/a","n/a",IF(P$3&gt;(A30stdlife+$F428),(Input!$M$173*(1+vanilla6)^0.5)-SUM($M428:O428),(Input!$M$173*(1+vanilla6)^0.5)/A30stdlife))</f>
        <v>0</v>
      </c>
      <c r="Q428" s="67">
        <f>IF(A30stdlife="n/a","n/a",IF(Q$3&gt;(A30stdlife+$F428),(Input!$M$173*(1+vanilla6)^0.5)-SUM($M428:P428),(Input!$M$173*(1+vanilla6)^0.5)/A30stdlife))</f>
        <v>0</v>
      </c>
      <c r="R428" s="67"/>
      <c r="S428" s="102"/>
      <c r="T428" s="102"/>
      <c r="U428" s="102"/>
      <c r="V428" s="102"/>
      <c r="W428" s="102"/>
      <c r="X428" s="102"/>
      <c r="Y428" s="102"/>
      <c r="Z428" s="102"/>
      <c r="AA428" s="102"/>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5.25" hidden="1" customHeight="1" outlineLevel="2">
      <c r="A429" s="9"/>
      <c r="B429" s="9"/>
      <c r="C429" s="9"/>
      <c r="D429" s="25"/>
      <c r="E429" s="482"/>
      <c r="F429" s="85">
        <v>7</v>
      </c>
      <c r="G429" s="26"/>
      <c r="H429" s="146"/>
      <c r="I429" s="148"/>
      <c r="J429" s="148"/>
      <c r="K429" s="148"/>
      <c r="L429" s="148"/>
      <c r="M429" s="148"/>
      <c r="N429" s="147"/>
      <c r="O429" s="67">
        <f>IF(A30stdlife="n/a","n/a",IF(O$3&gt;(A30stdlife+$F429),(Input!$N$173*(1+vanilla7)^0.5)-SUM($N429:N429),(Input!$N$173*(1+vanilla7)^0.5)/A30stdlife))</f>
        <v>0</v>
      </c>
      <c r="P429" s="67">
        <f>IF(A30stdlife="n/a","n/a",IF(P$3&gt;(A30stdlife+$F429),(Input!$N$173*(1+vanilla7)^0.5)-SUM($N429:O429),(Input!$N$173*(1+vanilla7)^0.5)/A30stdlife))</f>
        <v>0</v>
      </c>
      <c r="Q429" s="67">
        <f>IF(A30stdlife="n/a","n/a",IF(Q$3&gt;(A30stdlife+$F429),(Input!$N$173*(1+vanilla7)^0.5)-SUM($N429:P429),(Input!$N$173*(1+vanilla7)^0.5)/A30stdlife))</f>
        <v>0</v>
      </c>
      <c r="R429" s="67"/>
      <c r="S429" s="102"/>
      <c r="T429" s="102"/>
      <c r="U429" s="102"/>
      <c r="V429" s="102"/>
      <c r="W429" s="102"/>
      <c r="X429" s="102"/>
      <c r="Y429" s="102"/>
      <c r="Z429" s="102"/>
      <c r="AA429" s="102"/>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5.25" hidden="1" customHeight="1" outlineLevel="2">
      <c r="A430" s="9"/>
      <c r="B430" s="9"/>
      <c r="C430" s="9"/>
      <c r="D430" s="25"/>
      <c r="E430" s="482"/>
      <c r="F430" s="85">
        <v>8</v>
      </c>
      <c r="G430" s="26"/>
      <c r="H430" s="146"/>
      <c r="I430" s="148"/>
      <c r="J430" s="148"/>
      <c r="K430" s="148"/>
      <c r="L430" s="148"/>
      <c r="M430" s="148"/>
      <c r="N430" s="148"/>
      <c r="O430" s="147"/>
      <c r="P430" s="67">
        <f>IF(A30stdlife="n/a","n/a",IF(P$3&gt;(A30stdlife+$F430),(Input!$O$173*(1+vanilla8)^0.5)-SUM($O430:O430),(Input!$O$173*(1+vanilla8)^0.5)/A30stdlife))</f>
        <v>0</v>
      </c>
      <c r="Q430" s="67">
        <f>IF(A30stdlife="n/a","n/a",IF(Q$3&gt;(A30stdlife+$F430),(Input!$O$173*(1+vanilla8)^0.5)-SUM($O430:P430),(Input!$O$173*(1+vanilla8)^0.5)/A30stdlife))</f>
        <v>0</v>
      </c>
      <c r="R430" s="67"/>
      <c r="S430" s="102"/>
      <c r="T430" s="102"/>
      <c r="U430" s="102"/>
      <c r="V430" s="102"/>
      <c r="W430" s="102"/>
      <c r="X430" s="102"/>
      <c r="Y430" s="102"/>
      <c r="Z430" s="102"/>
      <c r="AA430" s="102"/>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5.25" hidden="1" customHeight="1" outlineLevel="2">
      <c r="A431" s="9"/>
      <c r="B431" s="9"/>
      <c r="C431" s="9"/>
      <c r="D431" s="25"/>
      <c r="E431" s="482"/>
      <c r="F431" s="85">
        <v>9</v>
      </c>
      <c r="G431" s="26"/>
      <c r="H431" s="146"/>
      <c r="I431" s="148"/>
      <c r="J431" s="148"/>
      <c r="K431" s="148"/>
      <c r="L431" s="148"/>
      <c r="M431" s="148"/>
      <c r="N431" s="148"/>
      <c r="O431" s="148"/>
      <c r="P431" s="147"/>
      <c r="Q431" s="67">
        <f>IF(A30stdlife="n/a","n/a",IF(Q$3&gt;(A30stdlife+$F431),(Input!$P$173*(1+vanilla9)^0.5)-SUM($P431:P431),(Input!$P$173*(1+vanilla9)^0.5)/A30stdlife))</f>
        <v>0</v>
      </c>
      <c r="R431" s="67"/>
      <c r="S431" s="102"/>
      <c r="T431" s="102"/>
      <c r="U431" s="102"/>
      <c r="V431" s="102"/>
      <c r="W431" s="102"/>
      <c r="X431" s="102"/>
      <c r="Y431" s="102"/>
      <c r="Z431" s="102"/>
      <c r="AA431" s="102"/>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482"/>
      <c r="F432" s="86">
        <v>10</v>
      </c>
      <c r="G432" s="26"/>
      <c r="H432" s="146"/>
      <c r="I432" s="148"/>
      <c r="J432" s="148"/>
      <c r="K432" s="148"/>
      <c r="L432" s="148"/>
      <c r="M432" s="148"/>
      <c r="N432" s="148"/>
      <c r="O432" s="148"/>
      <c r="P432" s="148"/>
      <c r="Q432" s="147"/>
      <c r="R432" s="67"/>
      <c r="S432" s="102"/>
      <c r="T432" s="102"/>
      <c r="U432" s="102"/>
      <c r="V432" s="102"/>
      <c r="W432" s="102"/>
      <c r="X432" s="102"/>
      <c r="Y432" s="102"/>
      <c r="Z432" s="102"/>
      <c r="AA432" s="102"/>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5">
        <f>Asset30</f>
        <v>0</v>
      </c>
      <c r="E433" s="9"/>
      <c r="F433" s="9"/>
      <c r="G433" s="122"/>
      <c r="H433" s="165">
        <f>-SUM(H421:H432)</f>
        <v>0</v>
      </c>
      <c r="I433" s="165">
        <f>-SUM(I421:I432)</f>
        <v>0</v>
      </c>
      <c r="J433" s="165">
        <f>-SUM(J421:J432)</f>
        <v>0</v>
      </c>
      <c r="K433" s="165">
        <f>-SUM(K421:K432)</f>
        <v>0</v>
      </c>
      <c r="L433" s="165">
        <f>-SUM(L421:L432)</f>
        <v>0</v>
      </c>
      <c r="M433" s="165">
        <f>IF(Input!M174&gt;0, -SUM(M421:M432), 0)</f>
        <v>0</v>
      </c>
      <c r="N433" s="165">
        <f>IF(Input!N174&gt;0, -SUM(N421:N432), 0)</f>
        <v>0</v>
      </c>
      <c r="O433" s="165">
        <f>IF(Input!O174&gt;0, -SUM(O421:O432), 0)</f>
        <v>0</v>
      </c>
      <c r="P433" s="165">
        <f>IF(Input!P174&gt;0, -SUM(P421:P432), 0)</f>
        <v>0</v>
      </c>
      <c r="Q433" s="165">
        <f>IF(Input!Q174&gt;0, -SUM(Q421:Q432), 0)</f>
        <v>0</v>
      </c>
      <c r="R433" s="65"/>
      <c r="S433" s="104"/>
      <c r="T433" s="104"/>
      <c r="U433" s="104"/>
      <c r="V433" s="104"/>
      <c r="W433" s="104"/>
      <c r="X433" s="104"/>
      <c r="Y433" s="104"/>
      <c r="Z433" s="104"/>
      <c r="AA433" s="104"/>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104"/>
      <c r="BE433" s="104"/>
      <c r="BF433" s="104"/>
      <c r="BG433" s="104"/>
      <c r="BH433" s="104"/>
      <c r="BI433" s="104"/>
      <c r="BJ433" s="104"/>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2"/>
      <c r="H434" s="117"/>
      <c r="I434" s="117"/>
      <c r="J434" s="117"/>
      <c r="K434" s="117"/>
      <c r="L434" s="117"/>
      <c r="M434" s="117"/>
      <c r="N434" s="30"/>
      <c r="O434" s="30"/>
      <c r="P434" s="30"/>
      <c r="Q434" s="30"/>
      <c r="R434" s="30"/>
      <c r="S434" s="105"/>
      <c r="T434" s="105"/>
      <c r="U434" s="105"/>
      <c r="V434" s="105"/>
      <c r="W434" s="105"/>
      <c r="X434" s="105"/>
      <c r="Y434" s="105"/>
      <c r="Z434" s="105"/>
      <c r="AA434" s="105"/>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5"/>
      <c r="BE434" s="105"/>
      <c r="BF434" s="105"/>
      <c r="BG434" s="105"/>
      <c r="BH434" s="105"/>
      <c r="BI434" s="105"/>
      <c r="BJ434" s="105"/>
      <c r="BK434" s="11"/>
      <c r="BL434" s="11"/>
    </row>
    <row r="435" spans="1:256">
      <c r="A435" s="72"/>
      <c r="B435" s="72"/>
      <c r="C435" s="79" t="s">
        <v>31</v>
      </c>
      <c r="D435" s="72"/>
      <c r="E435" s="72"/>
      <c r="F435" s="72"/>
      <c r="G435" s="82"/>
      <c r="H435" s="118"/>
      <c r="I435" s="118"/>
      <c r="J435" s="118"/>
      <c r="K435" s="118"/>
      <c r="L435" s="118"/>
      <c r="M435" s="118"/>
      <c r="N435" s="83"/>
      <c r="O435" s="83"/>
      <c r="P435" s="83"/>
      <c r="Q435" s="83"/>
      <c r="R435" s="83"/>
      <c r="S435" s="83"/>
      <c r="T435" s="105"/>
      <c r="U435" s="105"/>
      <c r="V435" s="105"/>
      <c r="W435" s="105"/>
      <c r="X435" s="105"/>
      <c r="Y435" s="105"/>
      <c r="Z435" s="105"/>
      <c r="AA435" s="105"/>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105"/>
      <c r="BE435" s="105"/>
      <c r="BF435" s="105"/>
      <c r="BG435" s="105"/>
      <c r="BH435" s="105"/>
      <c r="BI435" s="105"/>
      <c r="BJ435" s="105"/>
      <c r="BK435" s="11"/>
      <c r="BL435" s="11"/>
    </row>
    <row r="436" spans="1:256">
      <c r="A436" s="9"/>
      <c r="B436" s="11"/>
      <c r="C436" s="16"/>
      <c r="D436" s="11"/>
      <c r="E436" s="11"/>
      <c r="F436" s="11"/>
      <c r="G436" s="113"/>
      <c r="H436" s="285"/>
      <c r="I436" s="285"/>
      <c r="J436" s="285"/>
      <c r="K436" s="285"/>
      <c r="L436" s="119"/>
      <c r="M436" s="119"/>
      <c r="N436" s="105"/>
      <c r="O436" s="105"/>
      <c r="P436" s="105"/>
      <c r="Q436" s="105"/>
      <c r="R436" s="105"/>
      <c r="S436" s="105"/>
      <c r="T436" s="105"/>
      <c r="U436" s="105"/>
      <c r="V436" s="105"/>
      <c r="W436" s="105"/>
      <c r="X436" s="105"/>
      <c r="Y436" s="105"/>
      <c r="Z436" s="105"/>
      <c r="AA436" s="105"/>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5"/>
      <c r="BE436" s="105"/>
      <c r="BF436" s="105"/>
      <c r="BG436" s="105"/>
      <c r="BH436" s="105"/>
      <c r="BI436" s="105"/>
      <c r="BJ436" s="105"/>
      <c r="BK436" s="11"/>
      <c r="BL436" s="11"/>
    </row>
    <row r="437" spans="1:256" ht="12.75" customHeight="1">
      <c r="A437" s="9"/>
      <c r="B437" s="9"/>
      <c r="C437" s="44" t="s">
        <v>46</v>
      </c>
      <c r="D437" s="9"/>
      <c r="E437" s="9"/>
      <c r="F437" s="9"/>
      <c r="G437" s="198">
        <f>SUM(G438:G467)</f>
        <v>6357.5756751436893</v>
      </c>
      <c r="H437" s="114">
        <f>SUM(H438:H467)</f>
        <v>7297.1697204572347</v>
      </c>
      <c r="I437" s="114">
        <f t="shared" ref="I437:R437" si="3">SUM(I438:I467)</f>
        <v>8297.9056988671546</v>
      </c>
      <c r="J437" s="114">
        <f t="shared" si="3"/>
        <v>9531.1919647580125</v>
      </c>
      <c r="K437" s="114">
        <f t="shared" si="3"/>
        <v>10874.97078888181</v>
      </c>
      <c r="L437" s="114">
        <f t="shared" si="3"/>
        <v>11681.638745216416</v>
      </c>
      <c r="M437" s="114">
        <f>SUM(M438:M467)</f>
        <v>12124.658130973348</v>
      </c>
      <c r="N437" s="114">
        <f t="shared" si="3"/>
        <v>0</v>
      </c>
      <c r="O437" s="114">
        <f t="shared" si="3"/>
        <v>0</v>
      </c>
      <c r="P437" s="114">
        <f t="shared" si="3"/>
        <v>0</v>
      </c>
      <c r="Q437" s="114">
        <f t="shared" si="3"/>
        <v>0</v>
      </c>
      <c r="R437" s="114">
        <f t="shared" si="3"/>
        <v>0</v>
      </c>
      <c r="S437" s="98"/>
      <c r="T437" s="36"/>
      <c r="U437" s="98"/>
      <c r="V437" s="98"/>
      <c r="W437" s="98"/>
      <c r="X437" s="98"/>
      <c r="Y437" s="98"/>
      <c r="Z437" s="98"/>
      <c r="AA437" s="98"/>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98"/>
      <c r="BE437" s="98"/>
      <c r="BF437" s="98"/>
      <c r="BG437" s="98"/>
      <c r="BH437" s="98"/>
      <c r="BI437" s="98"/>
      <c r="BJ437" s="98"/>
      <c r="BK437" s="11"/>
      <c r="BL437" s="11"/>
    </row>
    <row r="438" spans="1:256" ht="12.75" hidden="1" customHeight="1" outlineLevel="1">
      <c r="A438" s="9"/>
      <c r="B438" s="9"/>
      <c r="C438" s="9"/>
      <c r="D438" s="128" t="str">
        <f>Asset1</f>
        <v>Sub-transmission lines and cables</v>
      </c>
      <c r="E438" s="9"/>
      <c r="F438" s="9"/>
      <c r="G438" s="191">
        <f>Input!J7</f>
        <v>628.07263528768385</v>
      </c>
      <c r="H438" s="357">
        <f t="shared" ref="H438:H459" si="4">G438+G470+G502+G534+G566+G598+H698</f>
        <v>628.30997683369071</v>
      </c>
      <c r="I438" s="109">
        <f t="shared" ref="I438:M447" si="5">H438+H470+H502</f>
        <v>734.45918032628526</v>
      </c>
      <c r="J438" s="109">
        <f t="shared" si="5"/>
        <v>852.93309722128004</v>
      </c>
      <c r="K438" s="109">
        <f t="shared" si="5"/>
        <v>984.17944994704737</v>
      </c>
      <c r="L438" s="109">
        <f t="shared" si="5"/>
        <v>1067.9560500039584</v>
      </c>
      <c r="M438" s="109">
        <f t="shared" si="5"/>
        <v>1113.753609790565</v>
      </c>
      <c r="N438" s="109">
        <f>IF(Input!M$174&gt;0, M438+M470+M502, 0)</f>
        <v>0</v>
      </c>
      <c r="O438" s="109">
        <f>IF(Input!N$174&gt;0, N438+N470+N502, 0)</f>
        <v>0</v>
      </c>
      <c r="P438" s="109">
        <f>IF(Input!O$174&gt;0, O438+O470+O502, 0)</f>
        <v>0</v>
      </c>
      <c r="Q438" s="109">
        <f>IF(Input!P$174&gt;0, P438+P470+P502, 0)</f>
        <v>0</v>
      </c>
      <c r="R438" s="109">
        <f>IF(Input!Q$174&gt;0, Q438+Q470+Q502, 0)</f>
        <v>0</v>
      </c>
      <c r="S438" s="9"/>
      <c r="T438" s="36"/>
      <c r="U438" s="98"/>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9"/>
      <c r="BE438" s="9"/>
      <c r="BF438" s="9"/>
      <c r="BG438" s="9"/>
      <c r="BH438" s="9"/>
      <c r="BI438" s="9"/>
      <c r="BJ438" s="9"/>
      <c r="BK438" s="9"/>
      <c r="BL438" s="9"/>
    </row>
    <row r="439" spans="1:256" ht="12.75" hidden="1" customHeight="1" outlineLevel="1">
      <c r="A439" s="9"/>
      <c r="B439" s="9"/>
      <c r="C439" s="44"/>
      <c r="D439" s="128" t="str">
        <f>Asset2</f>
        <v>Cable tunnel (dx)</v>
      </c>
      <c r="E439" s="9"/>
      <c r="F439" s="9"/>
      <c r="G439" s="191">
        <f>Input!J8</f>
        <v>34.039669444934937</v>
      </c>
      <c r="H439" s="357">
        <f t="shared" si="4"/>
        <v>67.623820947606021</v>
      </c>
      <c r="I439" s="109">
        <f t="shared" si="5"/>
        <v>68.924845511988678</v>
      </c>
      <c r="J439" s="109">
        <f t="shared" si="5"/>
        <v>70.086115794155504</v>
      </c>
      <c r="K439" s="109">
        <f t="shared" si="5"/>
        <v>71.419727726187716</v>
      </c>
      <c r="L439" s="109">
        <f t="shared" si="5"/>
        <v>131.05339778450417</v>
      </c>
      <c r="M439" s="109">
        <f t="shared" si="5"/>
        <v>178.94546583372929</v>
      </c>
      <c r="N439" s="109">
        <f>IF(Input!M$174&gt;0, M439+M471+M503, 0)</f>
        <v>0</v>
      </c>
      <c r="O439" s="109">
        <f>IF(Input!N$174&gt;0, N439+N471+N503, 0)</f>
        <v>0</v>
      </c>
      <c r="P439" s="109">
        <f>IF(Input!O$174&gt;0, O439+O471+O503, 0)</f>
        <v>0</v>
      </c>
      <c r="Q439" s="109">
        <f>IF(Input!P$174&gt;0, P439+P471+P503, 0)</f>
        <v>0</v>
      </c>
      <c r="R439" s="109">
        <f>IF(Input!Q$174&gt;0, Q439+Q471+Q503, 0)</f>
        <v>0</v>
      </c>
      <c r="S439" s="99"/>
      <c r="T439" s="99"/>
      <c r="U439" s="99"/>
      <c r="V439" s="99"/>
      <c r="W439" s="99"/>
      <c r="X439" s="99"/>
      <c r="Y439" s="99"/>
      <c r="Z439" s="99"/>
      <c r="AA439" s="99"/>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99"/>
      <c r="BE439" s="99"/>
      <c r="BF439" s="99"/>
      <c r="BG439" s="99"/>
      <c r="BH439" s="99"/>
      <c r="BI439" s="99"/>
      <c r="BJ439" s="99"/>
      <c r="BK439" s="11"/>
      <c r="BL439" s="11"/>
    </row>
    <row r="440" spans="1:256" ht="12.75" hidden="1" customHeight="1" outlineLevel="1">
      <c r="A440" s="9"/>
      <c r="B440" s="9"/>
      <c r="C440" s="44"/>
      <c r="D440" s="128" t="str">
        <f>Asset3</f>
        <v>Distribution lines and cables</v>
      </c>
      <c r="E440" s="9"/>
      <c r="F440" s="9"/>
      <c r="G440" s="191">
        <f>Input!J9</f>
        <v>1590.1669051835506</v>
      </c>
      <c r="H440" s="357">
        <f t="shared" si="4"/>
        <v>1917.7730409043168</v>
      </c>
      <c r="I440" s="109">
        <f t="shared" si="5"/>
        <v>2091.5727305216938</v>
      </c>
      <c r="J440" s="109">
        <f t="shared" si="5"/>
        <v>2395.5293704623159</v>
      </c>
      <c r="K440" s="109">
        <f t="shared" si="5"/>
        <v>2736.7864926623565</v>
      </c>
      <c r="L440" s="109">
        <f t="shared" si="5"/>
        <v>2998.6054958695013</v>
      </c>
      <c r="M440" s="109">
        <f t="shared" si="5"/>
        <v>3188.9862934245839</v>
      </c>
      <c r="N440" s="109">
        <f>IF(Input!M$174&gt;0, M440+M472+M504, 0)</f>
        <v>0</v>
      </c>
      <c r="O440" s="109">
        <f>IF(Input!N$174&gt;0, N440+N472+N504, 0)</f>
        <v>0</v>
      </c>
      <c r="P440" s="109">
        <f>IF(Input!O$174&gt;0, O440+O472+O504, 0)</f>
        <v>0</v>
      </c>
      <c r="Q440" s="109">
        <f>IF(Input!P$174&gt;0, P440+P472+P504, 0)</f>
        <v>0</v>
      </c>
      <c r="R440" s="109">
        <f>IF(Input!Q$174&gt;0, Q440+Q472+Q504, 0)</f>
        <v>0</v>
      </c>
      <c r="S440" s="99"/>
      <c r="T440" s="99"/>
      <c r="U440" s="99"/>
      <c r="V440" s="99"/>
      <c r="W440" s="99"/>
      <c r="X440" s="99"/>
      <c r="Y440" s="99"/>
      <c r="Z440" s="99"/>
      <c r="AA440" s="99"/>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99"/>
      <c r="BE440" s="99"/>
      <c r="BF440" s="99"/>
      <c r="BG440" s="99"/>
      <c r="BH440" s="99"/>
      <c r="BI440" s="99"/>
      <c r="BJ440" s="99"/>
      <c r="BK440" s="11"/>
      <c r="BL440" s="11"/>
    </row>
    <row r="441" spans="1:256" ht="12.75" hidden="1" customHeight="1" outlineLevel="1">
      <c r="A441" s="9"/>
      <c r="B441" s="9"/>
      <c r="C441" s="44"/>
      <c r="D441" s="128" t="str">
        <f>Asset4</f>
        <v>Substations</v>
      </c>
      <c r="E441" s="9"/>
      <c r="F441" s="9"/>
      <c r="G441" s="191">
        <f>Input!J10</f>
        <v>1540.4625077042031</v>
      </c>
      <c r="H441" s="357">
        <f t="shared" si="4"/>
        <v>2048.7358007572952</v>
      </c>
      <c r="I441" s="109">
        <f t="shared" si="5"/>
        <v>2330.5095420095736</v>
      </c>
      <c r="J441" s="109">
        <f t="shared" si="5"/>
        <v>2675.3196801975323</v>
      </c>
      <c r="K441" s="109">
        <f t="shared" si="5"/>
        <v>3116.1314213765227</v>
      </c>
      <c r="L441" s="109">
        <f t="shared" si="5"/>
        <v>3347.082945720002</v>
      </c>
      <c r="M441" s="109">
        <f t="shared" si="5"/>
        <v>3497.9925696707987</v>
      </c>
      <c r="N441" s="109">
        <f>IF(Input!M$174&gt;0, M441+M473+M505, 0)</f>
        <v>0</v>
      </c>
      <c r="O441" s="109">
        <f>IF(Input!N$174&gt;0, N441+N473+N505, 0)</f>
        <v>0</v>
      </c>
      <c r="P441" s="109">
        <f>IF(Input!O$174&gt;0, O441+O473+O505, 0)</f>
        <v>0</v>
      </c>
      <c r="Q441" s="109">
        <f>IF(Input!P$174&gt;0, P441+P473+P505, 0)</f>
        <v>0</v>
      </c>
      <c r="R441" s="109">
        <f>IF(Input!Q$174&gt;0, Q441+Q473+Q505, 0)</f>
        <v>0</v>
      </c>
      <c r="S441" s="99"/>
      <c r="T441" s="99"/>
      <c r="U441" s="99"/>
      <c r="V441" s="99"/>
      <c r="W441" s="99"/>
      <c r="X441" s="99"/>
      <c r="Y441" s="99"/>
      <c r="Z441" s="99"/>
      <c r="AA441" s="99"/>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99"/>
      <c r="BE441" s="99"/>
      <c r="BF441" s="99"/>
      <c r="BG441" s="99"/>
      <c r="BH441" s="99"/>
      <c r="BI441" s="99"/>
      <c r="BJ441" s="99"/>
      <c r="BK441" s="11"/>
      <c r="BL441" s="11"/>
    </row>
    <row r="442" spans="1:256" ht="12.75" hidden="1" customHeight="1" outlineLevel="1">
      <c r="A442" s="9"/>
      <c r="B442" s="9"/>
      <c r="C442" s="44"/>
      <c r="D442" s="128" t="str">
        <f>Asset5</f>
        <v>Transformers</v>
      </c>
      <c r="E442" s="9"/>
      <c r="F442" s="9"/>
      <c r="G442" s="191">
        <f>Input!J11</f>
        <v>397.33283980757915</v>
      </c>
      <c r="H442" s="357">
        <f t="shared" si="4"/>
        <v>467.45903002119684</v>
      </c>
      <c r="I442" s="109">
        <f t="shared" si="5"/>
        <v>517.2417483561477</v>
      </c>
      <c r="J442" s="109">
        <f t="shared" si="5"/>
        <v>594.13026215423656</v>
      </c>
      <c r="K442" s="109">
        <f t="shared" si="5"/>
        <v>647.61090311364956</v>
      </c>
      <c r="L442" s="109">
        <f t="shared" si="5"/>
        <v>677.40448929008278</v>
      </c>
      <c r="M442" s="109">
        <f t="shared" si="5"/>
        <v>701.16490722316075</v>
      </c>
      <c r="N442" s="109">
        <f>IF(Input!M$174&gt;0, M442+M474+M506, 0)</f>
        <v>0</v>
      </c>
      <c r="O442" s="109">
        <f>IF(Input!N$174&gt;0, N442+N474+N506, 0)</f>
        <v>0</v>
      </c>
      <c r="P442" s="109">
        <f>IF(Input!O$174&gt;0, O442+O474+O506, 0)</f>
        <v>0</v>
      </c>
      <c r="Q442" s="109">
        <f>IF(Input!P$174&gt;0, P442+P474+P506, 0)</f>
        <v>0</v>
      </c>
      <c r="R442" s="109">
        <f>IF(Input!Q$174&gt;0, Q442+Q474+Q506, 0)</f>
        <v>0</v>
      </c>
      <c r="S442" s="99"/>
      <c r="T442" s="99"/>
      <c r="U442" s="99"/>
      <c r="V442" s="99"/>
      <c r="W442" s="99"/>
      <c r="X442" s="99"/>
      <c r="Y442" s="99"/>
      <c r="Z442" s="99"/>
      <c r="AA442" s="99"/>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99"/>
      <c r="BE442" s="99"/>
      <c r="BF442" s="99"/>
      <c r="BG442" s="99"/>
      <c r="BH442" s="99"/>
      <c r="BI442" s="99"/>
      <c r="BJ442" s="99"/>
      <c r="BK442" s="11"/>
      <c r="BL442" s="11"/>
    </row>
    <row r="443" spans="1:256" ht="12.75" hidden="1" customHeight="1" outlineLevel="1">
      <c r="A443" s="9"/>
      <c r="B443" s="9"/>
      <c r="C443" s="44"/>
      <c r="D443" s="128" t="str">
        <f>Asset6</f>
        <v>Low Voltage Lines and Cables</v>
      </c>
      <c r="E443" s="9"/>
      <c r="F443" s="9"/>
      <c r="G443" s="191">
        <f>Input!J12</f>
        <v>695.63342058586409</v>
      </c>
      <c r="H443" s="357">
        <f t="shared" si="4"/>
        <v>757.26447945717541</v>
      </c>
      <c r="I443" s="109">
        <f t="shared" si="5"/>
        <v>873.97862274779038</v>
      </c>
      <c r="J443" s="109">
        <f t="shared" si="5"/>
        <v>1028.5580156277892</v>
      </c>
      <c r="K443" s="109">
        <f t="shared" si="5"/>
        <v>1226.6416148507114</v>
      </c>
      <c r="L443" s="109">
        <f t="shared" si="5"/>
        <v>1364.2631679922029</v>
      </c>
      <c r="M443" s="109">
        <f t="shared" si="5"/>
        <v>1488.5867544406335</v>
      </c>
      <c r="N443" s="109">
        <f>IF(Input!M$174&gt;0, M443+M475+M507, 0)</f>
        <v>0</v>
      </c>
      <c r="O443" s="109">
        <f>IF(Input!N$174&gt;0, N443+N475+N507, 0)</f>
        <v>0</v>
      </c>
      <c r="P443" s="109">
        <f>IF(Input!O$174&gt;0, O443+O475+O507, 0)</f>
        <v>0</v>
      </c>
      <c r="Q443" s="109">
        <f>IF(Input!P$174&gt;0, P443+P475+P507, 0)</f>
        <v>0</v>
      </c>
      <c r="R443" s="109">
        <f>IF(Input!Q$174&gt;0, Q443+Q475+Q507, 0)</f>
        <v>0</v>
      </c>
      <c r="S443" s="99"/>
      <c r="T443" s="99"/>
      <c r="U443" s="99"/>
      <c r="V443" s="99"/>
      <c r="W443" s="99"/>
      <c r="X443" s="99"/>
      <c r="Y443" s="99"/>
      <c r="Z443" s="99"/>
      <c r="AA443" s="99"/>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99"/>
      <c r="BE443" s="99"/>
      <c r="BF443" s="99"/>
      <c r="BG443" s="99"/>
      <c r="BH443" s="99"/>
      <c r="BI443" s="99"/>
      <c r="BJ443" s="99"/>
      <c r="BK443" s="11"/>
      <c r="BL443" s="11"/>
    </row>
    <row r="444" spans="1:256" ht="12.75" hidden="1" customHeight="1" outlineLevel="1">
      <c r="A444" s="9"/>
      <c r="B444" s="9"/>
      <c r="C444" s="44"/>
      <c r="D444" s="128" t="str">
        <f>Asset7</f>
        <v>Customer Metering and Load Control</v>
      </c>
      <c r="E444" s="9"/>
      <c r="F444" s="9"/>
      <c r="G444" s="191">
        <f>Input!J13</f>
        <v>186.91073309905713</v>
      </c>
      <c r="H444" s="357">
        <f t="shared" si="4"/>
        <v>235.44383076608574</v>
      </c>
      <c r="I444" s="109">
        <f t="shared" si="5"/>
        <v>227.57087523544243</v>
      </c>
      <c r="J444" s="109">
        <f t="shared" si="5"/>
        <v>221.19610503235197</v>
      </c>
      <c r="K444" s="109">
        <f t="shared" si="5"/>
        <v>215.47791457474966</v>
      </c>
      <c r="L444" s="109">
        <f t="shared" si="5"/>
        <v>205.61312842599898</v>
      </c>
      <c r="M444" s="109">
        <f t="shared" si="5"/>
        <v>196.7463810689128</v>
      </c>
      <c r="N444" s="109">
        <f>IF(Input!M$174&gt;0, M444+M476+M508, 0)</f>
        <v>0</v>
      </c>
      <c r="O444" s="109">
        <f>IF(Input!N$174&gt;0, N444+N476+N508, 0)</f>
        <v>0</v>
      </c>
      <c r="P444" s="109">
        <f>IF(Input!O$174&gt;0, O444+O476+O508, 0)</f>
        <v>0</v>
      </c>
      <c r="Q444" s="109">
        <f>IF(Input!P$174&gt;0, P444+P476+P508, 0)</f>
        <v>0</v>
      </c>
      <c r="R444" s="109">
        <f>IF(Input!Q$174&gt;0, Q444+Q476+Q508, 0)</f>
        <v>0</v>
      </c>
      <c r="S444" s="99"/>
      <c r="T444" s="99"/>
      <c r="U444" s="99"/>
      <c r="V444" s="99"/>
      <c r="W444" s="99"/>
      <c r="X444" s="99"/>
      <c r="Y444" s="99"/>
      <c r="Z444" s="99"/>
      <c r="AA444" s="99"/>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99"/>
      <c r="BE444" s="99"/>
      <c r="BF444" s="99"/>
      <c r="BG444" s="99"/>
      <c r="BH444" s="99"/>
      <c r="BI444" s="99"/>
      <c r="BJ444" s="99"/>
      <c r="BK444" s="11"/>
      <c r="BL444" s="11"/>
    </row>
    <row r="445" spans="1:256" ht="12.75" hidden="1" customHeight="1" outlineLevel="1">
      <c r="A445" s="9"/>
      <c r="B445" s="9"/>
      <c r="C445" s="44"/>
      <c r="D445" s="128" t="str">
        <f>Asset8</f>
        <v>Customer Metering (digital)</v>
      </c>
      <c r="E445" s="9"/>
      <c r="F445" s="9"/>
      <c r="G445" s="191">
        <f>Input!J14</f>
        <v>0</v>
      </c>
      <c r="H445" s="357">
        <f t="shared" si="4"/>
        <v>0</v>
      </c>
      <c r="I445" s="109">
        <f t="shared" si="5"/>
        <v>23.446466917049978</v>
      </c>
      <c r="J445" s="109">
        <f t="shared" si="5"/>
        <v>53.655868207308608</v>
      </c>
      <c r="K445" s="109">
        <f t="shared" si="5"/>
        <v>74.69749408163338</v>
      </c>
      <c r="L445" s="109">
        <f t="shared" si="5"/>
        <v>87.522151043704199</v>
      </c>
      <c r="M445" s="109">
        <f t="shared" si="5"/>
        <v>100.86131177148374</v>
      </c>
      <c r="N445" s="109">
        <f>IF(Input!M$174&gt;0, M445+M477+M509, 0)</f>
        <v>0</v>
      </c>
      <c r="O445" s="109">
        <f>IF(Input!N$174&gt;0, N445+N477+N509, 0)</f>
        <v>0</v>
      </c>
      <c r="P445" s="109">
        <f>IF(Input!O$174&gt;0, O445+O477+O509, 0)</f>
        <v>0</v>
      </c>
      <c r="Q445" s="109">
        <f>IF(Input!P$174&gt;0, P445+P477+P509, 0)</f>
        <v>0</v>
      </c>
      <c r="R445" s="109">
        <f>IF(Input!Q$174&gt;0, Q445+Q477+Q509, 0)</f>
        <v>0</v>
      </c>
      <c r="S445" s="99"/>
      <c r="T445" s="99"/>
      <c r="U445" s="99"/>
      <c r="V445" s="99"/>
      <c r="W445" s="99"/>
      <c r="X445" s="99"/>
      <c r="Y445" s="99"/>
      <c r="Z445" s="99"/>
      <c r="AA445" s="99"/>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99"/>
      <c r="BE445" s="99"/>
      <c r="BF445" s="99"/>
      <c r="BG445" s="99"/>
      <c r="BH445" s="99"/>
      <c r="BI445" s="99"/>
      <c r="BJ445" s="99"/>
      <c r="BK445" s="11"/>
      <c r="BL445" s="11"/>
    </row>
    <row r="446" spans="1:256" ht="12.75" hidden="1" customHeight="1" outlineLevel="1">
      <c r="A446" s="9"/>
      <c r="B446" s="9"/>
      <c r="C446" s="44"/>
      <c r="D446" s="128" t="str">
        <f>Asset9</f>
        <v>Communications (digital) - dx</v>
      </c>
      <c r="E446" s="9"/>
      <c r="F446" s="9"/>
      <c r="G446" s="191">
        <f>Input!J15</f>
        <v>0</v>
      </c>
      <c r="H446" s="357">
        <f t="shared" si="4"/>
        <v>0</v>
      </c>
      <c r="I446" s="109">
        <f t="shared" si="5"/>
        <v>22.233532180732755</v>
      </c>
      <c r="J446" s="109">
        <f t="shared" si="5"/>
        <v>21.821485926013082</v>
      </c>
      <c r="K446" s="109">
        <f t="shared" si="5"/>
        <v>21.202567283235044</v>
      </c>
      <c r="L446" s="109">
        <f t="shared" si="5"/>
        <v>15.574028326613627</v>
      </c>
      <c r="M446" s="109">
        <f t="shared" si="5"/>
        <v>13.996097547074466</v>
      </c>
      <c r="N446" s="109">
        <f>IF(Input!M$174&gt;0, M446+M478+M510, 0)</f>
        <v>0</v>
      </c>
      <c r="O446" s="109">
        <f>IF(Input!N$174&gt;0, N446+N478+N510, 0)</f>
        <v>0</v>
      </c>
      <c r="P446" s="109">
        <f>IF(Input!O$174&gt;0, O446+O478+O510, 0)</f>
        <v>0</v>
      </c>
      <c r="Q446" s="109">
        <f>IF(Input!P$174&gt;0, P446+P478+P510, 0)</f>
        <v>0</v>
      </c>
      <c r="R446" s="109">
        <f>IF(Input!Q$174&gt;0, Q446+Q478+Q510, 0)</f>
        <v>0</v>
      </c>
      <c r="S446" s="99"/>
      <c r="T446" s="99"/>
      <c r="U446" s="99"/>
      <c r="V446" s="99"/>
      <c r="W446" s="99"/>
      <c r="X446" s="99"/>
      <c r="Y446" s="99"/>
      <c r="Z446" s="99"/>
      <c r="AA446" s="99"/>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99"/>
      <c r="BE446" s="99"/>
      <c r="BF446" s="99"/>
      <c r="BG446" s="99"/>
      <c r="BH446" s="99"/>
      <c r="BI446" s="99"/>
      <c r="BJ446" s="99"/>
      <c r="BK446" s="11"/>
      <c r="BL446" s="11"/>
    </row>
    <row r="447" spans="1:256" ht="12.75" hidden="1" customHeight="1" outlineLevel="1">
      <c r="A447" s="9"/>
      <c r="B447" s="9"/>
      <c r="C447" s="44"/>
      <c r="D447" s="128" t="str">
        <f>Asset10</f>
        <v>Total Communications</v>
      </c>
      <c r="E447" s="9"/>
      <c r="F447" s="9"/>
      <c r="G447" s="191">
        <f>Input!J16</f>
        <v>102.05067031207685</v>
      </c>
      <c r="H447" s="357">
        <f t="shared" si="4"/>
        <v>130.75137240343361</v>
      </c>
      <c r="I447" s="109">
        <f t="shared" si="5"/>
        <v>118.33668840096502</v>
      </c>
      <c r="J447" s="109">
        <f t="shared" si="5"/>
        <v>104.10044508232548</v>
      </c>
      <c r="K447" s="109">
        <f t="shared" si="5"/>
        <v>89.524722974407979</v>
      </c>
      <c r="L447" s="109">
        <f t="shared" si="5"/>
        <v>72.385200030618549</v>
      </c>
      <c r="M447" s="109">
        <f t="shared" si="5"/>
        <v>55.110958862100844</v>
      </c>
      <c r="N447" s="109">
        <f>IF(Input!M$174&gt;0, M447+M479+M511, 0)</f>
        <v>0</v>
      </c>
      <c r="O447" s="109">
        <f>IF(Input!N$174&gt;0, N447+N479+N511, 0)</f>
        <v>0</v>
      </c>
      <c r="P447" s="109">
        <f>IF(Input!O$174&gt;0, O447+O479+O511, 0)</f>
        <v>0</v>
      </c>
      <c r="Q447" s="109">
        <f>IF(Input!P$174&gt;0, P447+P479+P511, 0)</f>
        <v>0</v>
      </c>
      <c r="R447" s="109">
        <f>IF(Input!Q$174&gt;0, Q447+Q479+Q511, 0)</f>
        <v>0</v>
      </c>
      <c r="S447" s="99"/>
      <c r="T447" s="99"/>
      <c r="U447" s="99"/>
      <c r="V447" s="99"/>
      <c r="W447" s="99"/>
      <c r="X447" s="99"/>
      <c r="Y447" s="99"/>
      <c r="Z447" s="99"/>
      <c r="AA447" s="99"/>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99"/>
      <c r="BE447" s="99"/>
      <c r="BF447" s="99"/>
      <c r="BG447" s="99"/>
      <c r="BH447" s="99"/>
      <c r="BI447" s="99"/>
      <c r="BJ447" s="99"/>
      <c r="BK447" s="11"/>
      <c r="BL447" s="11"/>
    </row>
    <row r="448" spans="1:256" ht="12.75" hidden="1" customHeight="1" outlineLevel="1">
      <c r="A448" s="9"/>
      <c r="B448" s="9"/>
      <c r="C448" s="44"/>
      <c r="D448" s="128" t="str">
        <f>Asset11</f>
        <v>System IT (dx)</v>
      </c>
      <c r="E448" s="9"/>
      <c r="F448" s="9"/>
      <c r="G448" s="191">
        <f>Input!J17</f>
        <v>0</v>
      </c>
      <c r="H448" s="357">
        <f t="shared" si="4"/>
        <v>0</v>
      </c>
      <c r="I448" s="109">
        <f t="shared" ref="I448:M457" si="6">H448+H480+H512</f>
        <v>30.216276524089828</v>
      </c>
      <c r="J448" s="109">
        <f t="shared" si="6"/>
        <v>132.71178826687404</v>
      </c>
      <c r="K448" s="109">
        <f t="shared" si="6"/>
        <v>213.71355941943676</v>
      </c>
      <c r="L448" s="109">
        <f t="shared" si="6"/>
        <v>237.25935568824229</v>
      </c>
      <c r="M448" s="109">
        <f t="shared" si="6"/>
        <v>209.19746549808724</v>
      </c>
      <c r="N448" s="109">
        <f>IF(Input!M$174&gt;0, M448+M480+M512, 0)</f>
        <v>0</v>
      </c>
      <c r="O448" s="109">
        <f>IF(Input!N$174&gt;0, N448+N480+N512, 0)</f>
        <v>0</v>
      </c>
      <c r="P448" s="109">
        <f>IF(Input!O$174&gt;0, O448+O480+O512, 0)</f>
        <v>0</v>
      </c>
      <c r="Q448" s="109">
        <f>IF(Input!P$174&gt;0, P448+P480+P512, 0)</f>
        <v>0</v>
      </c>
      <c r="R448" s="109">
        <f>IF(Input!Q$174&gt;0, Q448+Q480+Q512, 0)</f>
        <v>0</v>
      </c>
      <c r="S448" s="99"/>
      <c r="T448" s="99"/>
      <c r="U448" s="99"/>
      <c r="V448" s="99"/>
      <c r="W448" s="99"/>
      <c r="X448" s="99"/>
      <c r="Y448" s="99"/>
      <c r="Z448" s="99"/>
      <c r="AA448" s="99"/>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99"/>
      <c r="BE448" s="99"/>
      <c r="BF448" s="99"/>
      <c r="BG448" s="99"/>
      <c r="BH448" s="99"/>
      <c r="BI448" s="99"/>
      <c r="BJ448" s="99"/>
      <c r="BK448" s="11"/>
      <c r="BL448" s="11"/>
    </row>
    <row r="449" spans="1:64" ht="12.75" hidden="1" customHeight="1" outlineLevel="1">
      <c r="A449" s="9"/>
      <c r="B449" s="9"/>
      <c r="C449" s="44"/>
      <c r="D449" s="128" t="str">
        <f>Asset12</f>
        <v>Ancillary substation equipment (dx)</v>
      </c>
      <c r="E449" s="9"/>
      <c r="F449" s="9"/>
      <c r="G449" s="191">
        <f>Input!J18</f>
        <v>0</v>
      </c>
      <c r="H449" s="357">
        <f t="shared" si="4"/>
        <v>0</v>
      </c>
      <c r="I449" s="109">
        <f t="shared" si="6"/>
        <v>28.216302615964409</v>
      </c>
      <c r="J449" s="109">
        <f t="shared" si="6"/>
        <v>34.435008347375948</v>
      </c>
      <c r="K449" s="109">
        <f t="shared" si="6"/>
        <v>48.405690181127817</v>
      </c>
      <c r="L449" s="109">
        <f t="shared" si="6"/>
        <v>54.874031847051789</v>
      </c>
      <c r="M449" s="109">
        <f t="shared" si="6"/>
        <v>57.411430576440907</v>
      </c>
      <c r="N449" s="109">
        <f>IF(Input!M$174&gt;0, M449+M481+M513, 0)</f>
        <v>0</v>
      </c>
      <c r="O449" s="109">
        <f>IF(Input!N$174&gt;0, N449+N481+N513, 0)</f>
        <v>0</v>
      </c>
      <c r="P449" s="109">
        <f>IF(Input!O$174&gt;0, O449+O481+O513, 0)</f>
        <v>0</v>
      </c>
      <c r="Q449" s="109">
        <f>IF(Input!P$174&gt;0, P449+P481+P513, 0)</f>
        <v>0</v>
      </c>
      <c r="R449" s="109">
        <f>IF(Input!Q$174&gt;0, Q449+Q481+Q513, 0)</f>
        <v>0</v>
      </c>
      <c r="S449" s="99"/>
      <c r="T449" s="99"/>
      <c r="U449" s="99"/>
      <c r="V449" s="99"/>
      <c r="W449" s="99"/>
      <c r="X449" s="99"/>
      <c r="Y449" s="99"/>
      <c r="Z449" s="99"/>
      <c r="AA449" s="99"/>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99"/>
      <c r="BE449" s="99"/>
      <c r="BF449" s="99"/>
      <c r="BG449" s="99"/>
      <c r="BH449" s="99"/>
      <c r="BI449" s="99"/>
      <c r="BJ449" s="99"/>
      <c r="BK449" s="11"/>
      <c r="BL449" s="11"/>
    </row>
    <row r="450" spans="1:64" ht="12.75" hidden="1" customHeight="1" outlineLevel="1">
      <c r="A450" s="9"/>
      <c r="B450" s="9"/>
      <c r="C450" s="44"/>
      <c r="D450" s="128" t="str">
        <f>Asset13</f>
        <v>Land and Easements</v>
      </c>
      <c r="E450" s="9"/>
      <c r="F450" s="9"/>
      <c r="G450" s="191">
        <f>Input!J19</f>
        <v>468.57214388000489</v>
      </c>
      <c r="H450" s="357">
        <f t="shared" si="4"/>
        <v>488.33356293711495</v>
      </c>
      <c r="I450" s="109">
        <f t="shared" si="6"/>
        <v>531.76961313832896</v>
      </c>
      <c r="J450" s="109">
        <f t="shared" si="6"/>
        <v>564.17694092793636</v>
      </c>
      <c r="K450" s="109">
        <f t="shared" si="6"/>
        <v>599.33751711498178</v>
      </c>
      <c r="L450" s="109">
        <f t="shared" si="6"/>
        <v>619.9935477074647</v>
      </c>
      <c r="M450" s="109">
        <f t="shared" si="6"/>
        <v>642.84592071403563</v>
      </c>
      <c r="N450" s="109">
        <f>IF(Input!M$174&gt;0, M450+M482+M514, 0)</f>
        <v>0</v>
      </c>
      <c r="O450" s="109">
        <f>IF(Input!N$174&gt;0, N450+N482+N514, 0)</f>
        <v>0</v>
      </c>
      <c r="P450" s="109">
        <f>IF(Input!O$174&gt;0, O450+O482+O514, 0)</f>
        <v>0</v>
      </c>
      <c r="Q450" s="109">
        <f>IF(Input!P$174&gt;0, P450+P482+P514, 0)</f>
        <v>0</v>
      </c>
      <c r="R450" s="109">
        <f>IF(Input!Q$174&gt;0, Q450+Q482+Q514, 0)</f>
        <v>0</v>
      </c>
      <c r="S450" s="99"/>
      <c r="T450" s="99"/>
      <c r="U450" s="99"/>
      <c r="V450" s="99"/>
      <c r="W450" s="99"/>
      <c r="X450" s="99"/>
      <c r="Y450" s="99"/>
      <c r="Z450" s="99"/>
      <c r="AA450" s="99"/>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99"/>
      <c r="BE450" s="99"/>
      <c r="BF450" s="99"/>
      <c r="BG450" s="99"/>
      <c r="BH450" s="99"/>
      <c r="BI450" s="99"/>
      <c r="BJ450" s="99"/>
      <c r="BK450" s="11"/>
      <c r="BL450" s="11"/>
    </row>
    <row r="451" spans="1:64" ht="12.75" hidden="1" customHeight="1" outlineLevel="1">
      <c r="A451" s="9"/>
      <c r="B451" s="9"/>
      <c r="C451" s="44"/>
      <c r="D451" s="128" t="str">
        <f>Asset14</f>
        <v>Emergency Spares (Major Plant, Excludes Inventory)</v>
      </c>
      <c r="E451" s="9"/>
      <c r="F451" s="9"/>
      <c r="G451" s="191">
        <f>Input!J20</f>
        <v>56.525816504302178</v>
      </c>
      <c r="H451" s="357">
        <f t="shared" si="4"/>
        <v>39.386044523966696</v>
      </c>
      <c r="I451" s="109">
        <f t="shared" si="6"/>
        <v>40.102914741299628</v>
      </c>
      <c r="J451" s="109">
        <f t="shared" si="6"/>
        <v>41.243933170554548</v>
      </c>
      <c r="K451" s="109">
        <f t="shared" si="6"/>
        <v>42.64183009435375</v>
      </c>
      <c r="L451" s="109">
        <f t="shared" si="6"/>
        <v>43.393511813468521</v>
      </c>
      <c r="M451" s="109">
        <f t="shared" si="6"/>
        <v>44.456604530502268</v>
      </c>
      <c r="N451" s="109">
        <f>IF(Input!M$174&gt;0, M451+M483+M515, 0)</f>
        <v>0</v>
      </c>
      <c r="O451" s="109">
        <f>IF(Input!N$174&gt;0, N451+N483+N515, 0)</f>
        <v>0</v>
      </c>
      <c r="P451" s="109">
        <f>IF(Input!O$174&gt;0, O451+O483+O515, 0)</f>
        <v>0</v>
      </c>
      <c r="Q451" s="109">
        <f>IF(Input!P$174&gt;0, P451+P483+P515, 0)</f>
        <v>0</v>
      </c>
      <c r="R451" s="109">
        <f>IF(Input!Q$174&gt;0, Q451+Q483+Q515, 0)</f>
        <v>0</v>
      </c>
      <c r="S451" s="99"/>
      <c r="T451" s="99"/>
      <c r="U451" s="99"/>
      <c r="V451" s="99"/>
      <c r="W451" s="99"/>
      <c r="X451" s="99"/>
      <c r="Y451" s="99"/>
      <c r="Z451" s="99"/>
      <c r="AA451" s="99"/>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99"/>
      <c r="BE451" s="99"/>
      <c r="BF451" s="99"/>
      <c r="BG451" s="99"/>
      <c r="BH451" s="99"/>
      <c r="BI451" s="99"/>
      <c r="BJ451" s="99"/>
      <c r="BK451" s="11"/>
      <c r="BL451" s="11"/>
    </row>
    <row r="452" spans="1:64" ht="12.75" hidden="1" customHeight="1" outlineLevel="1">
      <c r="A452" s="9"/>
      <c r="B452" s="9"/>
      <c r="C452" s="44"/>
      <c r="D452" s="128" t="str">
        <f>Asset15</f>
        <v>Furniture, fittings, plant and equipment</v>
      </c>
      <c r="E452" s="9"/>
      <c r="F452" s="9"/>
      <c r="G452" s="191">
        <f>Input!J21</f>
        <v>24.814851213853935</v>
      </c>
      <c r="H452" s="357">
        <f t="shared" si="4"/>
        <v>27.900756588741036</v>
      </c>
      <c r="I452" s="109">
        <f t="shared" si="6"/>
        <v>33.705822761056702</v>
      </c>
      <c r="J452" s="109">
        <f t="shared" si="6"/>
        <v>39.024474094074009</v>
      </c>
      <c r="K452" s="109">
        <f t="shared" si="6"/>
        <v>44.455995425509279</v>
      </c>
      <c r="L452" s="109">
        <f t="shared" si="6"/>
        <v>46.06530334603621</v>
      </c>
      <c r="M452" s="109">
        <f t="shared" si="6"/>
        <v>47.340702820821427</v>
      </c>
      <c r="N452" s="109">
        <f>IF(Input!M$174&gt;0, M452+M484+M516, 0)</f>
        <v>0</v>
      </c>
      <c r="O452" s="109">
        <f>IF(Input!N$174&gt;0, N452+N484+N516, 0)</f>
        <v>0</v>
      </c>
      <c r="P452" s="109">
        <f>IF(Input!O$174&gt;0, O452+O484+O516, 0)</f>
        <v>0</v>
      </c>
      <c r="Q452" s="109">
        <f>IF(Input!P$174&gt;0, P452+P484+P516, 0)</f>
        <v>0</v>
      </c>
      <c r="R452" s="109">
        <f>IF(Input!Q$174&gt;0, Q452+Q484+Q516, 0)</f>
        <v>0</v>
      </c>
      <c r="S452" s="99"/>
      <c r="T452" s="99"/>
      <c r="U452" s="99"/>
      <c r="V452" s="99"/>
      <c r="W452" s="99"/>
      <c r="X452" s="99"/>
      <c r="Y452" s="99"/>
      <c r="Z452" s="99"/>
      <c r="AA452" s="99"/>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99"/>
      <c r="BE452" s="99"/>
      <c r="BF452" s="99"/>
      <c r="BG452" s="99"/>
      <c r="BH452" s="99"/>
      <c r="BI452" s="99"/>
      <c r="BJ452" s="99"/>
      <c r="BK452" s="11"/>
      <c r="BL452" s="11"/>
    </row>
    <row r="453" spans="1:64" ht="12.75" hidden="1" customHeight="1" outlineLevel="1">
      <c r="A453" s="9"/>
      <c r="B453" s="9"/>
      <c r="C453" s="44"/>
      <c r="D453" s="128" t="str">
        <f>Asset16</f>
        <v>Land (non-system)</v>
      </c>
      <c r="E453" s="9"/>
      <c r="F453" s="9"/>
      <c r="G453" s="191">
        <f>Input!J22</f>
        <v>23.529747046876647</v>
      </c>
      <c r="H453" s="357">
        <f t="shared" si="4"/>
        <v>47.023399261991891</v>
      </c>
      <c r="I453" s="109">
        <f t="shared" si="6"/>
        <v>67.354302103276254</v>
      </c>
      <c r="J453" s="109">
        <f t="shared" si="6"/>
        <v>75.771315844193296</v>
      </c>
      <c r="K453" s="109">
        <f t="shared" si="6"/>
        <v>86.70446377314893</v>
      </c>
      <c r="L453" s="109">
        <f t="shared" si="6"/>
        <v>88.116862330237211</v>
      </c>
      <c r="M453" s="109">
        <f t="shared" si="6"/>
        <v>33.581553741137604</v>
      </c>
      <c r="N453" s="109">
        <f>IF(Input!M$174&gt;0, M453+M485+M517, 0)</f>
        <v>0</v>
      </c>
      <c r="O453" s="109">
        <f>IF(Input!N$174&gt;0, N453+N485+N517, 0)</f>
        <v>0</v>
      </c>
      <c r="P453" s="109">
        <f>IF(Input!O$174&gt;0, O453+O485+O517, 0)</f>
        <v>0</v>
      </c>
      <c r="Q453" s="109">
        <f>IF(Input!P$174&gt;0, P453+P485+P517, 0)</f>
        <v>0</v>
      </c>
      <c r="R453" s="109">
        <f>IF(Input!Q$174&gt;0, Q453+Q485+Q517, 0)</f>
        <v>0</v>
      </c>
      <c r="S453" s="99"/>
      <c r="T453" s="99"/>
      <c r="U453" s="99"/>
      <c r="V453" s="99"/>
      <c r="W453" s="99"/>
      <c r="X453" s="99"/>
      <c r="Y453" s="99"/>
      <c r="Z453" s="99"/>
      <c r="AA453" s="99"/>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99"/>
      <c r="BE453" s="99"/>
      <c r="BF453" s="99"/>
      <c r="BG453" s="99"/>
      <c r="BH453" s="99"/>
      <c r="BI453" s="99"/>
      <c r="BJ453" s="99"/>
      <c r="BK453" s="11"/>
      <c r="BL453" s="11"/>
    </row>
    <row r="454" spans="1:64" ht="12.75" hidden="1" customHeight="1" outlineLevel="1">
      <c r="A454" s="9"/>
      <c r="B454" s="9"/>
      <c r="C454" s="44"/>
      <c r="D454" s="128" t="str">
        <f>Asset17</f>
        <v>Other non system assets</v>
      </c>
      <c r="E454" s="9"/>
      <c r="F454" s="9"/>
      <c r="G454" s="191">
        <f>Input!J23</f>
        <v>114.74511085977755</v>
      </c>
      <c r="H454" s="357">
        <f t="shared" si="4"/>
        <v>107.43776700440232</v>
      </c>
      <c r="I454" s="109">
        <f t="shared" si="6"/>
        <v>100.41835776738661</v>
      </c>
      <c r="J454" s="109">
        <f t="shared" si="6"/>
        <v>93.856755144376834</v>
      </c>
      <c r="K454" s="109">
        <f t="shared" si="6"/>
        <v>88.403466335110949</v>
      </c>
      <c r="L454" s="109">
        <f t="shared" si="6"/>
        <v>79.976334157283588</v>
      </c>
      <c r="M454" s="109">
        <f t="shared" si="6"/>
        <v>72.179427414729915</v>
      </c>
      <c r="N454" s="109">
        <f>IF(Input!M$174&gt;0, M454+M486+M518, 0)</f>
        <v>0</v>
      </c>
      <c r="O454" s="109">
        <f>IF(Input!N$174&gt;0, N454+N486+N518, 0)</f>
        <v>0</v>
      </c>
      <c r="P454" s="109">
        <f>IF(Input!O$174&gt;0, O454+O486+O518, 0)</f>
        <v>0</v>
      </c>
      <c r="Q454" s="109">
        <f>IF(Input!P$174&gt;0, P454+P486+P518, 0)</f>
        <v>0</v>
      </c>
      <c r="R454" s="109">
        <f>IF(Input!Q$174&gt;0, Q454+Q486+Q518, 0)</f>
        <v>0</v>
      </c>
      <c r="S454" s="99"/>
      <c r="T454" s="99"/>
      <c r="U454" s="99"/>
      <c r="V454" s="99"/>
      <c r="W454" s="99"/>
      <c r="X454" s="99"/>
      <c r="Y454" s="99"/>
      <c r="Z454" s="99"/>
      <c r="AA454" s="99"/>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99"/>
      <c r="BE454" s="99"/>
      <c r="BF454" s="99"/>
      <c r="BG454" s="99"/>
      <c r="BH454" s="99"/>
      <c r="BI454" s="99"/>
      <c r="BJ454" s="99"/>
      <c r="BK454" s="11"/>
      <c r="BL454" s="11"/>
    </row>
    <row r="455" spans="1:64" ht="12.75" hidden="1" customHeight="1" outlineLevel="1">
      <c r="A455" s="9"/>
      <c r="B455" s="9"/>
      <c r="C455" s="44"/>
      <c r="D455" s="128" t="str">
        <f>Asset18</f>
        <v>IT systems</v>
      </c>
      <c r="E455" s="9"/>
      <c r="F455" s="9"/>
      <c r="G455" s="191">
        <f>Input!J24</f>
        <v>99.917353135056416</v>
      </c>
      <c r="H455" s="357">
        <f t="shared" si="4"/>
        <v>118.3792196777346</v>
      </c>
      <c r="I455" s="109">
        <f t="shared" si="6"/>
        <v>137.13990115858607</v>
      </c>
      <c r="J455" s="109">
        <f t="shared" si="6"/>
        <v>153.85057468522552</v>
      </c>
      <c r="K455" s="109">
        <f t="shared" si="6"/>
        <v>141.38341250829478</v>
      </c>
      <c r="L455" s="109">
        <f t="shared" si="6"/>
        <v>109.48853114136718</v>
      </c>
      <c r="M455" s="109">
        <f t="shared" si="6"/>
        <v>99.259902806721442</v>
      </c>
      <c r="N455" s="109">
        <f>IF(Input!M$174&gt;0, M455+M487+M519, 0)</f>
        <v>0</v>
      </c>
      <c r="O455" s="109">
        <f>IF(Input!N$174&gt;0, N455+N487+N519, 0)</f>
        <v>0</v>
      </c>
      <c r="P455" s="109">
        <f>IF(Input!O$174&gt;0, O455+O487+O519, 0)</f>
        <v>0</v>
      </c>
      <c r="Q455" s="109">
        <f>IF(Input!P$174&gt;0, P455+P487+P519, 0)</f>
        <v>0</v>
      </c>
      <c r="R455" s="109">
        <f>IF(Input!Q$174&gt;0, Q455+Q487+Q519, 0)</f>
        <v>0</v>
      </c>
      <c r="S455" s="99"/>
      <c r="T455" s="99"/>
      <c r="U455" s="99"/>
      <c r="V455" s="99"/>
      <c r="W455" s="99"/>
      <c r="X455" s="99"/>
      <c r="Y455" s="99"/>
      <c r="Z455" s="99"/>
      <c r="AA455" s="99"/>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99"/>
      <c r="BE455" s="99"/>
      <c r="BF455" s="99"/>
      <c r="BG455" s="99"/>
      <c r="BH455" s="99"/>
      <c r="BI455" s="99"/>
      <c r="BJ455" s="99"/>
      <c r="BK455" s="11"/>
      <c r="BL455" s="11"/>
    </row>
    <row r="456" spans="1:64" ht="12.75" hidden="1" customHeight="1" outlineLevel="1">
      <c r="A456" s="9"/>
      <c r="B456" s="9"/>
      <c r="C456" s="44"/>
      <c r="D456" s="128" t="str">
        <f>Asset19</f>
        <v>Motor vehicles</v>
      </c>
      <c r="E456" s="9"/>
      <c r="F456" s="9"/>
      <c r="G456" s="191">
        <f>Input!J25</f>
        <v>74.944727351411942</v>
      </c>
      <c r="H456" s="357">
        <f t="shared" si="4"/>
        <v>91.050915161738018</v>
      </c>
      <c r="I456" s="109">
        <f t="shared" si="6"/>
        <v>105.44431320433179</v>
      </c>
      <c r="J456" s="109">
        <f t="shared" si="6"/>
        <v>120.35497157409276</v>
      </c>
      <c r="K456" s="109">
        <f t="shared" si="6"/>
        <v>135.81893233907178</v>
      </c>
      <c r="L456" s="109">
        <f t="shared" si="6"/>
        <v>129.74762932029066</v>
      </c>
      <c r="M456" s="109">
        <f t="shared" si="6"/>
        <v>118.15423805650553</v>
      </c>
      <c r="N456" s="109">
        <f>IF(Input!M$174&gt;0, M456+M488+M520, 0)</f>
        <v>0</v>
      </c>
      <c r="O456" s="109">
        <f>IF(Input!N$174&gt;0, N456+N488+N520, 0)</f>
        <v>0</v>
      </c>
      <c r="P456" s="109">
        <f>IF(Input!O$174&gt;0, O456+O488+O520, 0)</f>
        <v>0</v>
      </c>
      <c r="Q456" s="109">
        <f>IF(Input!P$174&gt;0, P456+P488+P520, 0)</f>
        <v>0</v>
      </c>
      <c r="R456" s="109">
        <f>IF(Input!Q$174&gt;0, Q456+Q488+Q520, 0)</f>
        <v>0</v>
      </c>
      <c r="S456" s="99"/>
      <c r="T456" s="99"/>
      <c r="U456" s="99"/>
      <c r="V456" s="99"/>
      <c r="W456" s="99"/>
      <c r="X456" s="99"/>
      <c r="Y456" s="99"/>
      <c r="Z456" s="99"/>
      <c r="AA456" s="99"/>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99"/>
      <c r="BE456" s="99"/>
      <c r="BF456" s="99"/>
      <c r="BG456" s="99"/>
      <c r="BH456" s="99"/>
      <c r="BI456" s="99"/>
      <c r="BJ456" s="99"/>
      <c r="BK456" s="11"/>
      <c r="BL456" s="11"/>
    </row>
    <row r="457" spans="1:64" ht="12.75" hidden="1" customHeight="1" outlineLevel="1">
      <c r="A457" s="9"/>
      <c r="B457" s="9"/>
      <c r="C457" s="44"/>
      <c r="D457" s="128" t="str">
        <f>Asset20</f>
        <v>Buildings</v>
      </c>
      <c r="E457" s="9"/>
      <c r="F457" s="9"/>
      <c r="G457" s="191">
        <f>Input!J26</f>
        <v>62.901796243165677</v>
      </c>
      <c r="H457" s="357">
        <f t="shared" si="4"/>
        <v>124.2967032107457</v>
      </c>
      <c r="I457" s="109">
        <f t="shared" si="6"/>
        <v>188.26931210716614</v>
      </c>
      <c r="J457" s="109">
        <f t="shared" si="6"/>
        <v>231.25287868519163</v>
      </c>
      <c r="K457" s="109">
        <f t="shared" si="6"/>
        <v>262.92542589190612</v>
      </c>
      <c r="L457" s="109">
        <f t="shared" si="6"/>
        <v>277.88669928501963</v>
      </c>
      <c r="M457" s="109">
        <f t="shared" si="6"/>
        <v>236.66602235833165</v>
      </c>
      <c r="N457" s="109">
        <f>IF(Input!M$174&gt;0, M457+M489+M521, 0)</f>
        <v>0</v>
      </c>
      <c r="O457" s="109">
        <f>IF(Input!N$174&gt;0, N457+N489+N521, 0)</f>
        <v>0</v>
      </c>
      <c r="P457" s="109">
        <f>IF(Input!O$174&gt;0, O457+O489+O521, 0)</f>
        <v>0</v>
      </c>
      <c r="Q457" s="109">
        <f>IF(Input!P$174&gt;0, P457+P489+P521, 0)</f>
        <v>0</v>
      </c>
      <c r="R457" s="109">
        <f>IF(Input!Q$174&gt;0, Q457+Q489+Q521, 0)</f>
        <v>0</v>
      </c>
      <c r="S457" s="99"/>
      <c r="T457" s="99"/>
      <c r="U457" s="99"/>
      <c r="V457" s="99"/>
      <c r="W457" s="99"/>
      <c r="X457" s="99"/>
      <c r="Y457" s="99"/>
      <c r="Z457" s="99"/>
      <c r="AA457" s="99"/>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99"/>
      <c r="BE457" s="99"/>
      <c r="BF457" s="99"/>
      <c r="BG457" s="99"/>
      <c r="BH457" s="99"/>
      <c r="BI457" s="99"/>
      <c r="BJ457" s="99"/>
      <c r="BK457" s="11"/>
      <c r="BL457" s="11"/>
    </row>
    <row r="458" spans="1:64" ht="12" hidden="1" customHeight="1" outlineLevel="1">
      <c r="A458" s="9"/>
      <c r="B458" s="9"/>
      <c r="C458" s="44"/>
      <c r="D458" s="128" t="str">
        <f>Asset21</f>
        <v>Equity raising costs</v>
      </c>
      <c r="E458" s="9"/>
      <c r="F458" s="9"/>
      <c r="G458" s="191">
        <f>Input!J27</f>
        <v>0</v>
      </c>
      <c r="H458" s="357">
        <f t="shared" si="4"/>
        <v>0</v>
      </c>
      <c r="I458" s="109">
        <f t="shared" ref="I458:M465" si="7">H458+H490+H522</f>
        <v>26.994350537996358</v>
      </c>
      <c r="J458" s="109">
        <f t="shared" si="7"/>
        <v>27.182878312810391</v>
      </c>
      <c r="K458" s="109">
        <f t="shared" si="7"/>
        <v>27.508187208372213</v>
      </c>
      <c r="L458" s="109">
        <f t="shared" si="7"/>
        <v>27.376884092769291</v>
      </c>
      <c r="M458" s="109">
        <f t="shared" si="7"/>
        <v>27.420512822989309</v>
      </c>
      <c r="N458" s="109">
        <f>IF(Input!M$174&gt;0, M458+M490+M522, 0)</f>
        <v>0</v>
      </c>
      <c r="O458" s="109">
        <f>IF(Input!N$174&gt;0, N458+N490+N522, 0)</f>
        <v>0</v>
      </c>
      <c r="P458" s="109">
        <f>IF(Input!O$174&gt;0, O458+O490+O522, 0)</f>
        <v>0</v>
      </c>
      <c r="Q458" s="109">
        <f>IF(Input!P$174&gt;0, P458+P490+P522, 0)</f>
        <v>0</v>
      </c>
      <c r="R458" s="109">
        <f>IF(Input!Q$174&gt;0, Q458+Q490+Q522, 0)</f>
        <v>0</v>
      </c>
      <c r="S458" s="99"/>
      <c r="T458" s="99"/>
      <c r="U458" s="99"/>
      <c r="V458" s="99"/>
      <c r="W458" s="99"/>
      <c r="X458" s="99"/>
      <c r="Y458" s="99"/>
      <c r="Z458" s="99"/>
      <c r="AA458" s="99"/>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99"/>
      <c r="BE458" s="99"/>
      <c r="BF458" s="99"/>
      <c r="BG458" s="99"/>
      <c r="BH458" s="99"/>
      <c r="BI458" s="99"/>
      <c r="BJ458" s="99"/>
      <c r="BK458" s="11"/>
      <c r="BL458" s="11"/>
    </row>
    <row r="459" spans="1:64" ht="12.75" hidden="1" customHeight="1" outlineLevel="1">
      <c r="A459" s="9"/>
      <c r="B459" s="9"/>
      <c r="C459" s="44"/>
      <c r="D459" s="128" t="s">
        <v>151</v>
      </c>
      <c r="E459" s="9"/>
      <c r="F459" s="9"/>
      <c r="G459" s="191">
        <f>Input!J28</f>
        <v>256.95474748429052</v>
      </c>
      <c r="H459" s="357">
        <f t="shared" si="4"/>
        <v>0</v>
      </c>
      <c r="I459" s="109">
        <f t="shared" si="7"/>
        <v>0</v>
      </c>
      <c r="J459" s="109">
        <f t="shared" si="7"/>
        <v>0</v>
      </c>
      <c r="K459" s="109">
        <f t="shared" si="7"/>
        <v>0</v>
      </c>
      <c r="L459" s="109">
        <f t="shared" si="7"/>
        <v>0</v>
      </c>
      <c r="M459" s="109">
        <f t="shared" si="7"/>
        <v>0</v>
      </c>
      <c r="N459" s="109">
        <f>IF(Input!M$174&gt;0, M459+M491+M523, 0)</f>
        <v>0</v>
      </c>
      <c r="O459" s="109">
        <f>IF(Input!N$174&gt;0, N459+N491+N523, 0)</f>
        <v>0</v>
      </c>
      <c r="P459" s="109">
        <f>IF(Input!O$174&gt;0, O459+O491+O523, 0)</f>
        <v>0</v>
      </c>
      <c r="Q459" s="109">
        <f>IF(Input!P$174&gt;0, P459+P491+P523, 0)</f>
        <v>0</v>
      </c>
      <c r="R459" s="109">
        <f>IF(Input!Q$174&gt;0, Q459+Q491+Q523, 0)</f>
        <v>0</v>
      </c>
      <c r="S459" s="99"/>
      <c r="T459" s="99"/>
      <c r="U459" s="99"/>
      <c r="V459" s="99"/>
      <c r="W459" s="99"/>
      <c r="X459" s="99"/>
      <c r="Y459" s="99"/>
      <c r="Z459" s="99"/>
      <c r="AA459" s="99"/>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99"/>
      <c r="BE459" s="99"/>
      <c r="BF459" s="99"/>
      <c r="BG459" s="99"/>
      <c r="BH459" s="99"/>
      <c r="BI459" s="99"/>
      <c r="BJ459" s="99"/>
      <c r="BK459" s="11"/>
      <c r="BL459" s="11"/>
    </row>
    <row r="460" spans="1:64" ht="4.5" hidden="1" customHeight="1" outlineLevel="1">
      <c r="A460" s="9"/>
      <c r="B460" s="9"/>
      <c r="C460" s="44"/>
      <c r="D460" s="128">
        <f>Asset23</f>
        <v>0</v>
      </c>
      <c r="E460" s="9"/>
      <c r="F460" s="9"/>
      <c r="G460" s="191">
        <f>Input!J30</f>
        <v>0</v>
      </c>
      <c r="H460" s="109">
        <f t="shared" ref="H460:H467" si="8">G460+G492+G524+G556+G588+G620</f>
        <v>0</v>
      </c>
      <c r="I460" s="109">
        <f t="shared" si="7"/>
        <v>0</v>
      </c>
      <c r="J460" s="109">
        <f t="shared" si="7"/>
        <v>0</v>
      </c>
      <c r="K460" s="109">
        <f t="shared" si="7"/>
        <v>0</v>
      </c>
      <c r="L460" s="109">
        <f t="shared" si="7"/>
        <v>0</v>
      </c>
      <c r="M460" s="109">
        <f t="shared" si="7"/>
        <v>0</v>
      </c>
      <c r="N460" s="109">
        <f>IF(Input!M$174&gt;0, M460+M492+M524, 0)</f>
        <v>0</v>
      </c>
      <c r="O460" s="109">
        <f>IF(Input!N$174&gt;0, N460+N492+N524, 0)</f>
        <v>0</v>
      </c>
      <c r="P460" s="109">
        <f>IF(Input!O$174&gt;0, O460+O492+O524, 0)</f>
        <v>0</v>
      </c>
      <c r="Q460" s="109">
        <f>IF(Input!P$174&gt;0, P460+P492+P524, 0)</f>
        <v>0</v>
      </c>
      <c r="R460" s="109">
        <f>IF(Input!Q$174&gt;0, Q460+Q492+Q524, 0)</f>
        <v>0</v>
      </c>
      <c r="S460" s="99"/>
      <c r="T460" s="99"/>
      <c r="U460" s="99"/>
      <c r="V460" s="99"/>
      <c r="W460" s="99"/>
      <c r="X460" s="99"/>
      <c r="Y460" s="99"/>
      <c r="Z460" s="99"/>
      <c r="AA460" s="99"/>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99"/>
      <c r="BE460" s="99"/>
      <c r="BF460" s="99"/>
      <c r="BG460" s="99"/>
      <c r="BH460" s="99"/>
      <c r="BI460" s="99"/>
      <c r="BJ460" s="99"/>
      <c r="BK460" s="11"/>
      <c r="BL460" s="11"/>
    </row>
    <row r="461" spans="1:64" ht="4.5" hidden="1" customHeight="1" outlineLevel="1">
      <c r="A461" s="9"/>
      <c r="B461" s="9"/>
      <c r="C461" s="44"/>
      <c r="D461" s="128">
        <f>Asset24</f>
        <v>0</v>
      </c>
      <c r="E461" s="9"/>
      <c r="F461" s="9"/>
      <c r="G461" s="191">
        <f>Input!J31</f>
        <v>0</v>
      </c>
      <c r="H461" s="109">
        <f t="shared" si="8"/>
        <v>0</v>
      </c>
      <c r="I461" s="109">
        <f t="shared" si="7"/>
        <v>0</v>
      </c>
      <c r="J461" s="109">
        <f t="shared" si="7"/>
        <v>0</v>
      </c>
      <c r="K461" s="109">
        <f t="shared" si="7"/>
        <v>0</v>
      </c>
      <c r="L461" s="109">
        <f t="shared" si="7"/>
        <v>0</v>
      </c>
      <c r="M461" s="109">
        <f t="shared" si="7"/>
        <v>0</v>
      </c>
      <c r="N461" s="109">
        <f>IF(Input!M$174&gt;0, M461+M493+M525, 0)</f>
        <v>0</v>
      </c>
      <c r="O461" s="109">
        <f>IF(Input!N$174&gt;0, N461+N493+N525, 0)</f>
        <v>0</v>
      </c>
      <c r="P461" s="109">
        <f>IF(Input!O$174&gt;0, O461+O493+O525, 0)</f>
        <v>0</v>
      </c>
      <c r="Q461" s="109">
        <f>IF(Input!P$174&gt;0, P461+P493+P525, 0)</f>
        <v>0</v>
      </c>
      <c r="R461" s="109">
        <f>IF(Input!Q$174&gt;0, Q461+Q493+Q525, 0)</f>
        <v>0</v>
      </c>
      <c r="S461" s="99"/>
      <c r="T461" s="99"/>
      <c r="U461" s="99"/>
      <c r="V461" s="99"/>
      <c r="W461" s="99"/>
      <c r="X461" s="99"/>
      <c r="Y461" s="99"/>
      <c r="Z461" s="99"/>
      <c r="AA461" s="99"/>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99"/>
      <c r="BE461" s="99"/>
      <c r="BF461" s="99"/>
      <c r="BG461" s="99"/>
      <c r="BH461" s="99"/>
      <c r="BI461" s="99"/>
      <c r="BJ461" s="99"/>
      <c r="BK461" s="11"/>
      <c r="BL461" s="11"/>
    </row>
    <row r="462" spans="1:64" ht="4.5" hidden="1" customHeight="1" outlineLevel="1">
      <c r="A462" s="9"/>
      <c r="B462" s="9"/>
      <c r="C462" s="44"/>
      <c r="D462" s="128">
        <f>Asset25</f>
        <v>0</v>
      </c>
      <c r="E462" s="9"/>
      <c r="F462" s="9"/>
      <c r="G462" s="191">
        <f>Input!J32</f>
        <v>0</v>
      </c>
      <c r="H462" s="109">
        <f t="shared" si="8"/>
        <v>0</v>
      </c>
      <c r="I462" s="109">
        <f t="shared" si="7"/>
        <v>0</v>
      </c>
      <c r="J462" s="109">
        <f t="shared" si="7"/>
        <v>0</v>
      </c>
      <c r="K462" s="109">
        <f t="shared" si="7"/>
        <v>0</v>
      </c>
      <c r="L462" s="109">
        <f t="shared" si="7"/>
        <v>0</v>
      </c>
      <c r="M462" s="109">
        <f t="shared" si="7"/>
        <v>0</v>
      </c>
      <c r="N462" s="109">
        <f>IF(Input!M$174&gt;0, M462+M494+M526, 0)</f>
        <v>0</v>
      </c>
      <c r="O462" s="109">
        <f>IF(Input!N$174&gt;0, N462+N494+N526, 0)</f>
        <v>0</v>
      </c>
      <c r="P462" s="109">
        <f>IF(Input!O$174&gt;0, O462+O494+O526, 0)</f>
        <v>0</v>
      </c>
      <c r="Q462" s="109">
        <f>IF(Input!P$174&gt;0, P462+P494+P526, 0)</f>
        <v>0</v>
      </c>
      <c r="R462" s="109">
        <f>IF(Input!Q$174&gt;0, Q462+Q494+Q526, 0)</f>
        <v>0</v>
      </c>
      <c r="S462" s="99"/>
      <c r="T462" s="99"/>
      <c r="U462" s="99"/>
      <c r="V462" s="99"/>
      <c r="W462" s="99"/>
      <c r="X462" s="99"/>
      <c r="Y462" s="99"/>
      <c r="Z462" s="99"/>
      <c r="AA462" s="99"/>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99"/>
      <c r="BE462" s="99"/>
      <c r="BF462" s="99"/>
      <c r="BG462" s="99"/>
      <c r="BH462" s="99"/>
      <c r="BI462" s="99"/>
      <c r="BJ462" s="99"/>
      <c r="BK462" s="11"/>
      <c r="BL462" s="11"/>
    </row>
    <row r="463" spans="1:64" ht="4.5" hidden="1" customHeight="1" outlineLevel="1">
      <c r="A463" s="9"/>
      <c r="B463" s="9"/>
      <c r="C463" s="44"/>
      <c r="D463" s="128">
        <f>Asset26</f>
        <v>0</v>
      </c>
      <c r="E463" s="9"/>
      <c r="F463" s="9"/>
      <c r="G463" s="191">
        <f>Input!J33</f>
        <v>0</v>
      </c>
      <c r="H463" s="109">
        <f t="shared" si="8"/>
        <v>0</v>
      </c>
      <c r="I463" s="109">
        <f t="shared" si="7"/>
        <v>0</v>
      </c>
      <c r="J463" s="109">
        <f t="shared" si="7"/>
        <v>0</v>
      </c>
      <c r="K463" s="109">
        <f t="shared" si="7"/>
        <v>0</v>
      </c>
      <c r="L463" s="109">
        <f t="shared" si="7"/>
        <v>0</v>
      </c>
      <c r="M463" s="109">
        <f t="shared" si="7"/>
        <v>0</v>
      </c>
      <c r="N463" s="109">
        <f>IF(Input!M$174&gt;0, M463+M495+M527, 0)</f>
        <v>0</v>
      </c>
      <c r="O463" s="109">
        <f>IF(Input!N$174&gt;0, N463+N495+N527, 0)</f>
        <v>0</v>
      </c>
      <c r="P463" s="109">
        <f>IF(Input!O$174&gt;0, O463+O495+O527, 0)</f>
        <v>0</v>
      </c>
      <c r="Q463" s="109">
        <f>IF(Input!P$174&gt;0, P463+P495+P527, 0)</f>
        <v>0</v>
      </c>
      <c r="R463" s="109">
        <f>IF(Input!Q$174&gt;0, Q463+Q495+Q527, 0)</f>
        <v>0</v>
      </c>
      <c r="S463" s="99"/>
      <c r="T463" s="99"/>
      <c r="U463" s="99"/>
      <c r="V463" s="99"/>
      <c r="W463" s="99"/>
      <c r="X463" s="99"/>
      <c r="Y463" s="99"/>
      <c r="Z463" s="99"/>
      <c r="AA463" s="99"/>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99"/>
      <c r="BE463" s="99"/>
      <c r="BF463" s="99"/>
      <c r="BG463" s="99"/>
      <c r="BH463" s="99"/>
      <c r="BI463" s="99"/>
      <c r="BJ463" s="99"/>
      <c r="BK463" s="11"/>
      <c r="BL463" s="11"/>
    </row>
    <row r="464" spans="1:64" ht="4.5" hidden="1" customHeight="1" outlineLevel="1">
      <c r="A464" s="9"/>
      <c r="B464" s="9"/>
      <c r="C464" s="44"/>
      <c r="D464" s="128">
        <f>Asset27</f>
        <v>0</v>
      </c>
      <c r="E464" s="9"/>
      <c r="F464" s="9"/>
      <c r="G464" s="191">
        <f>Input!J34</f>
        <v>0</v>
      </c>
      <c r="H464" s="109">
        <f t="shared" si="8"/>
        <v>0</v>
      </c>
      <c r="I464" s="109">
        <f t="shared" si="7"/>
        <v>0</v>
      </c>
      <c r="J464" s="109">
        <f t="shared" si="7"/>
        <v>0</v>
      </c>
      <c r="K464" s="109">
        <f t="shared" si="7"/>
        <v>0</v>
      </c>
      <c r="L464" s="109">
        <f t="shared" si="7"/>
        <v>0</v>
      </c>
      <c r="M464" s="109">
        <f t="shared" si="7"/>
        <v>0</v>
      </c>
      <c r="N464" s="109">
        <f>IF(Input!M$174&gt;0, M464+M496+M528, 0)</f>
        <v>0</v>
      </c>
      <c r="O464" s="109">
        <f>IF(Input!N$174&gt;0, N464+N496+N528, 0)</f>
        <v>0</v>
      </c>
      <c r="P464" s="109">
        <f>IF(Input!O$174&gt;0, O464+O496+O528, 0)</f>
        <v>0</v>
      </c>
      <c r="Q464" s="109">
        <f>IF(Input!P$174&gt;0, P464+P496+P528, 0)</f>
        <v>0</v>
      </c>
      <c r="R464" s="109">
        <f>IF(Input!Q$174&gt;0, Q464+Q496+Q528, 0)</f>
        <v>0</v>
      </c>
      <c r="S464" s="99"/>
      <c r="T464" s="99"/>
      <c r="U464" s="99"/>
      <c r="V464" s="99"/>
      <c r="W464" s="99"/>
      <c r="X464" s="99"/>
      <c r="Y464" s="99"/>
      <c r="Z464" s="99"/>
      <c r="AA464" s="99"/>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99"/>
      <c r="BE464" s="99"/>
      <c r="BF464" s="99"/>
      <c r="BG464" s="99"/>
      <c r="BH464" s="99"/>
      <c r="BI464" s="99"/>
      <c r="BJ464" s="99"/>
      <c r="BK464" s="11"/>
      <c r="BL464" s="11"/>
    </row>
    <row r="465" spans="1:64" ht="4.5" hidden="1" customHeight="1" outlineLevel="1">
      <c r="A465" s="9"/>
      <c r="B465" s="9"/>
      <c r="C465" s="44"/>
      <c r="D465" s="128">
        <f>Asset28</f>
        <v>0</v>
      </c>
      <c r="E465" s="9"/>
      <c r="F465" s="9"/>
      <c r="G465" s="191">
        <f>Input!J35</f>
        <v>0</v>
      </c>
      <c r="H465" s="109">
        <f t="shared" si="8"/>
        <v>0</v>
      </c>
      <c r="I465" s="109">
        <f t="shared" si="7"/>
        <v>0</v>
      </c>
      <c r="J465" s="109">
        <f t="shared" si="7"/>
        <v>0</v>
      </c>
      <c r="K465" s="109">
        <f t="shared" si="7"/>
        <v>0</v>
      </c>
      <c r="L465" s="109">
        <f t="shared" si="7"/>
        <v>0</v>
      </c>
      <c r="M465" s="109">
        <f t="shared" si="7"/>
        <v>0</v>
      </c>
      <c r="N465" s="109">
        <f>IF(Input!M$174&gt;0, M465+M497+M529, 0)</f>
        <v>0</v>
      </c>
      <c r="O465" s="109">
        <f>IF(Input!N$174&gt;0, N465+N497+N529, 0)</f>
        <v>0</v>
      </c>
      <c r="P465" s="109">
        <f>IF(Input!O$174&gt;0, O465+O497+O529, 0)</f>
        <v>0</v>
      </c>
      <c r="Q465" s="109">
        <f>IF(Input!P$174&gt;0, P465+P497+P529, 0)</f>
        <v>0</v>
      </c>
      <c r="R465" s="109">
        <f>IF(Input!Q$174&gt;0, Q465+Q497+Q529, 0)</f>
        <v>0</v>
      </c>
      <c r="S465" s="99"/>
      <c r="T465" s="99"/>
      <c r="U465" s="99"/>
      <c r="V465" s="99"/>
      <c r="W465" s="99"/>
      <c r="X465" s="99"/>
      <c r="Y465" s="99"/>
      <c r="Z465" s="99"/>
      <c r="AA465" s="99"/>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99"/>
      <c r="BE465" s="99"/>
      <c r="BF465" s="99"/>
      <c r="BG465" s="99"/>
      <c r="BH465" s="99"/>
      <c r="BI465" s="99"/>
      <c r="BJ465" s="99"/>
      <c r="BK465" s="11"/>
      <c r="BL465" s="11"/>
    </row>
    <row r="466" spans="1:64" ht="4.5" hidden="1" customHeight="1" outlineLevel="1">
      <c r="A466" s="9"/>
      <c r="B466" s="9"/>
      <c r="C466" s="44"/>
      <c r="D466" s="128">
        <f>Asset29</f>
        <v>0</v>
      </c>
      <c r="E466" s="9"/>
      <c r="F466" s="9"/>
      <c r="G466" s="191">
        <f>Input!J36</f>
        <v>0</v>
      </c>
      <c r="H466" s="109">
        <f t="shared" si="8"/>
        <v>0</v>
      </c>
      <c r="I466" s="109">
        <f t="shared" ref="I466:M467" si="9">H466+H498+H530</f>
        <v>0</v>
      </c>
      <c r="J466" s="109">
        <f t="shared" si="9"/>
        <v>0</v>
      </c>
      <c r="K466" s="109">
        <f t="shared" si="9"/>
        <v>0</v>
      </c>
      <c r="L466" s="109">
        <f t="shared" si="9"/>
        <v>0</v>
      </c>
      <c r="M466" s="109">
        <f t="shared" si="9"/>
        <v>0</v>
      </c>
      <c r="N466" s="109">
        <f>IF(Input!M$174&gt;0, M466+M498+M530, 0)</f>
        <v>0</v>
      </c>
      <c r="O466" s="109">
        <f>IF(Input!N$174&gt;0, N466+N498+N530, 0)</f>
        <v>0</v>
      </c>
      <c r="P466" s="109">
        <f>IF(Input!O$174&gt;0, O466+O498+O530, 0)</f>
        <v>0</v>
      </c>
      <c r="Q466" s="109">
        <f>IF(Input!P$174&gt;0, P466+P498+P530, 0)</f>
        <v>0</v>
      </c>
      <c r="R466" s="109">
        <f>IF(Input!Q$174&gt;0, Q466+Q498+Q530, 0)</f>
        <v>0</v>
      </c>
      <c r="S466" s="99"/>
      <c r="T466" s="99"/>
      <c r="U466" s="99"/>
      <c r="V466" s="99"/>
      <c r="W466" s="99"/>
      <c r="X466" s="99"/>
      <c r="Y466" s="99"/>
      <c r="Z466" s="99"/>
      <c r="AA466" s="99"/>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99"/>
      <c r="BE466" s="99"/>
      <c r="BF466" s="99"/>
      <c r="BG466" s="99"/>
      <c r="BH466" s="99"/>
      <c r="BI466" s="99"/>
      <c r="BJ466" s="99"/>
      <c r="BK466" s="11"/>
      <c r="BL466" s="11"/>
    </row>
    <row r="467" spans="1:64" ht="4.5" hidden="1" customHeight="1" outlineLevel="1">
      <c r="A467" s="9"/>
      <c r="B467" s="9"/>
      <c r="C467" s="44"/>
      <c r="D467" s="128">
        <f>Asset30</f>
        <v>0</v>
      </c>
      <c r="E467" s="9"/>
      <c r="F467" s="9"/>
      <c r="G467" s="191">
        <f>Input!J37</f>
        <v>0</v>
      </c>
      <c r="H467" s="109">
        <f t="shared" si="8"/>
        <v>0</v>
      </c>
      <c r="I467" s="109">
        <f t="shared" si="9"/>
        <v>0</v>
      </c>
      <c r="J467" s="109">
        <f t="shared" si="9"/>
        <v>0</v>
      </c>
      <c r="K467" s="109">
        <f t="shared" si="9"/>
        <v>0</v>
      </c>
      <c r="L467" s="109">
        <f t="shared" si="9"/>
        <v>0</v>
      </c>
      <c r="M467" s="109">
        <f t="shared" si="9"/>
        <v>0</v>
      </c>
      <c r="N467" s="109">
        <f>IF(Input!M$174&gt;0, M467+M499+M531, 0)</f>
        <v>0</v>
      </c>
      <c r="O467" s="109">
        <f>IF(Input!N$174&gt;0, N467+N499+N531, 0)</f>
        <v>0</v>
      </c>
      <c r="P467" s="109">
        <f>IF(Input!O$174&gt;0, O467+O499+O531, 0)</f>
        <v>0</v>
      </c>
      <c r="Q467" s="109">
        <f>IF(Input!P$174&gt;0, P467+P499+P531, 0)</f>
        <v>0</v>
      </c>
      <c r="R467" s="109">
        <f>IF(Input!Q$174&gt;0, Q467+Q499+Q531, 0)</f>
        <v>0</v>
      </c>
      <c r="S467" s="99"/>
      <c r="T467" s="99"/>
      <c r="U467" s="99"/>
      <c r="V467" s="99"/>
      <c r="W467" s="99"/>
      <c r="X467" s="99"/>
      <c r="Y467" s="99"/>
      <c r="Z467" s="99"/>
      <c r="AA467" s="99"/>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99"/>
      <c r="BE467" s="99"/>
      <c r="BF467" s="99"/>
      <c r="BG467" s="99"/>
      <c r="BH467" s="99"/>
      <c r="BI467" s="99"/>
      <c r="BJ467" s="99"/>
      <c r="BK467" s="11"/>
      <c r="BL467" s="11"/>
    </row>
    <row r="468" spans="1:64" collapsed="1">
      <c r="A468" s="9"/>
      <c r="B468" s="9"/>
      <c r="C468" s="44"/>
      <c r="D468" s="112"/>
      <c r="E468" s="9"/>
      <c r="F468" s="9"/>
      <c r="G468" s="199"/>
      <c r="H468" s="36"/>
      <c r="I468" s="36"/>
      <c r="J468" s="36"/>
      <c r="K468" s="36"/>
      <c r="L468" s="36"/>
      <c r="M468" s="36"/>
      <c r="N468" s="28"/>
      <c r="O468" s="28"/>
      <c r="P468" s="28"/>
      <c r="Q468" s="28"/>
      <c r="R468" s="28"/>
      <c r="S468" s="99"/>
      <c r="T468" s="99"/>
      <c r="U468" s="99"/>
      <c r="V468" s="99"/>
      <c r="W468" s="99"/>
      <c r="X468" s="99"/>
      <c r="Y468" s="99"/>
      <c r="Z468" s="99"/>
      <c r="AA468" s="99"/>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99"/>
      <c r="BE468" s="99"/>
      <c r="BF468" s="99"/>
      <c r="BG468" s="99"/>
      <c r="BH468" s="99"/>
      <c r="BI468" s="99"/>
      <c r="BJ468" s="99"/>
      <c r="BK468" s="11"/>
      <c r="BL468" s="11"/>
    </row>
    <row r="469" spans="1:64">
      <c r="A469" s="9"/>
      <c r="B469" s="9"/>
      <c r="C469" s="44" t="s">
        <v>36</v>
      </c>
      <c r="D469" s="9"/>
      <c r="E469" s="9"/>
      <c r="F469" s="9"/>
      <c r="G469" s="192">
        <f>SUM(G470:G499)</f>
        <v>934.27028086116718</v>
      </c>
      <c r="H469" s="36">
        <f>SUM(H470:H499)</f>
        <v>1129.1747621531501</v>
      </c>
      <c r="I469" s="36">
        <f t="shared" ref="I469:Q469" si="10">SUM(I470:I499)</f>
        <v>1304.6736646960683</v>
      </c>
      <c r="J469" s="36">
        <f t="shared" si="10"/>
        <v>1390.9445004263339</v>
      </c>
      <c r="K469" s="36">
        <f t="shared" si="10"/>
        <v>1049.1969906361933</v>
      </c>
      <c r="L469" s="36">
        <f t="shared" si="10"/>
        <v>605.3911579081597</v>
      </c>
      <c r="M469" s="36">
        <f t="shared" si="10"/>
        <v>0</v>
      </c>
      <c r="N469" s="36">
        <f t="shared" si="10"/>
        <v>0</v>
      </c>
      <c r="O469" s="36">
        <f t="shared" si="10"/>
        <v>0</v>
      </c>
      <c r="P469" s="36">
        <f t="shared" si="10"/>
        <v>0</v>
      </c>
      <c r="Q469" s="36">
        <f t="shared" si="10"/>
        <v>0</v>
      </c>
      <c r="R469" s="28"/>
      <c r="S469" s="99"/>
      <c r="T469" s="99"/>
      <c r="U469" s="99"/>
      <c r="V469" s="99"/>
      <c r="W469" s="99"/>
      <c r="X469" s="99"/>
      <c r="Y469" s="99"/>
      <c r="Z469" s="99"/>
      <c r="AA469" s="99"/>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99"/>
      <c r="BE469" s="99"/>
      <c r="BF469" s="99"/>
      <c r="BG469" s="99"/>
      <c r="BH469" s="99"/>
      <c r="BI469" s="99"/>
      <c r="BJ469" s="99"/>
      <c r="BK469" s="11"/>
      <c r="BL469" s="11"/>
    </row>
    <row r="470" spans="1:64" ht="12.75" hidden="1" customHeight="1" outlineLevel="1">
      <c r="A470" s="9"/>
      <c r="B470" s="9"/>
      <c r="C470" s="44"/>
      <c r="D470" s="128" t="str">
        <f>Asset1</f>
        <v>Sub-transmission lines and cables</v>
      </c>
      <c r="E470" s="9"/>
      <c r="F470" s="9"/>
      <c r="G470" s="200">
        <f>'Adjustment for previous period'!G366</f>
        <v>0</v>
      </c>
      <c r="H470" s="109">
        <f t="shared" ref="H470:Q470" si="11">H12*H$7</f>
        <v>118.2817585823714</v>
      </c>
      <c r="I470" s="109">
        <f t="shared" si="11"/>
        <v>124.17560934837782</v>
      </c>
      <c r="J470" s="109">
        <f t="shared" si="11"/>
        <v>132.45141076630887</v>
      </c>
      <c r="K470" s="109">
        <f t="shared" si="11"/>
        <v>100.51994555141997</v>
      </c>
      <c r="L470" s="109">
        <f t="shared" si="11"/>
        <v>56.536441197346747</v>
      </c>
      <c r="M470" s="109">
        <f t="shared" si="11"/>
        <v>0</v>
      </c>
      <c r="N470" s="109">
        <f t="shared" si="11"/>
        <v>0</v>
      </c>
      <c r="O470" s="109">
        <f t="shared" si="11"/>
        <v>0</v>
      </c>
      <c r="P470" s="109">
        <f t="shared" si="11"/>
        <v>0</v>
      </c>
      <c r="Q470" s="109">
        <f t="shared" si="11"/>
        <v>0</v>
      </c>
      <c r="R470" s="28"/>
      <c r="S470" s="99"/>
      <c r="T470" s="99"/>
      <c r="U470" s="99"/>
      <c r="V470" s="99"/>
      <c r="W470" s="99"/>
      <c r="X470" s="99"/>
      <c r="Y470" s="99"/>
      <c r="Z470" s="99"/>
      <c r="AA470" s="99"/>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99"/>
      <c r="BE470" s="99"/>
      <c r="BF470" s="99"/>
      <c r="BG470" s="99"/>
      <c r="BH470" s="99"/>
      <c r="BI470" s="99"/>
      <c r="BJ470" s="99"/>
      <c r="BK470" s="11"/>
      <c r="BL470" s="11"/>
    </row>
    <row r="471" spans="1:64" ht="12.75" hidden="1" customHeight="1" outlineLevel="1">
      <c r="A471" s="9"/>
      <c r="B471" s="9"/>
      <c r="C471" s="44"/>
      <c r="D471" s="128" t="str">
        <f>Asset2</f>
        <v>Cable tunnel (dx)</v>
      </c>
      <c r="E471" s="9"/>
      <c r="F471" s="9"/>
      <c r="G471" s="194">
        <f>'Adjustment for previous period'!G367</f>
        <v>29.58704874813581</v>
      </c>
      <c r="H471" s="109">
        <f t="shared" ref="H471:L489" si="12">H13*H$7</f>
        <v>1.0861272135531035</v>
      </c>
      <c r="I471" s="109">
        <f t="shared" si="12"/>
        <v>0.25042458617489571</v>
      </c>
      <c r="J471" s="109">
        <f t="shared" si="12"/>
        <v>4.1937685183568774E-2</v>
      </c>
      <c r="K471" s="109">
        <f t="shared" si="12"/>
        <v>59.495831912462961</v>
      </c>
      <c r="L471" s="109">
        <f t="shared" si="12"/>
        <v>46.687226561349341</v>
      </c>
      <c r="M471" s="109">
        <f t="shared" ref="M471:Q480" si="13">M13*M$7</f>
        <v>0</v>
      </c>
      <c r="N471" s="109">
        <f t="shared" si="13"/>
        <v>0</v>
      </c>
      <c r="O471" s="109">
        <f t="shared" si="13"/>
        <v>0</v>
      </c>
      <c r="P471" s="109">
        <f t="shared" si="13"/>
        <v>0</v>
      </c>
      <c r="Q471" s="109">
        <f t="shared" si="13"/>
        <v>0</v>
      </c>
      <c r="R471" s="28"/>
      <c r="S471" s="99"/>
      <c r="T471" s="99"/>
      <c r="U471" s="99"/>
      <c r="V471" s="99"/>
      <c r="W471" s="99"/>
      <c r="X471" s="99"/>
      <c r="Y471" s="99"/>
      <c r="Z471" s="99"/>
      <c r="AA471" s="99"/>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99"/>
      <c r="BE471" s="99"/>
      <c r="BF471" s="99"/>
      <c r="BG471" s="99"/>
      <c r="BH471" s="99"/>
      <c r="BI471" s="99"/>
      <c r="BJ471" s="99"/>
      <c r="BK471" s="11"/>
      <c r="BL471" s="11"/>
    </row>
    <row r="472" spans="1:64" ht="12.75" hidden="1" customHeight="1" outlineLevel="1">
      <c r="A472" s="9"/>
      <c r="B472" s="9"/>
      <c r="C472" s="44"/>
      <c r="D472" s="128" t="str">
        <f>Asset3</f>
        <v>Distribution lines and cables</v>
      </c>
      <c r="E472" s="9"/>
      <c r="F472" s="9"/>
      <c r="G472" s="194">
        <f>'Adjustment for previous period'!G368</f>
        <v>189.88115007143207</v>
      </c>
      <c r="H472" s="109">
        <f t="shared" si="12"/>
        <v>182.48739954301965</v>
      </c>
      <c r="I472" s="109">
        <f t="shared" si="12"/>
        <v>292.03521325606573</v>
      </c>
      <c r="J472" s="109">
        <f t="shared" si="12"/>
        <v>314.18240852259333</v>
      </c>
      <c r="K472" s="109">
        <f t="shared" si="12"/>
        <v>275.12493835370122</v>
      </c>
      <c r="L472" s="109">
        <f>L14*L$7</f>
        <v>184.37712290403988</v>
      </c>
      <c r="M472" s="109">
        <f t="shared" si="13"/>
        <v>0</v>
      </c>
      <c r="N472" s="109">
        <f t="shared" si="13"/>
        <v>0</v>
      </c>
      <c r="O472" s="109">
        <f t="shared" si="13"/>
        <v>0</v>
      </c>
      <c r="P472" s="109">
        <f t="shared" si="13"/>
        <v>0</v>
      </c>
      <c r="Q472" s="109">
        <f t="shared" si="13"/>
        <v>0</v>
      </c>
      <c r="R472" s="28"/>
      <c r="S472" s="99"/>
      <c r="T472" s="99"/>
      <c r="U472" s="99"/>
      <c r="V472" s="99"/>
      <c r="W472" s="99"/>
      <c r="X472" s="99"/>
      <c r="Y472" s="99"/>
      <c r="Z472" s="99"/>
      <c r="AA472" s="99"/>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99"/>
      <c r="BE472" s="99"/>
      <c r="BF472" s="99"/>
      <c r="BG472" s="99"/>
      <c r="BH472" s="99"/>
      <c r="BI472" s="99"/>
      <c r="BJ472" s="99"/>
      <c r="BK472" s="11"/>
      <c r="BL472" s="11"/>
    </row>
    <row r="473" spans="1:64" ht="12.75" hidden="1" customHeight="1" outlineLevel="1">
      <c r="A473" s="9"/>
      <c r="B473" s="9"/>
      <c r="C473" s="44"/>
      <c r="D473" s="128" t="str">
        <f>Asset4</f>
        <v>Substations</v>
      </c>
      <c r="E473" s="9"/>
      <c r="F473" s="9"/>
      <c r="G473" s="194">
        <f>'Adjustment for previous period'!G369</f>
        <v>329.36725338549758</v>
      </c>
      <c r="H473" s="109">
        <f t="shared" si="12"/>
        <v>310.87342560778603</v>
      </c>
      <c r="I473" s="109">
        <f t="shared" si="12"/>
        <v>352.85652435902307</v>
      </c>
      <c r="J473" s="109">
        <f t="shared" si="12"/>
        <v>434.35337338791584</v>
      </c>
      <c r="K473" s="109">
        <f t="shared" si="12"/>
        <v>272.67953489867256</v>
      </c>
      <c r="L473" s="109">
        <f t="shared" si="12"/>
        <v>173.19602621055793</v>
      </c>
      <c r="M473" s="109">
        <f t="shared" si="13"/>
        <v>0</v>
      </c>
      <c r="N473" s="109">
        <f t="shared" si="13"/>
        <v>0</v>
      </c>
      <c r="O473" s="109">
        <f t="shared" si="13"/>
        <v>0</v>
      </c>
      <c r="P473" s="109">
        <f t="shared" si="13"/>
        <v>0</v>
      </c>
      <c r="Q473" s="109">
        <f t="shared" si="13"/>
        <v>0</v>
      </c>
      <c r="R473" s="28"/>
      <c r="S473" s="99"/>
      <c r="T473" s="99"/>
      <c r="U473" s="99"/>
      <c r="V473" s="99"/>
      <c r="W473" s="99"/>
      <c r="X473" s="99"/>
      <c r="Y473" s="99"/>
      <c r="Z473" s="99"/>
      <c r="AA473" s="99"/>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99"/>
      <c r="BE473" s="99"/>
      <c r="BF473" s="99"/>
      <c r="BG473" s="99"/>
      <c r="BH473" s="99"/>
      <c r="BI473" s="99"/>
      <c r="BJ473" s="99"/>
      <c r="BK473" s="11"/>
      <c r="BL473" s="11"/>
    </row>
    <row r="474" spans="1:64" ht="12.75" hidden="1" customHeight="1" outlineLevel="1">
      <c r="A474" s="9"/>
      <c r="B474" s="9"/>
      <c r="C474" s="44"/>
      <c r="D474" s="128" t="str">
        <f>Asset5</f>
        <v>Transformers</v>
      </c>
      <c r="E474" s="9"/>
      <c r="F474" s="9"/>
      <c r="G474" s="194">
        <f>'Adjustment for previous period'!G370</f>
        <v>62.449806464815232</v>
      </c>
      <c r="H474" s="109">
        <f t="shared" si="12"/>
        <v>59.069157822017694</v>
      </c>
      <c r="I474" s="109">
        <f t="shared" si="12"/>
        <v>81.601119156905668</v>
      </c>
      <c r="J474" s="109">
        <f t="shared" si="12"/>
        <v>55.154551176387059</v>
      </c>
      <c r="K474" s="109">
        <f t="shared" si="12"/>
        <v>42.17057803826107</v>
      </c>
      <c r="L474" s="109">
        <f t="shared" si="12"/>
        <v>32.312333022666358</v>
      </c>
      <c r="M474" s="109">
        <f t="shared" si="13"/>
        <v>0</v>
      </c>
      <c r="N474" s="109">
        <f t="shared" si="13"/>
        <v>0</v>
      </c>
      <c r="O474" s="109">
        <f t="shared" si="13"/>
        <v>0</v>
      </c>
      <c r="P474" s="109">
        <f t="shared" si="13"/>
        <v>0</v>
      </c>
      <c r="Q474" s="109">
        <f t="shared" si="13"/>
        <v>0</v>
      </c>
      <c r="R474" s="28"/>
      <c r="S474" s="99"/>
      <c r="T474" s="99"/>
      <c r="U474" s="99"/>
      <c r="V474" s="99"/>
      <c r="W474" s="99"/>
      <c r="X474" s="99"/>
      <c r="Y474" s="99"/>
      <c r="Z474" s="99"/>
      <c r="AA474" s="99"/>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99"/>
      <c r="BE474" s="99"/>
      <c r="BF474" s="99"/>
      <c r="BG474" s="99"/>
      <c r="BH474" s="99"/>
      <c r="BI474" s="99"/>
      <c r="BJ474" s="99"/>
      <c r="BK474" s="11"/>
      <c r="BL474" s="11"/>
    </row>
    <row r="475" spans="1:64" ht="12.75" hidden="1" customHeight="1" outlineLevel="1">
      <c r="A475" s="9"/>
      <c r="B475" s="9"/>
      <c r="C475" s="44"/>
      <c r="D475" s="128" t="str">
        <f>Asset6</f>
        <v>Low Voltage Lines and Cables</v>
      </c>
      <c r="E475" s="9"/>
      <c r="F475" s="9"/>
      <c r="G475" s="194">
        <f>'Adjustment for previous period'!G371</f>
        <v>42.267212497336871</v>
      </c>
      <c r="H475" s="109">
        <f t="shared" si="12"/>
        <v>125.71669690346464</v>
      </c>
      <c r="I475" s="109">
        <f t="shared" si="12"/>
        <v>155.37123943755628</v>
      </c>
      <c r="J475" s="109">
        <f t="shared" si="12"/>
        <v>192.67942820945294</v>
      </c>
      <c r="K475" s="109">
        <f t="shared" si="12"/>
        <v>150.27968608696753</v>
      </c>
      <c r="L475" s="109">
        <f t="shared" si="12"/>
        <v>128.72288845977855</v>
      </c>
      <c r="M475" s="109">
        <f t="shared" si="13"/>
        <v>0</v>
      </c>
      <c r="N475" s="109">
        <f t="shared" si="13"/>
        <v>0</v>
      </c>
      <c r="O475" s="109">
        <f t="shared" si="13"/>
        <v>0</v>
      </c>
      <c r="P475" s="109">
        <f t="shared" si="13"/>
        <v>0</v>
      </c>
      <c r="Q475" s="109">
        <f t="shared" si="13"/>
        <v>0</v>
      </c>
      <c r="R475" s="28"/>
      <c r="S475" s="99"/>
      <c r="T475" s="99"/>
      <c r="U475" s="99"/>
      <c r="V475" s="99"/>
      <c r="W475" s="99"/>
      <c r="X475" s="99"/>
      <c r="Y475" s="99"/>
      <c r="Z475" s="99"/>
      <c r="AA475" s="99"/>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99"/>
      <c r="BE475" s="99"/>
      <c r="BF475" s="99"/>
      <c r="BG475" s="99"/>
      <c r="BH475" s="99"/>
      <c r="BI475" s="99"/>
      <c r="BJ475" s="99"/>
      <c r="BK475" s="11"/>
      <c r="BL475" s="11"/>
    </row>
    <row r="476" spans="1:64" ht="12.75" hidden="1" customHeight="1" outlineLevel="1">
      <c r="A476" s="9"/>
      <c r="B476" s="9"/>
      <c r="C476" s="44"/>
      <c r="D476" s="128" t="str">
        <f>Asset7</f>
        <v>Customer Metering and Load Control</v>
      </c>
      <c r="E476" s="9"/>
      <c r="F476" s="9"/>
      <c r="G476" s="194">
        <f>'Adjustment for previous period'!G372</f>
        <v>45.225917372150448</v>
      </c>
      <c r="H476" s="109">
        <f t="shared" si="12"/>
        <v>0.4439230015213822</v>
      </c>
      <c r="I476" s="109">
        <f t="shared" si="12"/>
        <v>0</v>
      </c>
      <c r="J476" s="109">
        <f t="shared" si="12"/>
        <v>0</v>
      </c>
      <c r="K476" s="109">
        <f t="shared" si="12"/>
        <v>0</v>
      </c>
      <c r="L476" s="109">
        <f t="shared" si="12"/>
        <v>0</v>
      </c>
      <c r="M476" s="109">
        <f t="shared" si="13"/>
        <v>0</v>
      </c>
      <c r="N476" s="109">
        <f t="shared" si="13"/>
        <v>0</v>
      </c>
      <c r="O476" s="109">
        <f t="shared" si="13"/>
        <v>0</v>
      </c>
      <c r="P476" s="109">
        <f t="shared" si="13"/>
        <v>0</v>
      </c>
      <c r="Q476" s="109">
        <f t="shared" si="13"/>
        <v>0</v>
      </c>
      <c r="R476" s="28"/>
      <c r="S476" s="99"/>
      <c r="T476" s="99"/>
      <c r="U476" s="99"/>
      <c r="V476" s="99"/>
      <c r="W476" s="99"/>
      <c r="X476" s="99"/>
      <c r="Y476" s="99"/>
      <c r="Z476" s="99"/>
      <c r="AA476" s="99"/>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99"/>
      <c r="BE476" s="99"/>
      <c r="BF476" s="99"/>
      <c r="BG476" s="99"/>
      <c r="BH476" s="99"/>
      <c r="BI476" s="99"/>
      <c r="BJ476" s="99"/>
      <c r="BK476" s="11"/>
      <c r="BL476" s="11"/>
    </row>
    <row r="477" spans="1:64" ht="12.75" hidden="1" customHeight="1" outlineLevel="1">
      <c r="A477" s="9"/>
      <c r="B477" s="9"/>
      <c r="C477" s="44"/>
      <c r="D477" s="128" t="str">
        <f>Asset8</f>
        <v>Customer Metering (digital)</v>
      </c>
      <c r="E477" s="9"/>
      <c r="F477" s="9"/>
      <c r="G477" s="194">
        <f>'Adjustment for previous period'!G373</f>
        <v>0</v>
      </c>
      <c r="H477" s="109">
        <f t="shared" si="12"/>
        <v>23.446466917049978</v>
      </c>
      <c r="I477" s="109">
        <f t="shared" si="12"/>
        <v>31.133844320881455</v>
      </c>
      <c r="J477" s="109">
        <f t="shared" si="12"/>
        <v>22.994522221456144</v>
      </c>
      <c r="K477" s="109">
        <f t="shared" si="12"/>
        <v>16.992134014597113</v>
      </c>
      <c r="L477" s="109">
        <f t="shared" si="12"/>
        <v>17.928647923441929</v>
      </c>
      <c r="M477" s="109">
        <f t="shared" si="13"/>
        <v>0</v>
      </c>
      <c r="N477" s="109">
        <f t="shared" si="13"/>
        <v>0</v>
      </c>
      <c r="O477" s="109">
        <f t="shared" si="13"/>
        <v>0</v>
      </c>
      <c r="P477" s="109">
        <f t="shared" si="13"/>
        <v>0</v>
      </c>
      <c r="Q477" s="109">
        <f t="shared" si="13"/>
        <v>0</v>
      </c>
      <c r="R477" s="28"/>
      <c r="S477" s="99"/>
      <c r="T477" s="99"/>
      <c r="U477" s="99"/>
      <c r="V477" s="99"/>
      <c r="W477" s="99"/>
      <c r="X477" s="99"/>
      <c r="Y477" s="99"/>
      <c r="Z477" s="99"/>
      <c r="AA477" s="99"/>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99"/>
      <c r="BE477" s="99"/>
      <c r="BF477" s="99"/>
      <c r="BG477" s="99"/>
      <c r="BH477" s="99"/>
      <c r="BI477" s="99"/>
      <c r="BJ477" s="99"/>
      <c r="BK477" s="11"/>
      <c r="BL477" s="11"/>
    </row>
    <row r="478" spans="1:64" ht="12.75" hidden="1" customHeight="1" outlineLevel="1">
      <c r="A478" s="9"/>
      <c r="B478" s="9"/>
      <c r="C478" s="44"/>
      <c r="D478" s="128" t="str">
        <f>Asset9</f>
        <v>Communications (digital) - dx</v>
      </c>
      <c r="E478" s="9"/>
      <c r="F478" s="9"/>
      <c r="G478" s="194">
        <f>'Adjustment for previous period'!G374</f>
        <v>0</v>
      </c>
      <c r="H478" s="109">
        <f t="shared" si="12"/>
        <v>22.233532180732755</v>
      </c>
      <c r="I478" s="109">
        <f t="shared" si="12"/>
        <v>1.219180319906076</v>
      </c>
      <c r="J478" s="109">
        <f t="shared" si="12"/>
        <v>1.0950955387623287</v>
      </c>
      <c r="K478" s="109">
        <f t="shared" si="12"/>
        <v>-3.3522925155655963</v>
      </c>
      <c r="L478" s="109">
        <f t="shared" si="12"/>
        <v>0.39609904625620551</v>
      </c>
      <c r="M478" s="109">
        <f t="shared" si="13"/>
        <v>0</v>
      </c>
      <c r="N478" s="109">
        <f t="shared" si="13"/>
        <v>0</v>
      </c>
      <c r="O478" s="109">
        <f t="shared" si="13"/>
        <v>0</v>
      </c>
      <c r="P478" s="109">
        <f t="shared" si="13"/>
        <v>0</v>
      </c>
      <c r="Q478" s="109">
        <f t="shared" si="13"/>
        <v>0</v>
      </c>
      <c r="R478" s="28"/>
      <c r="S478" s="99"/>
      <c r="T478" s="99"/>
      <c r="U478" s="99"/>
      <c r="V478" s="99"/>
      <c r="W478" s="99"/>
      <c r="X478" s="99"/>
      <c r="Y478" s="99"/>
      <c r="Z478" s="99"/>
      <c r="AA478" s="99"/>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99"/>
      <c r="BE478" s="99"/>
      <c r="BF478" s="99"/>
      <c r="BG478" s="99"/>
      <c r="BH478" s="99"/>
      <c r="BI478" s="99"/>
      <c r="BJ478" s="99"/>
      <c r="BK478" s="11"/>
      <c r="BL478" s="11"/>
    </row>
    <row r="479" spans="1:64" ht="12.75" hidden="1" customHeight="1" outlineLevel="1">
      <c r="A479" s="9"/>
      <c r="B479" s="9"/>
      <c r="C479" s="44"/>
      <c r="D479" s="128" t="str">
        <f>Asset10</f>
        <v>Total Communications</v>
      </c>
      <c r="E479" s="9"/>
      <c r="F479" s="9"/>
      <c r="G479" s="194">
        <f>'Adjustment for previous period'!G375</f>
        <v>23.035630811048595</v>
      </c>
      <c r="H479" s="109">
        <f t="shared" si="12"/>
        <v>2.2717501863455389</v>
      </c>
      <c r="I479" s="109">
        <f t="shared" si="12"/>
        <v>0</v>
      </c>
      <c r="J479" s="109">
        <f t="shared" si="12"/>
        <v>0</v>
      </c>
      <c r="K479" s="109">
        <f t="shared" si="12"/>
        <v>0</v>
      </c>
      <c r="L479" s="109">
        <f t="shared" si="12"/>
        <v>0</v>
      </c>
      <c r="M479" s="109">
        <f t="shared" si="13"/>
        <v>0</v>
      </c>
      <c r="N479" s="109">
        <f t="shared" si="13"/>
        <v>0</v>
      </c>
      <c r="O479" s="109">
        <f t="shared" si="13"/>
        <v>0</v>
      </c>
      <c r="P479" s="109">
        <f t="shared" si="13"/>
        <v>0</v>
      </c>
      <c r="Q479" s="109">
        <f t="shared" si="13"/>
        <v>0</v>
      </c>
      <c r="R479" s="28"/>
      <c r="S479" s="99"/>
      <c r="T479" s="99"/>
      <c r="U479" s="99"/>
      <c r="V479" s="99"/>
      <c r="W479" s="99"/>
      <c r="X479" s="99"/>
      <c r="Y479" s="99"/>
      <c r="Z479" s="99"/>
      <c r="AA479" s="99"/>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99"/>
      <c r="BE479" s="99"/>
      <c r="BF479" s="99"/>
      <c r="BG479" s="99"/>
      <c r="BH479" s="99"/>
      <c r="BI479" s="99"/>
      <c r="BJ479" s="99"/>
      <c r="BK479" s="11"/>
      <c r="BL479" s="11"/>
    </row>
    <row r="480" spans="1:64" ht="12.75" hidden="1" customHeight="1" outlineLevel="1">
      <c r="A480" s="9"/>
      <c r="B480" s="9"/>
      <c r="C480" s="44"/>
      <c r="D480" s="128" t="str">
        <f>Asset11</f>
        <v>System IT (dx)</v>
      </c>
      <c r="E480" s="9"/>
      <c r="F480" s="9"/>
      <c r="G480" s="194">
        <f>'Adjustment for previous period'!G376</f>
        <v>0</v>
      </c>
      <c r="H480" s="109">
        <f t="shared" si="12"/>
        <v>30.216276524089828</v>
      </c>
      <c r="I480" s="109">
        <f t="shared" si="12"/>
        <v>106.03096857907424</v>
      </c>
      <c r="J480" s="109">
        <f t="shared" si="12"/>
        <v>96.602204466940776</v>
      </c>
      <c r="K480" s="109">
        <f t="shared" si="12"/>
        <v>54.826242836767193</v>
      </c>
      <c r="L480" s="109">
        <f t="shared" si="12"/>
        <v>9.761468309097598</v>
      </c>
      <c r="M480" s="109">
        <f t="shared" si="13"/>
        <v>0</v>
      </c>
      <c r="N480" s="109">
        <f t="shared" si="13"/>
        <v>0</v>
      </c>
      <c r="O480" s="109">
        <f t="shared" si="13"/>
        <v>0</v>
      </c>
      <c r="P480" s="109">
        <f t="shared" si="13"/>
        <v>0</v>
      </c>
      <c r="Q480" s="109">
        <f t="shared" si="13"/>
        <v>0</v>
      </c>
      <c r="R480" s="28"/>
      <c r="S480" s="99"/>
      <c r="T480" s="99"/>
      <c r="U480" s="99"/>
      <c r="V480" s="99"/>
      <c r="W480" s="99"/>
      <c r="X480" s="99"/>
      <c r="Y480" s="99"/>
      <c r="Z480" s="99"/>
      <c r="AA480" s="99"/>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99"/>
      <c r="BE480" s="99"/>
      <c r="BF480" s="99"/>
      <c r="BG480" s="99"/>
      <c r="BH480" s="99"/>
      <c r="BI480" s="99"/>
      <c r="BJ480" s="99"/>
      <c r="BK480" s="11"/>
      <c r="BL480" s="11"/>
    </row>
    <row r="481" spans="1:64" ht="12.75" hidden="1" customHeight="1" outlineLevel="1">
      <c r="A481" s="9"/>
      <c r="B481" s="9"/>
      <c r="C481" s="44"/>
      <c r="D481" s="128" t="str">
        <f>Asset12</f>
        <v>Ancillary substation equipment (dx)</v>
      </c>
      <c r="E481" s="9"/>
      <c r="F481" s="9"/>
      <c r="G481" s="194">
        <f>'Adjustment for previous period'!G377</f>
        <v>0</v>
      </c>
      <c r="H481" s="109">
        <f t="shared" si="12"/>
        <v>28.216302615964409</v>
      </c>
      <c r="I481" s="109">
        <f t="shared" si="12"/>
        <v>7.3312129759168752</v>
      </c>
      <c r="J481" s="109">
        <f t="shared" si="12"/>
        <v>15.276036035528978</v>
      </c>
      <c r="K481" s="109">
        <f t="shared" si="12"/>
        <v>9.2242493513356436</v>
      </c>
      <c r="L481" s="109">
        <f t="shared" si="12"/>
        <v>5.491651963339697</v>
      </c>
      <c r="M481" s="109">
        <f t="shared" ref="M481:Q489" si="14">M23*M$7</f>
        <v>0</v>
      </c>
      <c r="N481" s="109">
        <f t="shared" si="14"/>
        <v>0</v>
      </c>
      <c r="O481" s="109">
        <f t="shared" si="14"/>
        <v>0</v>
      </c>
      <c r="P481" s="109">
        <f t="shared" si="14"/>
        <v>0</v>
      </c>
      <c r="Q481" s="109">
        <f t="shared" si="14"/>
        <v>0</v>
      </c>
      <c r="R481" s="28"/>
      <c r="S481" s="99"/>
      <c r="T481" s="99"/>
      <c r="U481" s="99"/>
      <c r="V481" s="99"/>
      <c r="W481" s="99"/>
      <c r="X481" s="99"/>
      <c r="Y481" s="99"/>
      <c r="Z481" s="99"/>
      <c r="AA481" s="99"/>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99"/>
      <c r="BE481" s="99"/>
      <c r="BF481" s="99"/>
      <c r="BG481" s="99"/>
      <c r="BH481" s="99"/>
      <c r="BI481" s="99"/>
      <c r="BJ481" s="99"/>
      <c r="BK481" s="11"/>
      <c r="BL481" s="11"/>
    </row>
    <row r="482" spans="1:64" ht="12.75" hidden="1" customHeight="1" outlineLevel="1">
      <c r="A482" s="9"/>
      <c r="B482" s="9"/>
      <c r="C482" s="44"/>
      <c r="D482" s="128" t="str">
        <f>Asset13</f>
        <v>Land and Easements</v>
      </c>
      <c r="E482" s="9"/>
      <c r="F482" s="9"/>
      <c r="G482" s="194">
        <f>'Adjustment for previous period'!G378</f>
        <v>41.421868247390137</v>
      </c>
      <c r="H482" s="109">
        <f t="shared" si="12"/>
        <v>34.547831248923146</v>
      </c>
      <c r="I482" s="109">
        <f t="shared" si="12"/>
        <v>17.277282190110707</v>
      </c>
      <c r="J482" s="109">
        <f t="shared" si="12"/>
        <v>16.038704203103254</v>
      </c>
      <c r="K482" s="109">
        <f t="shared" si="12"/>
        <v>10.091027772526036</v>
      </c>
      <c r="L482" s="109">
        <f t="shared" si="12"/>
        <v>7.6632215037155227</v>
      </c>
      <c r="M482" s="109">
        <f t="shared" si="14"/>
        <v>0</v>
      </c>
      <c r="N482" s="109">
        <f t="shared" si="14"/>
        <v>0</v>
      </c>
      <c r="O482" s="109">
        <f t="shared" si="14"/>
        <v>0</v>
      </c>
      <c r="P482" s="109">
        <f t="shared" si="14"/>
        <v>0</v>
      </c>
      <c r="Q482" s="109">
        <f t="shared" si="14"/>
        <v>0</v>
      </c>
      <c r="R482" s="28"/>
      <c r="S482" s="99"/>
      <c r="T482" s="99"/>
      <c r="U482" s="99"/>
      <c r="V482" s="99"/>
      <c r="W482" s="99"/>
      <c r="X482" s="99"/>
      <c r="Y482" s="99"/>
      <c r="Z482" s="99"/>
      <c r="AA482" s="99"/>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99"/>
      <c r="BE482" s="99"/>
      <c r="BF482" s="99"/>
      <c r="BG482" s="99"/>
      <c r="BH482" s="99"/>
      <c r="BI482" s="99"/>
      <c r="BJ482" s="99"/>
      <c r="BK482" s="11"/>
      <c r="BL482" s="11"/>
    </row>
    <row r="483" spans="1:64" ht="12.75" hidden="1" customHeight="1" outlineLevel="1">
      <c r="A483" s="9"/>
      <c r="B483" s="9"/>
      <c r="C483" s="44"/>
      <c r="D483" s="128" t="str">
        <f>Asset14</f>
        <v>Emergency Spares (Major Plant, Excludes Inventory)</v>
      </c>
      <c r="E483" s="9"/>
      <c r="F483" s="9"/>
      <c r="G483" s="194">
        <f>'Adjustment for previous period'!G379</f>
        <v>0</v>
      </c>
      <c r="H483" s="109">
        <f t="shared" si="12"/>
        <v>0</v>
      </c>
      <c r="I483" s="109">
        <f t="shared" si="12"/>
        <v>0</v>
      </c>
      <c r="J483" s="109">
        <f t="shared" si="12"/>
        <v>0</v>
      </c>
      <c r="K483" s="109">
        <f t="shared" si="12"/>
        <v>0</v>
      </c>
      <c r="L483" s="109">
        <f t="shared" si="12"/>
        <v>0</v>
      </c>
      <c r="M483" s="109">
        <f t="shared" si="14"/>
        <v>0</v>
      </c>
      <c r="N483" s="109">
        <f t="shared" si="14"/>
        <v>0</v>
      </c>
      <c r="O483" s="109">
        <f t="shared" si="14"/>
        <v>0</v>
      </c>
      <c r="P483" s="109">
        <f t="shared" si="14"/>
        <v>0</v>
      </c>
      <c r="Q483" s="109">
        <f t="shared" si="14"/>
        <v>0</v>
      </c>
      <c r="R483" s="28"/>
      <c r="S483" s="99"/>
      <c r="T483" s="99"/>
      <c r="U483" s="99"/>
      <c r="V483" s="99"/>
      <c r="W483" s="99"/>
      <c r="X483" s="99"/>
      <c r="Y483" s="99"/>
      <c r="Z483" s="99"/>
      <c r="AA483" s="99"/>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99"/>
      <c r="BE483" s="99"/>
      <c r="BF483" s="99"/>
      <c r="BG483" s="99"/>
      <c r="BH483" s="99"/>
      <c r="BI483" s="99"/>
      <c r="BJ483" s="99"/>
      <c r="BK483" s="11"/>
      <c r="BL483" s="11"/>
    </row>
    <row r="484" spans="1:64" ht="12.75" hidden="1" customHeight="1" outlineLevel="1">
      <c r="A484" s="9"/>
      <c r="B484" s="9"/>
      <c r="C484" s="44"/>
      <c r="D484" s="128" t="str">
        <f>Asset15</f>
        <v>Furniture, fittings, plant and equipment</v>
      </c>
      <c r="E484" s="9"/>
      <c r="F484" s="9"/>
      <c r="G484" s="194">
        <f>'Adjustment for previous period'!G380</f>
        <v>5.3811924881171107</v>
      </c>
      <c r="H484" s="109">
        <f t="shared" si="12"/>
        <v>7.3915686986169504</v>
      </c>
      <c r="I484" s="109">
        <f t="shared" si="12"/>
        <v>6.9236532206464902</v>
      </c>
      <c r="J484" s="109">
        <f t="shared" si="12"/>
        <v>7.1541220383421456</v>
      </c>
      <c r="K484" s="109">
        <f t="shared" si="12"/>
        <v>4.3982695776994998</v>
      </c>
      <c r="L484" s="109">
        <f t="shared" si="12"/>
        <v>4.0391028932187156</v>
      </c>
      <c r="M484" s="109">
        <f t="shared" si="14"/>
        <v>0</v>
      </c>
      <c r="N484" s="109">
        <f t="shared" si="14"/>
        <v>0</v>
      </c>
      <c r="O484" s="109">
        <f t="shared" si="14"/>
        <v>0</v>
      </c>
      <c r="P484" s="109">
        <f t="shared" si="14"/>
        <v>0</v>
      </c>
      <c r="Q484" s="109">
        <f t="shared" si="14"/>
        <v>0</v>
      </c>
      <c r="R484" s="28"/>
      <c r="S484" s="99"/>
      <c r="T484" s="99"/>
      <c r="U484" s="99"/>
      <c r="V484" s="99"/>
      <c r="W484" s="99"/>
      <c r="X484" s="99"/>
      <c r="Y484" s="99"/>
      <c r="Z484" s="99"/>
      <c r="AA484" s="99"/>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99"/>
      <c r="BE484" s="99"/>
      <c r="BF484" s="99"/>
      <c r="BG484" s="99"/>
      <c r="BH484" s="99"/>
      <c r="BI484" s="99"/>
      <c r="BJ484" s="99"/>
      <c r="BK484" s="11"/>
      <c r="BL484" s="11"/>
    </row>
    <row r="485" spans="1:64" ht="12.75" hidden="1" customHeight="1" outlineLevel="1">
      <c r="A485" s="9"/>
      <c r="B485" s="9"/>
      <c r="C485" s="44"/>
      <c r="D485" s="128" t="str">
        <f>Asset16</f>
        <v>Land (non-system)</v>
      </c>
      <c r="E485" s="9"/>
      <c r="F485" s="9"/>
      <c r="G485" s="194">
        <f>'Adjustment for previous period'!G381</f>
        <v>24.640226043635298</v>
      </c>
      <c r="H485" s="109">
        <f t="shared" si="12"/>
        <v>19.475024195532949</v>
      </c>
      <c r="I485" s="109">
        <f t="shared" si="12"/>
        <v>6.5006318398704304</v>
      </c>
      <c r="J485" s="109">
        <f t="shared" si="12"/>
        <v>8.3650007812816689</v>
      </c>
      <c r="K485" s="109">
        <f t="shared" si="12"/>
        <v>-0.1160105247854111</v>
      </c>
      <c r="L485" s="109">
        <f t="shared" si="12"/>
        <v>-56.694073590508538</v>
      </c>
      <c r="M485" s="109">
        <f t="shared" si="14"/>
        <v>0</v>
      </c>
      <c r="N485" s="109">
        <f t="shared" si="14"/>
        <v>0</v>
      </c>
      <c r="O485" s="109">
        <f t="shared" si="14"/>
        <v>0</v>
      </c>
      <c r="P485" s="109">
        <f t="shared" si="14"/>
        <v>0</v>
      </c>
      <c r="Q485" s="109">
        <f t="shared" si="14"/>
        <v>0</v>
      </c>
      <c r="R485" s="28"/>
      <c r="S485" s="99"/>
      <c r="T485" s="99"/>
      <c r="U485" s="99"/>
      <c r="V485" s="99"/>
      <c r="W485" s="99"/>
      <c r="X485" s="99"/>
      <c r="Y485" s="99"/>
      <c r="Z485" s="99"/>
      <c r="AA485" s="99"/>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99"/>
      <c r="BE485" s="99"/>
      <c r="BF485" s="99"/>
      <c r="BG485" s="99"/>
      <c r="BH485" s="99"/>
      <c r="BI485" s="99"/>
      <c r="BJ485" s="99"/>
      <c r="BK485" s="11"/>
      <c r="BL485" s="11"/>
    </row>
    <row r="486" spans="1:64" ht="12.75" hidden="1" customHeight="1" outlineLevel="1">
      <c r="A486" s="9"/>
      <c r="B486" s="9"/>
      <c r="C486" s="44"/>
      <c r="D486" s="128" t="str">
        <f>Asset17</f>
        <v>Other non system assets</v>
      </c>
      <c r="E486" s="9"/>
      <c r="F486" s="9"/>
      <c r="G486" s="194">
        <f>'Adjustment for previous period'!G382</f>
        <v>0</v>
      </c>
      <c r="H486" s="109">
        <f t="shared" si="12"/>
        <v>0.35115505279443943</v>
      </c>
      <c r="I486" s="109">
        <f t="shared" si="12"/>
        <v>8.9208583360115196E-2</v>
      </c>
      <c r="J486" s="109">
        <f t="shared" si="12"/>
        <v>1.1471655378495527</v>
      </c>
      <c r="K486" s="109">
        <f t="shared" si="12"/>
        <v>0.16789978910080328</v>
      </c>
      <c r="L486" s="109">
        <f t="shared" si="12"/>
        <v>0.5819376718434941</v>
      </c>
      <c r="M486" s="109">
        <f t="shared" si="14"/>
        <v>0</v>
      </c>
      <c r="N486" s="109">
        <f t="shared" si="14"/>
        <v>0</v>
      </c>
      <c r="O486" s="109">
        <f t="shared" si="14"/>
        <v>0</v>
      </c>
      <c r="P486" s="109">
        <f t="shared" si="14"/>
        <v>0</v>
      </c>
      <c r="Q486" s="109">
        <f t="shared" si="14"/>
        <v>0</v>
      </c>
      <c r="R486" s="28"/>
      <c r="S486" s="99"/>
      <c r="T486" s="99"/>
      <c r="U486" s="99"/>
      <c r="V486" s="99"/>
      <c r="W486" s="99"/>
      <c r="X486" s="99"/>
      <c r="Y486" s="99"/>
      <c r="Z486" s="99"/>
      <c r="AA486" s="99"/>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99"/>
      <c r="BE486" s="99"/>
      <c r="BF486" s="99"/>
      <c r="BG486" s="99"/>
      <c r="BH486" s="99"/>
      <c r="BI486" s="99"/>
      <c r="BJ486" s="99"/>
      <c r="BK486" s="11"/>
      <c r="BL486" s="11"/>
    </row>
    <row r="487" spans="1:64" ht="12.75" hidden="1" customHeight="1" outlineLevel="1">
      <c r="A487" s="9"/>
      <c r="B487" s="9"/>
      <c r="C487" s="44"/>
      <c r="D487" s="128" t="str">
        <f>Asset18</f>
        <v>IT systems</v>
      </c>
      <c r="E487" s="9"/>
      <c r="F487" s="9"/>
      <c r="G487" s="194">
        <f>'Adjustment for previous period'!G383</f>
        <v>61.480877112247526</v>
      </c>
      <c r="H487" s="109">
        <f t="shared" si="12"/>
        <v>46.341695325405723</v>
      </c>
      <c r="I487" s="109">
        <f t="shared" si="12"/>
        <v>52.522637768255869</v>
      </c>
      <c r="J487" s="109">
        <f t="shared" si="12"/>
        <v>33.965578695815495</v>
      </c>
      <c r="K487" s="109">
        <f t="shared" si="12"/>
        <v>26.033957543786769</v>
      </c>
      <c r="L487" s="109">
        <f t="shared" si="12"/>
        <v>26.168805803005366</v>
      </c>
      <c r="M487" s="109">
        <f t="shared" si="14"/>
        <v>0</v>
      </c>
      <c r="N487" s="109">
        <f t="shared" si="14"/>
        <v>0</v>
      </c>
      <c r="O487" s="109">
        <f t="shared" si="14"/>
        <v>0</v>
      </c>
      <c r="P487" s="109">
        <f t="shared" si="14"/>
        <v>0</v>
      </c>
      <c r="Q487" s="109">
        <f t="shared" si="14"/>
        <v>0</v>
      </c>
      <c r="R487" s="28"/>
      <c r="S487" s="99"/>
      <c r="T487" s="99"/>
      <c r="U487" s="99"/>
      <c r="V487" s="99"/>
      <c r="W487" s="99"/>
      <c r="X487" s="99"/>
      <c r="Y487" s="99"/>
      <c r="Z487" s="99"/>
      <c r="AA487" s="99"/>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99"/>
      <c r="BE487" s="99"/>
      <c r="BF487" s="99"/>
      <c r="BG487" s="99"/>
      <c r="BH487" s="99"/>
      <c r="BI487" s="99"/>
      <c r="BJ487" s="99"/>
      <c r="BK487" s="11"/>
      <c r="BL487" s="11"/>
    </row>
    <row r="488" spans="1:64" ht="12.75" hidden="1" customHeight="1" outlineLevel="1">
      <c r="A488" s="9"/>
      <c r="B488" s="9"/>
      <c r="C488" s="44"/>
      <c r="D488" s="128" t="str">
        <f>Asset19</f>
        <v>Motor vehicles</v>
      </c>
      <c r="E488" s="9"/>
      <c r="F488" s="9"/>
      <c r="G488" s="194">
        <f>'Adjustment for previous period'!G384</f>
        <v>22.631020279422213</v>
      </c>
      <c r="H488" s="109">
        <f t="shared" si="12"/>
        <v>24.093328113595881</v>
      </c>
      <c r="I488" s="109">
        <f t="shared" si="12"/>
        <v>25.869111384442085</v>
      </c>
      <c r="J488" s="109">
        <f t="shared" si="12"/>
        <v>28.337553931483018</v>
      </c>
      <c r="K488" s="109">
        <f t="shared" si="12"/>
        <v>11.921893032766219</v>
      </c>
      <c r="L488" s="109">
        <f t="shared" si="12"/>
        <v>7.1589926000375685</v>
      </c>
      <c r="M488" s="109">
        <f t="shared" si="14"/>
        <v>0</v>
      </c>
      <c r="N488" s="109">
        <f t="shared" si="14"/>
        <v>0</v>
      </c>
      <c r="O488" s="109">
        <f t="shared" si="14"/>
        <v>0</v>
      </c>
      <c r="P488" s="109">
        <f t="shared" si="14"/>
        <v>0</v>
      </c>
      <c r="Q488" s="109">
        <f t="shared" si="14"/>
        <v>0</v>
      </c>
      <c r="R488" s="28"/>
      <c r="S488" s="99"/>
      <c r="T488" s="99"/>
      <c r="U488" s="99"/>
      <c r="V488" s="99"/>
      <c r="W488" s="99"/>
      <c r="X488" s="99"/>
      <c r="Y488" s="99"/>
      <c r="Z488" s="99"/>
      <c r="AA488" s="99"/>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99"/>
      <c r="BE488" s="99"/>
      <c r="BF488" s="99"/>
      <c r="BG488" s="99"/>
      <c r="BH488" s="99"/>
      <c r="BI488" s="99"/>
      <c r="BJ488" s="99"/>
      <c r="BK488" s="11"/>
      <c r="BL488" s="11"/>
    </row>
    <row r="489" spans="1:64" ht="12.75" hidden="1" customHeight="1" outlineLevel="1">
      <c r="A489" s="9"/>
      <c r="B489" s="9"/>
      <c r="C489" s="44"/>
      <c r="D489" s="128" t="str">
        <f>Asset20</f>
        <v>Buildings</v>
      </c>
      <c r="E489" s="9"/>
      <c r="F489" s="9"/>
      <c r="G489" s="194">
        <f>'Adjustment for previous period'!G385</f>
        <v>56.901077339938503</v>
      </c>
      <c r="H489" s="109">
        <f t="shared" si="12"/>
        <v>65.63699188236842</v>
      </c>
      <c r="I489" s="109">
        <f t="shared" si="12"/>
        <v>43.485803369500417</v>
      </c>
      <c r="J489" s="109">
        <f t="shared" si="12"/>
        <v>31.105407227929216</v>
      </c>
      <c r="K489" s="109">
        <f t="shared" si="12"/>
        <v>18.739104916479889</v>
      </c>
      <c r="L489" s="109">
        <f t="shared" si="12"/>
        <v>-38.936734571026484</v>
      </c>
      <c r="M489" s="109">
        <f t="shared" si="14"/>
        <v>0</v>
      </c>
      <c r="N489" s="109">
        <f t="shared" si="14"/>
        <v>0</v>
      </c>
      <c r="O489" s="109">
        <f t="shared" si="14"/>
        <v>0</v>
      </c>
      <c r="P489" s="109">
        <f t="shared" si="14"/>
        <v>0</v>
      </c>
      <c r="Q489" s="109">
        <f t="shared" si="14"/>
        <v>0</v>
      </c>
      <c r="R489" s="28"/>
      <c r="S489" s="99"/>
      <c r="T489" s="99"/>
      <c r="U489" s="99"/>
      <c r="V489" s="99"/>
      <c r="W489" s="99"/>
      <c r="X489" s="99"/>
      <c r="Y489" s="99"/>
      <c r="Z489" s="99"/>
      <c r="AA489" s="99"/>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99"/>
      <c r="BE489" s="99"/>
      <c r="BF489" s="99"/>
      <c r="BG489" s="99"/>
      <c r="BH489" s="99"/>
      <c r="BI489" s="99"/>
      <c r="BJ489" s="99"/>
      <c r="BK489" s="11"/>
      <c r="BL489" s="11"/>
    </row>
    <row r="490" spans="1:64" ht="4.5" hidden="1" customHeight="1" outlineLevel="1">
      <c r="A490" s="9"/>
      <c r="B490" s="9"/>
      <c r="C490" s="44"/>
      <c r="D490" s="128" t="str">
        <f>Asset21</f>
        <v>Equity raising costs</v>
      </c>
      <c r="E490" s="9"/>
      <c r="F490" s="9"/>
      <c r="G490" s="194">
        <f>'Adjustment for previous period'!G386</f>
        <v>0</v>
      </c>
      <c r="H490" s="109">
        <f t="shared" ref="H490:Q490" si="15">H32*H$7</f>
        <v>26.994350537996358</v>
      </c>
      <c r="I490" s="109">
        <f t="shared" si="15"/>
        <v>0</v>
      </c>
      <c r="J490" s="109">
        <f t="shared" si="15"/>
        <v>0</v>
      </c>
      <c r="K490" s="109">
        <f t="shared" si="15"/>
        <v>0</v>
      </c>
      <c r="L490" s="109">
        <f t="shared" si="15"/>
        <v>0</v>
      </c>
      <c r="M490" s="109">
        <f t="shared" si="15"/>
        <v>0</v>
      </c>
      <c r="N490" s="109">
        <f t="shared" si="15"/>
        <v>0</v>
      </c>
      <c r="O490" s="109">
        <f t="shared" si="15"/>
        <v>0</v>
      </c>
      <c r="P490" s="109">
        <f t="shared" si="15"/>
        <v>0</v>
      </c>
      <c r="Q490" s="109">
        <f t="shared" si="15"/>
        <v>0</v>
      </c>
      <c r="R490" s="28"/>
      <c r="S490" s="99"/>
      <c r="T490" s="99"/>
      <c r="U490" s="99"/>
      <c r="V490" s="99"/>
      <c r="W490" s="99"/>
      <c r="X490" s="99"/>
      <c r="Y490" s="99"/>
      <c r="Z490" s="99"/>
      <c r="AA490" s="99"/>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99"/>
      <c r="BE490" s="99"/>
      <c r="BF490" s="99"/>
      <c r="BG490" s="99"/>
      <c r="BH490" s="99"/>
      <c r="BI490" s="99"/>
      <c r="BJ490" s="99"/>
      <c r="BK490" s="11"/>
      <c r="BL490" s="11"/>
    </row>
    <row r="491" spans="1:64" ht="4.5" hidden="1" customHeight="1" outlineLevel="1">
      <c r="A491" s="9"/>
      <c r="B491" s="9"/>
      <c r="C491" s="44"/>
      <c r="D491" s="128">
        <f>Asset22</f>
        <v>0</v>
      </c>
      <c r="E491" s="9"/>
      <c r="F491" s="9"/>
      <c r="G491" s="194">
        <f>'Adjustment for previous period'!G387</f>
        <v>0</v>
      </c>
      <c r="H491" s="109">
        <f t="shared" ref="H491:Q491" si="16">H33*H$7</f>
        <v>0</v>
      </c>
      <c r="I491" s="109">
        <f t="shared" si="16"/>
        <v>0</v>
      </c>
      <c r="J491" s="109">
        <f t="shared" si="16"/>
        <v>0</v>
      </c>
      <c r="K491" s="109">
        <f t="shared" si="16"/>
        <v>0</v>
      </c>
      <c r="L491" s="109">
        <f t="shared" si="16"/>
        <v>0</v>
      </c>
      <c r="M491" s="109">
        <f t="shared" si="16"/>
        <v>0</v>
      </c>
      <c r="N491" s="109">
        <f t="shared" si="16"/>
        <v>0</v>
      </c>
      <c r="O491" s="109">
        <f t="shared" si="16"/>
        <v>0</v>
      </c>
      <c r="P491" s="109">
        <f t="shared" si="16"/>
        <v>0</v>
      </c>
      <c r="Q491" s="109">
        <f t="shared" si="16"/>
        <v>0</v>
      </c>
      <c r="R491" s="28"/>
      <c r="S491" s="99"/>
      <c r="T491" s="99"/>
      <c r="U491" s="99"/>
      <c r="V491" s="99"/>
      <c r="W491" s="99"/>
      <c r="X491" s="99"/>
      <c r="Y491" s="99"/>
      <c r="Z491" s="99"/>
      <c r="AA491" s="99"/>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99"/>
      <c r="BE491" s="99"/>
      <c r="BF491" s="99"/>
      <c r="BG491" s="99"/>
      <c r="BH491" s="99"/>
      <c r="BI491" s="99"/>
      <c r="BJ491" s="99"/>
      <c r="BK491" s="11"/>
      <c r="BL491" s="11"/>
    </row>
    <row r="492" spans="1:64" ht="4.5" hidden="1" customHeight="1" outlineLevel="1">
      <c r="A492" s="9"/>
      <c r="B492" s="9"/>
      <c r="C492" s="44"/>
      <c r="D492" s="128">
        <f>Asset23</f>
        <v>0</v>
      </c>
      <c r="E492" s="9"/>
      <c r="F492" s="9"/>
      <c r="G492" s="194">
        <f>'Adjustment for previous period'!G388</f>
        <v>0</v>
      </c>
      <c r="H492" s="109">
        <f t="shared" ref="H492:Q492" si="17">H34*H$7</f>
        <v>0</v>
      </c>
      <c r="I492" s="109">
        <f t="shared" si="17"/>
        <v>0</v>
      </c>
      <c r="J492" s="109">
        <f t="shared" si="17"/>
        <v>0</v>
      </c>
      <c r="K492" s="109">
        <f t="shared" si="17"/>
        <v>0</v>
      </c>
      <c r="L492" s="109">
        <f t="shared" si="17"/>
        <v>0</v>
      </c>
      <c r="M492" s="109">
        <f t="shared" si="17"/>
        <v>0</v>
      </c>
      <c r="N492" s="109">
        <f t="shared" si="17"/>
        <v>0</v>
      </c>
      <c r="O492" s="109">
        <f t="shared" si="17"/>
        <v>0</v>
      </c>
      <c r="P492" s="109">
        <f t="shared" si="17"/>
        <v>0</v>
      </c>
      <c r="Q492" s="109">
        <f t="shared" si="17"/>
        <v>0</v>
      </c>
      <c r="R492" s="28"/>
      <c r="S492" s="99"/>
      <c r="T492" s="99"/>
      <c r="U492" s="99"/>
      <c r="V492" s="99"/>
      <c r="W492" s="99"/>
      <c r="X492" s="99"/>
      <c r="Y492" s="99"/>
      <c r="Z492" s="99"/>
      <c r="AA492" s="99"/>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99"/>
      <c r="BE492" s="99"/>
      <c r="BF492" s="99"/>
      <c r="BG492" s="99"/>
      <c r="BH492" s="99"/>
      <c r="BI492" s="99"/>
      <c r="BJ492" s="99"/>
      <c r="BK492" s="11"/>
      <c r="BL492" s="11"/>
    </row>
    <row r="493" spans="1:64" ht="4.5" hidden="1" customHeight="1" outlineLevel="1">
      <c r="A493" s="9"/>
      <c r="B493" s="9"/>
      <c r="C493" s="44"/>
      <c r="D493" s="128">
        <f>Asset24</f>
        <v>0</v>
      </c>
      <c r="E493" s="9"/>
      <c r="F493" s="9"/>
      <c r="G493" s="194">
        <f>'Adjustment for previous period'!G389</f>
        <v>0</v>
      </c>
      <c r="H493" s="109">
        <f t="shared" ref="H493:Q493" si="18">H35*H$7</f>
        <v>0</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8"/>
      <c r="S493" s="99"/>
      <c r="T493" s="99"/>
      <c r="U493" s="99"/>
      <c r="V493" s="99"/>
      <c r="W493" s="99"/>
      <c r="X493" s="99"/>
      <c r="Y493" s="99"/>
      <c r="Z493" s="99"/>
      <c r="AA493" s="99"/>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99"/>
      <c r="BE493" s="99"/>
      <c r="BF493" s="99"/>
      <c r="BG493" s="99"/>
      <c r="BH493" s="99"/>
      <c r="BI493" s="99"/>
      <c r="BJ493" s="99"/>
      <c r="BK493" s="11"/>
      <c r="BL493" s="11"/>
    </row>
    <row r="494" spans="1:64" ht="4.5" hidden="1" customHeight="1" outlineLevel="1">
      <c r="A494" s="9"/>
      <c r="B494" s="9"/>
      <c r="C494" s="44"/>
      <c r="D494" s="128">
        <f>Asset25</f>
        <v>0</v>
      </c>
      <c r="E494" s="9"/>
      <c r="F494" s="9"/>
      <c r="G494" s="194">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8"/>
      <c r="S494" s="99"/>
      <c r="T494" s="99"/>
      <c r="U494" s="99"/>
      <c r="V494" s="99"/>
      <c r="W494" s="99"/>
      <c r="X494" s="99"/>
      <c r="Y494" s="99"/>
      <c r="Z494" s="99"/>
      <c r="AA494" s="99"/>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99"/>
      <c r="BE494" s="99"/>
      <c r="BF494" s="99"/>
      <c r="BG494" s="99"/>
      <c r="BH494" s="99"/>
      <c r="BI494" s="99"/>
      <c r="BJ494" s="99"/>
      <c r="BK494" s="11"/>
      <c r="BL494" s="11"/>
    </row>
    <row r="495" spans="1:64" ht="4.5" hidden="1" customHeight="1" outlineLevel="1">
      <c r="A495" s="9"/>
      <c r="B495" s="9"/>
      <c r="C495" s="44"/>
      <c r="D495" s="128">
        <f>Asset26</f>
        <v>0</v>
      </c>
      <c r="E495" s="9"/>
      <c r="F495" s="9"/>
      <c r="G495" s="194">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8"/>
      <c r="S495" s="99"/>
      <c r="T495" s="99"/>
      <c r="U495" s="99"/>
      <c r="V495" s="99"/>
      <c r="W495" s="99"/>
      <c r="X495" s="99"/>
      <c r="Y495" s="99"/>
      <c r="Z495" s="99"/>
      <c r="AA495" s="99"/>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99"/>
      <c r="BE495" s="99"/>
      <c r="BF495" s="99"/>
      <c r="BG495" s="99"/>
      <c r="BH495" s="99"/>
      <c r="BI495" s="99"/>
      <c r="BJ495" s="99"/>
      <c r="BK495" s="11"/>
      <c r="BL495" s="11"/>
    </row>
    <row r="496" spans="1:64" ht="4.5" hidden="1" customHeight="1" outlineLevel="1">
      <c r="A496" s="9"/>
      <c r="B496" s="9"/>
      <c r="C496" s="44"/>
      <c r="D496" s="128">
        <f>Asset27</f>
        <v>0</v>
      </c>
      <c r="E496" s="9"/>
      <c r="F496" s="9"/>
      <c r="G496" s="194">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8"/>
      <c r="S496" s="99"/>
      <c r="T496" s="99"/>
      <c r="U496" s="99"/>
      <c r="V496" s="99"/>
      <c r="W496" s="99"/>
      <c r="X496" s="99"/>
      <c r="Y496" s="99"/>
      <c r="Z496" s="99"/>
      <c r="AA496" s="99"/>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99"/>
      <c r="BE496" s="99"/>
      <c r="BF496" s="99"/>
      <c r="BG496" s="99"/>
      <c r="BH496" s="99"/>
      <c r="BI496" s="99"/>
      <c r="BJ496" s="99"/>
      <c r="BK496" s="11"/>
      <c r="BL496" s="11"/>
    </row>
    <row r="497" spans="1:64" ht="4.5" hidden="1" customHeight="1" outlineLevel="1">
      <c r="A497" s="9"/>
      <c r="B497" s="9"/>
      <c r="C497" s="44"/>
      <c r="D497" s="128">
        <f>Asset28</f>
        <v>0</v>
      </c>
      <c r="E497" s="9"/>
      <c r="F497" s="9"/>
      <c r="G497" s="194">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8"/>
      <c r="S497" s="99"/>
      <c r="T497" s="99"/>
      <c r="U497" s="99"/>
      <c r="V497" s="99"/>
      <c r="W497" s="99"/>
      <c r="X497" s="99"/>
      <c r="Y497" s="99"/>
      <c r="Z497" s="99"/>
      <c r="AA497" s="99"/>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99"/>
      <c r="BE497" s="99"/>
      <c r="BF497" s="99"/>
      <c r="BG497" s="99"/>
      <c r="BH497" s="99"/>
      <c r="BI497" s="99"/>
      <c r="BJ497" s="99"/>
      <c r="BK497" s="11"/>
      <c r="BL497" s="11"/>
    </row>
    <row r="498" spans="1:64" ht="4.5" hidden="1" customHeight="1" outlineLevel="1">
      <c r="A498" s="9"/>
      <c r="B498" s="9"/>
      <c r="C498" s="44"/>
      <c r="D498" s="128">
        <f>Asset29</f>
        <v>0</v>
      </c>
      <c r="E498" s="9"/>
      <c r="F498" s="9"/>
      <c r="G498" s="194">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8"/>
      <c r="S498" s="99"/>
      <c r="T498" s="99"/>
      <c r="U498" s="99"/>
      <c r="V498" s="99"/>
      <c r="W498" s="99"/>
      <c r="X498" s="99"/>
      <c r="Y498" s="99"/>
      <c r="Z498" s="99"/>
      <c r="AA498" s="99"/>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99"/>
      <c r="BE498" s="99"/>
      <c r="BF498" s="99"/>
      <c r="BG498" s="99"/>
      <c r="BH498" s="99"/>
      <c r="BI498" s="99"/>
      <c r="BJ498" s="99"/>
      <c r="BK498" s="11"/>
      <c r="BL498" s="11"/>
    </row>
    <row r="499" spans="1:64" ht="4.5" hidden="1" customHeight="1" outlineLevel="1">
      <c r="A499" s="9"/>
      <c r="B499" s="9"/>
      <c r="C499" s="44"/>
      <c r="D499" s="128">
        <f>Asset30</f>
        <v>0</v>
      </c>
      <c r="E499" s="9"/>
      <c r="F499" s="9"/>
      <c r="G499" s="194">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8"/>
      <c r="S499" s="99"/>
      <c r="T499" s="99"/>
      <c r="U499" s="99"/>
      <c r="V499" s="99"/>
      <c r="W499" s="99"/>
      <c r="X499" s="99"/>
      <c r="Y499" s="99"/>
      <c r="Z499" s="99"/>
      <c r="AA499" s="99"/>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99"/>
      <c r="BE499" s="99"/>
      <c r="BF499" s="99"/>
      <c r="BG499" s="99"/>
      <c r="BH499" s="99"/>
      <c r="BI499" s="99"/>
      <c r="BJ499" s="99"/>
      <c r="BK499" s="11"/>
      <c r="BL499" s="11"/>
    </row>
    <row r="500" spans="1:64" collapsed="1">
      <c r="A500" s="9"/>
      <c r="B500" s="9"/>
      <c r="C500" s="44"/>
      <c r="D500" s="112"/>
      <c r="E500" s="9"/>
      <c r="F500" s="9"/>
      <c r="G500" s="199"/>
      <c r="H500" s="36"/>
      <c r="I500" s="36"/>
      <c r="J500" s="36"/>
      <c r="K500" s="36"/>
      <c r="L500" s="36"/>
      <c r="M500" s="36"/>
      <c r="N500" s="28"/>
      <c r="O500" s="28"/>
      <c r="P500" s="28"/>
      <c r="Q500" s="28"/>
      <c r="R500" s="28"/>
      <c r="S500" s="99"/>
      <c r="T500" s="99"/>
      <c r="U500" s="99"/>
      <c r="V500" s="99"/>
      <c r="W500" s="99"/>
      <c r="X500" s="99"/>
      <c r="Y500" s="99"/>
      <c r="Z500" s="99"/>
      <c r="AA500" s="99"/>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99"/>
      <c r="BE500" s="99"/>
      <c r="BF500" s="99"/>
      <c r="BG500" s="99"/>
      <c r="BH500" s="99"/>
      <c r="BI500" s="99"/>
      <c r="BJ500" s="99"/>
      <c r="BK500" s="11"/>
      <c r="BL500" s="11"/>
    </row>
    <row r="501" spans="1:64">
      <c r="A501" s="9"/>
      <c r="B501" s="9"/>
      <c r="C501" s="219" t="s">
        <v>72</v>
      </c>
      <c r="D501" s="214"/>
      <c r="E501" s="9"/>
      <c r="F501" s="9"/>
      <c r="G501" s="192">
        <f>SUM(G502:G531)</f>
        <v>7.6463264939134206</v>
      </c>
      <c r="H501" s="36">
        <f>SUM(H502:H531)</f>
        <v>-128.43878374323333</v>
      </c>
      <c r="I501" s="36">
        <f t="shared" ref="I501:Q501" si="24">SUM(I502:I531)</f>
        <v>-71.387398805206146</v>
      </c>
      <c r="J501" s="36">
        <f t="shared" si="24"/>
        <v>-47.165676302532958</v>
      </c>
      <c r="K501" s="36">
        <f t="shared" si="24"/>
        <v>-242.52903430159057</v>
      </c>
      <c r="L501" s="36">
        <f t="shared" si="24"/>
        <v>-162.37177215123168</v>
      </c>
      <c r="M501" s="36">
        <f t="shared" si="24"/>
        <v>0</v>
      </c>
      <c r="N501" s="36">
        <f t="shared" si="24"/>
        <v>0</v>
      </c>
      <c r="O501" s="36">
        <f t="shared" si="24"/>
        <v>0</v>
      </c>
      <c r="P501" s="36">
        <f t="shared" si="24"/>
        <v>0</v>
      </c>
      <c r="Q501" s="36">
        <f t="shared" si="24"/>
        <v>0</v>
      </c>
      <c r="R501" s="28"/>
      <c r="S501" s="99"/>
      <c r="T501" s="99"/>
      <c r="U501" s="99"/>
      <c r="V501" s="99"/>
      <c r="W501" s="99"/>
      <c r="X501" s="99"/>
      <c r="Y501" s="99"/>
      <c r="Z501" s="99"/>
      <c r="AA501" s="99"/>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99"/>
      <c r="BE501" s="99"/>
      <c r="BF501" s="99"/>
      <c r="BG501" s="99"/>
      <c r="BH501" s="99"/>
      <c r="BI501" s="99"/>
      <c r="BJ501" s="99"/>
      <c r="BK501" s="11"/>
      <c r="BL501" s="11"/>
    </row>
    <row r="502" spans="1:64" ht="12.75" hidden="1" customHeight="1" outlineLevel="1">
      <c r="A502" s="9"/>
      <c r="B502" s="9"/>
      <c r="C502" s="44"/>
      <c r="D502" s="128" t="str">
        <f>Asset1</f>
        <v>Sub-transmission lines and cables</v>
      </c>
      <c r="E502" s="9"/>
      <c r="F502" s="9"/>
      <c r="G502" s="194">
        <f>'Adjustment for previous period'!G398</f>
        <v>-3.4084223005991499</v>
      </c>
      <c r="H502" s="109">
        <f>H632+H666</f>
        <v>-12.132555089776853</v>
      </c>
      <c r="I502" s="109">
        <f t="shared" ref="I502:Q502" si="25">I632+I666</f>
        <v>-5.701692453383103</v>
      </c>
      <c r="J502" s="109">
        <f t="shared" si="25"/>
        <v>-1.2050580405415374</v>
      </c>
      <c r="K502" s="109">
        <f t="shared" si="25"/>
        <v>-16.743345494508979</v>
      </c>
      <c r="L502" s="109">
        <f t="shared" si="25"/>
        <v>-10.738881410739975</v>
      </c>
      <c r="M502" s="109">
        <f t="shared" si="25"/>
        <v>0</v>
      </c>
      <c r="N502" s="109">
        <f t="shared" si="25"/>
        <v>0</v>
      </c>
      <c r="O502" s="109">
        <f t="shared" si="25"/>
        <v>0</v>
      </c>
      <c r="P502" s="109">
        <f t="shared" si="25"/>
        <v>0</v>
      </c>
      <c r="Q502" s="109">
        <f t="shared" si="25"/>
        <v>0</v>
      </c>
      <c r="R502" s="28"/>
      <c r="S502" s="99"/>
      <c r="T502" s="99"/>
      <c r="U502" s="99"/>
      <c r="V502" s="99"/>
      <c r="W502" s="99"/>
      <c r="X502" s="99"/>
      <c r="Y502" s="99"/>
      <c r="Z502" s="99"/>
      <c r="AA502" s="99"/>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99"/>
      <c r="BE502" s="99"/>
      <c r="BF502" s="99"/>
      <c r="BG502" s="99"/>
      <c r="BH502" s="99"/>
      <c r="BI502" s="99"/>
      <c r="BJ502" s="99"/>
      <c r="BK502" s="11"/>
      <c r="BL502" s="11"/>
    </row>
    <row r="503" spans="1:64" ht="12.75" hidden="1" customHeight="1" outlineLevel="1">
      <c r="A503" s="9"/>
      <c r="B503" s="9"/>
      <c r="C503" s="44"/>
      <c r="D503" s="128" t="str">
        <f>Asset2</f>
        <v>Cable tunnel (dx)</v>
      </c>
      <c r="E503" s="9"/>
      <c r="F503" s="9"/>
      <c r="G503" s="194">
        <f>'Adjustment for previous period'!G399</f>
        <v>0.98400254874549298</v>
      </c>
      <c r="H503" s="109">
        <f t="shared" ref="H503:Q531" si="26">H633+H667</f>
        <v>0.2148973508295593</v>
      </c>
      <c r="I503" s="109">
        <f t="shared" si="26"/>
        <v>0.91084569599192711</v>
      </c>
      <c r="J503" s="109">
        <f t="shared" si="26"/>
        <v>1.2916742468486364</v>
      </c>
      <c r="K503" s="109">
        <f t="shared" si="26"/>
        <v>0.13783814585350562</v>
      </c>
      <c r="L503" s="109">
        <f t="shared" si="26"/>
        <v>1.2048414878757785</v>
      </c>
      <c r="M503" s="109">
        <f t="shared" si="26"/>
        <v>0</v>
      </c>
      <c r="N503" s="109">
        <f t="shared" si="26"/>
        <v>0</v>
      </c>
      <c r="O503" s="109">
        <f t="shared" si="26"/>
        <v>0</v>
      </c>
      <c r="P503" s="109">
        <f t="shared" si="26"/>
        <v>0</v>
      </c>
      <c r="Q503" s="109">
        <f t="shared" si="26"/>
        <v>0</v>
      </c>
      <c r="R503" s="28"/>
      <c r="S503" s="99"/>
      <c r="T503" s="99"/>
      <c r="U503" s="99"/>
      <c r="V503" s="99"/>
      <c r="W503" s="99"/>
      <c r="X503" s="99"/>
      <c r="Y503" s="99"/>
      <c r="Z503" s="99"/>
      <c r="AA503" s="99"/>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99"/>
      <c r="BE503" s="99"/>
      <c r="BF503" s="99"/>
      <c r="BG503" s="99"/>
      <c r="BH503" s="99"/>
      <c r="BI503" s="99"/>
      <c r="BJ503" s="99"/>
      <c r="BK503" s="11"/>
      <c r="BL503" s="11"/>
    </row>
    <row r="504" spans="1:64" ht="12.75" hidden="1" customHeight="1" outlineLevel="1">
      <c r="A504" s="9"/>
      <c r="B504" s="9"/>
      <c r="C504" s="44"/>
      <c r="D504" s="128" t="str">
        <f>Asset3</f>
        <v>Distribution lines and cables</v>
      </c>
      <c r="E504" s="9"/>
      <c r="F504" s="9"/>
      <c r="G504" s="194">
        <f>'Adjustment for previous period'!G400</f>
        <v>32.3580732625907</v>
      </c>
      <c r="H504" s="109">
        <f t="shared" si="26"/>
        <v>-8.6877099256425439</v>
      </c>
      <c r="I504" s="109">
        <f t="shared" si="26"/>
        <v>11.921426684556749</v>
      </c>
      <c r="J504" s="109">
        <f t="shared" si="26"/>
        <v>27.074713677447065</v>
      </c>
      <c r="K504" s="109">
        <f t="shared" si="26"/>
        <v>-13.30593514655623</v>
      </c>
      <c r="L504" s="109">
        <f t="shared" si="26"/>
        <v>6.0036746510427719</v>
      </c>
      <c r="M504" s="109">
        <f t="shared" si="26"/>
        <v>0</v>
      </c>
      <c r="N504" s="109">
        <f t="shared" si="26"/>
        <v>0</v>
      </c>
      <c r="O504" s="109">
        <f t="shared" si="26"/>
        <v>0</v>
      </c>
      <c r="P504" s="109">
        <f t="shared" si="26"/>
        <v>0</v>
      </c>
      <c r="Q504" s="109">
        <f t="shared" si="26"/>
        <v>0</v>
      </c>
      <c r="R504" s="28"/>
      <c r="S504" s="99"/>
      <c r="T504" s="99"/>
      <c r="U504" s="99"/>
      <c r="V504" s="99"/>
      <c r="W504" s="99"/>
      <c r="X504" s="99"/>
      <c r="Y504" s="99"/>
      <c r="Z504" s="99"/>
      <c r="AA504" s="99"/>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99"/>
      <c r="BE504" s="99"/>
      <c r="BF504" s="99"/>
      <c r="BG504" s="99"/>
      <c r="BH504" s="99"/>
      <c r="BI504" s="99"/>
      <c r="BJ504" s="99"/>
      <c r="BK504" s="11"/>
      <c r="BL504" s="11"/>
    </row>
    <row r="505" spans="1:64" ht="12.75" hidden="1" customHeight="1" outlineLevel="1">
      <c r="A505" s="9"/>
      <c r="B505" s="9"/>
      <c r="C505" s="44"/>
      <c r="D505" s="128" t="str">
        <f>Asset4</f>
        <v>Substations</v>
      </c>
      <c r="E505" s="9"/>
      <c r="F505" s="9"/>
      <c r="G505" s="194">
        <f>'Adjustment for previous period'!G401</f>
        <v>-2.4798460213513902</v>
      </c>
      <c r="H505" s="109">
        <f t="shared" si="26"/>
        <v>-29.099684355507705</v>
      </c>
      <c r="I505" s="109">
        <f t="shared" si="26"/>
        <v>-8.0463861710645546</v>
      </c>
      <c r="J505" s="109">
        <f t="shared" si="26"/>
        <v>6.4583677910746502</v>
      </c>
      <c r="K505" s="109">
        <f t="shared" si="26"/>
        <v>-41.728010555192917</v>
      </c>
      <c r="L505" s="109">
        <f t="shared" si="26"/>
        <v>-22.286402259761303</v>
      </c>
      <c r="M505" s="109">
        <f t="shared" si="26"/>
        <v>0</v>
      </c>
      <c r="N505" s="109">
        <f t="shared" si="26"/>
        <v>0</v>
      </c>
      <c r="O505" s="109">
        <f t="shared" si="26"/>
        <v>0</v>
      </c>
      <c r="P505" s="109">
        <f t="shared" si="26"/>
        <v>0</v>
      </c>
      <c r="Q505" s="109">
        <f t="shared" si="26"/>
        <v>0</v>
      </c>
      <c r="R505" s="28"/>
      <c r="S505" s="99"/>
      <c r="T505" s="99"/>
      <c r="U505" s="99"/>
      <c r="V505" s="99"/>
      <c r="W505" s="99"/>
      <c r="X505" s="99"/>
      <c r="Y505" s="99"/>
      <c r="Z505" s="99"/>
      <c r="AA505" s="99"/>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99"/>
      <c r="BE505" s="99"/>
      <c r="BF505" s="99"/>
      <c r="BG505" s="99"/>
      <c r="BH505" s="99"/>
      <c r="BI505" s="99"/>
      <c r="BJ505" s="99"/>
      <c r="BK505" s="11"/>
      <c r="BL505" s="11"/>
    </row>
    <row r="506" spans="1:64" ht="12.75" hidden="1" customHeight="1" outlineLevel="1">
      <c r="A506" s="9"/>
      <c r="B506" s="9"/>
      <c r="C506" s="44"/>
      <c r="D506" s="128" t="str">
        <f>Asset5</f>
        <v>Transformers</v>
      </c>
      <c r="E506" s="9"/>
      <c r="F506" s="9"/>
      <c r="G506" s="194">
        <f>'Adjustment for previous period'!G402</f>
        <v>-2.1690686637323902</v>
      </c>
      <c r="H506" s="109">
        <f t="shared" si="26"/>
        <v>-9.2864394870668203</v>
      </c>
      <c r="I506" s="109">
        <f t="shared" si="26"/>
        <v>-4.7126053588167061</v>
      </c>
      <c r="J506" s="109">
        <f t="shared" si="26"/>
        <v>-1.6739102169740896</v>
      </c>
      <c r="K506" s="109">
        <f t="shared" si="26"/>
        <v>-12.376991861827888</v>
      </c>
      <c r="L506" s="109">
        <f t="shared" si="26"/>
        <v>-8.5519150895884515</v>
      </c>
      <c r="M506" s="109">
        <f t="shared" si="26"/>
        <v>0</v>
      </c>
      <c r="N506" s="109">
        <f t="shared" si="26"/>
        <v>0</v>
      </c>
      <c r="O506" s="109">
        <f t="shared" si="26"/>
        <v>0</v>
      </c>
      <c r="P506" s="109">
        <f t="shared" si="26"/>
        <v>0</v>
      </c>
      <c r="Q506" s="109">
        <f t="shared" si="26"/>
        <v>0</v>
      </c>
      <c r="R506" s="28"/>
      <c r="S506" s="99"/>
      <c r="T506" s="99"/>
      <c r="U506" s="99"/>
      <c r="V506" s="99"/>
      <c r="W506" s="99"/>
      <c r="X506" s="99"/>
      <c r="Y506" s="99"/>
      <c r="Z506" s="99"/>
      <c r="AA506" s="99"/>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99"/>
      <c r="BE506" s="99"/>
      <c r="BF506" s="99"/>
      <c r="BG506" s="99"/>
      <c r="BH506" s="99"/>
      <c r="BI506" s="99"/>
      <c r="BJ506" s="99"/>
      <c r="BK506" s="11"/>
      <c r="BL506" s="11"/>
    </row>
    <row r="507" spans="1:64" ht="12.75" hidden="1" customHeight="1" outlineLevel="1">
      <c r="A507" s="9"/>
      <c r="B507" s="9"/>
      <c r="C507" s="44"/>
      <c r="D507" s="128" t="str">
        <f>Asset6</f>
        <v>Low Voltage Lines and Cables</v>
      </c>
      <c r="E507" s="9"/>
      <c r="F507" s="9"/>
      <c r="G507" s="194">
        <f>'Adjustment for previous period'!G403</f>
        <v>9.1007699457152604</v>
      </c>
      <c r="H507" s="109">
        <f t="shared" si="26"/>
        <v>-9.0025536128496757</v>
      </c>
      <c r="I507" s="109">
        <f t="shared" si="26"/>
        <v>-0.79184655755729239</v>
      </c>
      <c r="J507" s="109">
        <f t="shared" si="26"/>
        <v>5.4041710134692167</v>
      </c>
      <c r="K507" s="109">
        <f t="shared" si="26"/>
        <v>-12.658132945476112</v>
      </c>
      <c r="L507" s="109">
        <f t="shared" si="26"/>
        <v>-4.3993020113478281</v>
      </c>
      <c r="M507" s="109">
        <f t="shared" si="26"/>
        <v>0</v>
      </c>
      <c r="N507" s="109">
        <f t="shared" si="26"/>
        <v>0</v>
      </c>
      <c r="O507" s="109">
        <f t="shared" si="26"/>
        <v>0</v>
      </c>
      <c r="P507" s="109">
        <f t="shared" si="26"/>
        <v>0</v>
      </c>
      <c r="Q507" s="109">
        <f t="shared" si="26"/>
        <v>0</v>
      </c>
      <c r="R507" s="28"/>
      <c r="S507" s="99"/>
      <c r="T507" s="99"/>
      <c r="U507" s="99"/>
      <c r="V507" s="99"/>
      <c r="W507" s="99"/>
      <c r="X507" s="99"/>
      <c r="Y507" s="99"/>
      <c r="Z507" s="99"/>
      <c r="AA507" s="99"/>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99"/>
      <c r="BE507" s="99"/>
      <c r="BF507" s="99"/>
      <c r="BG507" s="99"/>
      <c r="BH507" s="99"/>
      <c r="BI507" s="99"/>
      <c r="BJ507" s="99"/>
      <c r="BK507" s="11"/>
      <c r="BL507" s="11"/>
    </row>
    <row r="508" spans="1:64" ht="12.75" hidden="1" customHeight="1" outlineLevel="1">
      <c r="A508" s="9"/>
      <c r="B508" s="9"/>
      <c r="C508" s="44"/>
      <c r="D508" s="128" t="str">
        <f>Asset7</f>
        <v>Customer Metering and Load Control</v>
      </c>
      <c r="E508" s="9"/>
      <c r="F508" s="9"/>
      <c r="G508" s="194">
        <f>'Adjustment for previous period'!G404</f>
        <v>-2.5794350532511898</v>
      </c>
      <c r="H508" s="109">
        <f t="shared" si="26"/>
        <v>-8.3168785321646688</v>
      </c>
      <c r="I508" s="109">
        <f t="shared" si="26"/>
        <v>-6.3747702030904732</v>
      </c>
      <c r="J508" s="109">
        <f t="shared" si="26"/>
        <v>-5.7181904576023088</v>
      </c>
      <c r="K508" s="109">
        <f t="shared" si="26"/>
        <v>-9.8647861487506781</v>
      </c>
      <c r="L508" s="109">
        <f t="shared" si="26"/>
        <v>-8.8667473570861723</v>
      </c>
      <c r="M508" s="109">
        <f t="shared" si="26"/>
        <v>0</v>
      </c>
      <c r="N508" s="109">
        <f t="shared" si="26"/>
        <v>0</v>
      </c>
      <c r="O508" s="109">
        <f t="shared" si="26"/>
        <v>0</v>
      </c>
      <c r="P508" s="109">
        <f t="shared" si="26"/>
        <v>0</v>
      </c>
      <c r="Q508" s="109">
        <f t="shared" si="26"/>
        <v>0</v>
      </c>
      <c r="R508" s="28"/>
      <c r="S508" s="99"/>
      <c r="T508" s="99"/>
      <c r="U508" s="99"/>
      <c r="V508" s="99"/>
      <c r="W508" s="99"/>
      <c r="X508" s="99"/>
      <c r="Y508" s="99"/>
      <c r="Z508" s="99"/>
      <c r="AA508" s="99"/>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99"/>
      <c r="BE508" s="99"/>
      <c r="BF508" s="99"/>
      <c r="BG508" s="99"/>
      <c r="BH508" s="99"/>
      <c r="BI508" s="99"/>
      <c r="BJ508" s="99"/>
      <c r="BK508" s="11"/>
      <c r="BL508" s="11"/>
    </row>
    <row r="509" spans="1:64" ht="12.75" hidden="1" customHeight="1" outlineLevel="1">
      <c r="A509" s="9"/>
      <c r="B509" s="9"/>
      <c r="C509" s="44"/>
      <c r="D509" s="128" t="str">
        <f>Asset8</f>
        <v>Customer Metering (digital)</v>
      </c>
      <c r="E509" s="9"/>
      <c r="F509" s="9"/>
      <c r="G509" s="194">
        <f>'Adjustment for previous period'!G405</f>
        <v>0</v>
      </c>
      <c r="H509" s="109">
        <f t="shared" si="26"/>
        <v>0</v>
      </c>
      <c r="I509" s="109">
        <f t="shared" si="26"/>
        <v>-0.92444303062282573</v>
      </c>
      <c r="J509" s="109">
        <f t="shared" si="26"/>
        <v>-1.9528963471313774</v>
      </c>
      <c r="K509" s="109">
        <f t="shared" si="26"/>
        <v>-4.1674770525262925</v>
      </c>
      <c r="L509" s="109">
        <f t="shared" si="26"/>
        <v>-4.5894871956623806</v>
      </c>
      <c r="M509" s="109">
        <f t="shared" si="26"/>
        <v>0</v>
      </c>
      <c r="N509" s="109">
        <f t="shared" si="26"/>
        <v>0</v>
      </c>
      <c r="O509" s="109">
        <f t="shared" si="26"/>
        <v>0</v>
      </c>
      <c r="P509" s="109">
        <f t="shared" si="26"/>
        <v>0</v>
      </c>
      <c r="Q509" s="109">
        <f t="shared" si="26"/>
        <v>0</v>
      </c>
      <c r="R509" s="28"/>
      <c r="S509" s="99"/>
      <c r="T509" s="99"/>
      <c r="U509" s="99"/>
      <c r="V509" s="99"/>
      <c r="W509" s="99"/>
      <c r="X509" s="99"/>
      <c r="Y509" s="99"/>
      <c r="Z509" s="99"/>
      <c r="AA509" s="99"/>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99"/>
      <c r="BE509" s="99"/>
      <c r="BF509" s="99"/>
      <c r="BG509" s="99"/>
      <c r="BH509" s="99"/>
      <c r="BI509" s="99"/>
      <c r="BJ509" s="99"/>
      <c r="BK509" s="11"/>
      <c r="BL509" s="11"/>
    </row>
    <row r="510" spans="1:64" ht="12.75" hidden="1" customHeight="1" outlineLevel="1">
      <c r="A510" s="9"/>
      <c r="B510" s="9"/>
      <c r="C510" s="44"/>
      <c r="D510" s="128" t="str">
        <f>Asset9</f>
        <v>Communications (digital) - dx</v>
      </c>
      <c r="E510" s="9"/>
      <c r="F510" s="9"/>
      <c r="G510" s="194">
        <f>'Adjustment for previous period'!G406</f>
        <v>0</v>
      </c>
      <c r="H510" s="109">
        <f t="shared" si="26"/>
        <v>0</v>
      </c>
      <c r="I510" s="109">
        <f t="shared" si="26"/>
        <v>-1.6312265746257482</v>
      </c>
      <c r="J510" s="109">
        <f t="shared" si="26"/>
        <v>-1.7140141815403678</v>
      </c>
      <c r="K510" s="109">
        <f t="shared" si="26"/>
        <v>-2.2762464410558199</v>
      </c>
      <c r="L510" s="109">
        <f t="shared" si="26"/>
        <v>-1.9740298257953663</v>
      </c>
      <c r="M510" s="109">
        <f t="shared" si="26"/>
        <v>0</v>
      </c>
      <c r="N510" s="109">
        <f t="shared" si="26"/>
        <v>0</v>
      </c>
      <c r="O510" s="109">
        <f t="shared" si="26"/>
        <v>0</v>
      </c>
      <c r="P510" s="109">
        <f t="shared" si="26"/>
        <v>0</v>
      </c>
      <c r="Q510" s="109">
        <f t="shared" si="26"/>
        <v>0</v>
      </c>
      <c r="R510" s="28"/>
      <c r="S510" s="99"/>
      <c r="T510" s="99"/>
      <c r="U510" s="99"/>
      <c r="V510" s="99"/>
      <c r="W510" s="99"/>
      <c r="X510" s="99"/>
      <c r="Y510" s="99"/>
      <c r="Z510" s="99"/>
      <c r="AA510" s="99"/>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99"/>
      <c r="BE510" s="99"/>
      <c r="BF510" s="99"/>
      <c r="BG510" s="99"/>
      <c r="BH510" s="99"/>
      <c r="BI510" s="99"/>
      <c r="BJ510" s="99"/>
      <c r="BK510" s="11"/>
      <c r="BL510" s="11"/>
    </row>
    <row r="511" spans="1:64" ht="12.75" hidden="1" customHeight="1" outlineLevel="1">
      <c r="A511" s="9"/>
      <c r="B511" s="9"/>
      <c r="C511" s="44"/>
      <c r="D511" s="128" t="str">
        <f>Asset10</f>
        <v>Total Communications</v>
      </c>
      <c r="E511" s="9"/>
      <c r="F511" s="9"/>
      <c r="G511" s="194">
        <f>'Adjustment for previous period'!G407</f>
        <v>-11.1703111163889</v>
      </c>
      <c r="H511" s="109">
        <f t="shared" si="26"/>
        <v>-14.686434188814133</v>
      </c>
      <c r="I511" s="109">
        <f t="shared" si="26"/>
        <v>-14.236243318639545</v>
      </c>
      <c r="J511" s="109">
        <f t="shared" si="26"/>
        <v>-14.575722107917496</v>
      </c>
      <c r="K511" s="109">
        <f t="shared" si="26"/>
        <v>-17.139522943789427</v>
      </c>
      <c r="L511" s="109">
        <f t="shared" si="26"/>
        <v>-17.274241168517701</v>
      </c>
      <c r="M511" s="109">
        <f t="shared" si="26"/>
        <v>0</v>
      </c>
      <c r="N511" s="109">
        <f t="shared" si="26"/>
        <v>0</v>
      </c>
      <c r="O511" s="109">
        <f t="shared" si="26"/>
        <v>0</v>
      </c>
      <c r="P511" s="109">
        <f t="shared" si="26"/>
        <v>0</v>
      </c>
      <c r="Q511" s="109">
        <f t="shared" si="26"/>
        <v>0</v>
      </c>
      <c r="R511" s="28"/>
      <c r="S511" s="99"/>
      <c r="T511" s="99"/>
      <c r="U511" s="99"/>
      <c r="V511" s="99"/>
      <c r="W511" s="99"/>
      <c r="X511" s="99"/>
      <c r="Y511" s="99"/>
      <c r="Z511" s="99"/>
      <c r="AA511" s="99"/>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99"/>
      <c r="BE511" s="99"/>
      <c r="BF511" s="99"/>
      <c r="BG511" s="99"/>
      <c r="BH511" s="99"/>
      <c r="BI511" s="99"/>
      <c r="BJ511" s="99"/>
      <c r="BK511" s="11"/>
      <c r="BL511" s="11"/>
    </row>
    <row r="512" spans="1:64" ht="12.75" hidden="1" customHeight="1" outlineLevel="1">
      <c r="A512" s="9"/>
      <c r="B512" s="9"/>
      <c r="C512" s="44"/>
      <c r="D512" s="128" t="str">
        <f>Asset11</f>
        <v>System IT (dx)</v>
      </c>
      <c r="E512" s="9"/>
      <c r="F512" s="9"/>
      <c r="G512" s="194">
        <f>'Adjustment for previous period'!G408</f>
        <v>0</v>
      </c>
      <c r="H512" s="109">
        <f t="shared" si="26"/>
        <v>0</v>
      </c>
      <c r="I512" s="109">
        <f t="shared" si="26"/>
        <v>-3.5354568362900349</v>
      </c>
      <c r="J512" s="109">
        <f t="shared" si="26"/>
        <v>-15.600433314378041</v>
      </c>
      <c r="K512" s="109">
        <f t="shared" si="26"/>
        <v>-31.280446567961686</v>
      </c>
      <c r="L512" s="109">
        <f t="shared" si="26"/>
        <v>-37.82335849925267</v>
      </c>
      <c r="M512" s="109">
        <f t="shared" si="26"/>
        <v>0</v>
      </c>
      <c r="N512" s="109">
        <f t="shared" si="26"/>
        <v>0</v>
      </c>
      <c r="O512" s="109">
        <f t="shared" si="26"/>
        <v>0</v>
      </c>
      <c r="P512" s="109">
        <f t="shared" si="26"/>
        <v>0</v>
      </c>
      <c r="Q512" s="109">
        <f t="shared" si="26"/>
        <v>0</v>
      </c>
      <c r="R512" s="28"/>
      <c r="S512" s="99"/>
      <c r="T512" s="99"/>
      <c r="U512" s="99"/>
      <c r="V512" s="99"/>
      <c r="W512" s="99"/>
      <c r="X512" s="99"/>
      <c r="Y512" s="99"/>
      <c r="Z512" s="99"/>
      <c r="AA512" s="99"/>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99"/>
      <c r="BE512" s="99"/>
      <c r="BF512" s="99"/>
      <c r="BG512" s="99"/>
      <c r="BH512" s="99"/>
      <c r="BI512" s="99"/>
      <c r="BJ512" s="99"/>
      <c r="BK512" s="11"/>
      <c r="BL512" s="11"/>
    </row>
    <row r="513" spans="1:64" ht="12.75" hidden="1" customHeight="1" outlineLevel="1">
      <c r="A513" s="9"/>
      <c r="B513" s="9"/>
      <c r="C513" s="44"/>
      <c r="D513" s="128" t="str">
        <f>Asset12</f>
        <v>Ancillary substation equipment (dx)</v>
      </c>
      <c r="E513" s="9"/>
      <c r="F513" s="9"/>
      <c r="G513" s="194">
        <f>'Adjustment for previous period'!G409</f>
        <v>0</v>
      </c>
      <c r="H513" s="109">
        <f t="shared" si="26"/>
        <v>0</v>
      </c>
      <c r="I513" s="109">
        <f t="shared" si="26"/>
        <v>-1.1125072445053403</v>
      </c>
      <c r="J513" s="109">
        <f t="shared" si="26"/>
        <v>-1.3053542017771131</v>
      </c>
      <c r="K513" s="109">
        <f t="shared" si="26"/>
        <v>-2.7559076854116724</v>
      </c>
      <c r="L513" s="109">
        <f t="shared" si="26"/>
        <v>-2.9542532339505776</v>
      </c>
      <c r="M513" s="109">
        <f t="shared" si="26"/>
        <v>0</v>
      </c>
      <c r="N513" s="109">
        <f t="shared" si="26"/>
        <v>0</v>
      </c>
      <c r="O513" s="109">
        <f t="shared" si="26"/>
        <v>0</v>
      </c>
      <c r="P513" s="109">
        <f t="shared" si="26"/>
        <v>0</v>
      </c>
      <c r="Q513" s="109">
        <f t="shared" si="26"/>
        <v>0</v>
      </c>
      <c r="R513" s="28"/>
      <c r="S513" s="99"/>
      <c r="T513" s="99"/>
      <c r="U513" s="99"/>
      <c r="V513" s="99"/>
      <c r="W513" s="99"/>
      <c r="X513" s="99"/>
      <c r="Y513" s="99"/>
      <c r="Z513" s="99"/>
      <c r="AA513" s="99"/>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99"/>
      <c r="BE513" s="99"/>
      <c r="BF513" s="99"/>
      <c r="BG513" s="99"/>
      <c r="BH513" s="99"/>
      <c r="BI513" s="99"/>
      <c r="BJ513" s="99"/>
      <c r="BK513" s="11"/>
      <c r="BL513" s="11"/>
    </row>
    <row r="514" spans="1:64" ht="12.75" hidden="1" customHeight="1" outlineLevel="1">
      <c r="A514" s="9"/>
      <c r="B514" s="9"/>
      <c r="C514" s="44"/>
      <c r="D514" s="128" t="str">
        <f>Asset13</f>
        <v>Land and Easements</v>
      </c>
      <c r="E514" s="9"/>
      <c r="F514" s="9"/>
      <c r="G514" s="194">
        <f>'Adjustment for previous period'!G410</f>
        <v>20.3952737522952</v>
      </c>
      <c r="H514" s="109">
        <f t="shared" si="26"/>
        <v>8.8882189522909201</v>
      </c>
      <c r="I514" s="109">
        <f t="shared" si="26"/>
        <v>15.130045599496764</v>
      </c>
      <c r="J514" s="109">
        <f t="shared" si="26"/>
        <v>19.121871983942089</v>
      </c>
      <c r="K514" s="109">
        <f t="shared" si="26"/>
        <v>10.565002819956888</v>
      </c>
      <c r="L514" s="109">
        <f t="shared" si="26"/>
        <v>15.189151502855488</v>
      </c>
      <c r="M514" s="109">
        <f t="shared" si="26"/>
        <v>0</v>
      </c>
      <c r="N514" s="109">
        <f t="shared" si="26"/>
        <v>0</v>
      </c>
      <c r="O514" s="109">
        <f t="shared" si="26"/>
        <v>0</v>
      </c>
      <c r="P514" s="109">
        <f t="shared" si="26"/>
        <v>0</v>
      </c>
      <c r="Q514" s="109">
        <f t="shared" si="26"/>
        <v>0</v>
      </c>
      <c r="R514" s="28"/>
      <c r="S514" s="99"/>
      <c r="T514" s="99"/>
      <c r="U514" s="99"/>
      <c r="V514" s="99"/>
      <c r="W514" s="99"/>
      <c r="X514" s="99"/>
      <c r="Y514" s="99"/>
      <c r="Z514" s="99"/>
      <c r="AA514" s="99"/>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99"/>
      <c r="BE514" s="99"/>
      <c r="BF514" s="99"/>
      <c r="BG514" s="99"/>
      <c r="BH514" s="99"/>
      <c r="BI514" s="99"/>
      <c r="BJ514" s="99"/>
      <c r="BK514" s="11"/>
      <c r="BL514" s="11"/>
    </row>
    <row r="515" spans="1:64" ht="12.75" hidden="1" customHeight="1" outlineLevel="1">
      <c r="A515" s="9"/>
      <c r="B515" s="9"/>
      <c r="C515" s="44"/>
      <c r="D515" s="128" t="str">
        <f>Asset14</f>
        <v>Emergency Spares (Major Plant, Excludes Inventory)</v>
      </c>
      <c r="E515" s="9"/>
      <c r="F515" s="9"/>
      <c r="G515" s="194">
        <f>'Adjustment for previous period'!G411</f>
        <v>2.4603671317953602</v>
      </c>
      <c r="H515" s="109">
        <f t="shared" si="26"/>
        <v>0.71687021733293232</v>
      </c>
      <c r="I515" s="109">
        <f t="shared" si="26"/>
        <v>1.1410184292549235</v>
      </c>
      <c r="J515" s="109">
        <f t="shared" si="26"/>
        <v>1.3978969237992027</v>
      </c>
      <c r="K515" s="109">
        <f t="shared" si="26"/>
        <v>0.75168171911477422</v>
      </c>
      <c r="L515" s="109">
        <f t="shared" si="26"/>
        <v>1.0630927170337503</v>
      </c>
      <c r="M515" s="109">
        <f t="shared" si="26"/>
        <v>0</v>
      </c>
      <c r="N515" s="109">
        <f t="shared" si="26"/>
        <v>0</v>
      </c>
      <c r="O515" s="109">
        <f t="shared" si="26"/>
        <v>0</v>
      </c>
      <c r="P515" s="109">
        <f t="shared" si="26"/>
        <v>0</v>
      </c>
      <c r="Q515" s="109">
        <f t="shared" si="26"/>
        <v>0</v>
      </c>
      <c r="R515" s="28"/>
      <c r="S515" s="99"/>
      <c r="T515" s="99"/>
      <c r="U515" s="99"/>
      <c r="V515" s="99"/>
      <c r="W515" s="99"/>
      <c r="X515" s="99"/>
      <c r="Y515" s="99"/>
      <c r="Z515" s="99"/>
      <c r="AA515" s="99"/>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99"/>
      <c r="BE515" s="99"/>
      <c r="BF515" s="99"/>
      <c r="BG515" s="99"/>
      <c r="BH515" s="99"/>
      <c r="BI515" s="99"/>
      <c r="BJ515" s="99"/>
      <c r="BK515" s="11"/>
      <c r="BL515" s="11"/>
    </row>
    <row r="516" spans="1:64" ht="12.75" hidden="1" customHeight="1" outlineLevel="1">
      <c r="A516" s="9"/>
      <c r="B516" s="9"/>
      <c r="C516" s="44"/>
      <c r="D516" s="128" t="str">
        <f>Asset15</f>
        <v>Furniture, fittings, plant and equipment</v>
      </c>
      <c r="E516" s="9"/>
      <c r="F516" s="9"/>
      <c r="G516" s="194">
        <f>'Adjustment for previous period'!G412</f>
        <v>-2.5768657614300801</v>
      </c>
      <c r="H516" s="109">
        <f t="shared" si="26"/>
        <v>-1.5865025263012824</v>
      </c>
      <c r="I516" s="109">
        <f t="shared" si="26"/>
        <v>-1.6050018876291867</v>
      </c>
      <c r="J516" s="109">
        <f t="shared" si="26"/>
        <v>-1.7226007069068761</v>
      </c>
      <c r="K516" s="109">
        <f t="shared" si="26"/>
        <v>-2.7889616571725697</v>
      </c>
      <c r="L516" s="109">
        <f t="shared" si="26"/>
        <v>-2.7637034184335021</v>
      </c>
      <c r="M516" s="109">
        <f t="shared" si="26"/>
        <v>0</v>
      </c>
      <c r="N516" s="109">
        <f t="shared" si="26"/>
        <v>0</v>
      </c>
      <c r="O516" s="109">
        <f t="shared" si="26"/>
        <v>0</v>
      </c>
      <c r="P516" s="109">
        <f t="shared" si="26"/>
        <v>0</v>
      </c>
      <c r="Q516" s="109">
        <f t="shared" si="26"/>
        <v>0</v>
      </c>
      <c r="R516" s="28"/>
      <c r="S516" s="99"/>
      <c r="T516" s="99"/>
      <c r="U516" s="99"/>
      <c r="V516" s="99"/>
      <c r="W516" s="99"/>
      <c r="X516" s="99"/>
      <c r="Y516" s="99"/>
      <c r="Z516" s="99"/>
      <c r="AA516" s="99"/>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99"/>
      <c r="BE516" s="99"/>
      <c r="BF516" s="99"/>
      <c r="BG516" s="99"/>
      <c r="BH516" s="99"/>
      <c r="BI516" s="99"/>
      <c r="BJ516" s="99"/>
      <c r="BK516" s="11"/>
      <c r="BL516" s="11"/>
    </row>
    <row r="517" spans="1:64" ht="12.75" hidden="1" customHeight="1" outlineLevel="1">
      <c r="A517" s="9"/>
      <c r="B517" s="9"/>
      <c r="C517" s="44"/>
      <c r="D517" s="128" t="str">
        <f>Asset16</f>
        <v>Land (non-system)</v>
      </c>
      <c r="E517" s="9"/>
      <c r="F517" s="9"/>
      <c r="G517" s="194">
        <f>'Adjustment for previous period'!G413</f>
        <v>1.02416594458548</v>
      </c>
      <c r="H517" s="109">
        <f t="shared" si="26"/>
        <v>0.85587864575141059</v>
      </c>
      <c r="I517" s="109">
        <f t="shared" si="26"/>
        <v>1.9163819010466088</v>
      </c>
      <c r="J517" s="109">
        <f t="shared" si="26"/>
        <v>2.5681471476739723</v>
      </c>
      <c r="K517" s="109">
        <f t="shared" si="26"/>
        <v>1.5284090818736935</v>
      </c>
      <c r="L517" s="109">
        <f t="shared" si="26"/>
        <v>2.1587650014089301</v>
      </c>
      <c r="M517" s="109">
        <f t="shared" si="26"/>
        <v>0</v>
      </c>
      <c r="N517" s="109">
        <f t="shared" si="26"/>
        <v>0</v>
      </c>
      <c r="O517" s="109">
        <f t="shared" si="26"/>
        <v>0</v>
      </c>
      <c r="P517" s="109">
        <f t="shared" si="26"/>
        <v>0</v>
      </c>
      <c r="Q517" s="109">
        <f t="shared" si="26"/>
        <v>0</v>
      </c>
      <c r="R517" s="28"/>
      <c r="S517" s="99"/>
      <c r="T517" s="99"/>
      <c r="U517" s="99"/>
      <c r="V517" s="99"/>
      <c r="W517" s="99"/>
      <c r="X517" s="99"/>
      <c r="Y517" s="99"/>
      <c r="Z517" s="99"/>
      <c r="AA517" s="99"/>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99"/>
      <c r="BE517" s="99"/>
      <c r="BF517" s="99"/>
      <c r="BG517" s="99"/>
      <c r="BH517" s="99"/>
      <c r="BI517" s="99"/>
      <c r="BJ517" s="99"/>
      <c r="BK517" s="11"/>
      <c r="BL517" s="11"/>
    </row>
    <row r="518" spans="1:64" ht="12.75" hidden="1" customHeight="1" outlineLevel="1">
      <c r="A518" s="9"/>
      <c r="B518" s="9"/>
      <c r="C518" s="44"/>
      <c r="D518" s="128" t="str">
        <f>Asset17</f>
        <v>Other non system assets</v>
      </c>
      <c r="E518" s="9"/>
      <c r="F518" s="9"/>
      <c r="G518" s="194">
        <f>'Adjustment for previous period'!G414</f>
        <v>-4.0960644723242501</v>
      </c>
      <c r="H518" s="109">
        <f t="shared" si="26"/>
        <v>-7.3705642898101473</v>
      </c>
      <c r="I518" s="109">
        <f t="shared" si="26"/>
        <v>-6.6508112063698928</v>
      </c>
      <c r="J518" s="109">
        <f t="shared" si="26"/>
        <v>-6.6004543471154342</v>
      </c>
      <c r="K518" s="109">
        <f t="shared" si="26"/>
        <v>-8.5950319669281541</v>
      </c>
      <c r="L518" s="109">
        <f t="shared" si="26"/>
        <v>-8.3788444143971699</v>
      </c>
      <c r="M518" s="109">
        <f t="shared" si="26"/>
        <v>0</v>
      </c>
      <c r="N518" s="109">
        <f t="shared" si="26"/>
        <v>0</v>
      </c>
      <c r="O518" s="109">
        <f t="shared" si="26"/>
        <v>0</v>
      </c>
      <c r="P518" s="109">
        <f t="shared" si="26"/>
        <v>0</v>
      </c>
      <c r="Q518" s="109">
        <f t="shared" si="26"/>
        <v>0</v>
      </c>
      <c r="R518" s="28"/>
      <c r="S518" s="99"/>
      <c r="T518" s="99"/>
      <c r="U518" s="99"/>
      <c r="V518" s="99"/>
      <c r="W518" s="99"/>
      <c r="X518" s="99"/>
      <c r="Y518" s="99"/>
      <c r="Z518" s="99"/>
      <c r="AA518" s="99"/>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99"/>
      <c r="BE518" s="99"/>
      <c r="BF518" s="99"/>
      <c r="BG518" s="99"/>
      <c r="BH518" s="99"/>
      <c r="BI518" s="99"/>
      <c r="BJ518" s="99"/>
      <c r="BK518" s="11"/>
      <c r="BL518" s="11"/>
    </row>
    <row r="519" spans="1:64" ht="12.75" hidden="1" customHeight="1" outlineLevel="1">
      <c r="A519" s="9"/>
      <c r="B519" s="9"/>
      <c r="C519" s="44"/>
      <c r="D519" s="128" t="str">
        <f>Asset18</f>
        <v>IT systems</v>
      </c>
      <c r="E519" s="9"/>
      <c r="F519" s="9"/>
      <c r="G519" s="194">
        <f>'Adjustment for previous period'!G415</f>
        <v>-29.814847967849801</v>
      </c>
      <c r="H519" s="109">
        <f t="shared" si="26"/>
        <v>-27.581013844554235</v>
      </c>
      <c r="I519" s="109">
        <f t="shared" si="26"/>
        <v>-35.811964241616415</v>
      </c>
      <c r="J519" s="109">
        <f t="shared" si="26"/>
        <v>-46.432740872746251</v>
      </c>
      <c r="K519" s="109">
        <f t="shared" si="26"/>
        <v>-57.928838910714362</v>
      </c>
      <c r="L519" s="109">
        <f t="shared" si="26"/>
        <v>-36.397434137651089</v>
      </c>
      <c r="M519" s="109">
        <f t="shared" si="26"/>
        <v>0</v>
      </c>
      <c r="N519" s="109">
        <f t="shared" si="26"/>
        <v>0</v>
      </c>
      <c r="O519" s="109">
        <f t="shared" si="26"/>
        <v>0</v>
      </c>
      <c r="P519" s="109">
        <f t="shared" si="26"/>
        <v>0</v>
      </c>
      <c r="Q519" s="109">
        <f t="shared" si="26"/>
        <v>0</v>
      </c>
      <c r="R519" s="28"/>
      <c r="S519" s="99"/>
      <c r="T519" s="99"/>
      <c r="U519" s="99"/>
      <c r="V519" s="99"/>
      <c r="W519" s="99"/>
      <c r="X519" s="99"/>
      <c r="Y519" s="99"/>
      <c r="Z519" s="99"/>
      <c r="AA519" s="99"/>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99"/>
      <c r="BE519" s="99"/>
      <c r="BF519" s="99"/>
      <c r="BG519" s="99"/>
      <c r="BH519" s="99"/>
      <c r="BI519" s="99"/>
      <c r="BJ519" s="99"/>
      <c r="BK519" s="11"/>
      <c r="BL519" s="11"/>
    </row>
    <row r="520" spans="1:64" ht="12.75" hidden="1" customHeight="1" outlineLevel="1">
      <c r="A520" s="9"/>
      <c r="B520" s="9"/>
      <c r="C520" s="44"/>
      <c r="D520" s="128" t="str">
        <f>Asset19</f>
        <v>Motor vehicles</v>
      </c>
      <c r="E520" s="9"/>
      <c r="F520" s="9"/>
      <c r="G520" s="194">
        <f>'Adjustment for previous period'!G416</f>
        <v>-12.2188805582015</v>
      </c>
      <c r="H520" s="109">
        <f t="shared" si="26"/>
        <v>-9.6999300710021181</v>
      </c>
      <c r="I520" s="109">
        <f t="shared" si="26"/>
        <v>-10.958453014681117</v>
      </c>
      <c r="J520" s="109">
        <f t="shared" si="26"/>
        <v>-12.873593166504003</v>
      </c>
      <c r="K520" s="109">
        <f t="shared" si="26"/>
        <v>-17.993196051547329</v>
      </c>
      <c r="L520" s="109">
        <f t="shared" si="26"/>
        <v>-18.752383863822704</v>
      </c>
      <c r="M520" s="109">
        <f t="shared" si="26"/>
        <v>0</v>
      </c>
      <c r="N520" s="109">
        <f t="shared" si="26"/>
        <v>0</v>
      </c>
      <c r="O520" s="109">
        <f t="shared" si="26"/>
        <v>0</v>
      </c>
      <c r="P520" s="109">
        <f t="shared" si="26"/>
        <v>0</v>
      </c>
      <c r="Q520" s="109">
        <f t="shared" si="26"/>
        <v>0</v>
      </c>
      <c r="R520" s="28"/>
      <c r="S520" s="99"/>
      <c r="T520" s="99"/>
      <c r="U520" s="99"/>
      <c r="V520" s="99"/>
      <c r="W520" s="99"/>
      <c r="X520" s="99"/>
      <c r="Y520" s="99"/>
      <c r="Z520" s="99"/>
      <c r="AA520" s="99"/>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99"/>
      <c r="BE520" s="99"/>
      <c r="BF520" s="99"/>
      <c r="BG520" s="99"/>
      <c r="BH520" s="99"/>
      <c r="BI520" s="99"/>
      <c r="BJ520" s="99"/>
      <c r="BK520" s="11"/>
      <c r="BL520" s="11"/>
    </row>
    <row r="521" spans="1:64" ht="12.75" hidden="1" customHeight="1" outlineLevel="1">
      <c r="A521" s="9"/>
      <c r="B521" s="9"/>
      <c r="C521" s="44"/>
      <c r="D521" s="128" t="str">
        <f>Asset20</f>
        <v>Buildings</v>
      </c>
      <c r="E521" s="9"/>
      <c r="F521" s="9"/>
      <c r="G521" s="194">
        <f>'Adjustment for previous period'!G417</f>
        <v>0.65309237314368795</v>
      </c>
      <c r="H521" s="109">
        <f t="shared" si="26"/>
        <v>-1.6643829859479875</v>
      </c>
      <c r="I521" s="109">
        <f t="shared" si="26"/>
        <v>-0.5022367914749255</v>
      </c>
      <c r="J521" s="109">
        <f t="shared" si="26"/>
        <v>0.56713997878528133</v>
      </c>
      <c r="K521" s="109">
        <f t="shared" si="26"/>
        <v>-3.7778315233663751</v>
      </c>
      <c r="L521" s="109">
        <f t="shared" si="26"/>
        <v>-2.2839423556615177</v>
      </c>
      <c r="M521" s="109">
        <f t="shared" si="26"/>
        <v>0</v>
      </c>
      <c r="N521" s="109">
        <f t="shared" si="26"/>
        <v>0</v>
      </c>
      <c r="O521" s="109">
        <f t="shared" si="26"/>
        <v>0</v>
      </c>
      <c r="P521" s="109">
        <f t="shared" si="26"/>
        <v>0</v>
      </c>
      <c r="Q521" s="109">
        <f t="shared" si="26"/>
        <v>0</v>
      </c>
      <c r="R521" s="28"/>
      <c r="S521" s="99"/>
      <c r="T521" s="99"/>
      <c r="U521" s="99"/>
      <c r="V521" s="99"/>
      <c r="W521" s="99"/>
      <c r="X521" s="99"/>
      <c r="Y521" s="99"/>
      <c r="Z521" s="99"/>
      <c r="AA521" s="99"/>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99"/>
      <c r="BE521" s="99"/>
      <c r="BF521" s="99"/>
      <c r="BG521" s="99"/>
      <c r="BH521" s="99"/>
      <c r="BI521" s="99"/>
      <c r="BJ521" s="99"/>
      <c r="BK521" s="11"/>
      <c r="BL521" s="11"/>
    </row>
    <row r="522" spans="1:64" ht="10.5" hidden="1" customHeight="1" outlineLevel="1">
      <c r="A522" s="9"/>
      <c r="B522" s="9"/>
      <c r="C522" s="44"/>
      <c r="D522" s="128" t="str">
        <f>Asset21</f>
        <v>Equity raising costs</v>
      </c>
      <c r="E522" s="9"/>
      <c r="F522" s="9"/>
      <c r="G522" s="194">
        <f>'Adjustment for previous period'!G418</f>
        <v>0</v>
      </c>
      <c r="H522" s="109">
        <f t="shared" si="26"/>
        <v>0</v>
      </c>
      <c r="I522" s="109">
        <f t="shared" si="26"/>
        <v>0.18852777481403293</v>
      </c>
      <c r="J522" s="109">
        <f t="shared" si="26"/>
        <v>0.32530889556182152</v>
      </c>
      <c r="K522" s="109">
        <f t="shared" si="26"/>
        <v>-0.13130311560292174</v>
      </c>
      <c r="L522" s="109">
        <f t="shared" si="26"/>
        <v>4.3628730220018119E-2</v>
      </c>
      <c r="M522" s="109">
        <f t="shared" si="26"/>
        <v>0</v>
      </c>
      <c r="N522" s="109">
        <f t="shared" si="26"/>
        <v>0</v>
      </c>
      <c r="O522" s="109">
        <f t="shared" si="26"/>
        <v>0</v>
      </c>
      <c r="P522" s="109">
        <f t="shared" si="26"/>
        <v>0</v>
      </c>
      <c r="Q522" s="109">
        <f t="shared" si="26"/>
        <v>0</v>
      </c>
      <c r="R522" s="28"/>
      <c r="S522" s="99"/>
      <c r="T522" s="99"/>
      <c r="U522" s="99"/>
      <c r="V522" s="99"/>
      <c r="W522" s="99"/>
      <c r="X522" s="99"/>
      <c r="Y522" s="99"/>
      <c r="Z522" s="99"/>
      <c r="AA522" s="99"/>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99"/>
      <c r="BE522" s="99"/>
      <c r="BF522" s="99"/>
      <c r="BG522" s="99"/>
      <c r="BH522" s="99"/>
      <c r="BI522" s="99"/>
      <c r="BJ522" s="99"/>
      <c r="BK522" s="11"/>
      <c r="BL522" s="11"/>
    </row>
    <row r="523" spans="1:64" ht="11.25" hidden="1" customHeight="1" outlineLevel="1">
      <c r="A523" s="9"/>
      <c r="B523" s="9"/>
      <c r="C523" s="44"/>
      <c r="D523" s="128">
        <f>Asset22</f>
        <v>0</v>
      </c>
      <c r="E523" s="9"/>
      <c r="F523" s="9"/>
      <c r="G523" s="194">
        <f>'Adjustment for previous period'!G419</f>
        <v>11.184323450170901</v>
      </c>
      <c r="H523" s="109">
        <f t="shared" si="26"/>
        <v>0</v>
      </c>
      <c r="I523" s="109">
        <f t="shared" si="26"/>
        <v>0</v>
      </c>
      <c r="J523" s="109">
        <f t="shared" si="26"/>
        <v>0</v>
      </c>
      <c r="K523" s="109">
        <f t="shared" si="26"/>
        <v>0</v>
      </c>
      <c r="L523" s="109">
        <f t="shared" si="26"/>
        <v>0</v>
      </c>
      <c r="M523" s="109">
        <f t="shared" si="26"/>
        <v>0</v>
      </c>
      <c r="N523" s="109">
        <f t="shared" si="26"/>
        <v>0</v>
      </c>
      <c r="O523" s="109">
        <f t="shared" si="26"/>
        <v>0</v>
      </c>
      <c r="P523" s="109">
        <f t="shared" si="26"/>
        <v>0</v>
      </c>
      <c r="Q523" s="109">
        <f t="shared" si="26"/>
        <v>0</v>
      </c>
      <c r="R523" s="28"/>
      <c r="S523" s="99"/>
      <c r="T523" s="99"/>
      <c r="U523" s="99"/>
      <c r="V523" s="99"/>
      <c r="W523" s="99"/>
      <c r="X523" s="99"/>
      <c r="Y523" s="99"/>
      <c r="Z523" s="99"/>
      <c r="AA523" s="99"/>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99"/>
      <c r="BE523" s="99"/>
      <c r="BF523" s="99"/>
      <c r="BG523" s="99"/>
      <c r="BH523" s="99"/>
      <c r="BI523" s="99"/>
      <c r="BJ523" s="99"/>
      <c r="BK523" s="11"/>
      <c r="BL523" s="11"/>
    </row>
    <row r="524" spans="1:64" ht="4.5" hidden="1" customHeight="1" outlineLevel="1">
      <c r="A524" s="9"/>
      <c r="B524" s="9"/>
      <c r="C524" s="44"/>
      <c r="D524" s="128">
        <f>Asset23</f>
        <v>0</v>
      </c>
      <c r="E524" s="9"/>
      <c r="F524" s="9"/>
      <c r="G524" s="194">
        <f>'Adjustment for previous period'!G420</f>
        <v>0</v>
      </c>
      <c r="H524" s="109">
        <f t="shared" si="26"/>
        <v>0</v>
      </c>
      <c r="I524" s="109">
        <f t="shared" si="26"/>
        <v>0</v>
      </c>
      <c r="J524" s="109">
        <f t="shared" si="26"/>
        <v>0</v>
      </c>
      <c r="K524" s="109">
        <f t="shared" si="26"/>
        <v>0</v>
      </c>
      <c r="L524" s="109">
        <f t="shared" si="26"/>
        <v>0</v>
      </c>
      <c r="M524" s="109">
        <f t="shared" si="26"/>
        <v>0</v>
      </c>
      <c r="N524" s="109">
        <f t="shared" si="26"/>
        <v>0</v>
      </c>
      <c r="O524" s="109">
        <f t="shared" si="26"/>
        <v>0</v>
      </c>
      <c r="P524" s="109">
        <f t="shared" si="26"/>
        <v>0</v>
      </c>
      <c r="Q524" s="109">
        <f t="shared" si="26"/>
        <v>0</v>
      </c>
      <c r="R524" s="28"/>
      <c r="S524" s="99"/>
      <c r="T524" s="99"/>
      <c r="U524" s="99"/>
      <c r="V524" s="99"/>
      <c r="W524" s="99"/>
      <c r="X524" s="99"/>
      <c r="Y524" s="99"/>
      <c r="Z524" s="99"/>
      <c r="AA524" s="99"/>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99"/>
      <c r="BE524" s="99"/>
      <c r="BF524" s="99"/>
      <c r="BG524" s="99"/>
      <c r="BH524" s="99"/>
      <c r="BI524" s="99"/>
      <c r="BJ524" s="99"/>
      <c r="BK524" s="11"/>
      <c r="BL524" s="11"/>
    </row>
    <row r="525" spans="1:64" ht="4.5" hidden="1" customHeight="1" outlineLevel="1">
      <c r="A525" s="9"/>
      <c r="B525" s="9"/>
      <c r="C525" s="44"/>
      <c r="D525" s="128">
        <f>Asset24</f>
        <v>0</v>
      </c>
      <c r="E525" s="9"/>
      <c r="F525" s="9"/>
      <c r="G525" s="194">
        <f>'Adjustment for previous period'!G421</f>
        <v>0</v>
      </c>
      <c r="H525" s="109">
        <f t="shared" si="26"/>
        <v>0</v>
      </c>
      <c r="I525" s="109">
        <f t="shared" si="26"/>
        <v>0</v>
      </c>
      <c r="J525" s="109">
        <f t="shared" si="26"/>
        <v>0</v>
      </c>
      <c r="K525" s="109">
        <f t="shared" si="26"/>
        <v>0</v>
      </c>
      <c r="L525" s="109">
        <f t="shared" si="26"/>
        <v>0</v>
      </c>
      <c r="M525" s="109">
        <f t="shared" si="26"/>
        <v>0</v>
      </c>
      <c r="N525" s="109">
        <f t="shared" si="26"/>
        <v>0</v>
      </c>
      <c r="O525" s="109">
        <f t="shared" si="26"/>
        <v>0</v>
      </c>
      <c r="P525" s="109">
        <f t="shared" si="26"/>
        <v>0</v>
      </c>
      <c r="Q525" s="109">
        <f t="shared" si="26"/>
        <v>0</v>
      </c>
      <c r="R525" s="28"/>
      <c r="S525" s="99"/>
      <c r="T525" s="99"/>
      <c r="U525" s="99"/>
      <c r="V525" s="99"/>
      <c r="W525" s="99"/>
      <c r="X525" s="99"/>
      <c r="Y525" s="99"/>
      <c r="Z525" s="99"/>
      <c r="AA525" s="99"/>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99"/>
      <c r="BE525" s="99"/>
      <c r="BF525" s="99"/>
      <c r="BG525" s="99"/>
      <c r="BH525" s="99"/>
      <c r="BI525" s="99"/>
      <c r="BJ525" s="99"/>
      <c r="BK525" s="11"/>
      <c r="BL525" s="11"/>
    </row>
    <row r="526" spans="1:64" ht="4.5" hidden="1" customHeight="1" outlineLevel="1">
      <c r="A526" s="9"/>
      <c r="B526" s="9"/>
      <c r="C526" s="44"/>
      <c r="D526" s="128">
        <f>Asset25</f>
        <v>0</v>
      </c>
      <c r="E526" s="9"/>
      <c r="F526" s="9"/>
      <c r="G526" s="194">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8"/>
      <c r="S526" s="99"/>
      <c r="T526" s="99"/>
      <c r="U526" s="99"/>
      <c r="V526" s="99"/>
      <c r="W526" s="99"/>
      <c r="X526" s="99"/>
      <c r="Y526" s="99"/>
      <c r="Z526" s="99"/>
      <c r="AA526" s="99"/>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99"/>
      <c r="BE526" s="99"/>
      <c r="BF526" s="99"/>
      <c r="BG526" s="99"/>
      <c r="BH526" s="99"/>
      <c r="BI526" s="99"/>
      <c r="BJ526" s="99"/>
      <c r="BK526" s="11"/>
      <c r="BL526" s="11"/>
    </row>
    <row r="527" spans="1:64" ht="4.5" hidden="1" customHeight="1" outlineLevel="1">
      <c r="A527" s="9"/>
      <c r="B527" s="9"/>
      <c r="C527" s="44"/>
      <c r="D527" s="128">
        <f>Asset26</f>
        <v>0</v>
      </c>
      <c r="E527" s="9"/>
      <c r="F527" s="9"/>
      <c r="G527" s="194">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8"/>
      <c r="S527" s="99"/>
      <c r="T527" s="99"/>
      <c r="U527" s="99"/>
      <c r="V527" s="99"/>
      <c r="W527" s="99"/>
      <c r="X527" s="99"/>
      <c r="Y527" s="99"/>
      <c r="Z527" s="99"/>
      <c r="AA527" s="99"/>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99"/>
      <c r="BE527" s="99"/>
      <c r="BF527" s="99"/>
      <c r="BG527" s="99"/>
      <c r="BH527" s="99"/>
      <c r="BI527" s="99"/>
      <c r="BJ527" s="99"/>
      <c r="BK527" s="11"/>
      <c r="BL527" s="11"/>
    </row>
    <row r="528" spans="1:64" ht="4.5" hidden="1" customHeight="1" outlineLevel="1">
      <c r="A528" s="9"/>
      <c r="B528" s="9"/>
      <c r="C528" s="44"/>
      <c r="D528" s="128">
        <f>Asset27</f>
        <v>0</v>
      </c>
      <c r="E528" s="9"/>
      <c r="F528" s="9"/>
      <c r="G528" s="194">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8"/>
      <c r="S528" s="99"/>
      <c r="T528" s="99"/>
      <c r="U528" s="99"/>
      <c r="V528" s="99"/>
      <c r="W528" s="99"/>
      <c r="X528" s="99"/>
      <c r="Y528" s="99"/>
      <c r="Z528" s="99"/>
      <c r="AA528" s="99"/>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99"/>
      <c r="BE528" s="99"/>
      <c r="BF528" s="99"/>
      <c r="BG528" s="99"/>
      <c r="BH528" s="99"/>
      <c r="BI528" s="99"/>
      <c r="BJ528" s="99"/>
      <c r="BK528" s="11"/>
      <c r="BL528" s="11"/>
    </row>
    <row r="529" spans="1:64" ht="4.5" hidden="1" customHeight="1" outlineLevel="1">
      <c r="A529" s="9"/>
      <c r="B529" s="9"/>
      <c r="C529" s="44"/>
      <c r="D529" s="128">
        <f>Asset28</f>
        <v>0</v>
      </c>
      <c r="E529" s="9"/>
      <c r="F529" s="9"/>
      <c r="G529" s="194">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8"/>
      <c r="S529" s="99"/>
      <c r="T529" s="99"/>
      <c r="U529" s="99"/>
      <c r="V529" s="99"/>
      <c r="W529" s="99"/>
      <c r="X529" s="99"/>
      <c r="Y529" s="99"/>
      <c r="Z529" s="99"/>
      <c r="AA529" s="99"/>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99"/>
      <c r="BE529" s="99"/>
      <c r="BF529" s="99"/>
      <c r="BG529" s="99"/>
      <c r="BH529" s="99"/>
      <c r="BI529" s="99"/>
      <c r="BJ529" s="99"/>
      <c r="BK529" s="11"/>
      <c r="BL529" s="11"/>
    </row>
    <row r="530" spans="1:64" ht="4.5" hidden="1" customHeight="1" outlineLevel="1">
      <c r="A530" s="9"/>
      <c r="B530" s="9"/>
      <c r="C530" s="44"/>
      <c r="D530" s="128">
        <f>Asset29</f>
        <v>0</v>
      </c>
      <c r="E530" s="9"/>
      <c r="F530" s="9"/>
      <c r="G530" s="194">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8"/>
      <c r="S530" s="99"/>
      <c r="T530" s="99"/>
      <c r="U530" s="99"/>
      <c r="V530" s="99"/>
      <c r="W530" s="99"/>
      <c r="X530" s="99"/>
      <c r="Y530" s="99"/>
      <c r="Z530" s="99"/>
      <c r="AA530" s="99"/>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99"/>
      <c r="BE530" s="99"/>
      <c r="BF530" s="99"/>
      <c r="BG530" s="99"/>
      <c r="BH530" s="99"/>
      <c r="BI530" s="99"/>
      <c r="BJ530" s="99"/>
      <c r="BK530" s="11"/>
      <c r="BL530" s="11"/>
    </row>
    <row r="531" spans="1:64" ht="4.5" hidden="1" customHeight="1" outlineLevel="1">
      <c r="A531" s="9"/>
      <c r="B531" s="9"/>
      <c r="C531" s="44"/>
      <c r="D531" s="128">
        <f>Asset30</f>
        <v>0</v>
      </c>
      <c r="E531" s="9"/>
      <c r="F531" s="9"/>
      <c r="G531" s="194">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8"/>
      <c r="S531" s="99"/>
      <c r="T531" s="99"/>
      <c r="U531" s="99"/>
      <c r="V531" s="99"/>
      <c r="W531" s="99"/>
      <c r="X531" s="99"/>
      <c r="Y531" s="99"/>
      <c r="Z531" s="99"/>
      <c r="AA531" s="99"/>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99"/>
      <c r="BE531" s="99"/>
      <c r="BF531" s="99"/>
      <c r="BG531" s="99"/>
      <c r="BH531" s="99"/>
      <c r="BI531" s="99"/>
      <c r="BJ531" s="99"/>
      <c r="BK531" s="11"/>
      <c r="BL531" s="11"/>
    </row>
    <row r="532" spans="1:64" collapsed="1">
      <c r="A532" s="9"/>
      <c r="B532" s="9"/>
      <c r="C532" s="44"/>
      <c r="D532" s="128"/>
      <c r="E532" s="9"/>
      <c r="F532" s="9"/>
      <c r="G532" s="199"/>
      <c r="H532" s="109"/>
      <c r="I532" s="109"/>
      <c r="J532" s="109"/>
      <c r="K532" s="109"/>
      <c r="L532" s="109"/>
      <c r="M532" s="109"/>
      <c r="N532" s="28"/>
      <c r="O532" s="28"/>
      <c r="P532" s="28"/>
      <c r="Q532" s="28"/>
      <c r="R532" s="28"/>
      <c r="S532" s="99"/>
      <c r="T532" s="99"/>
      <c r="U532" s="99"/>
      <c r="V532" s="99"/>
      <c r="W532" s="99"/>
      <c r="X532" s="99"/>
      <c r="Y532" s="99"/>
      <c r="Z532" s="99"/>
      <c r="AA532" s="99"/>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99"/>
      <c r="BE532" s="99"/>
      <c r="BF532" s="99"/>
      <c r="BG532" s="99"/>
      <c r="BH532" s="99"/>
      <c r="BI532" s="99"/>
      <c r="BJ532" s="99"/>
      <c r="BK532" s="11"/>
      <c r="BL532" s="11"/>
    </row>
    <row r="533" spans="1:64">
      <c r="A533" s="9"/>
      <c r="B533" s="9"/>
      <c r="C533" s="345" t="s">
        <v>155</v>
      </c>
      <c r="D533" s="353"/>
      <c r="E533" s="346"/>
      <c r="F533" s="346"/>
      <c r="G533" s="198">
        <f>SUM(G534:G563)</f>
        <v>27.129728637429164</v>
      </c>
      <c r="H533" s="36"/>
      <c r="I533" s="36"/>
      <c r="J533" s="36"/>
      <c r="K533" s="36"/>
      <c r="L533" s="36"/>
      <c r="M533" s="36"/>
      <c r="N533" s="28"/>
      <c r="O533" s="28"/>
      <c r="P533" s="28"/>
      <c r="Q533" s="28"/>
      <c r="R533" s="28"/>
      <c r="S533" s="99"/>
      <c r="T533" s="99"/>
      <c r="U533" s="99"/>
      <c r="V533" s="99"/>
      <c r="W533" s="99"/>
      <c r="X533" s="99"/>
      <c r="Y533" s="99"/>
      <c r="Z533" s="99"/>
      <c r="AA533" s="99"/>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99"/>
      <c r="BE533" s="99"/>
      <c r="BF533" s="99"/>
      <c r="BG533" s="99"/>
      <c r="BH533" s="99"/>
      <c r="BI533" s="99"/>
      <c r="BJ533" s="99"/>
      <c r="BK533" s="11"/>
      <c r="BL533" s="11"/>
    </row>
    <row r="534" spans="1:64" ht="12.75" hidden="1" customHeight="1" outlineLevel="1">
      <c r="A534" s="9"/>
      <c r="B534" s="9"/>
      <c r="C534" s="9"/>
      <c r="D534" s="128" t="str">
        <f>Asset1</f>
        <v>Sub-transmission lines and cables</v>
      </c>
      <c r="E534" s="9"/>
      <c r="F534" s="9"/>
      <c r="G534" s="194">
        <f>'Adjustment for previous period'!G430</f>
        <v>-13.906548058546541</v>
      </c>
      <c r="H534" s="36"/>
      <c r="I534" s="36"/>
      <c r="J534" s="36"/>
      <c r="K534" s="36"/>
      <c r="L534" s="36"/>
      <c r="M534" s="36"/>
      <c r="N534" s="28"/>
      <c r="O534" s="28"/>
      <c r="P534" s="28"/>
      <c r="Q534" s="28"/>
      <c r="R534" s="28"/>
      <c r="S534" s="99"/>
      <c r="T534" s="99"/>
      <c r="U534" s="99"/>
      <c r="V534" s="99"/>
      <c r="W534" s="99"/>
      <c r="X534" s="99"/>
      <c r="Y534" s="99"/>
      <c r="Z534" s="99"/>
      <c r="AA534" s="99"/>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99"/>
      <c r="BE534" s="99"/>
      <c r="BF534" s="99"/>
      <c r="BG534" s="99"/>
      <c r="BH534" s="99"/>
      <c r="BI534" s="99"/>
      <c r="BJ534" s="99"/>
      <c r="BK534" s="11"/>
      <c r="BL534" s="11"/>
    </row>
    <row r="535" spans="1:64" ht="12.75" hidden="1" customHeight="1" outlineLevel="1">
      <c r="A535" s="9"/>
      <c r="B535" s="9"/>
      <c r="C535" s="44"/>
      <c r="D535" s="128" t="str">
        <f>Asset2</f>
        <v>Cable tunnel (dx)</v>
      </c>
      <c r="E535" s="9"/>
      <c r="F535" s="9"/>
      <c r="G535" s="194">
        <f>'Adjustment for previous period'!G431</f>
        <v>0</v>
      </c>
      <c r="H535" s="36"/>
      <c r="I535" s="36"/>
      <c r="J535" s="36"/>
      <c r="K535" s="36"/>
      <c r="L535" s="36"/>
      <c r="M535" s="36"/>
      <c r="N535" s="28"/>
      <c r="O535" s="28"/>
      <c r="P535" s="28"/>
      <c r="Q535" s="28"/>
      <c r="R535" s="28"/>
      <c r="S535" s="99"/>
      <c r="T535" s="99"/>
      <c r="U535" s="99"/>
      <c r="V535" s="99"/>
      <c r="W535" s="99"/>
      <c r="X535" s="99"/>
      <c r="Y535" s="99"/>
      <c r="Z535" s="99"/>
      <c r="AA535" s="99"/>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99"/>
      <c r="BE535" s="99"/>
      <c r="BF535" s="99"/>
      <c r="BG535" s="99"/>
      <c r="BH535" s="99"/>
      <c r="BI535" s="99"/>
      <c r="BJ535" s="99"/>
      <c r="BK535" s="11"/>
      <c r="BL535" s="11"/>
    </row>
    <row r="536" spans="1:64" ht="12.75" hidden="1" customHeight="1" outlineLevel="1">
      <c r="A536" s="9"/>
      <c r="B536" s="9"/>
      <c r="C536" s="44"/>
      <c r="D536" s="128" t="str">
        <f>Asset3</f>
        <v>Distribution lines and cables</v>
      </c>
      <c r="E536" s="9"/>
      <c r="F536" s="9"/>
      <c r="G536" s="194">
        <f>'Adjustment for previous period'!G432</f>
        <v>12.2233474467562</v>
      </c>
      <c r="H536" s="36"/>
      <c r="I536" s="36"/>
      <c r="J536" s="36"/>
      <c r="K536" s="36"/>
      <c r="L536" s="36"/>
      <c r="M536" s="36"/>
      <c r="N536" s="28"/>
      <c r="O536" s="28"/>
      <c r="P536" s="28"/>
      <c r="Q536" s="28"/>
      <c r="R536" s="28"/>
      <c r="S536" s="99"/>
      <c r="T536" s="99"/>
      <c r="U536" s="99"/>
      <c r="V536" s="99"/>
      <c r="W536" s="99"/>
      <c r="X536" s="99"/>
      <c r="Y536" s="99"/>
      <c r="Z536" s="99"/>
      <c r="AA536" s="99"/>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99"/>
      <c r="BE536" s="99"/>
      <c r="BF536" s="99"/>
      <c r="BG536" s="99"/>
      <c r="BH536" s="99"/>
      <c r="BI536" s="99"/>
      <c r="BJ536" s="99"/>
      <c r="BK536" s="11"/>
      <c r="BL536" s="11"/>
    </row>
    <row r="537" spans="1:64" ht="12.75" hidden="1" customHeight="1" outlineLevel="1">
      <c r="A537" s="9"/>
      <c r="B537" s="9"/>
      <c r="C537" s="44"/>
      <c r="D537" s="128" t="str">
        <f>Asset4</f>
        <v>Substations</v>
      </c>
      <c r="E537" s="9"/>
      <c r="F537" s="9"/>
      <c r="G537" s="194">
        <f>'Adjustment for previous period'!G433</f>
        <v>55.805376788684697</v>
      </c>
      <c r="H537" s="36"/>
      <c r="I537" s="36"/>
      <c r="J537" s="36"/>
      <c r="K537" s="36"/>
      <c r="L537" s="36"/>
      <c r="M537" s="36"/>
      <c r="N537" s="28"/>
      <c r="O537" s="28"/>
      <c r="P537" s="28"/>
      <c r="Q537" s="28"/>
      <c r="R537" s="28"/>
      <c r="S537" s="99"/>
      <c r="T537" s="99"/>
      <c r="U537" s="99"/>
      <c r="V537" s="99"/>
      <c r="W537" s="99"/>
      <c r="X537" s="99"/>
      <c r="Y537" s="99"/>
      <c r="Z537" s="99"/>
      <c r="AA537" s="99"/>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99"/>
      <c r="BE537" s="99"/>
      <c r="BF537" s="99"/>
      <c r="BG537" s="99"/>
      <c r="BH537" s="99"/>
      <c r="BI537" s="99"/>
      <c r="BJ537" s="99"/>
      <c r="BK537" s="11"/>
      <c r="BL537" s="11"/>
    </row>
    <row r="538" spans="1:64" ht="12.75" hidden="1" customHeight="1" outlineLevel="1">
      <c r="A538" s="9"/>
      <c r="B538" s="9"/>
      <c r="C538" s="44"/>
      <c r="D538" s="128" t="str">
        <f>Asset5</f>
        <v>Transformers</v>
      </c>
      <c r="E538" s="9"/>
      <c r="F538" s="9"/>
      <c r="G538" s="194">
        <f>'Adjustment for previous period'!G434</f>
        <v>-5.3468658549369792</v>
      </c>
      <c r="H538" s="36"/>
      <c r="I538" s="36"/>
      <c r="J538" s="36"/>
      <c r="K538" s="36"/>
      <c r="L538" s="36"/>
      <c r="M538" s="36"/>
      <c r="N538" s="28"/>
      <c r="O538" s="28"/>
      <c r="P538" s="28"/>
      <c r="Q538" s="28"/>
      <c r="R538" s="28"/>
      <c r="S538" s="99"/>
      <c r="T538" s="99"/>
      <c r="U538" s="99"/>
      <c r="V538" s="99"/>
      <c r="W538" s="99"/>
      <c r="X538" s="99"/>
      <c r="Y538" s="99"/>
      <c r="Z538" s="99"/>
      <c r="AA538" s="99"/>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99"/>
      <c r="BE538" s="99"/>
      <c r="BF538" s="99"/>
      <c r="BG538" s="99"/>
      <c r="BH538" s="99"/>
      <c r="BI538" s="99"/>
      <c r="BJ538" s="99"/>
      <c r="BK538" s="11"/>
      <c r="BL538" s="11"/>
    </row>
    <row r="539" spans="1:64" ht="12.75" hidden="1" customHeight="1" outlineLevel="1">
      <c r="A539" s="9"/>
      <c r="B539" s="9"/>
      <c r="C539" s="44"/>
      <c r="D539" s="128" t="str">
        <f>Asset6</f>
        <v>Low Voltage Lines and Cables</v>
      </c>
      <c r="E539" s="9"/>
      <c r="F539" s="9"/>
      <c r="G539" s="194">
        <f>'Adjustment for previous period'!G435</f>
        <v>-14.408826893958135</v>
      </c>
      <c r="H539" s="36"/>
      <c r="I539" s="36"/>
      <c r="J539" s="36"/>
      <c r="K539" s="36"/>
      <c r="L539" s="36"/>
      <c r="M539" s="36"/>
      <c r="N539" s="28"/>
      <c r="O539" s="28"/>
      <c r="P539" s="28"/>
      <c r="Q539" s="28"/>
      <c r="R539" s="28"/>
      <c r="S539" s="99"/>
      <c r="T539" s="99"/>
      <c r="U539" s="99"/>
      <c r="V539" s="99"/>
      <c r="W539" s="99"/>
      <c r="X539" s="99"/>
      <c r="Y539" s="99"/>
      <c r="Z539" s="99"/>
      <c r="AA539" s="99"/>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99"/>
      <c r="BE539" s="99"/>
      <c r="BF539" s="99"/>
      <c r="BG539" s="99"/>
      <c r="BH539" s="99"/>
      <c r="BI539" s="99"/>
      <c r="BJ539" s="99"/>
      <c r="BK539" s="11"/>
      <c r="BL539" s="11"/>
    </row>
    <row r="540" spans="1:64" ht="12.75" hidden="1" customHeight="1" outlineLevel="1">
      <c r="A540" s="9"/>
      <c r="B540" s="9"/>
      <c r="C540" s="44"/>
      <c r="D540" s="128" t="str">
        <f>Asset7</f>
        <v>Customer Metering and Load Control</v>
      </c>
      <c r="E540" s="9"/>
      <c r="F540" s="9"/>
      <c r="G540" s="194">
        <f>'Adjustment for previous period'!G436</f>
        <v>3.612680543317369</v>
      </c>
      <c r="H540" s="36"/>
      <c r="I540" s="36"/>
      <c r="J540" s="36"/>
      <c r="K540" s="36"/>
      <c r="L540" s="36"/>
      <c r="M540" s="36"/>
      <c r="N540" s="28"/>
      <c r="O540" s="28"/>
      <c r="P540" s="28"/>
      <c r="Q540" s="28"/>
      <c r="R540" s="28"/>
      <c r="S540" s="99"/>
      <c r="T540" s="99"/>
      <c r="U540" s="99"/>
      <c r="V540" s="99"/>
      <c r="W540" s="99"/>
      <c r="X540" s="99"/>
      <c r="Y540" s="99"/>
      <c r="Z540" s="99"/>
      <c r="AA540" s="99"/>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99"/>
      <c r="BE540" s="99"/>
      <c r="BF540" s="99"/>
      <c r="BG540" s="99"/>
      <c r="BH540" s="99"/>
      <c r="BI540" s="99"/>
      <c r="BJ540" s="99"/>
      <c r="BK540" s="11"/>
      <c r="BL540" s="11"/>
    </row>
    <row r="541" spans="1:64" ht="12.75" hidden="1" customHeight="1" outlineLevel="1">
      <c r="A541" s="9"/>
      <c r="B541" s="9"/>
      <c r="C541" s="44"/>
      <c r="D541" s="128" t="str">
        <f>Asset8</f>
        <v>Customer Metering (digital)</v>
      </c>
      <c r="E541" s="9"/>
      <c r="F541" s="9"/>
      <c r="G541" s="194">
        <f>'Adjustment for previous period'!G437</f>
        <v>0</v>
      </c>
      <c r="H541" s="36"/>
      <c r="I541" s="36"/>
      <c r="J541" s="36"/>
      <c r="K541" s="36"/>
      <c r="L541" s="36"/>
      <c r="M541" s="36"/>
      <c r="N541" s="28"/>
      <c r="O541" s="28"/>
      <c r="P541" s="28"/>
      <c r="Q541" s="28"/>
      <c r="R541" s="28"/>
      <c r="S541" s="99"/>
      <c r="T541" s="99"/>
      <c r="U541" s="99"/>
      <c r="V541" s="99"/>
      <c r="W541" s="99"/>
      <c r="X541" s="99"/>
      <c r="Y541" s="99"/>
      <c r="Z541" s="99"/>
      <c r="AA541" s="99"/>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99"/>
      <c r="BE541" s="99"/>
      <c r="BF541" s="99"/>
      <c r="BG541" s="99"/>
      <c r="BH541" s="99"/>
      <c r="BI541" s="99"/>
      <c r="BJ541" s="99"/>
      <c r="BK541" s="11"/>
      <c r="BL541" s="11"/>
    </row>
    <row r="542" spans="1:64" ht="12.75" hidden="1" customHeight="1" outlineLevel="1">
      <c r="A542" s="9"/>
      <c r="B542" s="9"/>
      <c r="C542" s="44"/>
      <c r="D542" s="128" t="str">
        <f>Asset9</f>
        <v>Communications (digital) - dx</v>
      </c>
      <c r="E542" s="9"/>
      <c r="F542" s="9"/>
      <c r="G542" s="194">
        <f>'Adjustment for previous period'!G438</f>
        <v>0</v>
      </c>
      <c r="H542" s="36"/>
      <c r="I542" s="36"/>
      <c r="J542" s="36"/>
      <c r="K542" s="36"/>
      <c r="L542" s="36"/>
      <c r="M542" s="36"/>
      <c r="N542" s="28"/>
      <c r="O542" s="28"/>
      <c r="P542" s="28"/>
      <c r="Q542" s="28"/>
      <c r="R542" s="28"/>
      <c r="S542" s="99"/>
      <c r="T542" s="99"/>
      <c r="U542" s="99"/>
      <c r="V542" s="99"/>
      <c r="W542" s="99"/>
      <c r="X542" s="99"/>
      <c r="Y542" s="99"/>
      <c r="Z542" s="99"/>
      <c r="AA542" s="99"/>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99"/>
      <c r="BE542" s="99"/>
      <c r="BF542" s="99"/>
      <c r="BG542" s="99"/>
      <c r="BH542" s="99"/>
      <c r="BI542" s="99"/>
      <c r="BJ542" s="99"/>
      <c r="BK542" s="11"/>
      <c r="BL542" s="11"/>
    </row>
    <row r="543" spans="1:64" ht="12.75" hidden="1" customHeight="1" outlineLevel="1">
      <c r="A543" s="9"/>
      <c r="B543" s="9"/>
      <c r="C543" s="44"/>
      <c r="D543" s="128" t="str">
        <f>Asset10</f>
        <v>Total Communications</v>
      </c>
      <c r="E543" s="9"/>
      <c r="F543" s="9"/>
      <c r="G543" s="194">
        <f>'Adjustment for previous period'!G439</f>
        <v>6.7566642408488242</v>
      </c>
      <c r="H543" s="36"/>
      <c r="I543" s="36"/>
      <c r="J543" s="36"/>
      <c r="K543" s="36"/>
      <c r="L543" s="36"/>
      <c r="M543" s="36"/>
      <c r="N543" s="28"/>
      <c r="O543" s="28"/>
      <c r="P543" s="28"/>
      <c r="Q543" s="28"/>
      <c r="R543" s="28"/>
      <c r="S543" s="99"/>
      <c r="T543" s="99"/>
      <c r="U543" s="99"/>
      <c r="V543" s="99"/>
      <c r="W543" s="99"/>
      <c r="X543" s="99"/>
      <c r="Y543" s="99"/>
      <c r="Z543" s="99"/>
      <c r="AA543" s="99"/>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99"/>
      <c r="BE543" s="99"/>
      <c r="BF543" s="99"/>
      <c r="BG543" s="99"/>
      <c r="BH543" s="99"/>
      <c r="BI543" s="99"/>
      <c r="BJ543" s="99"/>
      <c r="BK543" s="11"/>
      <c r="BL543" s="11"/>
    </row>
    <row r="544" spans="1:64" ht="12.75" hidden="1" customHeight="1" outlineLevel="1">
      <c r="A544" s="9"/>
      <c r="B544" s="9"/>
      <c r="C544" s="44"/>
      <c r="D544" s="128" t="str">
        <f>Asset11</f>
        <v>System IT (dx)</v>
      </c>
      <c r="E544" s="9"/>
      <c r="F544" s="9"/>
      <c r="G544" s="194">
        <f>'Adjustment for previous period'!G440</f>
        <v>0</v>
      </c>
      <c r="H544" s="36"/>
      <c r="I544" s="36"/>
      <c r="J544" s="36"/>
      <c r="K544" s="36"/>
      <c r="L544" s="36"/>
      <c r="M544" s="36"/>
      <c r="N544" s="28"/>
      <c r="O544" s="28"/>
      <c r="P544" s="28"/>
      <c r="Q544" s="28"/>
      <c r="R544" s="28"/>
      <c r="S544" s="99"/>
      <c r="T544" s="99"/>
      <c r="U544" s="99"/>
      <c r="V544" s="99"/>
      <c r="W544" s="99"/>
      <c r="X544" s="99"/>
      <c r="Y544" s="99"/>
      <c r="Z544" s="99"/>
      <c r="AA544" s="99"/>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99"/>
      <c r="BE544" s="99"/>
      <c r="BF544" s="99"/>
      <c r="BG544" s="99"/>
      <c r="BH544" s="99"/>
      <c r="BI544" s="99"/>
      <c r="BJ544" s="99"/>
      <c r="BK544" s="11"/>
      <c r="BL544" s="11"/>
    </row>
    <row r="545" spans="1:64" ht="12.75" hidden="1" customHeight="1" outlineLevel="1">
      <c r="A545" s="9"/>
      <c r="B545" s="9"/>
      <c r="C545" s="44"/>
      <c r="D545" s="128" t="str">
        <f>Asset12</f>
        <v>Ancillary substation equipment (dx)</v>
      </c>
      <c r="E545" s="9"/>
      <c r="F545" s="9"/>
      <c r="G545" s="194">
        <f>'Adjustment for previous period'!G441</f>
        <v>0</v>
      </c>
      <c r="H545" s="36"/>
      <c r="I545" s="36"/>
      <c r="J545" s="36"/>
      <c r="K545" s="36"/>
      <c r="L545" s="36"/>
      <c r="M545" s="36"/>
      <c r="N545" s="28"/>
      <c r="O545" s="28"/>
      <c r="P545" s="28"/>
      <c r="Q545" s="28"/>
      <c r="R545" s="28"/>
      <c r="S545" s="99"/>
      <c r="T545" s="99"/>
      <c r="U545" s="99"/>
      <c r="V545" s="99"/>
      <c r="W545" s="99"/>
      <c r="X545" s="99"/>
      <c r="Y545" s="99"/>
      <c r="Z545" s="99"/>
      <c r="AA545" s="99"/>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99"/>
      <c r="BE545" s="99"/>
      <c r="BF545" s="99"/>
      <c r="BG545" s="99"/>
      <c r="BH545" s="99"/>
      <c r="BI545" s="99"/>
      <c r="BJ545" s="99"/>
      <c r="BK545" s="11"/>
      <c r="BL545" s="11"/>
    </row>
    <row r="546" spans="1:64" ht="12.75" hidden="1" customHeight="1" outlineLevel="1">
      <c r="A546" s="9"/>
      <c r="B546" s="9"/>
      <c r="C546" s="44"/>
      <c r="D546" s="128" t="str">
        <f>Asset13</f>
        <v>Land and Easements</v>
      </c>
      <c r="E546" s="9"/>
      <c r="F546" s="9"/>
      <c r="G546" s="194">
        <f>'Adjustment for previous period'!G442</f>
        <v>6.704083661215817</v>
      </c>
      <c r="H546" s="36"/>
      <c r="I546" s="36"/>
      <c r="J546" s="36"/>
      <c r="K546" s="36"/>
      <c r="L546" s="36"/>
      <c r="M546" s="36"/>
      <c r="N546" s="28"/>
      <c r="O546" s="28"/>
      <c r="P546" s="28"/>
      <c r="Q546" s="28"/>
      <c r="R546" s="28"/>
      <c r="S546" s="99"/>
      <c r="T546" s="99"/>
      <c r="U546" s="99"/>
      <c r="V546" s="99"/>
      <c r="W546" s="99"/>
      <c r="X546" s="99"/>
      <c r="Y546" s="99"/>
      <c r="Z546" s="99"/>
      <c r="AA546" s="99"/>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99"/>
      <c r="BE546" s="99"/>
      <c r="BF546" s="99"/>
      <c r="BG546" s="99"/>
      <c r="BH546" s="99"/>
      <c r="BI546" s="99"/>
      <c r="BJ546" s="99"/>
      <c r="BK546" s="11"/>
      <c r="BL546" s="11"/>
    </row>
    <row r="547" spans="1:64" ht="12.75" hidden="1" customHeight="1" outlineLevel="1">
      <c r="A547" s="9"/>
      <c r="B547" s="9"/>
      <c r="C547" s="44"/>
      <c r="D547" s="128" t="str">
        <f>Asset14</f>
        <v>Emergency Spares (Major Plant, Excludes Inventory)</v>
      </c>
      <c r="E547" s="9"/>
      <c r="F547" s="9"/>
      <c r="G547" s="194">
        <f>'Adjustment for previous period'!G443</f>
        <v>-12.028820812831013</v>
      </c>
      <c r="H547" s="36"/>
      <c r="I547" s="36"/>
      <c r="J547" s="36"/>
      <c r="K547" s="36"/>
      <c r="L547" s="36"/>
      <c r="M547" s="36"/>
      <c r="N547" s="28"/>
      <c r="O547" s="28"/>
      <c r="P547" s="28"/>
      <c r="Q547" s="28"/>
      <c r="R547" s="28"/>
      <c r="S547" s="99"/>
      <c r="T547" s="99"/>
      <c r="U547" s="99"/>
      <c r="V547" s="99"/>
      <c r="W547" s="99"/>
      <c r="X547" s="99"/>
      <c r="Y547" s="99"/>
      <c r="Z547" s="99"/>
      <c r="AA547" s="99"/>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99"/>
      <c r="BE547" s="99"/>
      <c r="BF547" s="99"/>
      <c r="BG547" s="99"/>
      <c r="BH547" s="99"/>
      <c r="BI547" s="99"/>
      <c r="BJ547" s="99"/>
      <c r="BK547" s="11"/>
      <c r="BL547" s="11"/>
    </row>
    <row r="548" spans="1:64" ht="12.75" hidden="1" customHeight="1" outlineLevel="1">
      <c r="A548" s="9"/>
      <c r="B548" s="9"/>
      <c r="C548" s="44"/>
      <c r="D548" s="128" t="str">
        <f>Asset15</f>
        <v>Furniture, fittings, plant and equipment</v>
      </c>
      <c r="E548" s="9"/>
      <c r="F548" s="9"/>
      <c r="G548" s="194">
        <f>'Adjustment for previous period'!G444</f>
        <v>-0.20017774486448836</v>
      </c>
      <c r="H548" s="36"/>
      <c r="I548" s="36"/>
      <c r="J548" s="36"/>
      <c r="K548" s="36"/>
      <c r="L548" s="36"/>
      <c r="M548" s="36"/>
      <c r="N548" s="28"/>
      <c r="O548" s="28"/>
      <c r="P548" s="28"/>
      <c r="Q548" s="28"/>
      <c r="R548" s="28"/>
      <c r="S548" s="99"/>
      <c r="T548" s="99"/>
      <c r="U548" s="99"/>
      <c r="V548" s="99"/>
      <c r="W548" s="99"/>
      <c r="X548" s="99"/>
      <c r="Y548" s="99"/>
      <c r="Z548" s="99"/>
      <c r="AA548" s="99"/>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99"/>
      <c r="BE548" s="99"/>
      <c r="BF548" s="99"/>
      <c r="BG548" s="99"/>
      <c r="BH548" s="99"/>
      <c r="BI548" s="99"/>
      <c r="BJ548" s="99"/>
      <c r="BK548" s="11"/>
      <c r="BL548" s="11"/>
    </row>
    <row r="549" spans="1:64" ht="12.75" hidden="1" customHeight="1" outlineLevel="1">
      <c r="A549" s="9"/>
      <c r="B549" s="9"/>
      <c r="C549" s="44"/>
      <c r="D549" s="128" t="str">
        <f>Asset16</f>
        <v>Land (non-system)</v>
      </c>
      <c r="E549" s="9"/>
      <c r="F549" s="9"/>
      <c r="G549" s="194">
        <f>'Adjustment for previous period'!G445</f>
        <v>-1.9608297201348512</v>
      </c>
      <c r="H549" s="36"/>
      <c r="I549" s="36"/>
      <c r="J549" s="36"/>
      <c r="K549" s="36"/>
      <c r="L549" s="36"/>
      <c r="M549" s="36"/>
      <c r="N549" s="28"/>
      <c r="O549" s="28"/>
      <c r="P549" s="28"/>
      <c r="Q549" s="28"/>
      <c r="R549" s="28"/>
      <c r="S549" s="99"/>
      <c r="T549" s="99"/>
      <c r="U549" s="99"/>
      <c r="V549" s="99"/>
      <c r="W549" s="99"/>
      <c r="X549" s="99"/>
      <c r="Y549" s="99"/>
      <c r="Z549" s="99"/>
      <c r="AA549" s="99"/>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99"/>
      <c r="BE549" s="99"/>
      <c r="BF549" s="99"/>
      <c r="BG549" s="99"/>
      <c r="BH549" s="99"/>
      <c r="BI549" s="99"/>
      <c r="BJ549" s="99"/>
      <c r="BK549" s="11"/>
      <c r="BL549" s="11"/>
    </row>
    <row r="550" spans="1:64" ht="12.75" hidden="1" customHeight="1" outlineLevel="1">
      <c r="A550" s="9"/>
      <c r="B550" s="9"/>
      <c r="C550" s="44"/>
      <c r="D550" s="128" t="str">
        <f>Asset17</f>
        <v>Other non system assets</v>
      </c>
      <c r="E550" s="9"/>
      <c r="F550" s="9"/>
      <c r="G550" s="194">
        <f>'Adjustment for previous period'!G446</f>
        <v>-3.4070576477654524</v>
      </c>
      <c r="H550" s="36"/>
      <c r="I550" s="36"/>
      <c r="J550" s="36"/>
      <c r="K550" s="36"/>
      <c r="L550" s="36"/>
      <c r="M550" s="36"/>
      <c r="N550" s="28"/>
      <c r="O550" s="28"/>
      <c r="P550" s="28"/>
      <c r="Q550" s="28"/>
      <c r="R550" s="28"/>
      <c r="S550" s="99"/>
      <c r="T550" s="99"/>
      <c r="U550" s="99"/>
      <c r="V550" s="99"/>
      <c r="W550" s="99"/>
      <c r="X550" s="99"/>
      <c r="Y550" s="99"/>
      <c r="Z550" s="99"/>
      <c r="AA550" s="99"/>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99"/>
      <c r="BE550" s="99"/>
      <c r="BF550" s="99"/>
      <c r="BG550" s="99"/>
      <c r="BH550" s="99"/>
      <c r="BI550" s="99"/>
      <c r="BJ550" s="99"/>
      <c r="BK550" s="11"/>
      <c r="BL550" s="11"/>
    </row>
    <row r="551" spans="1:64" ht="12.75" hidden="1" customHeight="1" outlineLevel="1">
      <c r="A551" s="9"/>
      <c r="B551" s="9"/>
      <c r="C551" s="44"/>
      <c r="D551" s="128" t="str">
        <f>Asset18</f>
        <v>IT systems</v>
      </c>
      <c r="E551" s="9"/>
      <c r="F551" s="9"/>
      <c r="G551" s="194">
        <f>'Adjustment for previous period'!G447</f>
        <v>-9.6860685290715409</v>
      </c>
      <c r="H551" s="36"/>
      <c r="I551" s="36"/>
      <c r="J551" s="36"/>
      <c r="K551" s="36"/>
      <c r="L551" s="36"/>
      <c r="M551" s="36"/>
      <c r="N551" s="28"/>
      <c r="O551" s="28"/>
      <c r="P551" s="28"/>
      <c r="Q551" s="28"/>
      <c r="R551" s="28"/>
      <c r="S551" s="99"/>
      <c r="T551" s="99"/>
      <c r="U551" s="99"/>
      <c r="V551" s="99"/>
      <c r="W551" s="99"/>
      <c r="X551" s="99"/>
      <c r="Y551" s="99"/>
      <c r="Z551" s="99"/>
      <c r="AA551" s="99"/>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99"/>
      <c r="BE551" s="99"/>
      <c r="BF551" s="99"/>
      <c r="BG551" s="99"/>
      <c r="BH551" s="99"/>
      <c r="BI551" s="99"/>
      <c r="BJ551" s="99"/>
      <c r="BK551" s="11"/>
      <c r="BL551" s="11"/>
    </row>
    <row r="552" spans="1:64" ht="12.75" hidden="1" customHeight="1" outlineLevel="1">
      <c r="A552" s="9"/>
      <c r="B552" s="9"/>
      <c r="C552" s="44"/>
      <c r="D552" s="128" t="str">
        <f>Asset19</f>
        <v>Motor vehicles</v>
      </c>
      <c r="E552" s="9"/>
      <c r="F552" s="9"/>
      <c r="G552" s="194">
        <f>'Adjustment for previous period'!G448</f>
        <v>2.2773040420221129</v>
      </c>
      <c r="H552" s="36"/>
      <c r="I552" s="36"/>
      <c r="J552" s="36"/>
      <c r="K552" s="36"/>
      <c r="L552" s="36"/>
      <c r="M552" s="36"/>
      <c r="N552" s="28"/>
      <c r="O552" s="28"/>
      <c r="P552" s="28"/>
      <c r="Q552" s="28"/>
      <c r="R552" s="28"/>
      <c r="S552" s="99"/>
      <c r="T552" s="99"/>
      <c r="U552" s="99"/>
      <c r="V552" s="99"/>
      <c r="W552" s="99"/>
      <c r="X552" s="99"/>
      <c r="Y552" s="99"/>
      <c r="Z552" s="99"/>
      <c r="AA552" s="99"/>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99"/>
      <c r="BE552" s="99"/>
      <c r="BF552" s="99"/>
      <c r="BG552" s="99"/>
      <c r="BH552" s="99"/>
      <c r="BI552" s="99"/>
      <c r="BJ552" s="99"/>
      <c r="BK552" s="11"/>
      <c r="BL552" s="11"/>
    </row>
    <row r="553" spans="1:64" ht="12.75" hidden="1" customHeight="1" outlineLevel="1">
      <c r="A553" s="9"/>
      <c r="B553" s="9"/>
      <c r="C553" s="44"/>
      <c r="D553" s="128" t="str">
        <f>Asset20</f>
        <v>Buildings</v>
      </c>
      <c r="E553" s="9"/>
      <c r="F553" s="9"/>
      <c r="G553" s="194">
        <f>'Adjustment for previous period'!G449</f>
        <v>0.69546717669315772</v>
      </c>
      <c r="H553" s="36"/>
      <c r="I553" s="36"/>
      <c r="J553" s="36"/>
      <c r="K553" s="36"/>
      <c r="L553" s="36"/>
      <c r="M553" s="36"/>
      <c r="N553" s="28"/>
      <c r="O553" s="28"/>
      <c r="P553" s="28"/>
      <c r="Q553" s="28"/>
      <c r="R553" s="28"/>
      <c r="S553" s="99"/>
      <c r="T553" s="99"/>
      <c r="U553" s="99"/>
      <c r="V553" s="99"/>
      <c r="W553" s="99"/>
      <c r="X553" s="99"/>
      <c r="Y553" s="99"/>
      <c r="Z553" s="99"/>
      <c r="AA553" s="99"/>
      <c r="AB553" s="221"/>
      <c r="AC553" s="221"/>
      <c r="AD553" s="221"/>
      <c r="AE553" s="221"/>
      <c r="AF553" s="221"/>
      <c r="AG553" s="221"/>
      <c r="AH553" s="221"/>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99"/>
      <c r="BE553" s="99"/>
      <c r="BF553" s="99"/>
      <c r="BG553" s="99"/>
      <c r="BH553" s="99"/>
      <c r="BI553" s="99"/>
      <c r="BJ553" s="99"/>
      <c r="BK553" s="11"/>
      <c r="BL553" s="11"/>
    </row>
    <row r="554" spans="1:64" ht="4.5" hidden="1" customHeight="1" outlineLevel="1">
      <c r="A554" s="9"/>
      <c r="B554" s="9"/>
      <c r="C554" s="44"/>
      <c r="D554" s="128" t="str">
        <f>Asset21</f>
        <v>Equity raising costs</v>
      </c>
      <c r="E554" s="9"/>
      <c r="F554" s="9"/>
      <c r="G554" s="194">
        <f>'Adjustment for previous period'!G450</f>
        <v>0</v>
      </c>
      <c r="H554" s="36"/>
      <c r="I554" s="36"/>
      <c r="J554" s="36"/>
      <c r="K554" s="36"/>
      <c r="L554" s="36"/>
      <c r="M554" s="36"/>
      <c r="N554" s="28"/>
      <c r="O554" s="28"/>
      <c r="P554" s="28"/>
      <c r="Q554" s="28"/>
      <c r="R554" s="28"/>
      <c r="S554" s="99"/>
      <c r="T554" s="99"/>
      <c r="U554" s="99"/>
      <c r="V554" s="99"/>
      <c r="W554" s="99"/>
      <c r="X554" s="99"/>
      <c r="Y554" s="99"/>
      <c r="Z554" s="99"/>
      <c r="AA554" s="99"/>
      <c r="AB554" s="221"/>
      <c r="AC554" s="221"/>
      <c r="AD554" s="221"/>
      <c r="AE554" s="221"/>
      <c r="AF554" s="221"/>
      <c r="AG554" s="221"/>
      <c r="AH554" s="221"/>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99"/>
      <c r="BE554" s="99"/>
      <c r="BF554" s="99"/>
      <c r="BG554" s="99"/>
      <c r="BH554" s="99"/>
      <c r="BI554" s="99"/>
      <c r="BJ554" s="99"/>
      <c r="BK554" s="11"/>
      <c r="BL554" s="11"/>
    </row>
    <row r="555" spans="1:64" ht="4.5" hidden="1" customHeight="1" outlineLevel="1">
      <c r="A555" s="9"/>
      <c r="B555" s="9"/>
      <c r="C555" s="44"/>
      <c r="D555" s="128">
        <f>Asset22</f>
        <v>0</v>
      </c>
      <c r="E555" s="9"/>
      <c r="F555" s="9"/>
      <c r="G555" s="194">
        <f>'Adjustment for previous period'!G451</f>
        <v>0</v>
      </c>
      <c r="H555" s="36"/>
      <c r="I555" s="36"/>
      <c r="J555" s="36"/>
      <c r="K555" s="36"/>
      <c r="L555" s="36"/>
      <c r="M555" s="36"/>
      <c r="N555" s="28"/>
      <c r="O555" s="28"/>
      <c r="P555" s="28"/>
      <c r="Q555" s="28"/>
      <c r="R555" s="28"/>
      <c r="S555" s="99"/>
      <c r="T555" s="99"/>
      <c r="U555" s="99"/>
      <c r="V555" s="99"/>
      <c r="W555" s="99"/>
      <c r="X555" s="99"/>
      <c r="Y555" s="99"/>
      <c r="Z555" s="99"/>
      <c r="AA555" s="99"/>
      <c r="AB555" s="221"/>
      <c r="AC555" s="221"/>
      <c r="AD555" s="221"/>
      <c r="AE555" s="221"/>
      <c r="AF555" s="221"/>
      <c r="AG555" s="221"/>
      <c r="AH555" s="221"/>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99"/>
      <c r="BE555" s="99"/>
      <c r="BF555" s="99"/>
      <c r="BG555" s="99"/>
      <c r="BH555" s="99"/>
      <c r="BI555" s="99"/>
      <c r="BJ555" s="99"/>
      <c r="BK555" s="11"/>
      <c r="BL555" s="11"/>
    </row>
    <row r="556" spans="1:64" ht="4.5" hidden="1" customHeight="1" outlineLevel="1">
      <c r="A556" s="9"/>
      <c r="B556" s="9"/>
      <c r="C556" s="44"/>
      <c r="D556" s="128">
        <f>Asset23</f>
        <v>0</v>
      </c>
      <c r="E556" s="9"/>
      <c r="F556" s="9"/>
      <c r="G556" s="194">
        <f>'Adjustment for previous period'!G452</f>
        <v>0</v>
      </c>
      <c r="H556" s="36"/>
      <c r="I556" s="36"/>
      <c r="J556" s="36"/>
      <c r="K556" s="36"/>
      <c r="L556" s="36"/>
      <c r="M556" s="36"/>
      <c r="N556" s="28"/>
      <c r="O556" s="28"/>
      <c r="P556" s="28"/>
      <c r="Q556" s="28"/>
      <c r="R556" s="28"/>
      <c r="S556" s="99"/>
      <c r="T556" s="99"/>
      <c r="U556" s="99"/>
      <c r="V556" s="99"/>
      <c r="W556" s="99"/>
      <c r="X556" s="99"/>
      <c r="Y556" s="99"/>
      <c r="Z556" s="99"/>
      <c r="AA556" s="99"/>
      <c r="AB556" s="221"/>
      <c r="AC556" s="221"/>
      <c r="AD556" s="221"/>
      <c r="AE556" s="221"/>
      <c r="AF556" s="221"/>
      <c r="AG556" s="221"/>
      <c r="AH556" s="221"/>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99"/>
      <c r="BE556" s="99"/>
      <c r="BF556" s="99"/>
      <c r="BG556" s="99"/>
      <c r="BH556" s="99"/>
      <c r="BI556" s="99"/>
      <c r="BJ556" s="99"/>
      <c r="BK556" s="11"/>
      <c r="BL556" s="11"/>
    </row>
    <row r="557" spans="1:64" ht="4.5" hidden="1" customHeight="1" outlineLevel="1">
      <c r="A557" s="9"/>
      <c r="B557" s="9"/>
      <c r="C557" s="44"/>
      <c r="D557" s="128">
        <f>Asset24</f>
        <v>0</v>
      </c>
      <c r="E557" s="9"/>
      <c r="F557" s="9"/>
      <c r="G557" s="194">
        <f>'Adjustment for previous period'!G453</f>
        <v>0</v>
      </c>
      <c r="H557" s="36"/>
      <c r="I557" s="36"/>
      <c r="J557" s="36"/>
      <c r="K557" s="36"/>
      <c r="L557" s="36"/>
      <c r="M557" s="36"/>
      <c r="N557" s="28"/>
      <c r="O557" s="28"/>
      <c r="P557" s="28"/>
      <c r="Q557" s="28"/>
      <c r="R557" s="28"/>
      <c r="S557" s="99"/>
      <c r="T557" s="99"/>
      <c r="U557" s="99"/>
      <c r="V557" s="99"/>
      <c r="W557" s="99"/>
      <c r="X557" s="99"/>
      <c r="Y557" s="99"/>
      <c r="Z557" s="99"/>
      <c r="AA557" s="99"/>
      <c r="AB557" s="221"/>
      <c r="AC557" s="221"/>
      <c r="AD557" s="221"/>
      <c r="AE557" s="221"/>
      <c r="AF557" s="221"/>
      <c r="AG557" s="221"/>
      <c r="AH557" s="221"/>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99"/>
      <c r="BE557" s="99"/>
      <c r="BF557" s="99"/>
      <c r="BG557" s="99"/>
      <c r="BH557" s="99"/>
      <c r="BI557" s="99"/>
      <c r="BJ557" s="99"/>
      <c r="BK557" s="11"/>
      <c r="BL557" s="11"/>
    </row>
    <row r="558" spans="1:64" ht="4.5" hidden="1" customHeight="1" outlineLevel="1">
      <c r="A558" s="9"/>
      <c r="B558" s="9"/>
      <c r="C558" s="44"/>
      <c r="D558" s="128">
        <f>Asset25</f>
        <v>0</v>
      </c>
      <c r="E558" s="9"/>
      <c r="F558" s="9"/>
      <c r="G558" s="194">
        <f>'Adjustment for previous period'!G454</f>
        <v>0</v>
      </c>
      <c r="H558" s="36"/>
      <c r="I558" s="36"/>
      <c r="J558" s="36"/>
      <c r="K558" s="36"/>
      <c r="L558" s="36"/>
      <c r="M558" s="36"/>
      <c r="N558" s="28"/>
      <c r="O558" s="28"/>
      <c r="P558" s="28"/>
      <c r="Q558" s="28"/>
      <c r="R558" s="28"/>
      <c r="S558" s="99"/>
      <c r="T558" s="99"/>
      <c r="U558" s="99"/>
      <c r="V558" s="99"/>
      <c r="W558" s="99"/>
      <c r="X558" s="99"/>
      <c r="Y558" s="99"/>
      <c r="Z558" s="99"/>
      <c r="AA558" s="99"/>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99"/>
      <c r="BE558" s="99"/>
      <c r="BF558" s="99"/>
      <c r="BG558" s="99"/>
      <c r="BH558" s="99"/>
      <c r="BI558" s="99"/>
      <c r="BJ558" s="99"/>
      <c r="BK558" s="11"/>
      <c r="BL558" s="11"/>
    </row>
    <row r="559" spans="1:64" ht="4.5" hidden="1" customHeight="1" outlineLevel="1">
      <c r="A559" s="9"/>
      <c r="B559" s="9"/>
      <c r="C559" s="44"/>
      <c r="D559" s="128">
        <f>Asset26</f>
        <v>0</v>
      </c>
      <c r="E559" s="9"/>
      <c r="F559" s="9"/>
      <c r="G559" s="194">
        <f>'Adjustment for previous period'!G455</f>
        <v>0</v>
      </c>
      <c r="H559" s="36"/>
      <c r="I559" s="36"/>
      <c r="J559" s="36"/>
      <c r="K559" s="36"/>
      <c r="L559" s="36"/>
      <c r="M559" s="36"/>
      <c r="N559" s="28"/>
      <c r="O559" s="28"/>
      <c r="P559" s="28"/>
      <c r="Q559" s="28"/>
      <c r="R559" s="28"/>
      <c r="S559" s="99"/>
      <c r="T559" s="99"/>
      <c r="U559" s="99"/>
      <c r="V559" s="99"/>
      <c r="W559" s="99"/>
      <c r="X559" s="99"/>
      <c r="Y559" s="99"/>
      <c r="Z559" s="99"/>
      <c r="AA559" s="99"/>
      <c r="AB559" s="221"/>
      <c r="AC559" s="221"/>
      <c r="AD559" s="221"/>
      <c r="AE559" s="221"/>
      <c r="AF559" s="221"/>
      <c r="AG559" s="221"/>
      <c r="AH559" s="221"/>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99"/>
      <c r="BE559" s="99"/>
      <c r="BF559" s="99"/>
      <c r="BG559" s="99"/>
      <c r="BH559" s="99"/>
      <c r="BI559" s="99"/>
      <c r="BJ559" s="99"/>
      <c r="BK559" s="11"/>
      <c r="BL559" s="11"/>
    </row>
    <row r="560" spans="1:64" ht="4.5" hidden="1" customHeight="1" outlineLevel="1">
      <c r="A560" s="9"/>
      <c r="B560" s="9"/>
      <c r="C560" s="44"/>
      <c r="D560" s="128">
        <f>Asset27</f>
        <v>0</v>
      </c>
      <c r="E560" s="9"/>
      <c r="F560" s="9"/>
      <c r="G560" s="194">
        <f>'Adjustment for previous period'!G456</f>
        <v>0</v>
      </c>
      <c r="H560" s="36"/>
      <c r="I560" s="36"/>
      <c r="J560" s="36"/>
      <c r="K560" s="36"/>
      <c r="L560" s="36"/>
      <c r="M560" s="36"/>
      <c r="N560" s="28"/>
      <c r="O560" s="28"/>
      <c r="P560" s="28"/>
      <c r="Q560" s="28"/>
      <c r="R560" s="28"/>
      <c r="S560" s="99"/>
      <c r="T560" s="99"/>
      <c r="U560" s="99"/>
      <c r="V560" s="99"/>
      <c r="W560" s="99"/>
      <c r="X560" s="99"/>
      <c r="Y560" s="99"/>
      <c r="Z560" s="99"/>
      <c r="AA560" s="99"/>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99"/>
      <c r="BE560" s="99"/>
      <c r="BF560" s="99"/>
      <c r="BG560" s="99"/>
      <c r="BH560" s="99"/>
      <c r="BI560" s="99"/>
      <c r="BJ560" s="99"/>
      <c r="BK560" s="11"/>
      <c r="BL560" s="11"/>
    </row>
    <row r="561" spans="1:64" ht="4.5" hidden="1" customHeight="1" outlineLevel="1">
      <c r="A561" s="9"/>
      <c r="B561" s="9"/>
      <c r="C561" s="44"/>
      <c r="D561" s="128">
        <f>Asset28</f>
        <v>0</v>
      </c>
      <c r="E561" s="9"/>
      <c r="F561" s="9"/>
      <c r="G561" s="194">
        <f>'Adjustment for previous period'!G457</f>
        <v>0</v>
      </c>
      <c r="H561" s="36"/>
      <c r="I561" s="36"/>
      <c r="J561" s="36"/>
      <c r="K561" s="36"/>
      <c r="L561" s="36"/>
      <c r="M561" s="36"/>
      <c r="N561" s="28"/>
      <c r="O561" s="28"/>
      <c r="P561" s="28"/>
      <c r="Q561" s="28"/>
      <c r="R561" s="28"/>
      <c r="S561" s="99"/>
      <c r="T561" s="99"/>
      <c r="U561" s="99"/>
      <c r="V561" s="99"/>
      <c r="W561" s="99"/>
      <c r="X561" s="99"/>
      <c r="Y561" s="99"/>
      <c r="Z561" s="99"/>
      <c r="AA561" s="99"/>
      <c r="AB561" s="221"/>
      <c r="AC561" s="221"/>
      <c r="AD561" s="221"/>
      <c r="AE561" s="221"/>
      <c r="AF561" s="221"/>
      <c r="AG561" s="221"/>
      <c r="AH561" s="221"/>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99"/>
      <c r="BE561" s="99"/>
      <c r="BF561" s="99"/>
      <c r="BG561" s="99"/>
      <c r="BH561" s="99"/>
      <c r="BI561" s="99"/>
      <c r="BJ561" s="99"/>
      <c r="BK561" s="11"/>
      <c r="BL561" s="11"/>
    </row>
    <row r="562" spans="1:64" ht="4.5" hidden="1" customHeight="1" outlineLevel="1">
      <c r="A562" s="9"/>
      <c r="B562" s="9"/>
      <c r="C562" s="44"/>
      <c r="D562" s="128">
        <f>Asset29</f>
        <v>0</v>
      </c>
      <c r="E562" s="9"/>
      <c r="F562" s="9"/>
      <c r="G562" s="194">
        <f>'Adjustment for previous period'!G458</f>
        <v>0</v>
      </c>
      <c r="H562" s="36"/>
      <c r="I562" s="36"/>
      <c r="J562" s="36"/>
      <c r="K562" s="36"/>
      <c r="L562" s="36"/>
      <c r="M562" s="36"/>
      <c r="N562" s="28"/>
      <c r="O562" s="28"/>
      <c r="P562" s="28"/>
      <c r="Q562" s="28"/>
      <c r="R562" s="28"/>
      <c r="S562" s="99"/>
      <c r="T562" s="99"/>
      <c r="U562" s="99"/>
      <c r="V562" s="99"/>
      <c r="W562" s="99"/>
      <c r="X562" s="99"/>
      <c r="Y562" s="99"/>
      <c r="Z562" s="99"/>
      <c r="AA562" s="99"/>
      <c r="AB562" s="221"/>
      <c r="AC562" s="221"/>
      <c r="AD562" s="221"/>
      <c r="AE562" s="221"/>
      <c r="AF562" s="221"/>
      <c r="AG562" s="221"/>
      <c r="AH562" s="221"/>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99"/>
      <c r="BE562" s="99"/>
      <c r="BF562" s="99"/>
      <c r="BG562" s="99"/>
      <c r="BH562" s="99"/>
      <c r="BI562" s="99"/>
      <c r="BJ562" s="99"/>
      <c r="BK562" s="11"/>
      <c r="BL562" s="11"/>
    </row>
    <row r="563" spans="1:64" ht="4.5" hidden="1" customHeight="1" outlineLevel="1">
      <c r="A563" s="9"/>
      <c r="B563" s="9"/>
      <c r="C563" s="44"/>
      <c r="D563" s="128">
        <f>Asset30</f>
        <v>0</v>
      </c>
      <c r="E563" s="9"/>
      <c r="F563" s="9"/>
      <c r="G563" s="194">
        <f>'Adjustment for previous period'!G459</f>
        <v>0</v>
      </c>
      <c r="H563" s="36"/>
      <c r="I563" s="36"/>
      <c r="J563" s="36"/>
      <c r="K563" s="36"/>
      <c r="L563" s="36"/>
      <c r="M563" s="36"/>
      <c r="N563" s="28"/>
      <c r="O563" s="28"/>
      <c r="P563" s="28"/>
      <c r="Q563" s="28"/>
      <c r="R563" s="28"/>
      <c r="S563" s="99"/>
      <c r="T563" s="99"/>
      <c r="U563" s="99"/>
      <c r="V563" s="99"/>
      <c r="W563" s="99"/>
      <c r="X563" s="99"/>
      <c r="Y563" s="99"/>
      <c r="Z563" s="99"/>
      <c r="AA563" s="99"/>
      <c r="AB563" s="221"/>
      <c r="AC563" s="221"/>
      <c r="AD563" s="221"/>
      <c r="AE563" s="221"/>
      <c r="AF563" s="221"/>
      <c r="AG563" s="221"/>
      <c r="AH563" s="221"/>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99"/>
      <c r="BE563" s="99"/>
      <c r="BF563" s="99"/>
      <c r="BG563" s="99"/>
      <c r="BH563" s="99"/>
      <c r="BI563" s="99"/>
      <c r="BJ563" s="99"/>
      <c r="BK563" s="11"/>
      <c r="BL563" s="11"/>
    </row>
    <row r="564" spans="1:64" collapsed="1">
      <c r="A564" s="9"/>
      <c r="B564" s="9"/>
      <c r="C564" s="44"/>
      <c r="D564" s="112"/>
      <c r="E564" s="9"/>
      <c r="F564" s="9"/>
      <c r="G564" s="199"/>
      <c r="H564" s="36"/>
      <c r="I564" s="36"/>
      <c r="J564" s="36"/>
      <c r="K564" s="36"/>
      <c r="L564" s="36"/>
      <c r="M564" s="36"/>
      <c r="N564" s="28"/>
      <c r="O564" s="28"/>
      <c r="P564" s="28"/>
      <c r="Q564" s="28"/>
      <c r="R564" s="28"/>
      <c r="S564" s="99"/>
      <c r="T564" s="99"/>
      <c r="U564" s="99"/>
      <c r="V564" s="99"/>
      <c r="W564" s="99"/>
      <c r="X564" s="99"/>
      <c r="Y564" s="99"/>
      <c r="Z564" s="99"/>
      <c r="AA564" s="99"/>
      <c r="AB564" s="221"/>
      <c r="AC564" s="221"/>
      <c r="AD564" s="221"/>
      <c r="AE564" s="221"/>
      <c r="AF564" s="221"/>
      <c r="AG564" s="221"/>
      <c r="AH564" s="221"/>
      <c r="AI564" s="221"/>
      <c r="AJ564" s="221"/>
      <c r="AK564" s="221"/>
      <c r="AL564" s="221"/>
      <c r="AM564" s="221"/>
      <c r="AN564" s="221"/>
      <c r="AO564" s="221"/>
      <c r="AP564" s="221"/>
      <c r="AQ564" s="221"/>
      <c r="AR564" s="221"/>
      <c r="AS564" s="221"/>
      <c r="AT564" s="221"/>
      <c r="AU564" s="221"/>
      <c r="AV564" s="221"/>
      <c r="AW564" s="221"/>
      <c r="AX564" s="221"/>
      <c r="AY564" s="221"/>
      <c r="AZ564" s="221"/>
      <c r="BA564" s="221"/>
      <c r="BB564" s="221"/>
      <c r="BC564" s="221"/>
      <c r="BD564" s="99"/>
      <c r="BE564" s="99"/>
      <c r="BF564" s="99"/>
      <c r="BG564" s="99"/>
      <c r="BH564" s="99"/>
      <c r="BI564" s="99"/>
      <c r="BJ564" s="99"/>
      <c r="BK564" s="11"/>
      <c r="BL564" s="11"/>
    </row>
    <row r="565" spans="1:64">
      <c r="A565" s="9"/>
      <c r="B565" s="9"/>
      <c r="C565" s="345" t="s">
        <v>156</v>
      </c>
      <c r="D565" s="353"/>
      <c r="E565" s="346"/>
      <c r="F565" s="346"/>
      <c r="G565" s="198">
        <f>SUM(G566:G595)</f>
        <v>17.076304825199475</v>
      </c>
      <c r="H565" s="36"/>
      <c r="I565" s="36"/>
      <c r="J565" s="36"/>
      <c r="K565" s="36"/>
      <c r="L565" s="36"/>
      <c r="M565" s="36"/>
      <c r="N565" s="28"/>
      <c r="O565" s="28"/>
      <c r="P565" s="28"/>
      <c r="Q565" s="28"/>
      <c r="R565" s="28"/>
      <c r="S565" s="99"/>
      <c r="T565" s="99"/>
      <c r="U565" s="99"/>
      <c r="V565" s="99"/>
      <c r="W565" s="99"/>
      <c r="X565" s="99"/>
      <c r="Y565" s="99"/>
      <c r="Z565" s="99"/>
      <c r="AA565" s="99"/>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99"/>
      <c r="BE565" s="99"/>
      <c r="BF565" s="99"/>
      <c r="BG565" s="99"/>
      <c r="BH565" s="99"/>
      <c r="BI565" s="99"/>
      <c r="BJ565" s="99"/>
      <c r="BK565" s="11"/>
      <c r="BL565" s="11"/>
    </row>
    <row r="566" spans="1:64" ht="12.75" hidden="1" customHeight="1" outlineLevel="1">
      <c r="A566" s="9"/>
      <c r="B566" s="9"/>
      <c r="C566" s="9"/>
      <c r="D566" s="128" t="str">
        <f>Asset1</f>
        <v>Sub-transmission lines and cables</v>
      </c>
      <c r="E566" s="9"/>
      <c r="F566" s="9"/>
      <c r="G566" s="194">
        <f>'Adjustment for previous period'!G462</f>
        <v>-8.7532189093259447</v>
      </c>
      <c r="H566" s="36"/>
      <c r="I566" s="36"/>
      <c r="J566" s="36"/>
      <c r="K566" s="36"/>
      <c r="L566" s="36"/>
      <c r="M566" s="36"/>
      <c r="N566" s="28"/>
      <c r="O566" s="28"/>
      <c r="P566" s="28"/>
      <c r="Q566" s="28"/>
      <c r="R566" s="28"/>
      <c r="S566" s="99"/>
      <c r="T566" s="99"/>
      <c r="U566" s="99"/>
      <c r="V566" s="99"/>
      <c r="W566" s="99"/>
      <c r="X566" s="99"/>
      <c r="Y566" s="99"/>
      <c r="Z566" s="99"/>
      <c r="AA566" s="99"/>
      <c r="AB566" s="221"/>
      <c r="AC566" s="221"/>
      <c r="AD566" s="221"/>
      <c r="AE566" s="221"/>
      <c r="AF566" s="221"/>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221"/>
      <c r="BD566" s="99"/>
      <c r="BE566" s="99"/>
      <c r="BF566" s="99"/>
      <c r="BG566" s="99"/>
      <c r="BH566" s="99"/>
      <c r="BI566" s="99"/>
      <c r="BJ566" s="99"/>
      <c r="BK566" s="11"/>
      <c r="BL566" s="11"/>
    </row>
    <row r="567" spans="1:64" ht="12.75" hidden="1" customHeight="1" outlineLevel="1">
      <c r="A567" s="9"/>
      <c r="B567" s="9"/>
      <c r="C567" s="44"/>
      <c r="D567" s="128" t="str">
        <f>Asset2</f>
        <v>Cable tunnel (dx)</v>
      </c>
      <c r="E567" s="9"/>
      <c r="F567" s="9"/>
      <c r="G567" s="194">
        <f>'Adjustment for previous period'!G463</f>
        <v>0</v>
      </c>
      <c r="H567" s="36"/>
      <c r="I567" s="36"/>
      <c r="J567" s="36"/>
      <c r="K567" s="36"/>
      <c r="L567" s="36"/>
      <c r="M567" s="36"/>
      <c r="N567" s="28"/>
      <c r="O567" s="28"/>
      <c r="P567" s="28"/>
      <c r="Q567" s="28"/>
      <c r="R567" s="28"/>
      <c r="S567" s="99"/>
      <c r="T567" s="99"/>
      <c r="U567" s="99"/>
      <c r="V567" s="99"/>
      <c r="W567" s="99"/>
      <c r="X567" s="99"/>
      <c r="Y567" s="99"/>
      <c r="Z567" s="99"/>
      <c r="AA567" s="99"/>
      <c r="AB567" s="221"/>
      <c r="AC567" s="221"/>
      <c r="AD567" s="221"/>
      <c r="AE567" s="221"/>
      <c r="AF567" s="221"/>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221"/>
      <c r="BD567" s="99"/>
      <c r="BE567" s="99"/>
      <c r="BF567" s="99"/>
      <c r="BG567" s="99"/>
      <c r="BH567" s="99"/>
      <c r="BI567" s="99"/>
      <c r="BJ567" s="99"/>
      <c r="BK567" s="11"/>
      <c r="BL567" s="11"/>
    </row>
    <row r="568" spans="1:64" ht="12.75" hidden="1" customHeight="1" outlineLevel="1">
      <c r="A568" s="9"/>
      <c r="B568" s="9"/>
      <c r="C568" s="44"/>
      <c r="D568" s="128" t="str">
        <f>Asset3</f>
        <v>Distribution lines and cables</v>
      </c>
      <c r="E568" s="9"/>
      <c r="F568" s="9"/>
      <c r="G568" s="194">
        <f>'Adjustment for previous period'!G464</f>
        <v>7.6937594833573622</v>
      </c>
      <c r="H568" s="36"/>
      <c r="I568" s="36"/>
      <c r="J568" s="36"/>
      <c r="K568" s="36"/>
      <c r="L568" s="36"/>
      <c r="M568" s="36"/>
      <c r="N568" s="28"/>
      <c r="O568" s="28"/>
      <c r="P568" s="28"/>
      <c r="Q568" s="28"/>
      <c r="R568" s="28"/>
      <c r="S568" s="99"/>
      <c r="T568" s="99"/>
      <c r="U568" s="99"/>
      <c r="V568" s="99"/>
      <c r="W568" s="99"/>
      <c r="X568" s="99"/>
      <c r="Y568" s="99"/>
      <c r="Z568" s="99"/>
      <c r="AA568" s="99"/>
      <c r="AB568" s="221"/>
      <c r="AC568" s="221"/>
      <c r="AD568" s="221"/>
      <c r="AE568" s="221"/>
      <c r="AF568" s="221"/>
      <c r="AG568" s="221"/>
      <c r="AH568" s="221"/>
      <c r="AI568" s="221"/>
      <c r="AJ568" s="221"/>
      <c r="AK568" s="221"/>
      <c r="AL568" s="221"/>
      <c r="AM568" s="221"/>
      <c r="AN568" s="221"/>
      <c r="AO568" s="221"/>
      <c r="AP568" s="221"/>
      <c r="AQ568" s="221"/>
      <c r="AR568" s="221"/>
      <c r="AS568" s="221"/>
      <c r="AT568" s="221"/>
      <c r="AU568" s="221"/>
      <c r="AV568" s="221"/>
      <c r="AW568" s="221"/>
      <c r="AX568" s="221"/>
      <c r="AY568" s="221"/>
      <c r="AZ568" s="221"/>
      <c r="BA568" s="221"/>
      <c r="BB568" s="221"/>
      <c r="BC568" s="221"/>
      <c r="BD568" s="99"/>
      <c r="BE568" s="99"/>
      <c r="BF568" s="99"/>
      <c r="BG568" s="99"/>
      <c r="BH568" s="99"/>
      <c r="BI568" s="99"/>
      <c r="BJ568" s="99"/>
      <c r="BK568" s="11"/>
      <c r="BL568" s="11"/>
    </row>
    <row r="569" spans="1:64" ht="12.75" hidden="1" customHeight="1" outlineLevel="1">
      <c r="A569" s="9"/>
      <c r="B569" s="9"/>
      <c r="C569" s="44"/>
      <c r="D569" s="128" t="str">
        <f>Asset4</f>
        <v>Substations</v>
      </c>
      <c r="E569" s="9"/>
      <c r="F569" s="9"/>
      <c r="G569" s="194">
        <f>'Adjustment for previous period'!G465</f>
        <v>35.125660033840759</v>
      </c>
      <c r="H569" s="36"/>
      <c r="I569" s="36"/>
      <c r="J569" s="36"/>
      <c r="K569" s="36"/>
      <c r="L569" s="36"/>
      <c r="M569" s="36"/>
      <c r="N569" s="28"/>
      <c r="O569" s="28"/>
      <c r="P569" s="28"/>
      <c r="Q569" s="28"/>
      <c r="R569" s="28"/>
      <c r="S569" s="99"/>
      <c r="T569" s="99"/>
      <c r="U569" s="99"/>
      <c r="V569" s="99"/>
      <c r="W569" s="99"/>
      <c r="X569" s="99"/>
      <c r="Y569" s="99"/>
      <c r="Z569" s="99"/>
      <c r="AA569" s="99"/>
      <c r="AB569" s="221"/>
      <c r="AC569" s="221"/>
      <c r="AD569" s="221"/>
      <c r="AE569" s="221"/>
      <c r="AF569" s="221"/>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1"/>
      <c r="BB569" s="221"/>
      <c r="BC569" s="221"/>
      <c r="BD569" s="99"/>
      <c r="BE569" s="99"/>
      <c r="BF569" s="99"/>
      <c r="BG569" s="99"/>
      <c r="BH569" s="99"/>
      <c r="BI569" s="99"/>
      <c r="BJ569" s="99"/>
      <c r="BK569" s="11"/>
      <c r="BL569" s="11"/>
    </row>
    <row r="570" spans="1:64" ht="12.75" hidden="1" customHeight="1" outlineLevel="1">
      <c r="A570" s="9"/>
      <c r="B570" s="9"/>
      <c r="C570" s="44"/>
      <c r="D570" s="128" t="str">
        <f>Asset5</f>
        <v>Transformers</v>
      </c>
      <c r="E570" s="9"/>
      <c r="F570" s="9"/>
      <c r="G570" s="194">
        <f>'Adjustment for previous period'!G466</f>
        <v>-3.3654856050564135</v>
      </c>
      <c r="H570" s="36"/>
      <c r="I570" s="36"/>
      <c r="J570" s="36"/>
      <c r="K570" s="36"/>
      <c r="L570" s="36"/>
      <c r="M570" s="36"/>
      <c r="N570" s="28"/>
      <c r="O570" s="28"/>
      <c r="P570" s="28"/>
      <c r="Q570" s="28"/>
      <c r="R570" s="28"/>
      <c r="S570" s="99"/>
      <c r="T570" s="99"/>
      <c r="U570" s="99"/>
      <c r="V570" s="99"/>
      <c r="W570" s="99"/>
      <c r="X570" s="99"/>
      <c r="Y570" s="99"/>
      <c r="Z570" s="99"/>
      <c r="AA570" s="99"/>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99"/>
      <c r="BE570" s="99"/>
      <c r="BF570" s="99"/>
      <c r="BG570" s="99"/>
      <c r="BH570" s="99"/>
      <c r="BI570" s="99"/>
      <c r="BJ570" s="99"/>
      <c r="BK570" s="11"/>
      <c r="BL570" s="11"/>
    </row>
    <row r="571" spans="1:64" ht="12.75" hidden="1" customHeight="1" outlineLevel="1">
      <c r="A571" s="9"/>
      <c r="B571" s="9"/>
      <c r="C571" s="44"/>
      <c r="D571" s="128" t="str">
        <f>Asset6</f>
        <v>Low Voltage Lines and Cables</v>
      </c>
      <c r="E571" s="9"/>
      <c r="F571" s="9"/>
      <c r="G571" s="194">
        <f>'Adjustment for previous period'!G467</f>
        <v>-9.0693690122392976</v>
      </c>
      <c r="H571" s="36"/>
      <c r="I571" s="36"/>
      <c r="J571" s="36"/>
      <c r="K571" s="36"/>
      <c r="L571" s="36"/>
      <c r="M571" s="36"/>
      <c r="N571" s="28"/>
      <c r="O571" s="28"/>
      <c r="P571" s="28"/>
      <c r="Q571" s="28"/>
      <c r="R571" s="28"/>
      <c r="S571" s="99"/>
      <c r="T571" s="99"/>
      <c r="U571" s="99"/>
      <c r="V571" s="99"/>
      <c r="W571" s="99"/>
      <c r="X571" s="99"/>
      <c r="Y571" s="99"/>
      <c r="Z571" s="99"/>
      <c r="AA571" s="99"/>
      <c r="AB571" s="221"/>
      <c r="AC571" s="221"/>
      <c r="AD571" s="221"/>
      <c r="AE571" s="221"/>
      <c r="AF571" s="221"/>
      <c r="AG571" s="221"/>
      <c r="AH571" s="221"/>
      <c r="AI571" s="221"/>
      <c r="AJ571" s="221"/>
      <c r="AK571" s="221"/>
      <c r="AL571" s="221"/>
      <c r="AM571" s="221"/>
      <c r="AN571" s="221"/>
      <c r="AO571" s="221"/>
      <c r="AP571" s="221"/>
      <c r="AQ571" s="221"/>
      <c r="AR571" s="221"/>
      <c r="AS571" s="221"/>
      <c r="AT571" s="221"/>
      <c r="AU571" s="221"/>
      <c r="AV571" s="221"/>
      <c r="AW571" s="221"/>
      <c r="AX571" s="221"/>
      <c r="AY571" s="221"/>
      <c r="AZ571" s="221"/>
      <c r="BA571" s="221"/>
      <c r="BB571" s="221"/>
      <c r="BC571" s="221"/>
      <c r="BD571" s="99"/>
      <c r="BE571" s="99"/>
      <c r="BF571" s="99"/>
      <c r="BG571" s="99"/>
      <c r="BH571" s="99"/>
      <c r="BI571" s="99"/>
      <c r="BJ571" s="99"/>
      <c r="BK571" s="11"/>
      <c r="BL571" s="11"/>
    </row>
    <row r="572" spans="1:64" ht="12.75" hidden="1" customHeight="1" outlineLevel="1">
      <c r="A572" s="9"/>
      <c r="B572" s="9"/>
      <c r="C572" s="44"/>
      <c r="D572" s="128" t="str">
        <f>Asset7</f>
        <v>Customer Metering and Load Control</v>
      </c>
      <c r="E572" s="9"/>
      <c r="F572" s="9"/>
      <c r="G572" s="194">
        <f>'Adjustment for previous period'!G468</f>
        <v>2.2739348048119852</v>
      </c>
      <c r="H572" s="36"/>
      <c r="I572" s="36"/>
      <c r="J572" s="36"/>
      <c r="K572" s="36"/>
      <c r="L572" s="36"/>
      <c r="M572" s="36"/>
      <c r="N572" s="28"/>
      <c r="O572" s="28"/>
      <c r="P572" s="28"/>
      <c r="Q572" s="28"/>
      <c r="R572" s="28"/>
      <c r="S572" s="99"/>
      <c r="T572" s="99"/>
      <c r="U572" s="99"/>
      <c r="V572" s="99"/>
      <c r="W572" s="99"/>
      <c r="X572" s="99"/>
      <c r="Y572" s="99"/>
      <c r="Z572" s="99"/>
      <c r="AA572" s="99"/>
      <c r="AB572" s="221"/>
      <c r="AC572" s="221"/>
      <c r="AD572" s="221"/>
      <c r="AE572" s="221"/>
      <c r="AF572" s="221"/>
      <c r="AG572" s="221"/>
      <c r="AH572" s="221"/>
      <c r="AI572" s="221"/>
      <c r="AJ572" s="221"/>
      <c r="AK572" s="221"/>
      <c r="AL572" s="221"/>
      <c r="AM572" s="221"/>
      <c r="AN572" s="221"/>
      <c r="AO572" s="221"/>
      <c r="AP572" s="221"/>
      <c r="AQ572" s="221"/>
      <c r="AR572" s="221"/>
      <c r="AS572" s="221"/>
      <c r="AT572" s="221"/>
      <c r="AU572" s="221"/>
      <c r="AV572" s="221"/>
      <c r="AW572" s="221"/>
      <c r="AX572" s="221"/>
      <c r="AY572" s="221"/>
      <c r="AZ572" s="221"/>
      <c r="BA572" s="221"/>
      <c r="BB572" s="221"/>
      <c r="BC572" s="221"/>
      <c r="BD572" s="99"/>
      <c r="BE572" s="99"/>
      <c r="BF572" s="99"/>
      <c r="BG572" s="99"/>
      <c r="BH572" s="99"/>
      <c r="BI572" s="99"/>
      <c r="BJ572" s="99"/>
      <c r="BK572" s="11"/>
      <c r="BL572" s="11"/>
    </row>
    <row r="573" spans="1:64" ht="12.75" hidden="1" customHeight="1" outlineLevel="1">
      <c r="A573" s="9"/>
      <c r="B573" s="9"/>
      <c r="C573" s="44"/>
      <c r="D573" s="128" t="str">
        <f>Asset8</f>
        <v>Customer Metering (digital)</v>
      </c>
      <c r="E573" s="9"/>
      <c r="F573" s="9"/>
      <c r="G573" s="194">
        <f>'Adjustment for previous period'!G469</f>
        <v>0</v>
      </c>
      <c r="H573" s="36"/>
      <c r="I573" s="36"/>
      <c r="J573" s="36"/>
      <c r="K573" s="36"/>
      <c r="L573" s="36"/>
      <c r="M573" s="36"/>
      <c r="N573" s="28"/>
      <c r="O573" s="28"/>
      <c r="P573" s="28"/>
      <c r="Q573" s="28"/>
      <c r="R573" s="28"/>
      <c r="S573" s="99"/>
      <c r="T573" s="99"/>
      <c r="U573" s="99"/>
      <c r="V573" s="99"/>
      <c r="W573" s="99"/>
      <c r="X573" s="99"/>
      <c r="Y573" s="99"/>
      <c r="Z573" s="99"/>
      <c r="AA573" s="99"/>
      <c r="AB573" s="221"/>
      <c r="AC573" s="221"/>
      <c r="AD573" s="221"/>
      <c r="AE573" s="221"/>
      <c r="AF573" s="221"/>
      <c r="AG573" s="221"/>
      <c r="AH573" s="221"/>
      <c r="AI573" s="221"/>
      <c r="AJ573" s="221"/>
      <c r="AK573" s="221"/>
      <c r="AL573" s="221"/>
      <c r="AM573" s="221"/>
      <c r="AN573" s="221"/>
      <c r="AO573" s="221"/>
      <c r="AP573" s="221"/>
      <c r="AQ573" s="221"/>
      <c r="AR573" s="221"/>
      <c r="AS573" s="221"/>
      <c r="AT573" s="221"/>
      <c r="AU573" s="221"/>
      <c r="AV573" s="221"/>
      <c r="AW573" s="221"/>
      <c r="AX573" s="221"/>
      <c r="AY573" s="221"/>
      <c r="AZ573" s="221"/>
      <c r="BA573" s="221"/>
      <c r="BB573" s="221"/>
      <c r="BC573" s="221"/>
      <c r="BD573" s="99"/>
      <c r="BE573" s="99"/>
      <c r="BF573" s="99"/>
      <c r="BG573" s="99"/>
      <c r="BH573" s="99"/>
      <c r="BI573" s="99"/>
      <c r="BJ573" s="99"/>
      <c r="BK573" s="11"/>
      <c r="BL573" s="11"/>
    </row>
    <row r="574" spans="1:64" ht="12.75" hidden="1" customHeight="1" outlineLevel="1">
      <c r="A574" s="9"/>
      <c r="B574" s="9"/>
      <c r="C574" s="44"/>
      <c r="D574" s="128" t="str">
        <f>Asset9</f>
        <v>Communications (digital) - dx</v>
      </c>
      <c r="E574" s="9"/>
      <c r="F574" s="9"/>
      <c r="G574" s="194">
        <f>'Adjustment for previous period'!G470</f>
        <v>0</v>
      </c>
      <c r="H574" s="36"/>
      <c r="I574" s="36"/>
      <c r="J574" s="36"/>
      <c r="K574" s="36"/>
      <c r="L574" s="36"/>
      <c r="M574" s="36"/>
      <c r="N574" s="28"/>
      <c r="O574" s="28"/>
      <c r="P574" s="28"/>
      <c r="Q574" s="28"/>
      <c r="R574" s="28"/>
      <c r="S574" s="99"/>
      <c r="T574" s="99"/>
      <c r="U574" s="99"/>
      <c r="V574" s="99"/>
      <c r="W574" s="99"/>
      <c r="X574" s="99"/>
      <c r="Y574" s="99"/>
      <c r="Z574" s="99"/>
      <c r="AA574" s="99"/>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99"/>
      <c r="BE574" s="99"/>
      <c r="BF574" s="99"/>
      <c r="BG574" s="99"/>
      <c r="BH574" s="99"/>
      <c r="BI574" s="99"/>
      <c r="BJ574" s="99"/>
      <c r="BK574" s="11"/>
      <c r="BL574" s="11"/>
    </row>
    <row r="575" spans="1:64" ht="12.75" hidden="1" customHeight="1" outlineLevel="1">
      <c r="A575" s="9"/>
      <c r="B575" s="9"/>
      <c r="C575" s="44"/>
      <c r="D575" s="128" t="str">
        <f>Asset10</f>
        <v>Total Communications</v>
      </c>
      <c r="E575" s="9"/>
      <c r="F575" s="9"/>
      <c r="G575" s="194">
        <f>'Adjustment for previous period'!G471</f>
        <v>4.2528570676183826</v>
      </c>
      <c r="H575" s="36"/>
      <c r="I575" s="36"/>
      <c r="J575" s="36"/>
      <c r="K575" s="36"/>
      <c r="L575" s="36"/>
      <c r="M575" s="36"/>
      <c r="N575" s="28"/>
      <c r="O575" s="28"/>
      <c r="P575" s="28"/>
      <c r="Q575" s="28"/>
      <c r="R575" s="28"/>
      <c r="S575" s="99"/>
      <c r="T575" s="99"/>
      <c r="U575" s="99"/>
      <c r="V575" s="99"/>
      <c r="W575" s="99"/>
      <c r="X575" s="99"/>
      <c r="Y575" s="99"/>
      <c r="Z575" s="99"/>
      <c r="AA575" s="99"/>
      <c r="AB575" s="221"/>
      <c r="AC575" s="221"/>
      <c r="AD575" s="221"/>
      <c r="AE575" s="221"/>
      <c r="AF575" s="221"/>
      <c r="AG575" s="221"/>
      <c r="AH575" s="221"/>
      <c r="AI575" s="221"/>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99"/>
      <c r="BE575" s="99"/>
      <c r="BF575" s="99"/>
      <c r="BG575" s="99"/>
      <c r="BH575" s="99"/>
      <c r="BI575" s="99"/>
      <c r="BJ575" s="99"/>
      <c r="BK575" s="11"/>
      <c r="BL575" s="11"/>
    </row>
    <row r="576" spans="1:64" ht="12.75" hidden="1" customHeight="1" outlineLevel="1">
      <c r="A576" s="9"/>
      <c r="B576" s="9"/>
      <c r="C576" s="44"/>
      <c r="D576" s="128" t="str">
        <f>Asset11</f>
        <v>System IT (dx)</v>
      </c>
      <c r="E576" s="9"/>
      <c r="F576" s="9"/>
      <c r="G576" s="194">
        <f>'Adjustment for previous period'!G472</f>
        <v>0</v>
      </c>
      <c r="H576" s="36"/>
      <c r="I576" s="36"/>
      <c r="J576" s="36"/>
      <c r="K576" s="36"/>
      <c r="L576" s="36"/>
      <c r="M576" s="36"/>
      <c r="N576" s="28"/>
      <c r="O576" s="28"/>
      <c r="P576" s="28"/>
      <c r="Q576" s="28"/>
      <c r="R576" s="28"/>
      <c r="S576" s="99"/>
      <c r="T576" s="99"/>
      <c r="U576" s="99"/>
      <c r="V576" s="99"/>
      <c r="W576" s="99"/>
      <c r="X576" s="99"/>
      <c r="Y576" s="99"/>
      <c r="Z576" s="99"/>
      <c r="AA576" s="99"/>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1"/>
      <c r="BB576" s="221"/>
      <c r="BC576" s="221"/>
      <c r="BD576" s="99"/>
      <c r="BE576" s="99"/>
      <c r="BF576" s="99"/>
      <c r="BG576" s="99"/>
      <c r="BH576" s="99"/>
      <c r="BI576" s="99"/>
      <c r="BJ576" s="99"/>
      <c r="BK576" s="11"/>
      <c r="BL576" s="11"/>
    </row>
    <row r="577" spans="1:64" ht="12.75" hidden="1" customHeight="1" outlineLevel="1">
      <c r="A577" s="9"/>
      <c r="B577" s="9"/>
      <c r="C577" s="44"/>
      <c r="D577" s="128" t="str">
        <f>Asset12</f>
        <v>Ancillary substation equipment (dx)</v>
      </c>
      <c r="E577" s="9"/>
      <c r="F577" s="9"/>
      <c r="G577" s="194">
        <f>'Adjustment for previous period'!G473</f>
        <v>0</v>
      </c>
      <c r="H577" s="36"/>
      <c r="I577" s="36"/>
      <c r="J577" s="36"/>
      <c r="K577" s="36"/>
      <c r="L577" s="36"/>
      <c r="M577" s="36"/>
      <c r="N577" s="28"/>
      <c r="O577" s="28"/>
      <c r="P577" s="28"/>
      <c r="Q577" s="28"/>
      <c r="R577" s="28"/>
      <c r="S577" s="99"/>
      <c r="T577" s="99"/>
      <c r="U577" s="99"/>
      <c r="V577" s="99"/>
      <c r="W577" s="99"/>
      <c r="X577" s="99"/>
      <c r="Y577" s="99"/>
      <c r="Z577" s="99"/>
      <c r="AA577" s="99"/>
      <c r="AB577" s="221"/>
      <c r="AC577" s="221"/>
      <c r="AD577" s="221"/>
      <c r="AE577" s="221"/>
      <c r="AF577" s="221"/>
      <c r="AG577" s="221"/>
      <c r="AH577" s="221"/>
      <c r="AI577" s="221"/>
      <c r="AJ577" s="221"/>
      <c r="AK577" s="221"/>
      <c r="AL577" s="221"/>
      <c r="AM577" s="221"/>
      <c r="AN577" s="221"/>
      <c r="AO577" s="221"/>
      <c r="AP577" s="221"/>
      <c r="AQ577" s="221"/>
      <c r="AR577" s="221"/>
      <c r="AS577" s="221"/>
      <c r="AT577" s="221"/>
      <c r="AU577" s="221"/>
      <c r="AV577" s="221"/>
      <c r="AW577" s="221"/>
      <c r="AX577" s="221"/>
      <c r="AY577" s="221"/>
      <c r="AZ577" s="221"/>
      <c r="BA577" s="221"/>
      <c r="BB577" s="221"/>
      <c r="BC577" s="221"/>
      <c r="BD577" s="99"/>
      <c r="BE577" s="99"/>
      <c r="BF577" s="99"/>
      <c r="BG577" s="99"/>
      <c r="BH577" s="99"/>
      <c r="BI577" s="99"/>
      <c r="BJ577" s="99"/>
      <c r="BK577" s="11"/>
      <c r="BL577" s="11"/>
    </row>
    <row r="578" spans="1:64" ht="12.75" hidden="1" customHeight="1" outlineLevel="1">
      <c r="A578" s="9"/>
      <c r="B578" s="9"/>
      <c r="C578" s="44"/>
      <c r="D578" s="128" t="str">
        <f>Asset13</f>
        <v>Land and Easements</v>
      </c>
      <c r="E578" s="9"/>
      <c r="F578" s="9"/>
      <c r="G578" s="194">
        <f>'Adjustment for previous period'!G474</f>
        <v>4.2197611963806532</v>
      </c>
      <c r="H578" s="36"/>
      <c r="I578" s="36"/>
      <c r="J578" s="36"/>
      <c r="K578" s="36"/>
      <c r="L578" s="36"/>
      <c r="M578" s="36"/>
      <c r="N578" s="28"/>
      <c r="O578" s="28"/>
      <c r="P578" s="28"/>
      <c r="Q578" s="28"/>
      <c r="R578" s="28"/>
      <c r="S578" s="99"/>
      <c r="T578" s="99"/>
      <c r="U578" s="99"/>
      <c r="V578" s="99"/>
      <c r="W578" s="99"/>
      <c r="X578" s="99"/>
      <c r="Y578" s="99"/>
      <c r="Z578" s="99"/>
      <c r="AA578" s="99"/>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99"/>
      <c r="BE578" s="99"/>
      <c r="BF578" s="99"/>
      <c r="BG578" s="99"/>
      <c r="BH578" s="99"/>
      <c r="BI578" s="99"/>
      <c r="BJ578" s="99"/>
      <c r="BK578" s="11"/>
      <c r="BL578" s="11"/>
    </row>
    <row r="579" spans="1:64" ht="12.75" hidden="1" customHeight="1" outlineLevel="1">
      <c r="A579" s="9"/>
      <c r="B579" s="9"/>
      <c r="C579" s="44"/>
      <c r="D579" s="128" t="str">
        <f>Asset14</f>
        <v>Emergency Spares (Major Plant, Excludes Inventory)</v>
      </c>
      <c r="E579" s="9"/>
      <c r="F579" s="9"/>
      <c r="G579" s="194">
        <f>'Adjustment for previous period'!G475</f>
        <v>-7.5713182992998274</v>
      </c>
      <c r="H579" s="36"/>
      <c r="I579" s="36"/>
      <c r="J579" s="36"/>
      <c r="K579" s="36"/>
      <c r="L579" s="36"/>
      <c r="M579" s="36"/>
      <c r="N579" s="28"/>
      <c r="O579" s="28"/>
      <c r="P579" s="28"/>
      <c r="Q579" s="28"/>
      <c r="R579" s="28"/>
      <c r="S579" s="99"/>
      <c r="T579" s="99"/>
      <c r="U579" s="99"/>
      <c r="V579" s="99"/>
      <c r="W579" s="99"/>
      <c r="X579" s="99"/>
      <c r="Y579" s="99"/>
      <c r="Z579" s="99"/>
      <c r="AA579" s="99"/>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1"/>
      <c r="BB579" s="221"/>
      <c r="BC579" s="221"/>
      <c r="BD579" s="99"/>
      <c r="BE579" s="99"/>
      <c r="BF579" s="99"/>
      <c r="BG579" s="99"/>
      <c r="BH579" s="99"/>
      <c r="BI579" s="99"/>
      <c r="BJ579" s="99"/>
      <c r="BK579" s="11"/>
      <c r="BL579" s="11"/>
    </row>
    <row r="580" spans="1:64" ht="12.75" hidden="1" customHeight="1" outlineLevel="1">
      <c r="A580" s="9"/>
      <c r="B580" s="9"/>
      <c r="C580" s="44"/>
      <c r="D580" s="128" t="str">
        <f>Asset15</f>
        <v>Furniture, fittings, plant and equipment</v>
      </c>
      <c r="E580" s="9"/>
      <c r="F580" s="9"/>
      <c r="G580" s="194">
        <f>'Adjustment for previous period'!G476</f>
        <v>-0.12599817109158268</v>
      </c>
      <c r="H580" s="36"/>
      <c r="I580" s="36"/>
      <c r="J580" s="36"/>
      <c r="K580" s="36"/>
      <c r="L580" s="36"/>
      <c r="M580" s="36"/>
      <c r="N580" s="28"/>
      <c r="O580" s="28"/>
      <c r="P580" s="28"/>
      <c r="Q580" s="28"/>
      <c r="R580" s="28"/>
      <c r="S580" s="99"/>
      <c r="T580" s="99"/>
      <c r="U580" s="99"/>
      <c r="V580" s="99"/>
      <c r="W580" s="99"/>
      <c r="X580" s="99"/>
      <c r="Y580" s="99"/>
      <c r="Z580" s="99"/>
      <c r="AA580" s="99"/>
      <c r="AB580" s="221"/>
      <c r="AC580" s="221"/>
      <c r="AD580" s="221"/>
      <c r="AE580" s="221"/>
      <c r="AF580" s="221"/>
      <c r="AG580" s="221"/>
      <c r="AH580" s="221"/>
      <c r="AI580" s="221"/>
      <c r="AJ580" s="221"/>
      <c r="AK580" s="221"/>
      <c r="AL580" s="221"/>
      <c r="AM580" s="221"/>
      <c r="AN580" s="221"/>
      <c r="AO580" s="221"/>
      <c r="AP580" s="221"/>
      <c r="AQ580" s="221"/>
      <c r="AR580" s="221"/>
      <c r="AS580" s="221"/>
      <c r="AT580" s="221"/>
      <c r="AU580" s="221"/>
      <c r="AV580" s="221"/>
      <c r="AW580" s="221"/>
      <c r="AX580" s="221"/>
      <c r="AY580" s="221"/>
      <c r="AZ580" s="221"/>
      <c r="BA580" s="221"/>
      <c r="BB580" s="221"/>
      <c r="BC580" s="221"/>
      <c r="BD580" s="99"/>
      <c r="BE580" s="99"/>
      <c r="BF580" s="99"/>
      <c r="BG580" s="99"/>
      <c r="BH580" s="99"/>
      <c r="BI580" s="99"/>
      <c r="BJ580" s="99"/>
      <c r="BK580" s="11"/>
      <c r="BL580" s="11"/>
    </row>
    <row r="581" spans="1:64" ht="12.75" hidden="1" customHeight="1" outlineLevel="1">
      <c r="A581" s="9"/>
      <c r="B581" s="9"/>
      <c r="C581" s="44"/>
      <c r="D581" s="128" t="str">
        <f>Asset16</f>
        <v>Land (non-system)</v>
      </c>
      <c r="E581" s="9"/>
      <c r="F581" s="9"/>
      <c r="G581" s="194">
        <f>'Adjustment for previous period'!G477</f>
        <v>-1.2342079221956501</v>
      </c>
      <c r="H581" s="36"/>
      <c r="I581" s="36"/>
      <c r="J581" s="36"/>
      <c r="K581" s="36"/>
      <c r="L581" s="36"/>
      <c r="M581" s="36"/>
      <c r="N581" s="28"/>
      <c r="O581" s="28"/>
      <c r="P581" s="28"/>
      <c r="Q581" s="28"/>
      <c r="R581" s="28"/>
      <c r="S581" s="99"/>
      <c r="T581" s="99"/>
      <c r="U581" s="99"/>
      <c r="V581" s="99"/>
      <c r="W581" s="99"/>
      <c r="X581" s="99"/>
      <c r="Y581" s="99"/>
      <c r="Z581" s="99"/>
      <c r="AA581" s="99"/>
      <c r="AB581" s="221"/>
      <c r="AC581" s="221"/>
      <c r="AD581" s="221"/>
      <c r="AE581" s="221"/>
      <c r="AF581" s="221"/>
      <c r="AG581" s="221"/>
      <c r="AH581" s="221"/>
      <c r="AI581" s="221"/>
      <c r="AJ581" s="221"/>
      <c r="AK581" s="221"/>
      <c r="AL581" s="221"/>
      <c r="AM581" s="221"/>
      <c r="AN581" s="221"/>
      <c r="AO581" s="221"/>
      <c r="AP581" s="221"/>
      <c r="AQ581" s="221"/>
      <c r="AR581" s="221"/>
      <c r="AS581" s="221"/>
      <c r="AT581" s="221"/>
      <c r="AU581" s="221"/>
      <c r="AV581" s="221"/>
      <c r="AW581" s="221"/>
      <c r="AX581" s="221"/>
      <c r="AY581" s="221"/>
      <c r="AZ581" s="221"/>
      <c r="BA581" s="221"/>
      <c r="BB581" s="221"/>
      <c r="BC581" s="221"/>
      <c r="BD581" s="99"/>
      <c r="BE581" s="99"/>
      <c r="BF581" s="99"/>
      <c r="BG581" s="99"/>
      <c r="BH581" s="99"/>
      <c r="BI581" s="99"/>
      <c r="BJ581" s="99"/>
      <c r="BK581" s="11"/>
      <c r="BL581" s="11"/>
    </row>
    <row r="582" spans="1:64" ht="12.75" hidden="1" customHeight="1" outlineLevel="1">
      <c r="A582" s="9"/>
      <c r="B582" s="9"/>
      <c r="C582" s="44"/>
      <c r="D582" s="128" t="str">
        <f>Asset17</f>
        <v>Other non system assets</v>
      </c>
      <c r="E582" s="9"/>
      <c r="F582" s="9"/>
      <c r="G582" s="194">
        <f>'Adjustment for previous period'!G478</f>
        <v>-2.1445092845493021</v>
      </c>
      <c r="H582" s="36"/>
      <c r="I582" s="36"/>
      <c r="J582" s="36"/>
      <c r="K582" s="36"/>
      <c r="L582" s="36"/>
      <c r="M582" s="36"/>
      <c r="N582" s="28"/>
      <c r="O582" s="28"/>
      <c r="P582" s="28"/>
      <c r="Q582" s="28"/>
      <c r="R582" s="28"/>
      <c r="S582" s="99"/>
      <c r="T582" s="99"/>
      <c r="U582" s="99"/>
      <c r="V582" s="99"/>
      <c r="W582" s="99"/>
      <c r="X582" s="99"/>
      <c r="Y582" s="99"/>
      <c r="Z582" s="99"/>
      <c r="AA582" s="99"/>
      <c r="AB582" s="221"/>
      <c r="AC582" s="221"/>
      <c r="AD582" s="221"/>
      <c r="AE582" s="221"/>
      <c r="AF582" s="221"/>
      <c r="AG582" s="221"/>
      <c r="AH582" s="221"/>
      <c r="AI582" s="221"/>
      <c r="AJ582" s="221"/>
      <c r="AK582" s="221"/>
      <c r="AL582" s="221"/>
      <c r="AM582" s="221"/>
      <c r="AN582" s="221"/>
      <c r="AO582" s="221"/>
      <c r="AP582" s="221"/>
      <c r="AQ582" s="221"/>
      <c r="AR582" s="221"/>
      <c r="AS582" s="221"/>
      <c r="AT582" s="221"/>
      <c r="AU582" s="221"/>
      <c r="AV582" s="221"/>
      <c r="AW582" s="221"/>
      <c r="AX582" s="221"/>
      <c r="AY582" s="221"/>
      <c r="AZ582" s="221"/>
      <c r="BA582" s="221"/>
      <c r="BB582" s="221"/>
      <c r="BC582" s="221"/>
      <c r="BD582" s="99"/>
      <c r="BE582" s="99"/>
      <c r="BF582" s="99"/>
      <c r="BG582" s="99"/>
      <c r="BH582" s="99"/>
      <c r="BI582" s="99"/>
      <c r="BJ582" s="99"/>
      <c r="BK582" s="11"/>
      <c r="BL582" s="11"/>
    </row>
    <row r="583" spans="1:64" ht="12.75" hidden="1" customHeight="1" outlineLevel="1">
      <c r="A583" s="9"/>
      <c r="B583" s="9"/>
      <c r="C583" s="44"/>
      <c r="D583" s="128" t="str">
        <f>Asset18</f>
        <v>IT systems</v>
      </c>
      <c r="E583" s="9"/>
      <c r="F583" s="9"/>
      <c r="G583" s="194">
        <f>'Adjustment for previous period'!G479</f>
        <v>-6.0967162985921668</v>
      </c>
      <c r="H583" s="36"/>
      <c r="I583" s="36"/>
      <c r="J583" s="36"/>
      <c r="K583" s="36"/>
      <c r="L583" s="36"/>
      <c r="M583" s="36"/>
      <c r="N583" s="28"/>
      <c r="O583" s="28"/>
      <c r="P583" s="28"/>
      <c r="Q583" s="28"/>
      <c r="R583" s="28"/>
      <c r="S583" s="99"/>
      <c r="T583" s="99"/>
      <c r="U583" s="99"/>
      <c r="V583" s="99"/>
      <c r="W583" s="99"/>
      <c r="X583" s="99"/>
      <c r="Y583" s="99"/>
      <c r="Z583" s="99"/>
      <c r="AA583" s="99"/>
      <c r="AB583" s="221"/>
      <c r="AC583" s="221"/>
      <c r="AD583" s="221"/>
      <c r="AE583" s="221"/>
      <c r="AF583" s="221"/>
      <c r="AG583" s="221"/>
      <c r="AH583" s="221"/>
      <c r="AI583" s="221"/>
      <c r="AJ583" s="221"/>
      <c r="AK583" s="221"/>
      <c r="AL583" s="221"/>
      <c r="AM583" s="221"/>
      <c r="AN583" s="221"/>
      <c r="AO583" s="221"/>
      <c r="AP583" s="221"/>
      <c r="AQ583" s="221"/>
      <c r="AR583" s="221"/>
      <c r="AS583" s="221"/>
      <c r="AT583" s="221"/>
      <c r="AU583" s="221"/>
      <c r="AV583" s="221"/>
      <c r="AW583" s="221"/>
      <c r="AX583" s="221"/>
      <c r="AY583" s="221"/>
      <c r="AZ583" s="221"/>
      <c r="BA583" s="221"/>
      <c r="BB583" s="221"/>
      <c r="BC583" s="221"/>
      <c r="BD583" s="99"/>
      <c r="BE583" s="99"/>
      <c r="BF583" s="99"/>
      <c r="BG583" s="99"/>
      <c r="BH583" s="99"/>
      <c r="BI583" s="99"/>
      <c r="BJ583" s="99"/>
      <c r="BK583" s="11"/>
      <c r="BL583" s="11"/>
    </row>
    <row r="584" spans="1:64" ht="12.75" hidden="1" customHeight="1" outlineLevel="1">
      <c r="A584" s="9"/>
      <c r="B584" s="9"/>
      <c r="C584" s="44"/>
      <c r="D584" s="128" t="str">
        <f>Asset19</f>
        <v>Motor vehicles</v>
      </c>
      <c r="E584" s="9"/>
      <c r="F584" s="9"/>
      <c r="G584" s="194">
        <f>'Adjustment for previous period'!G480</f>
        <v>1.4334068180681037</v>
      </c>
      <c r="H584" s="36"/>
      <c r="I584" s="36"/>
      <c r="J584" s="36"/>
      <c r="K584" s="36"/>
      <c r="L584" s="36"/>
      <c r="M584" s="36"/>
      <c r="N584" s="28"/>
      <c r="O584" s="28"/>
      <c r="P584" s="28"/>
      <c r="Q584" s="28"/>
      <c r="R584" s="28"/>
      <c r="S584" s="99"/>
      <c r="T584" s="99"/>
      <c r="U584" s="99"/>
      <c r="V584" s="99"/>
      <c r="W584" s="99"/>
      <c r="X584" s="99"/>
      <c r="Y584" s="99"/>
      <c r="Z584" s="99"/>
      <c r="AA584" s="99"/>
      <c r="AB584" s="221"/>
      <c r="AC584" s="221"/>
      <c r="AD584" s="221"/>
      <c r="AE584" s="221"/>
      <c r="AF584" s="221"/>
      <c r="AG584" s="221"/>
      <c r="AH584" s="221"/>
      <c r="AI584" s="221"/>
      <c r="AJ584" s="221"/>
      <c r="AK584" s="221"/>
      <c r="AL584" s="221"/>
      <c r="AM584" s="221"/>
      <c r="AN584" s="221"/>
      <c r="AO584" s="221"/>
      <c r="AP584" s="221"/>
      <c r="AQ584" s="221"/>
      <c r="AR584" s="221"/>
      <c r="AS584" s="221"/>
      <c r="AT584" s="221"/>
      <c r="AU584" s="221"/>
      <c r="AV584" s="221"/>
      <c r="AW584" s="221"/>
      <c r="AX584" s="221"/>
      <c r="AY584" s="221"/>
      <c r="AZ584" s="221"/>
      <c r="BA584" s="221"/>
      <c r="BB584" s="221"/>
      <c r="BC584" s="221"/>
      <c r="BD584" s="99"/>
      <c r="BE584" s="99"/>
      <c r="BF584" s="99"/>
      <c r="BG584" s="99"/>
      <c r="BH584" s="99"/>
      <c r="BI584" s="99"/>
      <c r="BJ584" s="99"/>
      <c r="BK584" s="11"/>
      <c r="BL584" s="11"/>
    </row>
    <row r="585" spans="1:64" ht="12.75" hidden="1" customHeight="1" outlineLevel="1">
      <c r="A585" s="9"/>
      <c r="B585" s="9"/>
      <c r="C585" s="44"/>
      <c r="D585" s="128" t="str">
        <f>Asset20</f>
        <v>Buildings</v>
      </c>
      <c r="E585" s="9"/>
      <c r="F585" s="9"/>
      <c r="G585" s="194">
        <f>'Adjustment for previous period'!G481</f>
        <v>0.43774892347240957</v>
      </c>
      <c r="H585" s="36"/>
      <c r="I585" s="36"/>
      <c r="J585" s="36"/>
      <c r="K585" s="36"/>
      <c r="L585" s="36"/>
      <c r="M585" s="36"/>
      <c r="N585" s="28"/>
      <c r="O585" s="28"/>
      <c r="P585" s="28"/>
      <c r="Q585" s="28"/>
      <c r="R585" s="28"/>
      <c r="S585" s="99"/>
      <c r="T585" s="99"/>
      <c r="U585" s="99"/>
      <c r="V585" s="99"/>
      <c r="W585" s="99"/>
      <c r="X585" s="99"/>
      <c r="Y585" s="99"/>
      <c r="Z585" s="99"/>
      <c r="AA585" s="99"/>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1"/>
      <c r="BB585" s="221"/>
      <c r="BC585" s="221"/>
      <c r="BD585" s="99"/>
      <c r="BE585" s="99"/>
      <c r="BF585" s="99"/>
      <c r="BG585" s="99"/>
      <c r="BH585" s="99"/>
      <c r="BI585" s="99"/>
      <c r="BJ585" s="99"/>
      <c r="BK585" s="11"/>
      <c r="BL585" s="11"/>
    </row>
    <row r="586" spans="1:64" ht="4.5" hidden="1" customHeight="1" outlineLevel="1">
      <c r="A586" s="9"/>
      <c r="B586" s="9"/>
      <c r="C586" s="44"/>
      <c r="D586" s="128" t="str">
        <f>Asset21</f>
        <v>Equity raising costs</v>
      </c>
      <c r="E586" s="9"/>
      <c r="F586" s="9"/>
      <c r="G586" s="194">
        <f>'Adjustment for previous period'!G482</f>
        <v>0</v>
      </c>
      <c r="H586" s="36"/>
      <c r="I586" s="36"/>
      <c r="J586" s="36"/>
      <c r="K586" s="36"/>
      <c r="L586" s="36"/>
      <c r="M586" s="36"/>
      <c r="N586" s="28"/>
      <c r="O586" s="28"/>
      <c r="P586" s="28"/>
      <c r="Q586" s="28"/>
      <c r="R586" s="28"/>
      <c r="S586" s="99"/>
      <c r="T586" s="99"/>
      <c r="U586" s="99"/>
      <c r="V586" s="99"/>
      <c r="W586" s="99"/>
      <c r="X586" s="99"/>
      <c r="Y586" s="99"/>
      <c r="Z586" s="99"/>
      <c r="AA586" s="99"/>
      <c r="AB586" s="221"/>
      <c r="AC586" s="221"/>
      <c r="AD586" s="221"/>
      <c r="AE586" s="221"/>
      <c r="AF586" s="221"/>
      <c r="AG586" s="221"/>
      <c r="AH586" s="221"/>
      <c r="AI586" s="221"/>
      <c r="AJ586" s="221"/>
      <c r="AK586" s="221"/>
      <c r="AL586" s="221"/>
      <c r="AM586" s="221"/>
      <c r="AN586" s="221"/>
      <c r="AO586" s="221"/>
      <c r="AP586" s="221"/>
      <c r="AQ586" s="221"/>
      <c r="AR586" s="221"/>
      <c r="AS586" s="221"/>
      <c r="AT586" s="221"/>
      <c r="AU586" s="221"/>
      <c r="AV586" s="221"/>
      <c r="AW586" s="221"/>
      <c r="AX586" s="221"/>
      <c r="AY586" s="221"/>
      <c r="AZ586" s="221"/>
      <c r="BA586" s="221"/>
      <c r="BB586" s="221"/>
      <c r="BC586" s="221"/>
      <c r="BD586" s="99"/>
      <c r="BE586" s="99"/>
      <c r="BF586" s="99"/>
      <c r="BG586" s="99"/>
      <c r="BH586" s="99"/>
      <c r="BI586" s="99"/>
      <c r="BJ586" s="99"/>
      <c r="BK586" s="11"/>
      <c r="BL586" s="11"/>
    </row>
    <row r="587" spans="1:64" ht="4.5" hidden="1" customHeight="1" outlineLevel="1">
      <c r="A587" s="9"/>
      <c r="B587" s="9"/>
      <c r="C587" s="44"/>
      <c r="D587" s="128">
        <f>Asset22</f>
        <v>0</v>
      </c>
      <c r="E587" s="9"/>
      <c r="F587" s="9"/>
      <c r="G587" s="194">
        <f>'Adjustment for previous period'!G483</f>
        <v>0</v>
      </c>
      <c r="H587" s="36"/>
      <c r="I587" s="36"/>
      <c r="J587" s="36"/>
      <c r="K587" s="36"/>
      <c r="L587" s="36"/>
      <c r="M587" s="36"/>
      <c r="N587" s="28"/>
      <c r="O587" s="28"/>
      <c r="P587" s="28"/>
      <c r="Q587" s="28"/>
      <c r="R587" s="28"/>
      <c r="S587" s="99"/>
      <c r="T587" s="99"/>
      <c r="U587" s="99"/>
      <c r="V587" s="99"/>
      <c r="W587" s="99"/>
      <c r="X587" s="99"/>
      <c r="Y587" s="99"/>
      <c r="Z587" s="99"/>
      <c r="AA587" s="99"/>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1"/>
      <c r="BB587" s="221"/>
      <c r="BC587" s="221"/>
      <c r="BD587" s="99"/>
      <c r="BE587" s="99"/>
      <c r="BF587" s="99"/>
      <c r="BG587" s="99"/>
      <c r="BH587" s="99"/>
      <c r="BI587" s="99"/>
      <c r="BJ587" s="99"/>
      <c r="BK587" s="11"/>
      <c r="BL587" s="11"/>
    </row>
    <row r="588" spans="1:64" ht="4.5" hidden="1" customHeight="1" outlineLevel="1">
      <c r="A588" s="9"/>
      <c r="B588" s="9"/>
      <c r="C588" s="44"/>
      <c r="D588" s="128">
        <f>Asset23</f>
        <v>0</v>
      </c>
      <c r="E588" s="9"/>
      <c r="F588" s="9"/>
      <c r="G588" s="194">
        <f>'Adjustment for previous period'!G484</f>
        <v>0</v>
      </c>
      <c r="H588" s="36"/>
      <c r="I588" s="36"/>
      <c r="J588" s="36"/>
      <c r="K588" s="36"/>
      <c r="L588" s="36"/>
      <c r="M588" s="36"/>
      <c r="N588" s="28"/>
      <c r="O588" s="28"/>
      <c r="P588" s="28"/>
      <c r="Q588" s="28"/>
      <c r="R588" s="28"/>
      <c r="S588" s="99"/>
      <c r="T588" s="99"/>
      <c r="U588" s="99"/>
      <c r="V588" s="99"/>
      <c r="W588" s="99"/>
      <c r="X588" s="99"/>
      <c r="Y588" s="99"/>
      <c r="Z588" s="99"/>
      <c r="AA588" s="99"/>
      <c r="AB588" s="221"/>
      <c r="AC588" s="221"/>
      <c r="AD588" s="221"/>
      <c r="AE588" s="221"/>
      <c r="AF588" s="221"/>
      <c r="AG588" s="221"/>
      <c r="AH588" s="221"/>
      <c r="AI588" s="221"/>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99"/>
      <c r="BE588" s="99"/>
      <c r="BF588" s="99"/>
      <c r="BG588" s="99"/>
      <c r="BH588" s="99"/>
      <c r="BI588" s="99"/>
      <c r="BJ588" s="99"/>
      <c r="BK588" s="11"/>
      <c r="BL588" s="11"/>
    </row>
    <row r="589" spans="1:64" ht="4.5" hidden="1" customHeight="1" outlineLevel="1">
      <c r="A589" s="9"/>
      <c r="B589" s="9"/>
      <c r="C589" s="44"/>
      <c r="D589" s="128">
        <f>Asset24</f>
        <v>0</v>
      </c>
      <c r="E589" s="9"/>
      <c r="F589" s="9"/>
      <c r="G589" s="194">
        <f>'Adjustment for previous period'!G485</f>
        <v>0</v>
      </c>
      <c r="H589" s="36"/>
      <c r="I589" s="36"/>
      <c r="J589" s="36"/>
      <c r="K589" s="36"/>
      <c r="L589" s="36"/>
      <c r="M589" s="36"/>
      <c r="N589" s="28"/>
      <c r="O589" s="28"/>
      <c r="P589" s="28"/>
      <c r="Q589" s="28"/>
      <c r="R589" s="28"/>
      <c r="S589" s="99"/>
      <c r="T589" s="99"/>
      <c r="U589" s="99"/>
      <c r="V589" s="99"/>
      <c r="W589" s="99"/>
      <c r="X589" s="99"/>
      <c r="Y589" s="99"/>
      <c r="Z589" s="99"/>
      <c r="AA589" s="99"/>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99"/>
      <c r="BE589" s="99"/>
      <c r="BF589" s="99"/>
      <c r="BG589" s="99"/>
      <c r="BH589" s="99"/>
      <c r="BI589" s="99"/>
      <c r="BJ589" s="99"/>
      <c r="BK589" s="11"/>
      <c r="BL589" s="11"/>
    </row>
    <row r="590" spans="1:64" ht="4.5" hidden="1" customHeight="1" outlineLevel="1">
      <c r="A590" s="9"/>
      <c r="B590" s="9"/>
      <c r="C590" s="44"/>
      <c r="D590" s="128">
        <f>Asset25</f>
        <v>0</v>
      </c>
      <c r="E590" s="9"/>
      <c r="F590" s="9"/>
      <c r="G590" s="194">
        <f>'Adjustment for previous period'!G486</f>
        <v>0</v>
      </c>
      <c r="H590" s="36"/>
      <c r="I590" s="36"/>
      <c r="J590" s="36"/>
      <c r="K590" s="36"/>
      <c r="L590" s="36"/>
      <c r="M590" s="36"/>
      <c r="N590" s="28"/>
      <c r="O590" s="28"/>
      <c r="P590" s="28"/>
      <c r="Q590" s="28"/>
      <c r="R590" s="28"/>
      <c r="S590" s="99"/>
      <c r="T590" s="99"/>
      <c r="U590" s="99"/>
      <c r="V590" s="99"/>
      <c r="W590" s="99"/>
      <c r="X590" s="99"/>
      <c r="Y590" s="99"/>
      <c r="Z590" s="99"/>
      <c r="AA590" s="99"/>
      <c r="AB590" s="221"/>
      <c r="AC590" s="221"/>
      <c r="AD590" s="221"/>
      <c r="AE590" s="221"/>
      <c r="AF590" s="221"/>
      <c r="AG590" s="221"/>
      <c r="AH590" s="221"/>
      <c r="AI590" s="221"/>
      <c r="AJ590" s="221"/>
      <c r="AK590" s="221"/>
      <c r="AL590" s="221"/>
      <c r="AM590" s="221"/>
      <c r="AN590" s="221"/>
      <c r="AO590" s="221"/>
      <c r="AP590" s="221"/>
      <c r="AQ590" s="221"/>
      <c r="AR590" s="221"/>
      <c r="AS590" s="221"/>
      <c r="AT590" s="221"/>
      <c r="AU590" s="221"/>
      <c r="AV590" s="221"/>
      <c r="AW590" s="221"/>
      <c r="AX590" s="221"/>
      <c r="AY590" s="221"/>
      <c r="AZ590" s="221"/>
      <c r="BA590" s="221"/>
      <c r="BB590" s="221"/>
      <c r="BC590" s="221"/>
      <c r="BD590" s="99"/>
      <c r="BE590" s="99"/>
      <c r="BF590" s="99"/>
      <c r="BG590" s="99"/>
      <c r="BH590" s="99"/>
      <c r="BI590" s="99"/>
      <c r="BJ590" s="99"/>
      <c r="BK590" s="11"/>
      <c r="BL590" s="11"/>
    </row>
    <row r="591" spans="1:64" ht="4.5" hidden="1" customHeight="1" outlineLevel="1">
      <c r="A591" s="9"/>
      <c r="B591" s="9"/>
      <c r="C591" s="44"/>
      <c r="D591" s="128">
        <f>Asset26</f>
        <v>0</v>
      </c>
      <c r="E591" s="9"/>
      <c r="F591" s="9"/>
      <c r="G591" s="194">
        <f>'Adjustment for previous period'!G487</f>
        <v>0</v>
      </c>
      <c r="H591" s="36"/>
      <c r="I591" s="36"/>
      <c r="J591" s="36"/>
      <c r="K591" s="36"/>
      <c r="L591" s="36"/>
      <c r="M591" s="36"/>
      <c r="N591" s="28"/>
      <c r="O591" s="28"/>
      <c r="P591" s="28"/>
      <c r="Q591" s="28"/>
      <c r="R591" s="28"/>
      <c r="S591" s="99"/>
      <c r="T591" s="99"/>
      <c r="U591" s="99"/>
      <c r="V591" s="99"/>
      <c r="W591" s="99"/>
      <c r="X591" s="99"/>
      <c r="Y591" s="99"/>
      <c r="Z591" s="99"/>
      <c r="AA591" s="99"/>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99"/>
      <c r="BE591" s="99"/>
      <c r="BF591" s="99"/>
      <c r="BG591" s="99"/>
      <c r="BH591" s="99"/>
      <c r="BI591" s="99"/>
      <c r="BJ591" s="99"/>
      <c r="BK591" s="11"/>
      <c r="BL591" s="11"/>
    </row>
    <row r="592" spans="1:64" ht="4.5" hidden="1" customHeight="1" outlineLevel="1">
      <c r="A592" s="9"/>
      <c r="B592" s="9"/>
      <c r="C592" s="44"/>
      <c r="D592" s="128">
        <f>Asset27</f>
        <v>0</v>
      </c>
      <c r="E592" s="9"/>
      <c r="F592" s="9"/>
      <c r="G592" s="194">
        <f>'Adjustment for previous period'!G488</f>
        <v>0</v>
      </c>
      <c r="H592" s="36"/>
      <c r="I592" s="36"/>
      <c r="J592" s="36"/>
      <c r="K592" s="36"/>
      <c r="L592" s="36"/>
      <c r="M592" s="36"/>
      <c r="N592" s="28"/>
      <c r="O592" s="28"/>
      <c r="P592" s="28"/>
      <c r="Q592" s="28"/>
      <c r="R592" s="28"/>
      <c r="S592" s="99"/>
      <c r="T592" s="99"/>
      <c r="U592" s="99"/>
      <c r="V592" s="99"/>
      <c r="W592" s="99"/>
      <c r="X592" s="99"/>
      <c r="Y592" s="99"/>
      <c r="Z592" s="99"/>
      <c r="AA592" s="99"/>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1"/>
      <c r="BB592" s="221"/>
      <c r="BC592" s="221"/>
      <c r="BD592" s="99"/>
      <c r="BE592" s="99"/>
      <c r="BF592" s="99"/>
      <c r="BG592" s="99"/>
      <c r="BH592" s="99"/>
      <c r="BI592" s="99"/>
      <c r="BJ592" s="99"/>
      <c r="BK592" s="11"/>
      <c r="BL592" s="11"/>
    </row>
    <row r="593" spans="1:64" ht="4.5" hidden="1" customHeight="1" outlineLevel="1">
      <c r="A593" s="9"/>
      <c r="B593" s="9"/>
      <c r="C593" s="44"/>
      <c r="D593" s="128">
        <f>Asset28</f>
        <v>0</v>
      </c>
      <c r="E593" s="9"/>
      <c r="F593" s="9"/>
      <c r="G593" s="194">
        <f>'Adjustment for previous period'!G489</f>
        <v>0</v>
      </c>
      <c r="H593" s="36"/>
      <c r="I593" s="36"/>
      <c r="J593" s="36"/>
      <c r="K593" s="36"/>
      <c r="L593" s="36"/>
      <c r="M593" s="36"/>
      <c r="N593" s="28"/>
      <c r="O593" s="28"/>
      <c r="P593" s="28"/>
      <c r="Q593" s="28"/>
      <c r="R593" s="28"/>
      <c r="S593" s="99"/>
      <c r="T593" s="99"/>
      <c r="U593" s="99"/>
      <c r="V593" s="99"/>
      <c r="W593" s="99"/>
      <c r="X593" s="99"/>
      <c r="Y593" s="99"/>
      <c r="Z593" s="99"/>
      <c r="AA593" s="99"/>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99"/>
      <c r="BE593" s="99"/>
      <c r="BF593" s="99"/>
      <c r="BG593" s="99"/>
      <c r="BH593" s="99"/>
      <c r="BI593" s="99"/>
      <c r="BJ593" s="99"/>
      <c r="BK593" s="11"/>
      <c r="BL593" s="11"/>
    </row>
    <row r="594" spans="1:64" ht="4.5" hidden="1" customHeight="1" outlineLevel="1">
      <c r="A594" s="9"/>
      <c r="B594" s="9"/>
      <c r="C594" s="44"/>
      <c r="D594" s="128">
        <f>Asset29</f>
        <v>0</v>
      </c>
      <c r="E594" s="9"/>
      <c r="F594" s="9"/>
      <c r="G594" s="194">
        <f>'Adjustment for previous period'!G490</f>
        <v>0</v>
      </c>
      <c r="H594" s="36"/>
      <c r="I594" s="36"/>
      <c r="J594" s="36"/>
      <c r="K594" s="36"/>
      <c r="L594" s="36"/>
      <c r="M594" s="36"/>
      <c r="N594" s="28"/>
      <c r="O594" s="28"/>
      <c r="P594" s="28"/>
      <c r="Q594" s="28"/>
      <c r="R594" s="28"/>
      <c r="S594" s="99"/>
      <c r="T594" s="99"/>
      <c r="U594" s="99"/>
      <c r="V594" s="99"/>
      <c r="W594" s="99"/>
      <c r="X594" s="99"/>
      <c r="Y594" s="99"/>
      <c r="Z594" s="99"/>
      <c r="AA594" s="99"/>
      <c r="AB594" s="221"/>
      <c r="AC594" s="221"/>
      <c r="AD594" s="221"/>
      <c r="AE594" s="221"/>
      <c r="AF594" s="221"/>
      <c r="AG594" s="221"/>
      <c r="AH594" s="221"/>
      <c r="AI594" s="221"/>
      <c r="AJ594" s="221"/>
      <c r="AK594" s="221"/>
      <c r="AL594" s="221"/>
      <c r="AM594" s="221"/>
      <c r="AN594" s="221"/>
      <c r="AO594" s="221"/>
      <c r="AP594" s="221"/>
      <c r="AQ594" s="221"/>
      <c r="AR594" s="221"/>
      <c r="AS594" s="221"/>
      <c r="AT594" s="221"/>
      <c r="AU594" s="221"/>
      <c r="AV594" s="221"/>
      <c r="AW594" s="221"/>
      <c r="AX594" s="221"/>
      <c r="AY594" s="221"/>
      <c r="AZ594" s="221"/>
      <c r="BA594" s="221"/>
      <c r="BB594" s="221"/>
      <c r="BC594" s="221"/>
      <c r="BD594" s="99"/>
      <c r="BE594" s="99"/>
      <c r="BF594" s="99"/>
      <c r="BG594" s="99"/>
      <c r="BH594" s="99"/>
      <c r="BI594" s="99"/>
      <c r="BJ594" s="99"/>
      <c r="BK594" s="11"/>
      <c r="BL594" s="11"/>
    </row>
    <row r="595" spans="1:64" ht="4.5" hidden="1" customHeight="1" outlineLevel="1">
      <c r="A595" s="9"/>
      <c r="B595" s="9"/>
      <c r="C595" s="44"/>
      <c r="D595" s="128">
        <f>Asset30</f>
        <v>0</v>
      </c>
      <c r="E595" s="9"/>
      <c r="F595" s="9"/>
      <c r="G595" s="194">
        <f>'Adjustment for previous period'!G491</f>
        <v>0</v>
      </c>
      <c r="H595" s="36"/>
      <c r="I595" s="36"/>
      <c r="J595" s="36"/>
      <c r="K595" s="36"/>
      <c r="L595" s="36"/>
      <c r="M595" s="36"/>
      <c r="N595" s="28"/>
      <c r="O595" s="28"/>
      <c r="P595" s="28"/>
      <c r="Q595" s="28"/>
      <c r="R595" s="28"/>
      <c r="S595" s="99"/>
      <c r="T595" s="99"/>
      <c r="U595" s="99"/>
      <c r="V595" s="99"/>
      <c r="W595" s="99"/>
      <c r="X595" s="99"/>
      <c r="Y595" s="99"/>
      <c r="Z595" s="99"/>
      <c r="AA595" s="99"/>
      <c r="AB595" s="221"/>
      <c r="AC595" s="221"/>
      <c r="AD595" s="221"/>
      <c r="AE595" s="221"/>
      <c r="AF595" s="221"/>
      <c r="AG595" s="221"/>
      <c r="AH595" s="221"/>
      <c r="AI595" s="221"/>
      <c r="AJ595" s="221"/>
      <c r="AK595" s="221"/>
      <c r="AL595" s="221"/>
      <c r="AM595" s="221"/>
      <c r="AN595" s="221"/>
      <c r="AO595" s="221"/>
      <c r="AP595" s="221"/>
      <c r="AQ595" s="221"/>
      <c r="AR595" s="221"/>
      <c r="AS595" s="221"/>
      <c r="AT595" s="221"/>
      <c r="AU595" s="221"/>
      <c r="AV595" s="221"/>
      <c r="AW595" s="221"/>
      <c r="AX595" s="221"/>
      <c r="AY595" s="221"/>
      <c r="AZ595" s="221"/>
      <c r="BA595" s="221"/>
      <c r="BB595" s="221"/>
      <c r="BC595" s="221"/>
      <c r="BD595" s="99"/>
      <c r="BE595" s="99"/>
      <c r="BF595" s="99"/>
      <c r="BG595" s="99"/>
      <c r="BH595" s="99"/>
      <c r="BI595" s="99"/>
      <c r="BJ595" s="99"/>
      <c r="BK595" s="11"/>
      <c r="BL595" s="11"/>
    </row>
    <row r="596" spans="1:64" collapsed="1">
      <c r="A596" s="9"/>
      <c r="B596" s="9"/>
      <c r="C596" s="44"/>
      <c r="D596" s="112"/>
      <c r="E596" s="9"/>
      <c r="F596" s="9"/>
      <c r="G596" s="199"/>
      <c r="H596" s="36"/>
      <c r="I596" s="36"/>
      <c r="J596" s="36"/>
      <c r="K596" s="36"/>
      <c r="L596" s="36"/>
      <c r="M596" s="36"/>
      <c r="N596" s="28"/>
      <c r="O596" s="28"/>
      <c r="P596" s="28"/>
      <c r="Q596" s="28"/>
      <c r="R596" s="28"/>
      <c r="S596" s="99"/>
      <c r="T596" s="99"/>
      <c r="U596" s="99"/>
      <c r="V596" s="99"/>
      <c r="W596" s="99"/>
      <c r="X596" s="99"/>
      <c r="Y596" s="99"/>
      <c r="Z596" s="99"/>
      <c r="AA596" s="99"/>
      <c r="AB596" s="221"/>
      <c r="AC596" s="221"/>
      <c r="AD596" s="221"/>
      <c r="AE596" s="221"/>
      <c r="AF596" s="221"/>
      <c r="AG596" s="221"/>
      <c r="AH596" s="221"/>
      <c r="AI596" s="221"/>
      <c r="AJ596" s="221"/>
      <c r="AK596" s="221"/>
      <c r="AL596" s="221"/>
      <c r="AM596" s="221"/>
      <c r="AN596" s="221"/>
      <c r="AO596" s="221"/>
      <c r="AP596" s="221"/>
      <c r="AQ596" s="221"/>
      <c r="AR596" s="221"/>
      <c r="AS596" s="221"/>
      <c r="AT596" s="221"/>
      <c r="AU596" s="221"/>
      <c r="AV596" s="221"/>
      <c r="AW596" s="221"/>
      <c r="AX596" s="221"/>
      <c r="AY596" s="221"/>
      <c r="AZ596" s="221"/>
      <c r="BA596" s="221"/>
      <c r="BB596" s="221"/>
      <c r="BC596" s="221"/>
      <c r="BD596" s="99"/>
      <c r="BE596" s="99"/>
      <c r="BF596" s="99"/>
      <c r="BG596" s="99"/>
      <c r="BH596" s="99"/>
      <c r="BI596" s="99"/>
      <c r="BJ596" s="99"/>
      <c r="BK596" s="11"/>
      <c r="BL596" s="11"/>
    </row>
    <row r="597" spans="1:64">
      <c r="A597" s="9"/>
      <c r="B597" s="9"/>
      <c r="C597" s="345" t="s">
        <v>157</v>
      </c>
      <c r="D597" s="347"/>
      <c r="E597" s="346"/>
      <c r="F597" s="346"/>
      <c r="G597" s="198">
        <f>SUM(G598:G627)</f>
        <v>-46.528595504163583</v>
      </c>
      <c r="H597" s="109"/>
      <c r="I597" s="109"/>
      <c r="J597" s="109"/>
      <c r="K597" s="109"/>
      <c r="L597" s="109"/>
      <c r="M597" s="109"/>
      <c r="N597" s="28"/>
      <c r="O597" s="28"/>
      <c r="P597" s="28"/>
      <c r="Q597" s="28"/>
      <c r="R597" s="28"/>
      <c r="S597" s="99"/>
      <c r="T597" s="99"/>
      <c r="U597" s="99"/>
      <c r="V597" s="99"/>
      <c r="W597" s="99"/>
      <c r="X597" s="99"/>
      <c r="Y597" s="99"/>
      <c r="Z597" s="99"/>
      <c r="AA597" s="99"/>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1"/>
      <c r="BB597" s="221"/>
      <c r="BC597" s="221"/>
      <c r="BD597" s="99"/>
      <c r="BE597" s="99"/>
      <c r="BF597" s="99"/>
      <c r="BG597" s="99"/>
      <c r="BH597" s="99"/>
      <c r="BI597" s="99"/>
      <c r="BJ597" s="99"/>
      <c r="BK597" s="11"/>
      <c r="BL597" s="11"/>
    </row>
    <row r="598" spans="1:64" ht="12.75" hidden="1" customHeight="1" outlineLevel="1">
      <c r="A598" s="9"/>
      <c r="B598" s="9"/>
      <c r="C598" s="44"/>
      <c r="D598" s="128" t="str">
        <f>Asset1</f>
        <v>Sub-transmission lines and cables</v>
      </c>
      <c r="E598" s="9"/>
      <c r="F598" s="9"/>
      <c r="G598" s="194">
        <f>'Adjustment for previous period'!G494</f>
        <v>-1.6899431763238399</v>
      </c>
      <c r="H598" s="109"/>
      <c r="I598" s="109"/>
      <c r="J598" s="109"/>
      <c r="K598" s="109"/>
      <c r="L598" s="109"/>
      <c r="M598" s="109"/>
      <c r="N598" s="28"/>
      <c r="O598" s="28"/>
      <c r="P598" s="28"/>
      <c r="Q598" s="28"/>
      <c r="R598" s="28"/>
      <c r="S598" s="99"/>
      <c r="T598" s="99"/>
      <c r="U598" s="99"/>
      <c r="V598" s="99"/>
      <c r="W598" s="99"/>
      <c r="X598" s="99"/>
      <c r="Y598" s="99"/>
      <c r="Z598" s="99"/>
      <c r="AA598" s="99"/>
      <c r="AB598" s="221"/>
      <c r="AC598" s="221"/>
      <c r="AD598" s="221"/>
      <c r="AE598" s="221"/>
      <c r="AF598" s="221"/>
      <c r="AG598" s="221"/>
      <c r="AH598" s="221"/>
      <c r="AI598" s="221"/>
      <c r="AJ598" s="221"/>
      <c r="AK598" s="221"/>
      <c r="AL598" s="221"/>
      <c r="AM598" s="221"/>
      <c r="AN598" s="221"/>
      <c r="AO598" s="221"/>
      <c r="AP598" s="221"/>
      <c r="AQ598" s="221"/>
      <c r="AR598" s="221"/>
      <c r="AS598" s="221"/>
      <c r="AT598" s="221"/>
      <c r="AU598" s="221"/>
      <c r="AV598" s="221"/>
      <c r="AW598" s="221"/>
      <c r="AX598" s="221"/>
      <c r="AY598" s="221"/>
      <c r="AZ598" s="221"/>
      <c r="BA598" s="221"/>
      <c r="BB598" s="221"/>
      <c r="BC598" s="221"/>
      <c r="BD598" s="99"/>
      <c r="BE598" s="99"/>
      <c r="BF598" s="99"/>
      <c r="BG598" s="99"/>
      <c r="BH598" s="99"/>
      <c r="BI598" s="99"/>
      <c r="BJ598" s="99"/>
      <c r="BK598" s="11"/>
      <c r="BL598" s="11"/>
    </row>
    <row r="599" spans="1:64" ht="12.75" hidden="1" customHeight="1" outlineLevel="1">
      <c r="A599" s="9"/>
      <c r="B599" s="9"/>
      <c r="C599" s="44"/>
      <c r="D599" s="128" t="str">
        <f>Asset2</f>
        <v>Cable tunnel (dx)</v>
      </c>
      <c r="E599" s="9"/>
      <c r="F599" s="9"/>
      <c r="G599" s="194">
        <f>'Adjustment for previous period'!G495</f>
        <v>0</v>
      </c>
      <c r="H599" s="109"/>
      <c r="I599" s="109"/>
      <c r="J599" s="109"/>
      <c r="K599" s="109"/>
      <c r="L599" s="109"/>
      <c r="M599" s="109"/>
      <c r="N599" s="28"/>
      <c r="O599" s="28"/>
      <c r="P599" s="28"/>
      <c r="Q599" s="28"/>
      <c r="R599" s="28"/>
      <c r="S599" s="99"/>
      <c r="T599" s="99"/>
      <c r="U599" s="99"/>
      <c r="V599" s="99"/>
      <c r="W599" s="99"/>
      <c r="X599" s="99"/>
      <c r="Y599" s="99"/>
      <c r="Z599" s="99"/>
      <c r="AA599" s="99"/>
      <c r="AB599" s="221"/>
      <c r="AC599" s="221"/>
      <c r="AD599" s="221"/>
      <c r="AE599" s="221"/>
      <c r="AF599" s="221"/>
      <c r="AG599" s="221"/>
      <c r="AH599" s="221"/>
      <c r="AI599" s="221"/>
      <c r="AJ599" s="221"/>
      <c r="AK599" s="221"/>
      <c r="AL599" s="221"/>
      <c r="AM599" s="221"/>
      <c r="AN599" s="221"/>
      <c r="AO599" s="221"/>
      <c r="AP599" s="221"/>
      <c r="AQ599" s="221"/>
      <c r="AR599" s="221"/>
      <c r="AS599" s="221"/>
      <c r="AT599" s="221"/>
      <c r="AU599" s="221"/>
      <c r="AV599" s="221"/>
      <c r="AW599" s="221"/>
      <c r="AX599" s="221"/>
      <c r="AY599" s="221"/>
      <c r="AZ599" s="221"/>
      <c r="BA599" s="221"/>
      <c r="BB599" s="221"/>
      <c r="BC599" s="221"/>
      <c r="BD599" s="99"/>
      <c r="BE599" s="99"/>
      <c r="BF599" s="99"/>
      <c r="BG599" s="99"/>
      <c r="BH599" s="99"/>
      <c r="BI599" s="99"/>
      <c r="BJ599" s="99"/>
      <c r="BK599" s="11"/>
      <c r="BL599" s="11"/>
    </row>
    <row r="600" spans="1:64" ht="12.75" hidden="1" customHeight="1" outlineLevel="1">
      <c r="A600" s="9"/>
      <c r="B600" s="9"/>
      <c r="C600" s="44"/>
      <c r="D600" s="128" t="str">
        <f>Asset3</f>
        <v>Distribution lines and cables</v>
      </c>
      <c r="E600" s="9"/>
      <c r="F600" s="9"/>
      <c r="G600" s="194">
        <f>'Adjustment for previous period'!G496</f>
        <v>0</v>
      </c>
      <c r="H600" s="109"/>
      <c r="I600" s="109"/>
      <c r="J600" s="109"/>
      <c r="K600" s="109"/>
      <c r="L600" s="109"/>
      <c r="M600" s="109"/>
      <c r="N600" s="28"/>
      <c r="O600" s="28"/>
      <c r="P600" s="28"/>
      <c r="Q600" s="28"/>
      <c r="R600" s="28"/>
      <c r="S600" s="99"/>
      <c r="T600" s="99"/>
      <c r="U600" s="99"/>
      <c r="V600" s="99"/>
      <c r="W600" s="99"/>
      <c r="X600" s="99"/>
      <c r="Y600" s="99"/>
      <c r="Z600" s="99"/>
      <c r="AA600" s="99"/>
      <c r="AB600" s="221"/>
      <c r="AC600" s="221"/>
      <c r="AD600" s="221"/>
      <c r="AE600" s="221"/>
      <c r="AF600" s="221"/>
      <c r="AG600" s="221"/>
      <c r="AH600" s="221"/>
      <c r="AI600" s="221"/>
      <c r="AJ600" s="221"/>
      <c r="AK600" s="221"/>
      <c r="AL600" s="221"/>
      <c r="AM600" s="221"/>
      <c r="AN600" s="221"/>
      <c r="AO600" s="221"/>
      <c r="AP600" s="221"/>
      <c r="AQ600" s="221"/>
      <c r="AR600" s="221"/>
      <c r="AS600" s="221"/>
      <c r="AT600" s="221"/>
      <c r="AU600" s="221"/>
      <c r="AV600" s="221"/>
      <c r="AW600" s="221"/>
      <c r="AX600" s="221"/>
      <c r="AY600" s="221"/>
      <c r="AZ600" s="221"/>
      <c r="BA600" s="221"/>
      <c r="BB600" s="221"/>
      <c r="BC600" s="221"/>
      <c r="BD600" s="99"/>
      <c r="BE600" s="99"/>
      <c r="BF600" s="99"/>
      <c r="BG600" s="99"/>
      <c r="BH600" s="99"/>
      <c r="BI600" s="99"/>
      <c r="BJ600" s="99"/>
      <c r="BK600" s="11"/>
      <c r="BL600" s="11"/>
    </row>
    <row r="601" spans="1:64" ht="12.75" hidden="1" customHeight="1" outlineLevel="1">
      <c r="A601" s="9"/>
      <c r="B601" s="9"/>
      <c r="C601" s="44"/>
      <c r="D601" s="128" t="str">
        <f>Asset4</f>
        <v>Substations</v>
      </c>
      <c r="E601" s="9"/>
      <c r="F601" s="9"/>
      <c r="G601" s="194">
        <f>'Adjustment for previous period'!G497</f>
        <v>-0.83023642406459597</v>
      </c>
      <c r="H601" s="109"/>
      <c r="I601" s="109"/>
      <c r="J601" s="109"/>
      <c r="K601" s="109"/>
      <c r="L601" s="109"/>
      <c r="M601" s="109"/>
      <c r="N601" s="28"/>
      <c r="O601" s="28"/>
      <c r="P601" s="28"/>
      <c r="Q601" s="28"/>
      <c r="R601" s="28"/>
      <c r="S601" s="99"/>
      <c r="T601" s="99"/>
      <c r="U601" s="99"/>
      <c r="V601" s="99"/>
      <c r="W601" s="99"/>
      <c r="X601" s="99"/>
      <c r="Y601" s="99"/>
      <c r="Z601" s="99"/>
      <c r="AA601" s="99"/>
      <c r="AB601" s="221"/>
      <c r="AC601" s="221"/>
      <c r="AD601" s="221"/>
      <c r="AE601" s="221"/>
      <c r="AF601" s="221"/>
      <c r="AG601" s="221"/>
      <c r="AH601" s="221"/>
      <c r="AI601" s="221"/>
      <c r="AJ601" s="221"/>
      <c r="AK601" s="221"/>
      <c r="AL601" s="221"/>
      <c r="AM601" s="221"/>
      <c r="AN601" s="221"/>
      <c r="AO601" s="221"/>
      <c r="AP601" s="221"/>
      <c r="AQ601" s="221"/>
      <c r="AR601" s="221"/>
      <c r="AS601" s="221"/>
      <c r="AT601" s="221"/>
      <c r="AU601" s="221"/>
      <c r="AV601" s="221"/>
      <c r="AW601" s="221"/>
      <c r="AX601" s="221"/>
      <c r="AY601" s="221"/>
      <c r="AZ601" s="221"/>
      <c r="BA601" s="221"/>
      <c r="BB601" s="221"/>
      <c r="BC601" s="221"/>
      <c r="BD601" s="99"/>
      <c r="BE601" s="99"/>
      <c r="BF601" s="99"/>
      <c r="BG601" s="99"/>
      <c r="BH601" s="99"/>
      <c r="BI601" s="99"/>
      <c r="BJ601" s="99"/>
      <c r="BK601" s="11"/>
      <c r="BL601" s="11"/>
    </row>
    <row r="602" spans="1:64" ht="12.75" hidden="1" customHeight="1" outlineLevel="1">
      <c r="A602" s="9"/>
      <c r="B602" s="9"/>
      <c r="C602" s="44"/>
      <c r="D602" s="128" t="str">
        <f>Asset5</f>
        <v>Transformers</v>
      </c>
      <c r="E602" s="9"/>
      <c r="F602" s="9"/>
      <c r="G602" s="194">
        <f>'Adjustment for previous period'!G498</f>
        <v>-2.2706686955399</v>
      </c>
      <c r="H602" s="109"/>
      <c r="I602" s="109"/>
      <c r="J602" s="109"/>
      <c r="K602" s="109"/>
      <c r="L602" s="109"/>
      <c r="M602" s="109"/>
      <c r="N602" s="28"/>
      <c r="O602" s="28"/>
      <c r="P602" s="28"/>
      <c r="Q602" s="28"/>
      <c r="R602" s="28"/>
      <c r="S602" s="99"/>
      <c r="T602" s="99"/>
      <c r="U602" s="99"/>
      <c r="V602" s="99"/>
      <c r="W602" s="99"/>
      <c r="X602" s="99"/>
      <c r="Y602" s="99"/>
      <c r="Z602" s="99"/>
      <c r="AA602" s="99"/>
      <c r="AB602" s="221"/>
      <c r="AC602" s="221"/>
      <c r="AD602" s="221"/>
      <c r="AE602" s="221"/>
      <c r="AF602" s="221"/>
      <c r="AG602" s="221"/>
      <c r="AH602" s="221"/>
      <c r="AI602" s="221"/>
      <c r="AJ602" s="221"/>
      <c r="AK602" s="221"/>
      <c r="AL602" s="221"/>
      <c r="AM602" s="221"/>
      <c r="AN602" s="221"/>
      <c r="AO602" s="221"/>
      <c r="AP602" s="221"/>
      <c r="AQ602" s="221"/>
      <c r="AR602" s="221"/>
      <c r="AS602" s="221"/>
      <c r="AT602" s="221"/>
      <c r="AU602" s="221"/>
      <c r="AV602" s="221"/>
      <c r="AW602" s="221"/>
      <c r="AX602" s="221"/>
      <c r="AY602" s="221"/>
      <c r="AZ602" s="221"/>
      <c r="BA602" s="221"/>
      <c r="BB602" s="221"/>
      <c r="BC602" s="221"/>
      <c r="BD602" s="99"/>
      <c r="BE602" s="99"/>
      <c r="BF602" s="99"/>
      <c r="BG602" s="99"/>
      <c r="BH602" s="99"/>
      <c r="BI602" s="99"/>
      <c r="BJ602" s="99"/>
      <c r="BK602" s="11"/>
      <c r="BL602" s="11"/>
    </row>
    <row r="603" spans="1:64" ht="12.75" hidden="1" customHeight="1" outlineLevel="1">
      <c r="A603" s="9"/>
      <c r="B603" s="9"/>
      <c r="C603" s="44"/>
      <c r="D603" s="128" t="str">
        <f>Asset6</f>
        <v>Low Voltage Lines and Cables</v>
      </c>
      <c r="E603" s="9"/>
      <c r="F603" s="9"/>
      <c r="G603" s="194">
        <f>'Adjustment for previous period'!G499</f>
        <v>0</v>
      </c>
      <c r="H603" s="109"/>
      <c r="I603" s="109"/>
      <c r="J603" s="109"/>
      <c r="K603" s="109"/>
      <c r="L603" s="109"/>
      <c r="M603" s="109"/>
      <c r="N603" s="28"/>
      <c r="O603" s="28"/>
      <c r="P603" s="28"/>
      <c r="Q603" s="28"/>
      <c r="R603" s="28"/>
      <c r="S603" s="99"/>
      <c r="T603" s="99"/>
      <c r="U603" s="99"/>
      <c r="V603" s="99"/>
      <c r="W603" s="99"/>
      <c r="X603" s="99"/>
      <c r="Y603" s="99"/>
      <c r="Z603" s="99"/>
      <c r="AA603" s="99"/>
      <c r="AB603" s="221"/>
      <c r="AC603" s="221"/>
      <c r="AD603" s="221"/>
      <c r="AE603" s="221"/>
      <c r="AF603" s="221"/>
      <c r="AG603" s="221"/>
      <c r="AH603" s="221"/>
      <c r="AI603" s="221"/>
      <c r="AJ603" s="221"/>
      <c r="AK603" s="221"/>
      <c r="AL603" s="221"/>
      <c r="AM603" s="221"/>
      <c r="AN603" s="221"/>
      <c r="AO603" s="221"/>
      <c r="AP603" s="221"/>
      <c r="AQ603" s="221"/>
      <c r="AR603" s="221"/>
      <c r="AS603" s="221"/>
      <c r="AT603" s="221"/>
      <c r="AU603" s="221"/>
      <c r="AV603" s="221"/>
      <c r="AW603" s="221"/>
      <c r="AX603" s="221"/>
      <c r="AY603" s="221"/>
      <c r="AZ603" s="221"/>
      <c r="BA603" s="221"/>
      <c r="BB603" s="221"/>
      <c r="BC603" s="221"/>
      <c r="BD603" s="99"/>
      <c r="BE603" s="99"/>
      <c r="BF603" s="99"/>
      <c r="BG603" s="99"/>
      <c r="BH603" s="99"/>
      <c r="BI603" s="99"/>
      <c r="BJ603" s="99"/>
      <c r="BK603" s="11"/>
      <c r="BL603" s="11"/>
    </row>
    <row r="604" spans="1:64" ht="12.75" hidden="1" customHeight="1" outlineLevel="1">
      <c r="A604" s="9"/>
      <c r="B604" s="9"/>
      <c r="C604" s="44"/>
      <c r="D604" s="128" t="str">
        <f>Asset7</f>
        <v>Customer Metering and Load Control</v>
      </c>
      <c r="E604" s="9"/>
      <c r="F604" s="9"/>
      <c r="G604" s="194">
        <f>'Adjustment for previous period'!G500</f>
        <v>0</v>
      </c>
      <c r="H604" s="109"/>
      <c r="I604" s="109"/>
      <c r="J604" s="109"/>
      <c r="K604" s="109"/>
      <c r="L604" s="109"/>
      <c r="M604" s="109"/>
      <c r="N604" s="28"/>
      <c r="O604" s="28"/>
      <c r="P604" s="28"/>
      <c r="Q604" s="28"/>
      <c r="R604" s="28"/>
      <c r="S604" s="99"/>
      <c r="T604" s="99"/>
      <c r="U604" s="99"/>
      <c r="V604" s="99"/>
      <c r="W604" s="99"/>
      <c r="X604" s="99"/>
      <c r="Y604" s="99"/>
      <c r="Z604" s="99"/>
      <c r="AA604" s="99"/>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99"/>
      <c r="BE604" s="99"/>
      <c r="BF604" s="99"/>
      <c r="BG604" s="99"/>
      <c r="BH604" s="99"/>
      <c r="BI604" s="99"/>
      <c r="BJ604" s="99"/>
      <c r="BK604" s="11"/>
      <c r="BL604" s="11"/>
    </row>
    <row r="605" spans="1:64" ht="12.75" hidden="1" customHeight="1" outlineLevel="1">
      <c r="A605" s="9"/>
      <c r="B605" s="9"/>
      <c r="C605" s="44"/>
      <c r="D605" s="128" t="str">
        <f>Asset8</f>
        <v>Customer Metering (digital)</v>
      </c>
      <c r="E605" s="9"/>
      <c r="F605" s="9"/>
      <c r="G605" s="194">
        <f>'Adjustment for previous period'!G501</f>
        <v>0</v>
      </c>
      <c r="H605" s="109"/>
      <c r="I605" s="109"/>
      <c r="J605" s="109"/>
      <c r="K605" s="109"/>
      <c r="L605" s="109"/>
      <c r="M605" s="109"/>
      <c r="N605" s="28"/>
      <c r="O605" s="28"/>
      <c r="P605" s="28"/>
      <c r="Q605" s="28"/>
      <c r="R605" s="28"/>
      <c r="S605" s="99"/>
      <c r="T605" s="99"/>
      <c r="U605" s="99"/>
      <c r="V605" s="99"/>
      <c r="W605" s="99"/>
      <c r="X605" s="99"/>
      <c r="Y605" s="99"/>
      <c r="Z605" s="99"/>
      <c r="AA605" s="99"/>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99"/>
      <c r="BE605" s="99"/>
      <c r="BF605" s="99"/>
      <c r="BG605" s="99"/>
      <c r="BH605" s="99"/>
      <c r="BI605" s="99"/>
      <c r="BJ605" s="99"/>
      <c r="BK605" s="11"/>
      <c r="BL605" s="11"/>
    </row>
    <row r="606" spans="1:64" ht="12.75" hidden="1" customHeight="1" outlineLevel="1">
      <c r="A606" s="9"/>
      <c r="B606" s="9"/>
      <c r="C606" s="44"/>
      <c r="D606" s="128" t="str">
        <f>Asset9</f>
        <v>Communications (digital) - dx</v>
      </c>
      <c r="E606" s="9"/>
      <c r="F606" s="9"/>
      <c r="G606" s="194">
        <f>'Adjustment for previous period'!G502</f>
        <v>0</v>
      </c>
      <c r="H606" s="109"/>
      <c r="I606" s="109"/>
      <c r="J606" s="109"/>
      <c r="K606" s="109"/>
      <c r="L606" s="109"/>
      <c r="M606" s="109"/>
      <c r="N606" s="28"/>
      <c r="O606" s="28"/>
      <c r="P606" s="28"/>
      <c r="Q606" s="28"/>
      <c r="R606" s="28"/>
      <c r="S606" s="99"/>
      <c r="T606" s="99"/>
      <c r="U606" s="99"/>
      <c r="V606" s="99"/>
      <c r="W606" s="99"/>
      <c r="X606" s="99"/>
      <c r="Y606" s="99"/>
      <c r="Z606" s="99"/>
      <c r="AA606" s="99"/>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1"/>
      <c r="BB606" s="221"/>
      <c r="BC606" s="221"/>
      <c r="BD606" s="99"/>
      <c r="BE606" s="99"/>
      <c r="BF606" s="99"/>
      <c r="BG606" s="99"/>
      <c r="BH606" s="99"/>
      <c r="BI606" s="99"/>
      <c r="BJ606" s="99"/>
      <c r="BK606" s="11"/>
      <c r="BL606" s="11"/>
    </row>
    <row r="607" spans="1:64" ht="12.75" hidden="1" customHeight="1" outlineLevel="1">
      <c r="A607" s="9"/>
      <c r="B607" s="9"/>
      <c r="C607" s="44"/>
      <c r="D607" s="128" t="str">
        <f>Asset10</f>
        <v>Total Communications</v>
      </c>
      <c r="E607" s="9"/>
      <c r="F607" s="9"/>
      <c r="G607" s="194">
        <f>'Adjustment for previous period'!G503</f>
        <v>0</v>
      </c>
      <c r="H607" s="109"/>
      <c r="I607" s="109"/>
      <c r="J607" s="109"/>
      <c r="K607" s="109"/>
      <c r="L607" s="109"/>
      <c r="M607" s="109"/>
      <c r="N607" s="28"/>
      <c r="O607" s="28"/>
      <c r="P607" s="28"/>
      <c r="Q607" s="28"/>
      <c r="R607" s="28"/>
      <c r="S607" s="99"/>
      <c r="T607" s="99"/>
      <c r="U607" s="99"/>
      <c r="V607" s="99"/>
      <c r="W607" s="99"/>
      <c r="X607" s="99"/>
      <c r="Y607" s="99"/>
      <c r="Z607" s="99"/>
      <c r="AA607" s="99"/>
      <c r="AB607" s="221"/>
      <c r="AC607" s="221"/>
      <c r="AD607" s="221"/>
      <c r="AE607" s="221"/>
      <c r="AF607" s="221"/>
      <c r="AG607" s="221"/>
      <c r="AH607" s="221"/>
      <c r="AI607" s="221"/>
      <c r="AJ607" s="221"/>
      <c r="AK607" s="221"/>
      <c r="AL607" s="221"/>
      <c r="AM607" s="221"/>
      <c r="AN607" s="221"/>
      <c r="AO607" s="221"/>
      <c r="AP607" s="221"/>
      <c r="AQ607" s="221"/>
      <c r="AR607" s="221"/>
      <c r="AS607" s="221"/>
      <c r="AT607" s="221"/>
      <c r="AU607" s="221"/>
      <c r="AV607" s="221"/>
      <c r="AW607" s="221"/>
      <c r="AX607" s="221"/>
      <c r="AY607" s="221"/>
      <c r="AZ607" s="221"/>
      <c r="BA607" s="221"/>
      <c r="BB607" s="221"/>
      <c r="BC607" s="221"/>
      <c r="BD607" s="99"/>
      <c r="BE607" s="99"/>
      <c r="BF607" s="99"/>
      <c r="BG607" s="99"/>
      <c r="BH607" s="99"/>
      <c r="BI607" s="99"/>
      <c r="BJ607" s="99"/>
      <c r="BK607" s="11"/>
      <c r="BL607" s="11"/>
    </row>
    <row r="608" spans="1:64" ht="12.75" hidden="1" customHeight="1" outlineLevel="1">
      <c r="A608" s="9"/>
      <c r="B608" s="9"/>
      <c r="C608" s="44"/>
      <c r="D608" s="128" t="str">
        <f>Asset11</f>
        <v>System IT (dx)</v>
      </c>
      <c r="E608" s="9"/>
      <c r="F608" s="9"/>
      <c r="G608" s="194">
        <f>'Adjustment for previous period'!G504</f>
        <v>0</v>
      </c>
      <c r="H608" s="109"/>
      <c r="I608" s="109"/>
      <c r="J608" s="109"/>
      <c r="K608" s="109"/>
      <c r="L608" s="109"/>
      <c r="M608" s="109"/>
      <c r="N608" s="28"/>
      <c r="O608" s="28"/>
      <c r="P608" s="28"/>
      <c r="Q608" s="28"/>
      <c r="R608" s="28"/>
      <c r="S608" s="99"/>
      <c r="T608" s="99"/>
      <c r="U608" s="99"/>
      <c r="V608" s="99"/>
      <c r="W608" s="99"/>
      <c r="X608" s="99"/>
      <c r="Y608" s="99"/>
      <c r="Z608" s="99"/>
      <c r="AA608" s="99"/>
      <c r="AB608" s="221"/>
      <c r="AC608" s="221"/>
      <c r="AD608" s="221"/>
      <c r="AE608" s="221"/>
      <c r="AF608" s="221"/>
      <c r="AG608" s="221"/>
      <c r="AH608" s="221"/>
      <c r="AI608" s="221"/>
      <c r="AJ608" s="221"/>
      <c r="AK608" s="221"/>
      <c r="AL608" s="221"/>
      <c r="AM608" s="221"/>
      <c r="AN608" s="221"/>
      <c r="AO608" s="221"/>
      <c r="AP608" s="221"/>
      <c r="AQ608" s="221"/>
      <c r="AR608" s="221"/>
      <c r="AS608" s="221"/>
      <c r="AT608" s="221"/>
      <c r="AU608" s="221"/>
      <c r="AV608" s="221"/>
      <c r="AW608" s="221"/>
      <c r="AX608" s="221"/>
      <c r="AY608" s="221"/>
      <c r="AZ608" s="221"/>
      <c r="BA608" s="221"/>
      <c r="BB608" s="221"/>
      <c r="BC608" s="221"/>
      <c r="BD608" s="99"/>
      <c r="BE608" s="99"/>
      <c r="BF608" s="99"/>
      <c r="BG608" s="99"/>
      <c r="BH608" s="99"/>
      <c r="BI608" s="99"/>
      <c r="BJ608" s="99"/>
      <c r="BK608" s="11"/>
      <c r="BL608" s="11"/>
    </row>
    <row r="609" spans="1:64" ht="12.75" hidden="1" customHeight="1" outlineLevel="1">
      <c r="A609" s="9"/>
      <c r="B609" s="9"/>
      <c r="C609" s="44"/>
      <c r="D609" s="128" t="str">
        <f>Asset12</f>
        <v>Ancillary substation equipment (dx)</v>
      </c>
      <c r="E609" s="9"/>
      <c r="F609" s="9"/>
      <c r="G609" s="194">
        <f>'Adjustment for previous period'!G505</f>
        <v>0</v>
      </c>
      <c r="H609" s="109"/>
      <c r="I609" s="109"/>
      <c r="J609" s="109"/>
      <c r="K609" s="109"/>
      <c r="L609" s="109"/>
      <c r="M609" s="109"/>
      <c r="N609" s="28"/>
      <c r="O609" s="28"/>
      <c r="P609" s="28"/>
      <c r="Q609" s="28"/>
      <c r="R609" s="28"/>
      <c r="S609" s="99"/>
      <c r="T609" s="99"/>
      <c r="U609" s="99"/>
      <c r="V609" s="99"/>
      <c r="W609" s="99"/>
      <c r="X609" s="99"/>
      <c r="Y609" s="99"/>
      <c r="Z609" s="99"/>
      <c r="AA609" s="99"/>
      <c r="AB609" s="221"/>
      <c r="AC609" s="221"/>
      <c r="AD609" s="221"/>
      <c r="AE609" s="221"/>
      <c r="AF609" s="221"/>
      <c r="AG609" s="221"/>
      <c r="AH609" s="221"/>
      <c r="AI609" s="221"/>
      <c r="AJ609" s="221"/>
      <c r="AK609" s="221"/>
      <c r="AL609" s="221"/>
      <c r="AM609" s="221"/>
      <c r="AN609" s="221"/>
      <c r="AO609" s="221"/>
      <c r="AP609" s="221"/>
      <c r="AQ609" s="221"/>
      <c r="AR609" s="221"/>
      <c r="AS609" s="221"/>
      <c r="AT609" s="221"/>
      <c r="AU609" s="221"/>
      <c r="AV609" s="221"/>
      <c r="AW609" s="221"/>
      <c r="AX609" s="221"/>
      <c r="AY609" s="221"/>
      <c r="AZ609" s="221"/>
      <c r="BA609" s="221"/>
      <c r="BB609" s="221"/>
      <c r="BC609" s="221"/>
      <c r="BD609" s="99"/>
      <c r="BE609" s="99"/>
      <c r="BF609" s="99"/>
      <c r="BG609" s="99"/>
      <c r="BH609" s="99"/>
      <c r="BI609" s="99"/>
      <c r="BJ609" s="99"/>
      <c r="BK609" s="11"/>
      <c r="BL609" s="11"/>
    </row>
    <row r="610" spans="1:64" ht="12.75" hidden="1" customHeight="1" outlineLevel="1">
      <c r="A610" s="9"/>
      <c r="B610" s="9"/>
      <c r="C610" s="44"/>
      <c r="D610" s="128" t="str">
        <f>Asset13</f>
        <v>Land and Easements</v>
      </c>
      <c r="E610" s="9"/>
      <c r="F610" s="9"/>
      <c r="G610" s="194">
        <f>'Adjustment for previous period'!G506</f>
        <v>-52.979567800171701</v>
      </c>
      <c r="H610" s="109"/>
      <c r="I610" s="109"/>
      <c r="J610" s="109"/>
      <c r="K610" s="109"/>
      <c r="L610" s="109"/>
      <c r="M610" s="109"/>
      <c r="N610" s="28"/>
      <c r="O610" s="28"/>
      <c r="P610" s="28"/>
      <c r="Q610" s="28"/>
      <c r="R610" s="28"/>
      <c r="S610" s="99"/>
      <c r="T610" s="99"/>
      <c r="U610" s="99"/>
      <c r="V610" s="99"/>
      <c r="W610" s="99"/>
      <c r="X610" s="99"/>
      <c r="Y610" s="99"/>
      <c r="Z610" s="99"/>
      <c r="AA610" s="99"/>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99"/>
      <c r="BE610" s="99"/>
      <c r="BF610" s="99"/>
      <c r="BG610" s="99"/>
      <c r="BH610" s="99"/>
      <c r="BI610" s="99"/>
      <c r="BJ610" s="99"/>
      <c r="BK610" s="11"/>
      <c r="BL610" s="11"/>
    </row>
    <row r="611" spans="1:64" ht="12.75" hidden="1" customHeight="1" outlineLevel="1">
      <c r="A611" s="9"/>
      <c r="B611" s="9"/>
      <c r="C611" s="44"/>
      <c r="D611" s="128" t="str">
        <f>Asset14</f>
        <v>Emergency Spares (Major Plant, Excludes Inventory)</v>
      </c>
      <c r="E611" s="9"/>
      <c r="F611" s="9"/>
      <c r="G611" s="194">
        <f>'Adjustment for previous period'!G507</f>
        <v>0</v>
      </c>
      <c r="H611" s="109"/>
      <c r="I611" s="109"/>
      <c r="J611" s="109"/>
      <c r="K611" s="109"/>
      <c r="L611" s="109"/>
      <c r="M611" s="109"/>
      <c r="N611" s="28"/>
      <c r="O611" s="28"/>
      <c r="P611" s="28"/>
      <c r="Q611" s="28"/>
      <c r="R611" s="28"/>
      <c r="S611" s="99"/>
      <c r="T611" s="99"/>
      <c r="U611" s="99"/>
      <c r="V611" s="99"/>
      <c r="W611" s="99"/>
      <c r="X611" s="99"/>
      <c r="Y611" s="99"/>
      <c r="Z611" s="99"/>
      <c r="AA611" s="99"/>
      <c r="AB611" s="221"/>
      <c r="AC611" s="221"/>
      <c r="AD611" s="221"/>
      <c r="AE611" s="221"/>
      <c r="AF611" s="221"/>
      <c r="AG611" s="221"/>
      <c r="AH611" s="221"/>
      <c r="AI611" s="221"/>
      <c r="AJ611" s="221"/>
      <c r="AK611" s="221"/>
      <c r="AL611" s="221"/>
      <c r="AM611" s="221"/>
      <c r="AN611" s="221"/>
      <c r="AO611" s="221"/>
      <c r="AP611" s="221"/>
      <c r="AQ611" s="221"/>
      <c r="AR611" s="221"/>
      <c r="AS611" s="221"/>
      <c r="AT611" s="221"/>
      <c r="AU611" s="221"/>
      <c r="AV611" s="221"/>
      <c r="AW611" s="221"/>
      <c r="AX611" s="221"/>
      <c r="AY611" s="221"/>
      <c r="AZ611" s="221"/>
      <c r="BA611" s="221"/>
      <c r="BB611" s="221"/>
      <c r="BC611" s="221"/>
      <c r="BD611" s="99"/>
      <c r="BE611" s="99"/>
      <c r="BF611" s="99"/>
      <c r="BG611" s="99"/>
      <c r="BH611" s="99"/>
      <c r="BI611" s="99"/>
      <c r="BJ611" s="99"/>
      <c r="BK611" s="11"/>
      <c r="BL611" s="11"/>
    </row>
    <row r="612" spans="1:64" ht="12.75" hidden="1" customHeight="1" outlineLevel="1">
      <c r="A612" s="9"/>
      <c r="B612" s="9"/>
      <c r="C612" s="44"/>
      <c r="D612" s="128" t="str">
        <f>Asset15</f>
        <v>Furniture, fittings, plant and equipment</v>
      </c>
      <c r="E612" s="9"/>
      <c r="F612" s="9"/>
      <c r="G612" s="194">
        <f>'Adjustment for previous period'!G508</f>
        <v>0.60775456415614215</v>
      </c>
      <c r="H612" s="109"/>
      <c r="I612" s="109"/>
      <c r="J612" s="109"/>
      <c r="K612" s="109"/>
      <c r="L612" s="109"/>
      <c r="M612" s="109"/>
      <c r="N612" s="28"/>
      <c r="O612" s="28"/>
      <c r="P612" s="28"/>
      <c r="Q612" s="28"/>
      <c r="R612" s="28"/>
      <c r="S612" s="99"/>
      <c r="T612" s="99"/>
      <c r="U612" s="99"/>
      <c r="V612" s="99"/>
      <c r="W612" s="99"/>
      <c r="X612" s="99"/>
      <c r="Y612" s="99"/>
      <c r="Z612" s="99"/>
      <c r="AA612" s="99"/>
      <c r="AB612" s="221"/>
      <c r="AC612" s="221"/>
      <c r="AD612" s="221"/>
      <c r="AE612" s="221"/>
      <c r="AF612" s="221"/>
      <c r="AG612" s="221"/>
      <c r="AH612" s="221"/>
      <c r="AI612" s="221"/>
      <c r="AJ612" s="221"/>
      <c r="AK612" s="221"/>
      <c r="AL612" s="221"/>
      <c r="AM612" s="221"/>
      <c r="AN612" s="221"/>
      <c r="AO612" s="221"/>
      <c r="AP612" s="221"/>
      <c r="AQ612" s="221"/>
      <c r="AR612" s="221"/>
      <c r="AS612" s="221"/>
      <c r="AT612" s="221"/>
      <c r="AU612" s="221"/>
      <c r="AV612" s="221"/>
      <c r="AW612" s="221"/>
      <c r="AX612" s="221"/>
      <c r="AY612" s="221"/>
      <c r="AZ612" s="221"/>
      <c r="BA612" s="221"/>
      <c r="BB612" s="221"/>
      <c r="BC612" s="221"/>
      <c r="BD612" s="99"/>
      <c r="BE612" s="99"/>
      <c r="BF612" s="99"/>
      <c r="BG612" s="99"/>
      <c r="BH612" s="99"/>
      <c r="BI612" s="99"/>
      <c r="BJ612" s="99"/>
      <c r="BK612" s="11"/>
      <c r="BL612" s="11"/>
    </row>
    <row r="613" spans="1:64" ht="12.75" hidden="1" customHeight="1" outlineLevel="1">
      <c r="A613" s="9"/>
      <c r="B613" s="9"/>
      <c r="C613" s="44"/>
      <c r="D613" s="128" t="str">
        <f>Asset16</f>
        <v>Land (non-system)</v>
      </c>
      <c r="E613" s="9"/>
      <c r="F613" s="9"/>
      <c r="G613" s="194">
        <f>'Adjustment for previous period'!G509</f>
        <v>1.0242978692249736</v>
      </c>
      <c r="H613" s="109"/>
      <c r="I613" s="109"/>
      <c r="J613" s="109"/>
      <c r="K613" s="109"/>
      <c r="L613" s="109"/>
      <c r="M613" s="109"/>
      <c r="N613" s="28"/>
      <c r="O613" s="28"/>
      <c r="P613" s="28"/>
      <c r="Q613" s="28"/>
      <c r="R613" s="28"/>
      <c r="S613" s="99"/>
      <c r="T613" s="99"/>
      <c r="U613" s="99"/>
      <c r="V613" s="99"/>
      <c r="W613" s="99"/>
      <c r="X613" s="99"/>
      <c r="Y613" s="99"/>
      <c r="Z613" s="99"/>
      <c r="AA613" s="99"/>
      <c r="AB613" s="221"/>
      <c r="AC613" s="221"/>
      <c r="AD613" s="221"/>
      <c r="AE613" s="221"/>
      <c r="AF613" s="221"/>
      <c r="AG613" s="221"/>
      <c r="AH613" s="221"/>
      <c r="AI613" s="221"/>
      <c r="AJ613" s="221"/>
      <c r="AK613" s="221"/>
      <c r="AL613" s="221"/>
      <c r="AM613" s="221"/>
      <c r="AN613" s="221"/>
      <c r="AO613" s="221"/>
      <c r="AP613" s="221"/>
      <c r="AQ613" s="221"/>
      <c r="AR613" s="221"/>
      <c r="AS613" s="221"/>
      <c r="AT613" s="221"/>
      <c r="AU613" s="221"/>
      <c r="AV613" s="221"/>
      <c r="AW613" s="221"/>
      <c r="AX613" s="221"/>
      <c r="AY613" s="221"/>
      <c r="AZ613" s="221"/>
      <c r="BA613" s="221"/>
      <c r="BB613" s="221"/>
      <c r="BC613" s="221"/>
      <c r="BD613" s="99"/>
      <c r="BE613" s="99"/>
      <c r="BF613" s="99"/>
      <c r="BG613" s="99"/>
      <c r="BH613" s="99"/>
      <c r="BI613" s="99"/>
      <c r="BJ613" s="99"/>
      <c r="BK613" s="11"/>
      <c r="BL613" s="11"/>
    </row>
    <row r="614" spans="1:64" ht="12.75" hidden="1" customHeight="1" outlineLevel="1">
      <c r="A614" s="9"/>
      <c r="B614" s="9"/>
      <c r="C614" s="44"/>
      <c r="D614" s="128" t="str">
        <f>Asset17</f>
        <v>Other non system assets</v>
      </c>
      <c r="E614" s="9"/>
      <c r="F614" s="9"/>
      <c r="G614" s="194">
        <f>'Adjustment for previous period'!G510</f>
        <v>2.3402875492637634</v>
      </c>
      <c r="H614" s="109"/>
      <c r="I614" s="109"/>
      <c r="J614" s="109"/>
      <c r="K614" s="109"/>
      <c r="L614" s="109"/>
      <c r="M614" s="109"/>
      <c r="N614" s="28"/>
      <c r="O614" s="28"/>
      <c r="P614" s="28"/>
      <c r="Q614" s="28"/>
      <c r="R614" s="28"/>
      <c r="S614" s="99"/>
      <c r="T614" s="99"/>
      <c r="U614" s="99"/>
      <c r="V614" s="99"/>
      <c r="W614" s="99"/>
      <c r="X614" s="99"/>
      <c r="Y614" s="99"/>
      <c r="Z614" s="99"/>
      <c r="AA614" s="99"/>
      <c r="AB614" s="221"/>
      <c r="AC614" s="221"/>
      <c r="AD614" s="221"/>
      <c r="AE614" s="221"/>
      <c r="AF614" s="221"/>
      <c r="AG614" s="221"/>
      <c r="AH614" s="221"/>
      <c r="AI614" s="221"/>
      <c r="AJ614" s="221"/>
      <c r="AK614" s="221"/>
      <c r="AL614" s="221"/>
      <c r="AM614" s="221"/>
      <c r="AN614" s="221"/>
      <c r="AO614" s="221"/>
      <c r="AP614" s="221"/>
      <c r="AQ614" s="221"/>
      <c r="AR614" s="221"/>
      <c r="AS614" s="221"/>
      <c r="AT614" s="221"/>
      <c r="AU614" s="221"/>
      <c r="AV614" s="221"/>
      <c r="AW614" s="221"/>
      <c r="AX614" s="221"/>
      <c r="AY614" s="221"/>
      <c r="AZ614" s="221"/>
      <c r="BA614" s="221"/>
      <c r="BB614" s="221"/>
      <c r="BC614" s="221"/>
      <c r="BD614" s="99"/>
      <c r="BE614" s="99"/>
      <c r="BF614" s="99"/>
      <c r="BG614" s="99"/>
      <c r="BH614" s="99"/>
      <c r="BI614" s="99"/>
      <c r="BJ614" s="99"/>
      <c r="BK614" s="11"/>
      <c r="BL614" s="11"/>
    </row>
    <row r="615" spans="1:64" ht="12.75" hidden="1" customHeight="1" outlineLevel="1">
      <c r="A615" s="9"/>
      <c r="B615" s="9"/>
      <c r="C615" s="44"/>
      <c r="D615" s="128" t="str">
        <f>Asset18</f>
        <v>IT systems</v>
      </c>
      <c r="E615" s="9"/>
      <c r="F615" s="9"/>
      <c r="G615" s="194">
        <f>'Adjustment for previous period'!G511</f>
        <v>2.5786222259441587</v>
      </c>
      <c r="H615" s="109"/>
      <c r="I615" s="109"/>
      <c r="J615" s="109"/>
      <c r="K615" s="109"/>
      <c r="L615" s="109"/>
      <c r="M615" s="109"/>
      <c r="N615" s="28"/>
      <c r="O615" s="28"/>
      <c r="P615" s="28"/>
      <c r="Q615" s="28"/>
      <c r="R615" s="28"/>
      <c r="S615" s="99"/>
      <c r="T615" s="99"/>
      <c r="U615" s="99"/>
      <c r="V615" s="99"/>
      <c r="W615" s="99"/>
      <c r="X615" s="99"/>
      <c r="Y615" s="99"/>
      <c r="Z615" s="99"/>
      <c r="AA615" s="99"/>
      <c r="AB615" s="221"/>
      <c r="AC615" s="221"/>
      <c r="AD615" s="221"/>
      <c r="AE615" s="221"/>
      <c r="AF615" s="221"/>
      <c r="AG615" s="221"/>
      <c r="AH615" s="221"/>
      <c r="AI615" s="221"/>
      <c r="AJ615" s="221"/>
      <c r="AK615" s="221"/>
      <c r="AL615" s="221"/>
      <c r="AM615" s="221"/>
      <c r="AN615" s="221"/>
      <c r="AO615" s="221"/>
      <c r="AP615" s="221"/>
      <c r="AQ615" s="221"/>
      <c r="AR615" s="221"/>
      <c r="AS615" s="221"/>
      <c r="AT615" s="221"/>
      <c r="AU615" s="221"/>
      <c r="AV615" s="221"/>
      <c r="AW615" s="221"/>
      <c r="AX615" s="221"/>
      <c r="AY615" s="221"/>
      <c r="AZ615" s="221"/>
      <c r="BA615" s="221"/>
      <c r="BB615" s="221"/>
      <c r="BC615" s="221"/>
      <c r="BD615" s="99"/>
      <c r="BE615" s="99"/>
      <c r="BF615" s="99"/>
      <c r="BG615" s="99"/>
      <c r="BH615" s="99"/>
      <c r="BI615" s="99"/>
      <c r="BJ615" s="99"/>
      <c r="BK615" s="11"/>
      <c r="BL615" s="11"/>
    </row>
    <row r="616" spans="1:64" ht="12.75" hidden="1" customHeight="1" outlineLevel="1">
      <c r="A616" s="9"/>
      <c r="B616" s="9"/>
      <c r="C616" s="44"/>
      <c r="D616" s="128" t="str">
        <f>Asset19</f>
        <v>Motor vehicles</v>
      </c>
      <c r="E616" s="9"/>
      <c r="F616" s="9"/>
      <c r="G616" s="194">
        <f>'Adjustment for previous period'!G512</f>
        <v>1.9833372290151488</v>
      </c>
      <c r="H616" s="109"/>
      <c r="I616" s="109"/>
      <c r="J616" s="109"/>
      <c r="K616" s="109"/>
      <c r="L616" s="109"/>
      <c r="M616" s="109"/>
      <c r="N616" s="28"/>
      <c r="O616" s="28"/>
      <c r="P616" s="28"/>
      <c r="Q616" s="28"/>
      <c r="R616" s="28"/>
      <c r="S616" s="99"/>
      <c r="T616" s="99"/>
      <c r="U616" s="99"/>
      <c r="V616" s="99"/>
      <c r="W616" s="99"/>
      <c r="X616" s="99"/>
      <c r="Y616" s="99"/>
      <c r="Z616" s="99"/>
      <c r="AA616" s="99"/>
      <c r="AB616" s="221"/>
      <c r="AC616" s="221"/>
      <c r="AD616" s="221"/>
      <c r="AE616" s="221"/>
      <c r="AF616" s="221"/>
      <c r="AG616" s="221"/>
      <c r="AH616" s="221"/>
      <c r="AI616" s="221"/>
      <c r="AJ616" s="221"/>
      <c r="AK616" s="221"/>
      <c r="AL616" s="221"/>
      <c r="AM616" s="221"/>
      <c r="AN616" s="221"/>
      <c r="AO616" s="221"/>
      <c r="AP616" s="221"/>
      <c r="AQ616" s="221"/>
      <c r="AR616" s="221"/>
      <c r="AS616" s="221"/>
      <c r="AT616" s="221"/>
      <c r="AU616" s="221"/>
      <c r="AV616" s="221"/>
      <c r="AW616" s="221"/>
      <c r="AX616" s="221"/>
      <c r="AY616" s="221"/>
      <c r="AZ616" s="221"/>
      <c r="BA616" s="221"/>
      <c r="BB616" s="221"/>
      <c r="BC616" s="221"/>
      <c r="BD616" s="99"/>
      <c r="BE616" s="99"/>
      <c r="BF616" s="99"/>
      <c r="BG616" s="99"/>
      <c r="BH616" s="99"/>
      <c r="BI616" s="99"/>
      <c r="BJ616" s="99"/>
      <c r="BK616" s="11"/>
      <c r="BL616" s="11"/>
    </row>
    <row r="617" spans="1:64" ht="12.75" hidden="1" customHeight="1" outlineLevel="1">
      <c r="A617" s="9"/>
      <c r="B617" s="9"/>
      <c r="C617" s="44"/>
      <c r="D617" s="128" t="str">
        <f>Asset20</f>
        <v>Buildings</v>
      </c>
      <c r="E617" s="9"/>
      <c r="F617" s="9"/>
      <c r="G617" s="194">
        <f>'Adjustment for previous period'!G513</f>
        <v>2.7075211543322695</v>
      </c>
      <c r="H617" s="109"/>
      <c r="I617" s="109"/>
      <c r="J617" s="109"/>
      <c r="K617" s="109"/>
      <c r="L617" s="109"/>
      <c r="M617" s="109"/>
      <c r="N617" s="28"/>
      <c r="O617" s="28"/>
      <c r="P617" s="28"/>
      <c r="Q617" s="28"/>
      <c r="R617" s="28"/>
      <c r="S617" s="99"/>
      <c r="T617" s="99"/>
      <c r="U617" s="99"/>
      <c r="V617" s="99"/>
      <c r="W617" s="99"/>
      <c r="X617" s="99"/>
      <c r="Y617" s="99"/>
      <c r="Z617" s="99"/>
      <c r="AA617" s="99"/>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99"/>
      <c r="BE617" s="99"/>
      <c r="BF617" s="99"/>
      <c r="BG617" s="99"/>
      <c r="BH617" s="99"/>
      <c r="BI617" s="99"/>
      <c r="BJ617" s="99"/>
      <c r="BK617" s="11"/>
      <c r="BL617" s="11"/>
    </row>
    <row r="618" spans="1:64" ht="4.5" hidden="1" customHeight="1" outlineLevel="1">
      <c r="A618" s="9"/>
      <c r="B618" s="9"/>
      <c r="C618" s="44"/>
      <c r="D618" s="128" t="str">
        <f>Asset21</f>
        <v>Equity raising costs</v>
      </c>
      <c r="E618" s="9"/>
      <c r="F618" s="9"/>
      <c r="G618" s="194">
        <f>'Adjustment for previous period'!G514</f>
        <v>0</v>
      </c>
      <c r="H618" s="109"/>
      <c r="I618" s="109"/>
      <c r="J618" s="109"/>
      <c r="K618" s="109"/>
      <c r="L618" s="109"/>
      <c r="M618" s="109"/>
      <c r="N618" s="28"/>
      <c r="O618" s="28"/>
      <c r="P618" s="28"/>
      <c r="Q618" s="28"/>
      <c r="R618" s="28"/>
      <c r="S618" s="99"/>
      <c r="T618" s="99"/>
      <c r="U618" s="99"/>
      <c r="V618" s="99"/>
      <c r="W618" s="99"/>
      <c r="X618" s="99"/>
      <c r="Y618" s="99"/>
      <c r="Z618" s="99"/>
      <c r="AA618" s="99"/>
      <c r="AB618" s="221"/>
      <c r="AC618" s="221"/>
      <c r="AD618" s="221"/>
      <c r="AE618" s="221"/>
      <c r="AF618" s="221"/>
      <c r="AG618" s="221"/>
      <c r="AH618" s="221"/>
      <c r="AI618" s="221"/>
      <c r="AJ618" s="221"/>
      <c r="AK618" s="221"/>
      <c r="AL618" s="221"/>
      <c r="AM618" s="221"/>
      <c r="AN618" s="221"/>
      <c r="AO618" s="221"/>
      <c r="AP618" s="221"/>
      <c r="AQ618" s="221"/>
      <c r="AR618" s="221"/>
      <c r="AS618" s="221"/>
      <c r="AT618" s="221"/>
      <c r="AU618" s="221"/>
      <c r="AV618" s="221"/>
      <c r="AW618" s="221"/>
      <c r="AX618" s="221"/>
      <c r="AY618" s="221"/>
      <c r="AZ618" s="221"/>
      <c r="BA618" s="221"/>
      <c r="BB618" s="221"/>
      <c r="BC618" s="221"/>
      <c r="BD618" s="99"/>
      <c r="BE618" s="99"/>
      <c r="BF618" s="99"/>
      <c r="BG618" s="99"/>
      <c r="BH618" s="99"/>
      <c r="BI618" s="99"/>
      <c r="BJ618" s="99"/>
      <c r="BK618" s="11"/>
      <c r="BL618" s="11"/>
    </row>
    <row r="619" spans="1:64" ht="4.5" hidden="1" customHeight="1" outlineLevel="1">
      <c r="A619" s="9"/>
      <c r="B619" s="9"/>
      <c r="C619" s="44"/>
      <c r="D619" s="128">
        <f>Asset22</f>
        <v>0</v>
      </c>
      <c r="E619" s="9"/>
      <c r="F619" s="9"/>
      <c r="G619" s="194">
        <f>'Adjustment for previous period'!G515</f>
        <v>0</v>
      </c>
      <c r="H619" s="109"/>
      <c r="I619" s="109"/>
      <c r="J619" s="109"/>
      <c r="K619" s="109"/>
      <c r="L619" s="109"/>
      <c r="M619" s="109"/>
      <c r="N619" s="28"/>
      <c r="O619" s="28"/>
      <c r="P619" s="28"/>
      <c r="Q619" s="28"/>
      <c r="R619" s="28"/>
      <c r="S619" s="99"/>
      <c r="T619" s="99"/>
      <c r="U619" s="99"/>
      <c r="V619" s="99"/>
      <c r="W619" s="99"/>
      <c r="X619" s="99"/>
      <c r="Y619" s="99"/>
      <c r="Z619" s="99"/>
      <c r="AA619" s="99"/>
      <c r="AB619" s="221"/>
      <c r="AC619" s="221"/>
      <c r="AD619" s="221"/>
      <c r="AE619" s="221"/>
      <c r="AF619" s="221"/>
      <c r="AG619" s="221"/>
      <c r="AH619" s="221"/>
      <c r="AI619" s="221"/>
      <c r="AJ619" s="221"/>
      <c r="AK619" s="221"/>
      <c r="AL619" s="221"/>
      <c r="AM619" s="221"/>
      <c r="AN619" s="221"/>
      <c r="AO619" s="221"/>
      <c r="AP619" s="221"/>
      <c r="AQ619" s="221"/>
      <c r="AR619" s="221"/>
      <c r="AS619" s="221"/>
      <c r="AT619" s="221"/>
      <c r="AU619" s="221"/>
      <c r="AV619" s="221"/>
      <c r="AW619" s="221"/>
      <c r="AX619" s="221"/>
      <c r="AY619" s="221"/>
      <c r="AZ619" s="221"/>
      <c r="BA619" s="221"/>
      <c r="BB619" s="221"/>
      <c r="BC619" s="221"/>
      <c r="BD619" s="99"/>
      <c r="BE619" s="99"/>
      <c r="BF619" s="99"/>
      <c r="BG619" s="99"/>
      <c r="BH619" s="99"/>
      <c r="BI619" s="99"/>
      <c r="BJ619" s="99"/>
      <c r="BK619" s="11"/>
      <c r="BL619" s="11"/>
    </row>
    <row r="620" spans="1:64" ht="4.5" hidden="1" customHeight="1" outlineLevel="1">
      <c r="A620" s="9"/>
      <c r="B620" s="9"/>
      <c r="C620" s="44"/>
      <c r="D620" s="128">
        <f>Asset23</f>
        <v>0</v>
      </c>
      <c r="E620" s="9"/>
      <c r="F620" s="9"/>
      <c r="G620" s="194">
        <f>'Adjustment for previous period'!G516</f>
        <v>0</v>
      </c>
      <c r="H620" s="109"/>
      <c r="I620" s="109"/>
      <c r="J620" s="109"/>
      <c r="K620" s="109"/>
      <c r="L620" s="109"/>
      <c r="M620" s="109"/>
      <c r="N620" s="28"/>
      <c r="O620" s="28"/>
      <c r="P620" s="28"/>
      <c r="Q620" s="28"/>
      <c r="R620" s="28"/>
      <c r="S620" s="99"/>
      <c r="T620" s="99"/>
      <c r="U620" s="99"/>
      <c r="V620" s="99"/>
      <c r="W620" s="99"/>
      <c r="X620" s="99"/>
      <c r="Y620" s="99"/>
      <c r="Z620" s="99"/>
      <c r="AA620" s="99"/>
      <c r="AB620" s="221"/>
      <c r="AC620" s="221"/>
      <c r="AD620" s="221"/>
      <c r="AE620" s="221"/>
      <c r="AF620" s="221"/>
      <c r="AG620" s="221"/>
      <c r="AH620" s="221"/>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99"/>
      <c r="BE620" s="99"/>
      <c r="BF620" s="99"/>
      <c r="BG620" s="99"/>
      <c r="BH620" s="99"/>
      <c r="BI620" s="99"/>
      <c r="BJ620" s="99"/>
      <c r="BK620" s="11"/>
      <c r="BL620" s="11"/>
    </row>
    <row r="621" spans="1:64" ht="4.5" hidden="1" customHeight="1" outlineLevel="1">
      <c r="A621" s="9"/>
      <c r="B621" s="9"/>
      <c r="C621" s="44"/>
      <c r="D621" s="128">
        <f>Asset24</f>
        <v>0</v>
      </c>
      <c r="E621" s="9"/>
      <c r="F621" s="9"/>
      <c r="G621" s="194">
        <f>'Adjustment for previous period'!G517</f>
        <v>0</v>
      </c>
      <c r="H621" s="109"/>
      <c r="I621" s="109"/>
      <c r="J621" s="109"/>
      <c r="K621" s="109"/>
      <c r="L621" s="109"/>
      <c r="M621" s="109"/>
      <c r="N621" s="28"/>
      <c r="O621" s="28"/>
      <c r="P621" s="28"/>
      <c r="Q621" s="28"/>
      <c r="R621" s="28"/>
      <c r="S621" s="99"/>
      <c r="T621" s="99"/>
      <c r="U621" s="99"/>
      <c r="V621" s="99"/>
      <c r="W621" s="99"/>
      <c r="X621" s="99"/>
      <c r="Y621" s="99"/>
      <c r="Z621" s="99"/>
      <c r="AA621" s="99"/>
      <c r="AB621" s="221"/>
      <c r="AC621" s="221"/>
      <c r="AD621" s="221"/>
      <c r="AE621" s="221"/>
      <c r="AF621" s="221"/>
      <c r="AG621" s="221"/>
      <c r="AH621" s="221"/>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99"/>
      <c r="BE621" s="99"/>
      <c r="BF621" s="99"/>
      <c r="BG621" s="99"/>
      <c r="BH621" s="99"/>
      <c r="BI621" s="99"/>
      <c r="BJ621" s="99"/>
      <c r="BK621" s="11"/>
      <c r="BL621" s="11"/>
    </row>
    <row r="622" spans="1:64" ht="4.5" hidden="1" customHeight="1" outlineLevel="1">
      <c r="A622" s="9"/>
      <c r="B622" s="9"/>
      <c r="C622" s="44"/>
      <c r="D622" s="128">
        <f>Asset25</f>
        <v>0</v>
      </c>
      <c r="E622" s="9"/>
      <c r="F622" s="9"/>
      <c r="G622" s="194">
        <f>'Adjustment for previous period'!G518</f>
        <v>0</v>
      </c>
      <c r="H622" s="109"/>
      <c r="I622" s="109"/>
      <c r="J622" s="109"/>
      <c r="K622" s="109"/>
      <c r="L622" s="109"/>
      <c r="M622" s="109"/>
      <c r="N622" s="28"/>
      <c r="O622" s="28"/>
      <c r="P622" s="28"/>
      <c r="Q622" s="28"/>
      <c r="R622" s="28"/>
      <c r="S622" s="99"/>
      <c r="T622" s="99"/>
      <c r="U622" s="99"/>
      <c r="V622" s="99"/>
      <c r="W622" s="99"/>
      <c r="X622" s="99"/>
      <c r="Y622" s="99"/>
      <c r="Z622" s="99"/>
      <c r="AA622" s="99"/>
      <c r="AB622" s="221"/>
      <c r="AC622" s="221"/>
      <c r="AD622" s="221"/>
      <c r="AE622" s="221"/>
      <c r="AF622" s="221"/>
      <c r="AG622" s="221"/>
      <c r="AH622" s="221"/>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99"/>
      <c r="BE622" s="99"/>
      <c r="BF622" s="99"/>
      <c r="BG622" s="99"/>
      <c r="BH622" s="99"/>
      <c r="BI622" s="99"/>
      <c r="BJ622" s="99"/>
      <c r="BK622" s="11"/>
      <c r="BL622" s="11"/>
    </row>
    <row r="623" spans="1:64" ht="4.5" hidden="1" customHeight="1" outlineLevel="1">
      <c r="A623" s="9"/>
      <c r="B623" s="9"/>
      <c r="C623" s="44"/>
      <c r="D623" s="128">
        <f>Asset26</f>
        <v>0</v>
      </c>
      <c r="E623" s="9"/>
      <c r="F623" s="9"/>
      <c r="G623" s="194">
        <f>'Adjustment for previous period'!G519</f>
        <v>0</v>
      </c>
      <c r="H623" s="109"/>
      <c r="I623" s="109"/>
      <c r="J623" s="109"/>
      <c r="K623" s="109"/>
      <c r="L623" s="109"/>
      <c r="M623" s="109"/>
      <c r="N623" s="28"/>
      <c r="O623" s="28"/>
      <c r="P623" s="28"/>
      <c r="Q623" s="28"/>
      <c r="R623" s="28"/>
      <c r="S623" s="99"/>
      <c r="T623" s="99"/>
      <c r="U623" s="99"/>
      <c r="V623" s="99"/>
      <c r="W623" s="99"/>
      <c r="X623" s="99"/>
      <c r="Y623" s="99"/>
      <c r="Z623" s="99"/>
      <c r="AA623" s="99"/>
      <c r="AB623" s="221"/>
      <c r="AC623" s="221"/>
      <c r="AD623" s="221"/>
      <c r="AE623" s="221"/>
      <c r="AF623" s="221"/>
      <c r="AG623" s="221"/>
      <c r="AH623" s="221"/>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99"/>
      <c r="BE623" s="99"/>
      <c r="BF623" s="99"/>
      <c r="BG623" s="99"/>
      <c r="BH623" s="99"/>
      <c r="BI623" s="99"/>
      <c r="BJ623" s="99"/>
      <c r="BK623" s="11"/>
      <c r="BL623" s="11"/>
    </row>
    <row r="624" spans="1:64" ht="4.5" hidden="1" customHeight="1" outlineLevel="1">
      <c r="A624" s="9"/>
      <c r="B624" s="9"/>
      <c r="C624" s="44"/>
      <c r="D624" s="128">
        <f>Asset27</f>
        <v>0</v>
      </c>
      <c r="E624" s="9"/>
      <c r="F624" s="9"/>
      <c r="G624" s="194">
        <f>'Adjustment for previous period'!G520</f>
        <v>0</v>
      </c>
      <c r="H624" s="109"/>
      <c r="I624" s="109"/>
      <c r="J624" s="109"/>
      <c r="K624" s="109"/>
      <c r="L624" s="109"/>
      <c r="M624" s="109"/>
      <c r="N624" s="28"/>
      <c r="O624" s="28"/>
      <c r="P624" s="28"/>
      <c r="Q624" s="28"/>
      <c r="R624" s="28"/>
      <c r="S624" s="99"/>
      <c r="T624" s="99"/>
      <c r="U624" s="99"/>
      <c r="V624" s="99"/>
      <c r="W624" s="99"/>
      <c r="X624" s="99"/>
      <c r="Y624" s="99"/>
      <c r="Z624" s="99"/>
      <c r="AA624" s="99"/>
      <c r="AB624" s="221"/>
      <c r="AC624" s="221"/>
      <c r="AD624" s="221"/>
      <c r="AE624" s="221"/>
      <c r="AF624" s="221"/>
      <c r="AG624" s="221"/>
      <c r="AH624" s="221"/>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99"/>
      <c r="BE624" s="99"/>
      <c r="BF624" s="99"/>
      <c r="BG624" s="99"/>
      <c r="BH624" s="99"/>
      <c r="BI624" s="99"/>
      <c r="BJ624" s="99"/>
      <c r="BK624" s="11"/>
      <c r="BL624" s="11"/>
    </row>
    <row r="625" spans="1:64" ht="4.5" hidden="1" customHeight="1" outlineLevel="1">
      <c r="A625" s="9"/>
      <c r="B625" s="9"/>
      <c r="C625" s="44"/>
      <c r="D625" s="128">
        <f>Asset28</f>
        <v>0</v>
      </c>
      <c r="E625" s="9"/>
      <c r="F625" s="9"/>
      <c r="G625" s="194">
        <f>'Adjustment for previous period'!G521</f>
        <v>0</v>
      </c>
      <c r="H625" s="109"/>
      <c r="I625" s="109"/>
      <c r="J625" s="109"/>
      <c r="K625" s="109"/>
      <c r="L625" s="109"/>
      <c r="M625" s="109"/>
      <c r="N625" s="28"/>
      <c r="O625" s="28"/>
      <c r="P625" s="28"/>
      <c r="Q625" s="28"/>
      <c r="R625" s="28"/>
      <c r="S625" s="99"/>
      <c r="T625" s="99"/>
      <c r="U625" s="99"/>
      <c r="V625" s="99"/>
      <c r="W625" s="99"/>
      <c r="X625" s="99"/>
      <c r="Y625" s="99"/>
      <c r="Z625" s="99"/>
      <c r="AA625" s="99"/>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99"/>
      <c r="BE625" s="99"/>
      <c r="BF625" s="99"/>
      <c r="BG625" s="99"/>
      <c r="BH625" s="99"/>
      <c r="BI625" s="99"/>
      <c r="BJ625" s="99"/>
      <c r="BK625" s="11"/>
      <c r="BL625" s="11"/>
    </row>
    <row r="626" spans="1:64" ht="4.5" hidden="1" customHeight="1" outlineLevel="1">
      <c r="A626" s="9"/>
      <c r="B626" s="9"/>
      <c r="C626" s="44"/>
      <c r="D626" s="128">
        <f>Asset29</f>
        <v>0</v>
      </c>
      <c r="E626" s="9"/>
      <c r="F626" s="9"/>
      <c r="G626" s="194">
        <f>'Adjustment for previous period'!G522</f>
        <v>0</v>
      </c>
      <c r="H626" s="109"/>
      <c r="I626" s="109"/>
      <c r="J626" s="109"/>
      <c r="K626" s="109"/>
      <c r="L626" s="109"/>
      <c r="M626" s="109"/>
      <c r="N626" s="28"/>
      <c r="O626" s="28"/>
      <c r="P626" s="28"/>
      <c r="Q626" s="28"/>
      <c r="R626" s="28"/>
      <c r="S626" s="99"/>
      <c r="T626" s="99"/>
      <c r="U626" s="99"/>
      <c r="V626" s="99"/>
      <c r="W626" s="99"/>
      <c r="X626" s="99"/>
      <c r="Y626" s="99"/>
      <c r="Z626" s="99"/>
      <c r="AA626" s="99"/>
      <c r="AB626" s="221"/>
      <c r="AC626" s="221"/>
      <c r="AD626" s="221"/>
      <c r="AE626" s="221"/>
      <c r="AF626" s="221"/>
      <c r="AG626" s="221"/>
      <c r="AH626" s="221"/>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99"/>
      <c r="BE626" s="99"/>
      <c r="BF626" s="99"/>
      <c r="BG626" s="99"/>
      <c r="BH626" s="99"/>
      <c r="BI626" s="99"/>
      <c r="BJ626" s="99"/>
      <c r="BK626" s="11"/>
      <c r="BL626" s="11"/>
    </row>
    <row r="627" spans="1:64" ht="4.5" hidden="1" customHeight="1" outlineLevel="1">
      <c r="A627" s="9"/>
      <c r="B627" s="9"/>
      <c r="C627" s="44"/>
      <c r="D627" s="128">
        <f>Asset30</f>
        <v>0</v>
      </c>
      <c r="E627" s="9"/>
      <c r="F627" s="9"/>
      <c r="G627" s="194">
        <f>'Adjustment for previous period'!G523</f>
        <v>0</v>
      </c>
      <c r="H627" s="109"/>
      <c r="I627" s="109"/>
      <c r="J627" s="109"/>
      <c r="K627" s="109"/>
      <c r="L627" s="109"/>
      <c r="M627" s="109"/>
      <c r="N627" s="28"/>
      <c r="O627" s="28"/>
      <c r="P627" s="28"/>
      <c r="Q627" s="28"/>
      <c r="R627" s="28"/>
      <c r="S627" s="99"/>
      <c r="T627" s="99"/>
      <c r="U627" s="99"/>
      <c r="V627" s="99"/>
      <c r="W627" s="99"/>
      <c r="X627" s="99"/>
      <c r="Y627" s="99"/>
      <c r="Z627" s="99"/>
      <c r="AA627" s="99"/>
      <c r="AB627" s="221"/>
      <c r="AC627" s="221"/>
      <c r="AD627" s="221"/>
      <c r="AE627" s="221"/>
      <c r="AF627" s="221"/>
      <c r="AG627" s="221"/>
      <c r="AH627" s="221"/>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99"/>
      <c r="BE627" s="99"/>
      <c r="BF627" s="99"/>
      <c r="BG627" s="99"/>
      <c r="BH627" s="99"/>
      <c r="BI627" s="99"/>
      <c r="BJ627" s="99"/>
      <c r="BK627" s="11"/>
      <c r="BL627" s="11"/>
    </row>
    <row r="628" spans="1:64" collapsed="1">
      <c r="A628" s="9"/>
      <c r="B628" s="9"/>
      <c r="C628" s="44"/>
      <c r="D628" s="128"/>
      <c r="E628" s="9"/>
      <c r="F628" s="9"/>
      <c r="G628" s="27"/>
      <c r="H628" s="109"/>
      <c r="I628" s="109"/>
      <c r="J628" s="109"/>
      <c r="K628" s="109"/>
      <c r="L628" s="109"/>
      <c r="M628" s="109"/>
      <c r="N628" s="28"/>
      <c r="O628" s="28"/>
      <c r="P628" s="28"/>
      <c r="Q628" s="28"/>
      <c r="R628" s="28"/>
      <c r="S628" s="99"/>
      <c r="T628" s="99"/>
      <c r="U628" s="99"/>
      <c r="V628" s="99"/>
      <c r="W628" s="99"/>
      <c r="X628" s="99"/>
      <c r="Y628" s="99"/>
      <c r="Z628" s="99"/>
      <c r="AA628" s="99"/>
      <c r="AB628" s="221"/>
      <c r="AC628" s="221"/>
      <c r="AD628" s="221"/>
      <c r="AE628" s="221"/>
      <c r="AF628" s="221"/>
      <c r="AG628" s="221"/>
      <c r="AH628" s="221"/>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99"/>
      <c r="BE628" s="99"/>
      <c r="BF628" s="99"/>
      <c r="BG628" s="99"/>
      <c r="BH628" s="99"/>
      <c r="BI628" s="99"/>
      <c r="BJ628" s="99"/>
      <c r="BK628" s="11"/>
      <c r="BL628" s="11"/>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9"/>
      <c r="U629" s="99"/>
      <c r="V629" s="99"/>
      <c r="W629" s="99"/>
      <c r="X629" s="99"/>
      <c r="Y629" s="99"/>
      <c r="Z629" s="99"/>
      <c r="AA629" s="99"/>
      <c r="AB629" s="221"/>
      <c r="AC629" s="221"/>
      <c r="AD629" s="221"/>
      <c r="AE629" s="221"/>
      <c r="AF629" s="221"/>
      <c r="AG629" s="221"/>
      <c r="AH629" s="221"/>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99"/>
      <c r="BE629" s="99"/>
      <c r="BF629" s="99"/>
      <c r="BG629" s="99"/>
      <c r="BH629" s="99"/>
      <c r="BI629" s="99"/>
      <c r="BJ629" s="99"/>
      <c r="BK629" s="11"/>
      <c r="BL629" s="11"/>
    </row>
    <row r="630" spans="1:64">
      <c r="A630" s="9"/>
      <c r="B630" s="11"/>
      <c r="C630" s="88"/>
      <c r="D630" s="112"/>
      <c r="E630" s="11"/>
      <c r="F630" s="11"/>
      <c r="G630" s="140"/>
      <c r="H630" s="141"/>
      <c r="I630" s="141"/>
      <c r="J630" s="141"/>
      <c r="K630" s="141"/>
      <c r="L630" s="141"/>
      <c r="M630" s="141"/>
      <c r="N630" s="99"/>
      <c r="O630" s="99"/>
      <c r="P630" s="99"/>
      <c r="Q630" s="99"/>
      <c r="R630" s="99"/>
      <c r="S630" s="99"/>
      <c r="T630" s="99"/>
      <c r="U630" s="99"/>
      <c r="V630" s="99"/>
      <c r="W630" s="99"/>
      <c r="X630" s="99"/>
      <c r="Y630" s="99"/>
      <c r="Z630" s="99"/>
      <c r="AA630" s="99"/>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99"/>
      <c r="BE630" s="99"/>
      <c r="BF630" s="99"/>
      <c r="BG630" s="99"/>
      <c r="BH630" s="99"/>
      <c r="BI630" s="99"/>
      <c r="BJ630" s="99"/>
      <c r="BK630" s="11"/>
      <c r="BL630" s="11"/>
    </row>
    <row r="631" spans="1:64" s="9" customFormat="1">
      <c r="B631" s="11"/>
      <c r="C631" s="88" t="s">
        <v>33</v>
      </c>
      <c r="D631" s="11"/>
      <c r="E631" s="11"/>
      <c r="F631" s="11"/>
      <c r="G631" s="193">
        <f>SUM(G632:G661)</f>
        <v>-269.07626145551751</v>
      </c>
      <c r="H631" s="115">
        <f>SUM(H632:H661)</f>
        <v>-261.25546301744413</v>
      </c>
      <c r="I631" s="115">
        <f t="shared" ref="I631:Q631" si="28">SUM(I632:I661)</f>
        <v>-307.4815427771473</v>
      </c>
      <c r="J631" s="115">
        <f t="shared" si="28"/>
        <v>-370.21013165498948</v>
      </c>
      <c r="K631" s="115">
        <f t="shared" si="28"/>
        <v>-434.23086135314651</v>
      </c>
      <c r="L631" s="115">
        <f t="shared" si="28"/>
        <v>-448.55891290263628</v>
      </c>
      <c r="M631" s="115">
        <f t="shared" si="28"/>
        <v>0</v>
      </c>
      <c r="N631" s="115">
        <f t="shared" si="28"/>
        <v>0</v>
      </c>
      <c r="O631" s="115">
        <f t="shared" si="28"/>
        <v>0</v>
      </c>
      <c r="P631" s="115">
        <f t="shared" si="28"/>
        <v>0</v>
      </c>
      <c r="Q631" s="115">
        <f t="shared" si="28"/>
        <v>0</v>
      </c>
      <c r="R631" s="105"/>
      <c r="S631" s="105"/>
      <c r="T631" s="105"/>
      <c r="U631" s="105"/>
      <c r="V631" s="105"/>
      <c r="W631" s="105"/>
      <c r="X631" s="105"/>
      <c r="Y631" s="105"/>
      <c r="Z631" s="105"/>
      <c r="AA631" s="105"/>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5"/>
      <c r="BE631" s="105"/>
      <c r="BF631" s="105"/>
      <c r="BG631" s="105"/>
      <c r="BH631" s="105"/>
      <c r="BI631" s="105"/>
      <c r="BJ631" s="105"/>
      <c r="BK631" s="11"/>
      <c r="BL631" s="11"/>
    </row>
    <row r="632" spans="1:64" ht="12.75" hidden="1" customHeight="1" outlineLevel="1">
      <c r="A632" s="9"/>
      <c r="B632" s="9"/>
      <c r="C632" s="9"/>
      <c r="D632" s="128" t="str">
        <f>Asset1</f>
        <v>Sub-transmission lines and cables</v>
      </c>
      <c r="E632" s="9"/>
      <c r="F632" s="9"/>
      <c r="G632" s="191">
        <f t="shared" ref="G632:G639" si="29">-(G666-G502)</f>
        <v>-30.746183412361113</v>
      </c>
      <c r="H632" s="109">
        <f t="shared" ref="H632:Q632" si="30">H$56*H$7</f>
        <v>-23.5685018848691</v>
      </c>
      <c r="I632" s="109">
        <f t="shared" si="30"/>
        <v>-26.598713672260178</v>
      </c>
      <c r="J632" s="109">
        <f t="shared" si="30"/>
        <v>-30.113856526894104</v>
      </c>
      <c r="K632" s="109">
        <f t="shared" si="30"/>
        <v>-34.092265538904208</v>
      </c>
      <c r="L632" s="109">
        <f t="shared" si="30"/>
        <v>-36.902615375202217</v>
      </c>
      <c r="M632" s="109">
        <f t="shared" si="30"/>
        <v>0</v>
      </c>
      <c r="N632" s="109">
        <f t="shared" si="30"/>
        <v>0</v>
      </c>
      <c r="O632" s="109">
        <f t="shared" si="30"/>
        <v>0</v>
      </c>
      <c r="P632" s="109">
        <f t="shared" si="30"/>
        <v>0</v>
      </c>
      <c r="Q632" s="109">
        <f t="shared" si="30"/>
        <v>0</v>
      </c>
      <c r="R632" s="9"/>
      <c r="S632" s="11"/>
      <c r="T632" s="11"/>
      <c r="U632" s="11"/>
      <c r="V632" s="11"/>
      <c r="W632" s="11"/>
      <c r="X632" s="11"/>
      <c r="Y632" s="11"/>
      <c r="Z632" s="11"/>
      <c r="AA632" s="11"/>
      <c r="AB632" s="214"/>
      <c r="AC632" s="214"/>
      <c r="AD632" s="214"/>
      <c r="AE632" s="214"/>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11"/>
      <c r="BE632" s="11"/>
      <c r="BF632" s="11"/>
      <c r="BG632" s="11"/>
      <c r="BH632" s="11"/>
      <c r="BI632" s="11"/>
      <c r="BJ632" s="11"/>
      <c r="BK632" s="11"/>
      <c r="BL632" s="11"/>
    </row>
    <row r="633" spans="1:64" ht="12.75" hidden="1" customHeight="1" outlineLevel="1">
      <c r="A633" s="9"/>
      <c r="B633" s="9"/>
      <c r="C633" s="9"/>
      <c r="D633" s="128" t="str">
        <f>Asset2</f>
        <v>Cable tunnel (dx)</v>
      </c>
      <c r="E633" s="9"/>
      <c r="F633" s="9"/>
      <c r="G633" s="191">
        <f t="shared" si="29"/>
        <v>-0.49762282278933678</v>
      </c>
      <c r="H633" s="286">
        <f t="shared" ref="H633:Q633" si="31">H$69*H$7</f>
        <v>-1.015932091565823</v>
      </c>
      <c r="I633" s="109">
        <f t="shared" si="31"/>
        <v>-1.0502217094586852</v>
      </c>
      <c r="J633" s="109">
        <f t="shared" si="31"/>
        <v>-1.0837821691177993</v>
      </c>
      <c r="K633" s="109">
        <f t="shared" si="31"/>
        <v>-1.121134642067207</v>
      </c>
      <c r="L633" s="109">
        <f t="shared" si="31"/>
        <v>-2.0058208186488238</v>
      </c>
      <c r="M633" s="109">
        <f t="shared" si="31"/>
        <v>0</v>
      </c>
      <c r="N633" s="109">
        <f t="shared" si="31"/>
        <v>0</v>
      </c>
      <c r="O633" s="109">
        <f t="shared" si="31"/>
        <v>0</v>
      </c>
      <c r="P633" s="109">
        <f t="shared" si="31"/>
        <v>0</v>
      </c>
      <c r="Q633" s="109">
        <f t="shared" si="31"/>
        <v>0</v>
      </c>
      <c r="R633" s="9"/>
      <c r="S633" s="11"/>
      <c r="T633" s="11"/>
      <c r="U633" s="11"/>
      <c r="V633" s="11"/>
      <c r="W633" s="11"/>
      <c r="X633" s="11"/>
      <c r="Y633" s="11"/>
      <c r="Z633" s="11"/>
      <c r="AA633" s="11"/>
      <c r="AB633" s="214"/>
      <c r="AC633" s="214"/>
      <c r="AD633" s="214"/>
      <c r="AE633" s="214"/>
      <c r="AF633" s="214"/>
      <c r="AG633" s="214"/>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11"/>
      <c r="BE633" s="11"/>
      <c r="BF633" s="11"/>
      <c r="BG633" s="11"/>
      <c r="BH633" s="11"/>
      <c r="BI633" s="11"/>
      <c r="BJ633" s="11"/>
      <c r="BK633" s="11"/>
      <c r="BL633" s="11"/>
    </row>
    <row r="634" spans="1:64" ht="12.75" hidden="1" customHeight="1" outlineLevel="1">
      <c r="A634" s="9"/>
      <c r="B634" s="9"/>
      <c r="C634" s="9"/>
      <c r="D634" s="128" t="str">
        <f>Asset3</f>
        <v>Distribution lines and cables</v>
      </c>
      <c r="E634" s="9"/>
      <c r="F634" s="9"/>
      <c r="G634" s="191">
        <f t="shared" si="29"/>
        <v>-36.856219064961373</v>
      </c>
      <c r="H634" s="109">
        <f t="shared" ref="H634:Q634" si="32">H$82*H$7</f>
        <v>-43.593331783449152</v>
      </c>
      <c r="I634" s="109">
        <f t="shared" si="32"/>
        <v>-47.5885377917798</v>
      </c>
      <c r="J634" s="109">
        <f t="shared" si="32"/>
        <v>-54.117909828951824</v>
      </c>
      <c r="K634" s="109">
        <f t="shared" si="32"/>
        <v>-61.54946435490811</v>
      </c>
      <c r="L634" s="109">
        <f t="shared" si="32"/>
        <v>-67.458820793421651</v>
      </c>
      <c r="M634" s="109">
        <f t="shared" si="32"/>
        <v>0</v>
      </c>
      <c r="N634" s="109">
        <f t="shared" si="32"/>
        <v>0</v>
      </c>
      <c r="O634" s="109">
        <f t="shared" si="32"/>
        <v>0</v>
      </c>
      <c r="P634" s="109">
        <f t="shared" si="32"/>
        <v>0</v>
      </c>
      <c r="Q634" s="109">
        <f t="shared" si="32"/>
        <v>0</v>
      </c>
      <c r="R634" s="9"/>
      <c r="S634" s="11"/>
      <c r="T634" s="11"/>
      <c r="U634" s="11"/>
      <c r="V634" s="11"/>
      <c r="W634" s="11"/>
      <c r="X634" s="11"/>
      <c r="Y634" s="11"/>
      <c r="Z634" s="11"/>
      <c r="AA634" s="11"/>
      <c r="AB634" s="214"/>
      <c r="AC634" s="214"/>
      <c r="AD634" s="214"/>
      <c r="AE634" s="214"/>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11"/>
      <c r="BE634" s="11"/>
      <c r="BF634" s="11"/>
      <c r="BG634" s="11"/>
      <c r="BH634" s="11"/>
      <c r="BI634" s="11"/>
      <c r="BJ634" s="11"/>
      <c r="BK634" s="11"/>
      <c r="BL634" s="11"/>
    </row>
    <row r="635" spans="1:64" ht="12.75" hidden="1" customHeight="1" outlineLevel="1">
      <c r="A635" s="9"/>
      <c r="B635" s="9"/>
      <c r="C635" s="9"/>
      <c r="D635" s="128" t="str">
        <f>Asset4</f>
        <v>Substations</v>
      </c>
      <c r="E635" s="9"/>
      <c r="F635" s="9"/>
      <c r="G635" s="191">
        <f t="shared" si="29"/>
        <v>-69.530683251274382</v>
      </c>
      <c r="H635" s="109">
        <f t="shared" ref="H635:Q635" si="33">H$95*H$7</f>
        <v>-66.388975435573897</v>
      </c>
      <c r="I635" s="109">
        <f t="shared" si="33"/>
        <v>-74.354642170443782</v>
      </c>
      <c r="J635" s="109">
        <f t="shared" si="33"/>
        <v>-84.21729923763597</v>
      </c>
      <c r="K635" s="109">
        <f t="shared" si="33"/>
        <v>-96.658556890211045</v>
      </c>
      <c r="L635" s="109">
        <f t="shared" si="33"/>
        <v>-104.286207166042</v>
      </c>
      <c r="M635" s="109">
        <f t="shared" si="33"/>
        <v>0</v>
      </c>
      <c r="N635" s="109">
        <f t="shared" si="33"/>
        <v>0</v>
      </c>
      <c r="O635" s="109">
        <f t="shared" si="33"/>
        <v>0</v>
      </c>
      <c r="P635" s="109">
        <f t="shared" si="33"/>
        <v>0</v>
      </c>
      <c r="Q635" s="109">
        <f t="shared" si="33"/>
        <v>0</v>
      </c>
      <c r="R635" s="9"/>
      <c r="S635" s="11"/>
      <c r="T635" s="11"/>
      <c r="U635" s="11"/>
      <c r="V635" s="11"/>
      <c r="W635" s="11"/>
      <c r="X635" s="11"/>
      <c r="Y635" s="11"/>
      <c r="Z635" s="11"/>
      <c r="AA635" s="11"/>
      <c r="AB635" s="214"/>
      <c r="AC635" s="214"/>
      <c r="AD635" s="214"/>
      <c r="AE635" s="214"/>
      <c r="AF635" s="214"/>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11"/>
      <c r="BE635" s="11"/>
      <c r="BF635" s="11"/>
      <c r="BG635" s="11"/>
      <c r="BH635" s="11"/>
      <c r="BI635" s="11"/>
      <c r="BJ635" s="11"/>
      <c r="BK635" s="11"/>
      <c r="BL635" s="11"/>
    </row>
    <row r="636" spans="1:64" ht="12.75" hidden="1" customHeight="1" outlineLevel="1">
      <c r="A636" s="9"/>
      <c r="B636" s="9"/>
      <c r="C636" s="9"/>
      <c r="D636" s="128" t="str">
        <f>Asset5</f>
        <v>Transformers</v>
      </c>
      <c r="E636" s="9"/>
      <c r="F636" s="9"/>
      <c r="G636" s="191">
        <f t="shared" si="29"/>
        <v>-19.463549662004571</v>
      </c>
      <c r="H636" s="109">
        <f t="shared" ref="H636:Q636" si="34">H$108*H$7</f>
        <v>-17.794718510659091</v>
      </c>
      <c r="I636" s="109">
        <f t="shared" si="34"/>
        <v>-19.429300418555293</v>
      </c>
      <c r="J636" s="109">
        <f t="shared" si="34"/>
        <v>-21.811001952792509</v>
      </c>
      <c r="K636" s="109">
        <f t="shared" si="34"/>
        <v>-23.792948350862275</v>
      </c>
      <c r="L636" s="109">
        <f t="shared" si="34"/>
        <v>-25.147570729211868</v>
      </c>
      <c r="M636" s="109">
        <f t="shared" si="34"/>
        <v>0</v>
      </c>
      <c r="N636" s="109">
        <f t="shared" si="34"/>
        <v>0</v>
      </c>
      <c r="O636" s="109">
        <f t="shared" si="34"/>
        <v>0</v>
      </c>
      <c r="P636" s="109">
        <f t="shared" si="34"/>
        <v>0</v>
      </c>
      <c r="Q636" s="109">
        <f t="shared" si="34"/>
        <v>0</v>
      </c>
      <c r="R636" s="9"/>
      <c r="S636" s="11"/>
      <c r="T636" s="11"/>
      <c r="U636" s="11"/>
      <c r="V636" s="11"/>
      <c r="W636" s="11"/>
      <c r="X636" s="11"/>
      <c r="Y636" s="11"/>
      <c r="Z636" s="11"/>
      <c r="AA636" s="11"/>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11"/>
      <c r="BE636" s="11"/>
      <c r="BF636" s="11"/>
      <c r="BG636" s="11"/>
      <c r="BH636" s="11"/>
      <c r="BI636" s="11"/>
      <c r="BJ636" s="11"/>
      <c r="BK636" s="11"/>
      <c r="BL636" s="11"/>
    </row>
    <row r="637" spans="1:64" ht="12.75" hidden="1" customHeight="1" outlineLevel="1">
      <c r="A637" s="9"/>
      <c r="B637" s="9"/>
      <c r="C637" s="9"/>
      <c r="D637" s="128" t="str">
        <f>Asset6</f>
        <v>Low Voltage Lines and Cables</v>
      </c>
      <c r="E637" s="9"/>
      <c r="F637" s="9"/>
      <c r="G637" s="191">
        <f t="shared" si="29"/>
        <v>-21.177671121253962</v>
      </c>
      <c r="H637" s="109">
        <f t="shared" ref="H637:Q637" si="35">H$121*H$7</f>
        <v>-22.785617094551696</v>
      </c>
      <c r="I637" s="109">
        <f t="shared" si="35"/>
        <v>-25.658510782915481</v>
      </c>
      <c r="J637" s="109">
        <f t="shared" si="35"/>
        <v>-29.457152227680986</v>
      </c>
      <c r="K637" s="109">
        <f t="shared" si="35"/>
        <v>-34.281127918921079</v>
      </c>
      <c r="L637" s="109">
        <f t="shared" si="35"/>
        <v>-37.822230403139002</v>
      </c>
      <c r="M637" s="109">
        <f t="shared" si="35"/>
        <v>0</v>
      </c>
      <c r="N637" s="109">
        <f t="shared" si="35"/>
        <v>0</v>
      </c>
      <c r="O637" s="109">
        <f t="shared" si="35"/>
        <v>0</v>
      </c>
      <c r="P637" s="109">
        <f t="shared" si="35"/>
        <v>0</v>
      </c>
      <c r="Q637" s="109">
        <f t="shared" si="35"/>
        <v>0</v>
      </c>
      <c r="R637" s="9"/>
      <c r="S637" s="11"/>
      <c r="T637" s="11"/>
      <c r="U637" s="11"/>
      <c r="V637" s="11"/>
      <c r="W637" s="11"/>
      <c r="X637" s="11"/>
      <c r="Y637" s="11"/>
      <c r="Z637" s="11"/>
      <c r="AA637" s="11"/>
      <c r="AB637" s="214"/>
      <c r="AC637" s="214"/>
      <c r="AD637" s="214"/>
      <c r="AE637" s="214"/>
      <c r="AF637" s="214"/>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11"/>
      <c r="BE637" s="11"/>
      <c r="BF637" s="11"/>
      <c r="BG637" s="11"/>
      <c r="BH637" s="11"/>
      <c r="BI637" s="11"/>
      <c r="BJ637" s="11"/>
      <c r="BK637" s="11"/>
      <c r="BL637" s="11"/>
    </row>
    <row r="638" spans="1:64" ht="12.75" hidden="1" customHeight="1" outlineLevel="1">
      <c r="A638" s="9"/>
      <c r="B638" s="9"/>
      <c r="C638" s="9"/>
      <c r="D638" s="128" t="str">
        <f>Asset7</f>
        <v>Customer Metering and Load Control</v>
      </c>
      <c r="E638" s="9"/>
      <c r="F638" s="9"/>
      <c r="G638" s="191">
        <f t="shared" si="29"/>
        <v>-10.714992445185413</v>
      </c>
      <c r="H638" s="109">
        <f t="shared" ref="H638:Q638" si="36">H$134*H$7</f>
        <v>-12.602220514863046</v>
      </c>
      <c r="I638" s="109">
        <f t="shared" si="36"/>
        <v>-12.849675188934345</v>
      </c>
      <c r="J638" s="109">
        <f t="shared" si="36"/>
        <v>-13.215277447400975</v>
      </c>
      <c r="K638" s="109">
        <f t="shared" si="36"/>
        <v>-13.663188067721341</v>
      </c>
      <c r="L638" s="109">
        <f t="shared" si="36"/>
        <v>-13.904040035674123</v>
      </c>
      <c r="M638" s="109">
        <f t="shared" si="36"/>
        <v>0</v>
      </c>
      <c r="N638" s="109">
        <f t="shared" si="36"/>
        <v>0</v>
      </c>
      <c r="O638" s="109">
        <f t="shared" si="36"/>
        <v>0</v>
      </c>
      <c r="P638" s="109">
        <f t="shared" si="36"/>
        <v>0</v>
      </c>
      <c r="Q638" s="109">
        <f t="shared" si="36"/>
        <v>0</v>
      </c>
      <c r="R638" s="9"/>
      <c r="S638" s="11"/>
      <c r="T638" s="11"/>
      <c r="U638" s="11"/>
      <c r="V638" s="11"/>
      <c r="W638" s="11"/>
      <c r="X638" s="11"/>
      <c r="Y638" s="11"/>
      <c r="Z638" s="11"/>
      <c r="AA638" s="11"/>
      <c r="AB638" s="214"/>
      <c r="AC638" s="214"/>
      <c r="AD638" s="214"/>
      <c r="AE638" s="214"/>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11"/>
      <c r="BE638" s="11"/>
      <c r="BF638" s="11"/>
      <c r="BG638" s="11"/>
      <c r="BH638" s="11"/>
      <c r="BI638" s="11"/>
      <c r="BJ638" s="11"/>
      <c r="BK638" s="11"/>
      <c r="BL638" s="11"/>
    </row>
    <row r="639" spans="1:64" ht="12.75" hidden="1" customHeight="1" outlineLevel="1">
      <c r="A639" s="9"/>
      <c r="B639" s="9"/>
      <c r="C639" s="9"/>
      <c r="D639" s="128" t="str">
        <f>Asset8</f>
        <v>Customer Metering (digital)</v>
      </c>
      <c r="E639" s="9"/>
      <c r="F639" s="9"/>
      <c r="G639" s="191">
        <f t="shared" si="29"/>
        <v>0</v>
      </c>
      <c r="H639" s="109">
        <f t="shared" ref="H639:Q639" si="37">H$147*H$7</f>
        <v>0</v>
      </c>
      <c r="I639" s="109">
        <f t="shared" si="37"/>
        <v>-1.5915479287543002</v>
      </c>
      <c r="J639" s="109">
        <f t="shared" si="37"/>
        <v>-3.7714758894995879</v>
      </c>
      <c r="K639" s="109">
        <f t="shared" si="37"/>
        <v>-5.484229655325171</v>
      </c>
      <c r="L639" s="109">
        <f t="shared" si="37"/>
        <v>-6.7336824328132643</v>
      </c>
      <c r="M639" s="109">
        <f t="shared" si="37"/>
        <v>0</v>
      </c>
      <c r="N639" s="109">
        <f t="shared" si="37"/>
        <v>0</v>
      </c>
      <c r="O639" s="109">
        <f t="shared" si="37"/>
        <v>0</v>
      </c>
      <c r="P639" s="109">
        <f t="shared" si="37"/>
        <v>0</v>
      </c>
      <c r="Q639" s="109">
        <f t="shared" si="37"/>
        <v>0</v>
      </c>
      <c r="R639" s="9"/>
      <c r="S639" s="11"/>
      <c r="T639" s="11"/>
      <c r="U639" s="11"/>
      <c r="V639" s="11"/>
      <c r="W639" s="11"/>
      <c r="X639" s="11"/>
      <c r="Y639" s="11"/>
      <c r="Z639" s="11"/>
      <c r="AA639" s="11"/>
      <c r="AB639" s="214"/>
      <c r="AC639" s="214"/>
      <c r="AD639" s="214"/>
      <c r="AE639" s="214"/>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11"/>
      <c r="BE639" s="11"/>
      <c r="BF639" s="11"/>
      <c r="BG639" s="11"/>
      <c r="BH639" s="11"/>
      <c r="BI639" s="11"/>
      <c r="BJ639" s="11"/>
      <c r="BK639" s="11"/>
      <c r="BL639" s="11"/>
    </row>
    <row r="640" spans="1:64" ht="12.75" hidden="1" customHeight="1" outlineLevel="1">
      <c r="A640" s="9"/>
      <c r="B640" s="9"/>
      <c r="C640" s="9"/>
      <c r="D640" s="128" t="str">
        <f>Asset9</f>
        <v>Communications (digital) - dx</v>
      </c>
      <c r="E640" s="9"/>
      <c r="F640" s="9"/>
      <c r="G640" s="191">
        <f>-(G674-G510)</f>
        <v>0</v>
      </c>
      <c r="H640" s="109">
        <f t="shared" ref="H640:Q640" si="38">H$160*H$7</f>
        <v>0</v>
      </c>
      <c r="I640" s="109">
        <f t="shared" si="38"/>
        <v>-2.2638207421395267</v>
      </c>
      <c r="J640" s="109">
        <f t="shared" si="38"/>
        <v>-2.4536184264255105</v>
      </c>
      <c r="K640" s="109">
        <f t="shared" si="38"/>
        <v>-2.6500010897152144</v>
      </c>
      <c r="L640" s="109">
        <f t="shared" si="38"/>
        <v>-2.3555761767814465</v>
      </c>
      <c r="M640" s="109">
        <f t="shared" si="38"/>
        <v>0</v>
      </c>
      <c r="N640" s="109">
        <f t="shared" si="38"/>
        <v>0</v>
      </c>
      <c r="O640" s="109">
        <f t="shared" si="38"/>
        <v>0</v>
      </c>
      <c r="P640" s="109">
        <f t="shared" si="38"/>
        <v>0</v>
      </c>
      <c r="Q640" s="109">
        <f t="shared" si="38"/>
        <v>0</v>
      </c>
      <c r="R640" s="9"/>
      <c r="S640" s="11"/>
      <c r="T640" s="11"/>
      <c r="U640" s="11"/>
      <c r="V640" s="11"/>
      <c r="W640" s="11"/>
      <c r="X640" s="11"/>
      <c r="Y640" s="11"/>
      <c r="Z640" s="11"/>
      <c r="AA640" s="11"/>
      <c r="AB640" s="214"/>
      <c r="AC640" s="214"/>
      <c r="AD640" s="214"/>
      <c r="AE640" s="214"/>
      <c r="AF640" s="214"/>
      <c r="AG640" s="214"/>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11"/>
      <c r="BE640" s="11"/>
      <c r="BF640" s="11"/>
      <c r="BG640" s="11"/>
      <c r="BH640" s="11"/>
      <c r="BI640" s="11"/>
      <c r="BJ640" s="11"/>
      <c r="BK640" s="11"/>
      <c r="BL640" s="11"/>
    </row>
    <row r="641" spans="1:64" ht="12.75" hidden="1" customHeight="1" outlineLevel="1">
      <c r="A641" s="9"/>
      <c r="B641" s="9"/>
      <c r="C641" s="9"/>
      <c r="D641" s="128" t="str">
        <f>Asset10</f>
        <v>Total Communications</v>
      </c>
      <c r="E641" s="9"/>
      <c r="F641" s="9"/>
      <c r="G641" s="191">
        <f t="shared" ref="G641:G651" si="39">-(G675-G511)</f>
        <v>-15.612212720665724</v>
      </c>
      <c r="H641" s="109">
        <f t="shared" ref="H641:Q641" si="40">H$173*H$7</f>
        <v>-17.066255922230194</v>
      </c>
      <c r="I641" s="109">
        <f t="shared" si="40"/>
        <v>-17.603189167676419</v>
      </c>
      <c r="J641" s="109">
        <f t="shared" si="40"/>
        <v>-18.104039626640553</v>
      </c>
      <c r="K641" s="109">
        <f t="shared" si="40"/>
        <v>-18.717646995214402</v>
      </c>
      <c r="L641" s="109">
        <f t="shared" si="40"/>
        <v>-19.047597962140873</v>
      </c>
      <c r="M641" s="109">
        <f t="shared" si="40"/>
        <v>0</v>
      </c>
      <c r="N641" s="109">
        <f t="shared" si="40"/>
        <v>0</v>
      </c>
      <c r="O641" s="109">
        <f t="shared" si="40"/>
        <v>0</v>
      </c>
      <c r="P641" s="109">
        <f t="shared" si="40"/>
        <v>0</v>
      </c>
      <c r="Q641" s="109">
        <f t="shared" si="40"/>
        <v>0</v>
      </c>
      <c r="R641" s="9"/>
      <c r="S641" s="11"/>
      <c r="T641" s="11"/>
      <c r="U641" s="11"/>
      <c r="V641" s="11"/>
      <c r="W641" s="11"/>
      <c r="X641" s="11"/>
      <c r="Y641" s="11"/>
      <c r="Z641" s="11"/>
      <c r="AA641" s="11"/>
      <c r="AB641" s="214"/>
      <c r="AC641" s="214"/>
      <c r="AD641" s="214"/>
      <c r="AE641" s="214"/>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11"/>
      <c r="BE641" s="11"/>
      <c r="BF641" s="11"/>
      <c r="BG641" s="11"/>
      <c r="BH641" s="11"/>
      <c r="BI641" s="11"/>
      <c r="BJ641" s="11"/>
      <c r="BK641" s="11"/>
      <c r="BL641" s="11"/>
    </row>
    <row r="642" spans="1:64" ht="12.75" hidden="1" customHeight="1" outlineLevel="1">
      <c r="A642" s="9"/>
      <c r="B642" s="9"/>
      <c r="C642" s="9"/>
      <c r="D642" s="128" t="str">
        <f>Asset11</f>
        <v>System IT (dx)</v>
      </c>
      <c r="E642" s="9"/>
      <c r="F642" s="9"/>
      <c r="G642" s="191">
        <f t="shared" si="39"/>
        <v>0</v>
      </c>
      <c r="H642" s="109">
        <f t="shared" ref="H642:Q642" si="41">H$186*H$7</f>
        <v>0</v>
      </c>
      <c r="I642" s="109">
        <f t="shared" si="41"/>
        <v>-4.395178095950576</v>
      </c>
      <c r="J642" s="109">
        <f t="shared" si="41"/>
        <v>-20.098486392948189</v>
      </c>
      <c r="K642" s="109">
        <f t="shared" si="41"/>
        <v>-35.047746784370801</v>
      </c>
      <c r="L642" s="109">
        <f t="shared" si="41"/>
        <v>-43.635948504977982</v>
      </c>
      <c r="M642" s="109">
        <f t="shared" si="41"/>
        <v>0</v>
      </c>
      <c r="N642" s="109">
        <f t="shared" si="41"/>
        <v>0</v>
      </c>
      <c r="O642" s="109">
        <f t="shared" si="41"/>
        <v>0</v>
      </c>
      <c r="P642" s="109">
        <f t="shared" si="41"/>
        <v>0</v>
      </c>
      <c r="Q642" s="109">
        <f t="shared" si="41"/>
        <v>0</v>
      </c>
      <c r="R642" s="9"/>
      <c r="S642" s="11"/>
      <c r="T642" s="11"/>
      <c r="U642" s="11"/>
      <c r="V642" s="11"/>
      <c r="W642" s="11"/>
      <c r="X642" s="11"/>
      <c r="Y642" s="11"/>
      <c r="Z642" s="11"/>
      <c r="AA642" s="11"/>
      <c r="AB642" s="214"/>
      <c r="AC642" s="214"/>
      <c r="AD642" s="214"/>
      <c r="AE642" s="214"/>
      <c r="AF642" s="214"/>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11"/>
      <c r="BE642" s="11"/>
      <c r="BF642" s="11"/>
      <c r="BG642" s="11"/>
      <c r="BH642" s="11"/>
      <c r="BI642" s="11"/>
      <c r="BJ642" s="11"/>
      <c r="BK642" s="11"/>
      <c r="BL642" s="11"/>
    </row>
    <row r="643" spans="1:64" ht="12.75" hidden="1" customHeight="1" outlineLevel="1">
      <c r="A643" s="9"/>
      <c r="B643" s="9"/>
      <c r="C643" s="9"/>
      <c r="D643" s="128" t="str">
        <f>Asset12</f>
        <v>Ancillary substation equipment (dx)</v>
      </c>
      <c r="E643" s="9"/>
      <c r="F643" s="9"/>
      <c r="G643" s="191">
        <f t="shared" si="39"/>
        <v>0</v>
      </c>
      <c r="H643" s="109">
        <f t="shared" ref="H643:Q643" si="42">H$199*H$7</f>
        <v>0</v>
      </c>
      <c r="I643" s="109">
        <f t="shared" si="42"/>
        <v>-1.9153247329083276</v>
      </c>
      <c r="J643" s="109">
        <f t="shared" si="42"/>
        <v>-2.4724735461116896</v>
      </c>
      <c r="K643" s="109">
        <f t="shared" si="42"/>
        <v>-3.6091935863633102</v>
      </c>
      <c r="L643" s="109">
        <f t="shared" si="42"/>
        <v>-4.2986059072636511</v>
      </c>
      <c r="M643" s="109">
        <f t="shared" si="42"/>
        <v>0</v>
      </c>
      <c r="N643" s="109">
        <f t="shared" si="42"/>
        <v>0</v>
      </c>
      <c r="O643" s="109">
        <f t="shared" si="42"/>
        <v>0</v>
      </c>
      <c r="P643" s="109">
        <f t="shared" si="42"/>
        <v>0</v>
      </c>
      <c r="Q643" s="109">
        <f t="shared" si="42"/>
        <v>0</v>
      </c>
      <c r="R643" s="9"/>
      <c r="S643" s="11"/>
      <c r="T643" s="11"/>
      <c r="U643" s="11"/>
      <c r="V643" s="11"/>
      <c r="W643" s="11"/>
      <c r="X643" s="11"/>
      <c r="Y643" s="11"/>
      <c r="Z643" s="11"/>
      <c r="AA643" s="11"/>
      <c r="AB643" s="214"/>
      <c r="AC643" s="214"/>
      <c r="AD643" s="214"/>
      <c r="AE643" s="214"/>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11"/>
      <c r="BE643" s="11"/>
      <c r="BF643" s="11"/>
      <c r="BG643" s="11"/>
      <c r="BH643" s="11"/>
      <c r="BI643" s="11"/>
      <c r="BJ643" s="11"/>
      <c r="BK643" s="11"/>
      <c r="BL643" s="11"/>
    </row>
    <row r="644" spans="1:64" ht="12.75" hidden="1" customHeight="1" outlineLevel="1">
      <c r="A644" s="9"/>
      <c r="B644" s="9"/>
      <c r="C644" s="9"/>
      <c r="D644" s="128" t="str">
        <f>Asset13</f>
        <v>Land and Easements</v>
      </c>
      <c r="E644" s="9"/>
      <c r="F644" s="9"/>
      <c r="G644" s="191">
        <f t="shared" si="39"/>
        <v>7.1054273576010019E-14</v>
      </c>
      <c r="H644" s="109">
        <f t="shared" ref="H644:Q644" si="43">H$212*H$7</f>
        <v>0</v>
      </c>
      <c r="I644" s="109">
        <f t="shared" si="43"/>
        <v>0</v>
      </c>
      <c r="J644" s="109">
        <f t="shared" si="43"/>
        <v>0</v>
      </c>
      <c r="K644" s="109">
        <f t="shared" si="43"/>
        <v>0</v>
      </c>
      <c r="L644" s="109">
        <f t="shared" si="43"/>
        <v>0</v>
      </c>
      <c r="M644" s="109">
        <f t="shared" si="43"/>
        <v>0</v>
      </c>
      <c r="N644" s="109">
        <f t="shared" si="43"/>
        <v>0</v>
      </c>
      <c r="O644" s="109">
        <f t="shared" si="43"/>
        <v>0</v>
      </c>
      <c r="P644" s="109">
        <f t="shared" si="43"/>
        <v>0</v>
      </c>
      <c r="Q644" s="109">
        <f t="shared" si="43"/>
        <v>0</v>
      </c>
      <c r="R644" s="9"/>
      <c r="S644" s="11"/>
      <c r="T644" s="11"/>
      <c r="U644" s="11"/>
      <c r="V644" s="11"/>
      <c r="W644" s="11"/>
      <c r="X644" s="11"/>
      <c r="Y644" s="11"/>
      <c r="Z644" s="11"/>
      <c r="AA644" s="11"/>
      <c r="AB644" s="214"/>
      <c r="AC644" s="214"/>
      <c r="AD644" s="214"/>
      <c r="AE644" s="214"/>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11"/>
      <c r="BE644" s="11"/>
      <c r="BF644" s="11"/>
      <c r="BG644" s="11"/>
      <c r="BH644" s="11"/>
      <c r="BI644" s="11"/>
      <c r="BJ644" s="11"/>
      <c r="BK644" s="11"/>
      <c r="BL644" s="11"/>
    </row>
    <row r="645" spans="1:64" ht="12.75" hidden="1" customHeight="1" outlineLevel="1">
      <c r="A645" s="9"/>
      <c r="B645" s="9"/>
      <c r="C645" s="9"/>
      <c r="D645" s="128" t="str">
        <f>Asset14</f>
        <v>Emergency Spares (Major Plant, Excludes Inventory)</v>
      </c>
      <c r="E645" s="9"/>
      <c r="F645" s="9"/>
      <c r="G645" s="191">
        <f t="shared" si="39"/>
        <v>1.1546319456101628E-14</v>
      </c>
      <c r="H645" s="109">
        <f t="shared" ref="H645:Q645" si="44">H$225*H$7</f>
        <v>0</v>
      </c>
      <c r="I645" s="109">
        <f t="shared" si="44"/>
        <v>0</v>
      </c>
      <c r="J645" s="109">
        <f t="shared" si="44"/>
        <v>0</v>
      </c>
      <c r="K645" s="109">
        <f t="shared" si="44"/>
        <v>0</v>
      </c>
      <c r="L645" s="109">
        <f t="shared" si="44"/>
        <v>0</v>
      </c>
      <c r="M645" s="109">
        <f t="shared" si="44"/>
        <v>0</v>
      </c>
      <c r="N645" s="109">
        <f t="shared" si="44"/>
        <v>0</v>
      </c>
      <c r="O645" s="109">
        <f t="shared" si="44"/>
        <v>0</v>
      </c>
      <c r="P645" s="109">
        <f t="shared" si="44"/>
        <v>0</v>
      </c>
      <c r="Q645" s="109">
        <f t="shared" si="44"/>
        <v>0</v>
      </c>
      <c r="R645" s="9"/>
      <c r="S645" s="11"/>
      <c r="T645" s="11"/>
      <c r="U645" s="11"/>
      <c r="V645" s="11"/>
      <c r="W645" s="11"/>
      <c r="X645" s="11"/>
      <c r="Y645" s="11"/>
      <c r="Z645" s="11"/>
      <c r="AA645" s="11"/>
      <c r="AB645" s="214"/>
      <c r="AC645" s="214"/>
      <c r="AD645" s="214"/>
      <c r="AE645" s="214"/>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11"/>
      <c r="BE645" s="11"/>
      <c r="BF645" s="11"/>
      <c r="BG645" s="11"/>
      <c r="BH645" s="11"/>
      <c r="BI645" s="11"/>
      <c r="BJ645" s="11"/>
      <c r="BK645" s="11"/>
      <c r="BL645" s="11"/>
    </row>
    <row r="646" spans="1:64" ht="12.75" hidden="1" customHeight="1" outlineLevel="1">
      <c r="A646" s="9"/>
      <c r="B646" s="9"/>
      <c r="C646" s="9"/>
      <c r="D646" s="128" t="str">
        <f>Asset15</f>
        <v>Furniture, fittings, plant and equipment</v>
      </c>
      <c r="E646" s="9"/>
      <c r="F646" s="9"/>
      <c r="G646" s="191">
        <f t="shared" si="39"/>
        <v>-3.6569677056861414</v>
      </c>
      <c r="H646" s="109">
        <f t="shared" ref="H646:Q646" si="45">H$238*H$7</f>
        <v>-2.0943276120966621</v>
      </c>
      <c r="I646" s="109">
        <f t="shared" si="45"/>
        <v>-2.5640086129921973</v>
      </c>
      <c r="J646" s="109">
        <f t="shared" si="45"/>
        <v>-3.0452726272448327</v>
      </c>
      <c r="K646" s="109">
        <f t="shared" si="45"/>
        <v>-3.5726231227443792</v>
      </c>
      <c r="L646" s="109">
        <f t="shared" si="45"/>
        <v>-3.8922520527461937</v>
      </c>
      <c r="M646" s="109">
        <f t="shared" si="45"/>
        <v>0</v>
      </c>
      <c r="N646" s="109">
        <f t="shared" si="45"/>
        <v>0</v>
      </c>
      <c r="O646" s="109">
        <f t="shared" si="45"/>
        <v>0</v>
      </c>
      <c r="P646" s="109">
        <f t="shared" si="45"/>
        <v>0</v>
      </c>
      <c r="Q646" s="109">
        <f t="shared" si="45"/>
        <v>0</v>
      </c>
      <c r="R646" s="9"/>
      <c r="S646" s="11"/>
      <c r="T646" s="11"/>
      <c r="U646" s="11"/>
      <c r="V646" s="11"/>
      <c r="W646" s="11"/>
      <c r="X646" s="11"/>
      <c r="Y646" s="11"/>
      <c r="Z646" s="11"/>
      <c r="AA646" s="11"/>
      <c r="AB646" s="214"/>
      <c r="AC646" s="214"/>
      <c r="AD646" s="214"/>
      <c r="AE646" s="214"/>
      <c r="AF646" s="214"/>
      <c r="AG646" s="214"/>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11"/>
      <c r="BE646" s="11"/>
      <c r="BF646" s="11"/>
      <c r="BG646" s="11"/>
      <c r="BH646" s="11"/>
      <c r="BI646" s="11"/>
      <c r="BJ646" s="11"/>
      <c r="BK646" s="11"/>
      <c r="BL646" s="11"/>
    </row>
    <row r="647" spans="1:64" ht="12.75" hidden="1" customHeight="1" outlineLevel="1">
      <c r="A647" s="9"/>
      <c r="B647" s="9"/>
      <c r="C647" s="9"/>
      <c r="D647" s="128" t="str">
        <f>Asset16</f>
        <v>Land (non-system)</v>
      </c>
      <c r="E647" s="9"/>
      <c r="F647" s="9"/>
      <c r="G647" s="191">
        <f t="shared" si="39"/>
        <v>3.3306690738754696E-15</v>
      </c>
      <c r="H647" s="109">
        <f t="shared" ref="H647:Q647" si="46">H$251*H$7</f>
        <v>0</v>
      </c>
      <c r="I647" s="109">
        <f t="shared" si="46"/>
        <v>0</v>
      </c>
      <c r="J647" s="109">
        <f t="shared" si="46"/>
        <v>0</v>
      </c>
      <c r="K647" s="109">
        <f t="shared" si="46"/>
        <v>0</v>
      </c>
      <c r="L647" s="109">
        <f t="shared" si="46"/>
        <v>0</v>
      </c>
      <c r="M647" s="109">
        <f t="shared" si="46"/>
        <v>0</v>
      </c>
      <c r="N647" s="109">
        <f t="shared" si="46"/>
        <v>0</v>
      </c>
      <c r="O647" s="109">
        <f t="shared" si="46"/>
        <v>0</v>
      </c>
      <c r="P647" s="109">
        <f t="shared" si="46"/>
        <v>0</v>
      </c>
      <c r="Q647" s="109">
        <f t="shared" si="46"/>
        <v>0</v>
      </c>
      <c r="R647" s="9"/>
      <c r="S647" s="11"/>
      <c r="T647" s="11"/>
      <c r="U647" s="11"/>
      <c r="V647" s="11"/>
      <c r="W647" s="11"/>
      <c r="X647" s="11"/>
      <c r="Y647" s="11"/>
      <c r="Z647" s="11"/>
      <c r="AA647" s="11"/>
      <c r="AB647" s="214"/>
      <c r="AC647" s="214"/>
      <c r="AD647" s="214"/>
      <c r="AE647" s="214"/>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11"/>
      <c r="BE647" s="11"/>
      <c r="BF647" s="11"/>
      <c r="BG647" s="11"/>
      <c r="BH647" s="11"/>
      <c r="BI647" s="11"/>
      <c r="BJ647" s="11"/>
      <c r="BK647" s="11"/>
      <c r="BL647" s="11"/>
    </row>
    <row r="648" spans="1:64" ht="12.75" hidden="1" customHeight="1" outlineLevel="1">
      <c r="A648" s="9"/>
      <c r="B648" s="9"/>
      <c r="C648" s="9"/>
      <c r="D648" s="128" t="str">
        <f>Asset17</f>
        <v>Other non system assets</v>
      </c>
      <c r="E648" s="9"/>
      <c r="F648" s="9"/>
      <c r="G648" s="191">
        <f t="shared" si="39"/>
        <v>-9.0905097851508803</v>
      </c>
      <c r="H648" s="109">
        <f t="shared" ref="H648:Q648" si="47">H$264*H$7</f>
        <v>-9.326052237713732</v>
      </c>
      <c r="I648" s="109">
        <f t="shared" si="47"/>
        <v>-9.507940110521691</v>
      </c>
      <c r="J648" s="109">
        <f t="shared" si="47"/>
        <v>-9.7815784351490418</v>
      </c>
      <c r="K648" s="109">
        <f t="shared" si="47"/>
        <v>-10.153390728816287</v>
      </c>
      <c r="L648" s="109">
        <f t="shared" si="47"/>
        <v>-10.338175540744876</v>
      </c>
      <c r="M648" s="109">
        <f t="shared" si="47"/>
        <v>0</v>
      </c>
      <c r="N648" s="109">
        <f t="shared" si="47"/>
        <v>0</v>
      </c>
      <c r="O648" s="109">
        <f t="shared" si="47"/>
        <v>0</v>
      </c>
      <c r="P648" s="109">
        <f t="shared" si="47"/>
        <v>0</v>
      </c>
      <c r="Q648" s="109">
        <f t="shared" si="47"/>
        <v>0</v>
      </c>
      <c r="R648" s="9"/>
      <c r="S648" s="11"/>
      <c r="T648" s="11"/>
      <c r="U648" s="11"/>
      <c r="V648" s="11"/>
      <c r="W648" s="11"/>
      <c r="X648" s="11"/>
      <c r="Y648" s="11"/>
      <c r="Z648" s="11"/>
      <c r="AA648" s="11"/>
      <c r="AB648" s="214"/>
      <c r="AC648" s="214"/>
      <c r="AD648" s="214"/>
      <c r="AE648" s="214"/>
      <c r="AF648" s="214"/>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11"/>
      <c r="BE648" s="11"/>
      <c r="BF648" s="11"/>
      <c r="BG648" s="11"/>
      <c r="BH648" s="11"/>
      <c r="BI648" s="11"/>
      <c r="BJ648" s="11"/>
      <c r="BK648" s="11"/>
      <c r="BL648" s="11"/>
    </row>
    <row r="649" spans="1:64" ht="12.75" hidden="1" customHeight="1" outlineLevel="1">
      <c r="A649" s="9"/>
      <c r="B649" s="9"/>
      <c r="C649" s="9"/>
      <c r="D649" s="128" t="str">
        <f>Asset18</f>
        <v>IT systems</v>
      </c>
      <c r="E649" s="9"/>
      <c r="F649" s="9"/>
      <c r="G649" s="191">
        <f t="shared" si="39"/>
        <v>-34.163893886200604</v>
      </c>
      <c r="H649" s="109">
        <f t="shared" ref="H649:Q649" si="48">H$277*H$7</f>
        <v>-29.735648511826827</v>
      </c>
      <c r="I649" s="109">
        <f t="shared" si="48"/>
        <v>-39.713903928982745</v>
      </c>
      <c r="J649" s="109">
        <f t="shared" si="48"/>
        <v>-51.647259192031086</v>
      </c>
      <c r="K649" s="109">
        <f t="shared" si="48"/>
        <v>-60.421117650472773</v>
      </c>
      <c r="L649" s="109">
        <f t="shared" si="48"/>
        <v>-39.079781225746949</v>
      </c>
      <c r="M649" s="109">
        <f t="shared" si="48"/>
        <v>0</v>
      </c>
      <c r="N649" s="109">
        <f t="shared" si="48"/>
        <v>0</v>
      </c>
      <c r="O649" s="109">
        <f t="shared" si="48"/>
        <v>0</v>
      </c>
      <c r="P649" s="109">
        <f t="shared" si="48"/>
        <v>0</v>
      </c>
      <c r="Q649" s="109">
        <f t="shared" si="48"/>
        <v>0</v>
      </c>
      <c r="R649" s="9"/>
      <c r="S649" s="11"/>
      <c r="T649" s="11"/>
      <c r="U649" s="11"/>
      <c r="V649" s="11"/>
      <c r="W649" s="11"/>
      <c r="X649" s="11"/>
      <c r="Y649" s="11"/>
      <c r="Z649" s="11"/>
      <c r="AA649" s="11"/>
      <c r="AB649" s="214"/>
      <c r="AC649" s="214"/>
      <c r="AD649" s="214"/>
      <c r="AE649" s="214"/>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11"/>
      <c r="BE649" s="11"/>
      <c r="BF649" s="11"/>
      <c r="BG649" s="11"/>
      <c r="BH649" s="11"/>
      <c r="BI649" s="11"/>
      <c r="BJ649" s="11"/>
      <c r="BK649" s="11"/>
      <c r="BL649" s="11"/>
    </row>
    <row r="650" spans="1:64" ht="12.75" hidden="1" customHeight="1" outlineLevel="1">
      <c r="A650" s="9"/>
      <c r="B650" s="9"/>
      <c r="C650" s="9"/>
      <c r="D650" s="128" t="str">
        <f>Asset19</f>
        <v>Motor vehicles</v>
      </c>
      <c r="E650" s="9"/>
      <c r="F650" s="9"/>
      <c r="G650" s="191">
        <f t="shared" si="39"/>
        <v>-15.480957168147395</v>
      </c>
      <c r="H650" s="109">
        <f t="shared" ref="H650:Q650" si="49">H$290*H$7</f>
        <v>-11.357158922724947</v>
      </c>
      <c r="I650" s="109">
        <f t="shared" si="49"/>
        <v>-13.958581693666304</v>
      </c>
      <c r="J650" s="109">
        <f t="shared" si="49"/>
        <v>-16.952831774316504</v>
      </c>
      <c r="K650" s="109">
        <f t="shared" si="49"/>
        <v>-20.387385239090779</v>
      </c>
      <c r="L650" s="109">
        <f t="shared" si="49"/>
        <v>-21.931056297059225</v>
      </c>
      <c r="M650" s="109">
        <f t="shared" si="49"/>
        <v>0</v>
      </c>
      <c r="N650" s="109">
        <f t="shared" si="49"/>
        <v>0</v>
      </c>
      <c r="O650" s="109">
        <f t="shared" si="49"/>
        <v>0</v>
      </c>
      <c r="P650" s="109">
        <f t="shared" si="49"/>
        <v>0</v>
      </c>
      <c r="Q650" s="109">
        <f t="shared" si="49"/>
        <v>0</v>
      </c>
      <c r="R650" s="9"/>
      <c r="S650" s="11"/>
      <c r="T650" s="11"/>
      <c r="U650" s="11"/>
      <c r="V650" s="11"/>
      <c r="W650" s="11"/>
      <c r="X650" s="11"/>
      <c r="Y650" s="11"/>
      <c r="Z650" s="11"/>
      <c r="AA650" s="11"/>
      <c r="AB650" s="214"/>
      <c r="AC650" s="214"/>
      <c r="AD650" s="214"/>
      <c r="AE650" s="214"/>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11"/>
      <c r="BE650" s="11"/>
      <c r="BF650" s="11"/>
      <c r="BG650" s="11"/>
      <c r="BH650" s="11"/>
      <c r="BI650" s="11"/>
      <c r="BJ650" s="11"/>
      <c r="BK650" s="11"/>
      <c r="BL650" s="11"/>
    </row>
    <row r="651" spans="1:64" ht="14.25" hidden="1" customHeight="1" outlineLevel="1">
      <c r="A651" s="9"/>
      <c r="B651" s="9"/>
      <c r="C651" s="9"/>
      <c r="D651" s="128" t="str">
        <f>Asset20</f>
        <v>Buildings</v>
      </c>
      <c r="E651" s="9"/>
      <c r="F651" s="9"/>
      <c r="G651" s="191">
        <f t="shared" si="39"/>
        <v>-2.0847984098367589</v>
      </c>
      <c r="H651" s="109">
        <f t="shared" ref="H651:Q651" si="50">H$303*H$7</f>
        <v>-3.92672249531998</v>
      </c>
      <c r="I651" s="109">
        <f t="shared" si="50"/>
        <v>-5.8589236099568369</v>
      </c>
      <c r="J651" s="109">
        <f t="shared" si="50"/>
        <v>-7.2708052141947972</v>
      </c>
      <c r="K651" s="109">
        <f t="shared" si="50"/>
        <v>-8.4126287564143389</v>
      </c>
      <c r="L651" s="109">
        <f t="shared" si="50"/>
        <v>-9.0918570374771459</v>
      </c>
      <c r="M651" s="109">
        <f t="shared" si="50"/>
        <v>0</v>
      </c>
      <c r="N651" s="109">
        <f t="shared" si="50"/>
        <v>0</v>
      </c>
      <c r="O651" s="109">
        <f t="shared" si="50"/>
        <v>0</v>
      </c>
      <c r="P651" s="109">
        <f t="shared" si="50"/>
        <v>0</v>
      </c>
      <c r="Q651" s="109">
        <f t="shared" si="50"/>
        <v>0</v>
      </c>
      <c r="R651" s="9"/>
      <c r="S651" s="11"/>
      <c r="T651" s="11"/>
      <c r="U651" s="11"/>
      <c r="V651" s="11"/>
      <c r="W651" s="11"/>
      <c r="X651" s="11"/>
      <c r="Y651" s="11"/>
      <c r="Z651" s="11"/>
      <c r="AA651" s="11"/>
      <c r="AB651" s="214"/>
      <c r="AC651" s="214"/>
      <c r="AD651" s="214"/>
      <c r="AE651" s="214"/>
      <c r="AF651" s="214"/>
      <c r="AG651" s="214"/>
      <c r="AH651" s="214"/>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11"/>
      <c r="BE651" s="11"/>
      <c r="BF651" s="11"/>
      <c r="BG651" s="11"/>
      <c r="BH651" s="11"/>
      <c r="BI651" s="11"/>
      <c r="BJ651" s="11"/>
      <c r="BK651" s="11"/>
      <c r="BL651" s="11"/>
    </row>
    <row r="652" spans="1:64" ht="14.25" hidden="1" customHeight="1" outlineLevel="1">
      <c r="A652" s="9"/>
      <c r="B652" s="9"/>
      <c r="C652" s="9"/>
      <c r="D652" s="128" t="str">
        <f>Asset21</f>
        <v>Equity raising costs</v>
      </c>
      <c r="E652" s="9"/>
      <c r="F652" s="9"/>
      <c r="G652" s="191">
        <f>-(G686-G522)</f>
        <v>0</v>
      </c>
      <c r="H652" s="109">
        <f>H$316*H$7</f>
        <v>0</v>
      </c>
      <c r="I652" s="109">
        <f t="shared" ref="I652:Q652" si="51">I$316*I$7</f>
        <v>-0.57952241925081927</v>
      </c>
      <c r="J652" s="109">
        <f t="shared" si="51"/>
        <v>-0.59601113995347199</v>
      </c>
      <c r="K652" s="109">
        <f t="shared" si="51"/>
        <v>-0.61621198102373731</v>
      </c>
      <c r="L652" s="109">
        <f t="shared" si="51"/>
        <v>-0.62707444354493136</v>
      </c>
      <c r="M652" s="109">
        <f t="shared" si="51"/>
        <v>0</v>
      </c>
      <c r="N652" s="109">
        <f t="shared" si="51"/>
        <v>0</v>
      </c>
      <c r="O652" s="109">
        <f t="shared" si="51"/>
        <v>0</v>
      </c>
      <c r="P652" s="109">
        <f t="shared" si="51"/>
        <v>0</v>
      </c>
      <c r="Q652" s="109">
        <f t="shared" si="51"/>
        <v>0</v>
      </c>
      <c r="R652" s="9"/>
      <c r="S652" s="9"/>
      <c r="T652" s="9"/>
      <c r="U652" s="9"/>
      <c r="V652" s="9"/>
      <c r="W652" s="9"/>
      <c r="X652" s="9"/>
      <c r="Y652" s="9"/>
      <c r="Z652" s="9"/>
      <c r="AA652" s="9"/>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9"/>
      <c r="BE652" s="9"/>
      <c r="BF652" s="9"/>
      <c r="BG652" s="9"/>
      <c r="BH652" s="9"/>
      <c r="BI652" s="9"/>
      <c r="BJ652" s="9"/>
      <c r="BK652" s="9"/>
      <c r="BL652" s="9"/>
    </row>
    <row r="653" spans="1:64" ht="14.25" hidden="1" customHeight="1" outlineLevel="1">
      <c r="A653" s="9"/>
      <c r="B653" s="9"/>
      <c r="C653" s="9"/>
      <c r="D653" s="128">
        <f>Asset22</f>
        <v>0</v>
      </c>
      <c r="E653" s="9"/>
      <c r="F653" s="9"/>
      <c r="G653" s="191">
        <f t="shared" ref="G653:G661" si="52">-(G687-G523)</f>
        <v>4.0856207306205761E-14</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9"/>
      <c r="BE653" s="9"/>
      <c r="BF653" s="9"/>
      <c r="BG653" s="9"/>
      <c r="BH653" s="9"/>
      <c r="BI653" s="9"/>
      <c r="BJ653" s="9"/>
      <c r="BK653" s="9"/>
      <c r="BL653" s="9"/>
    </row>
    <row r="654" spans="1:64" ht="14.25" hidden="1" customHeight="1" outlineLevel="1">
      <c r="A654" s="9"/>
      <c r="B654" s="9"/>
      <c r="C654" s="9"/>
      <c r="D654" s="128">
        <f>Asset23</f>
        <v>0</v>
      </c>
      <c r="E654" s="9"/>
      <c r="F654" s="9"/>
      <c r="G654" s="191">
        <f t="shared" si="52"/>
        <v>0</v>
      </c>
      <c r="H654" s="109">
        <f>H$342*H$7</f>
        <v>0</v>
      </c>
      <c r="I654" s="109">
        <f t="shared" ref="I654:Q654" si="54">I$342*I$7</f>
        <v>0</v>
      </c>
      <c r="J654" s="109">
        <f t="shared" si="54"/>
        <v>0</v>
      </c>
      <c r="K654" s="109">
        <f t="shared" si="54"/>
        <v>0</v>
      </c>
      <c r="L654" s="109">
        <f t="shared" si="54"/>
        <v>0</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9"/>
      <c r="BE654" s="9"/>
      <c r="BF654" s="9"/>
      <c r="BG654" s="9"/>
      <c r="BH654" s="9"/>
      <c r="BI654" s="9"/>
      <c r="BJ654" s="9"/>
      <c r="BK654" s="9"/>
      <c r="BL654" s="9"/>
    </row>
    <row r="655" spans="1:64" ht="14.25" hidden="1" customHeight="1" outlineLevel="1">
      <c r="A655" s="9"/>
      <c r="B655" s="9"/>
      <c r="C655" s="9"/>
      <c r="D655" s="128">
        <f>Asset24</f>
        <v>0</v>
      </c>
      <c r="E655" s="9"/>
      <c r="F655" s="9"/>
      <c r="G655" s="191">
        <f t="shared" si="52"/>
        <v>0</v>
      </c>
      <c r="H655" s="109">
        <f>H$355*H$7</f>
        <v>0</v>
      </c>
      <c r="I655" s="109">
        <f t="shared" ref="I655:Q655" si="55">I$355*I$7</f>
        <v>0</v>
      </c>
      <c r="J655" s="109">
        <f t="shared" si="55"/>
        <v>0</v>
      </c>
      <c r="K655" s="109">
        <f t="shared" si="55"/>
        <v>0</v>
      </c>
      <c r="L655" s="109">
        <f t="shared" si="55"/>
        <v>0</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9"/>
      <c r="BE655" s="9"/>
      <c r="BF655" s="9"/>
      <c r="BG655" s="9"/>
      <c r="BH655" s="9"/>
      <c r="BI655" s="9"/>
      <c r="BJ655" s="9"/>
      <c r="BK655" s="9"/>
      <c r="BL655" s="9"/>
    </row>
    <row r="656" spans="1:64" ht="14.25" hidden="1" customHeight="1" outlineLevel="1">
      <c r="A656" s="9"/>
      <c r="B656" s="9"/>
      <c r="C656" s="9"/>
      <c r="D656" s="128">
        <f>Asset25</f>
        <v>0</v>
      </c>
      <c r="E656" s="9"/>
      <c r="F656" s="9"/>
      <c r="G656" s="191">
        <f t="shared" si="52"/>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9"/>
      <c r="BE656" s="9"/>
      <c r="BF656" s="9"/>
      <c r="BG656" s="9"/>
      <c r="BH656" s="9"/>
      <c r="BI656" s="9"/>
      <c r="BJ656" s="9"/>
      <c r="BK656" s="9"/>
      <c r="BL656" s="9"/>
    </row>
    <row r="657" spans="1:64" ht="14.25" hidden="1" customHeight="1" outlineLevel="1">
      <c r="A657" s="9"/>
      <c r="B657" s="9"/>
      <c r="C657" s="9"/>
      <c r="D657" s="128">
        <f>Asset26</f>
        <v>0</v>
      </c>
      <c r="E657" s="9"/>
      <c r="F657" s="9"/>
      <c r="G657" s="191">
        <f t="shared" si="52"/>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9"/>
      <c r="BE657" s="9"/>
      <c r="BF657" s="9"/>
      <c r="BG657" s="9"/>
      <c r="BH657" s="9"/>
      <c r="BI657" s="9"/>
      <c r="BJ657" s="9"/>
      <c r="BK657" s="9"/>
      <c r="BL657" s="9"/>
    </row>
    <row r="658" spans="1:64" ht="14.25" hidden="1" customHeight="1" outlineLevel="1">
      <c r="A658" s="9"/>
      <c r="B658" s="9"/>
      <c r="C658" s="9"/>
      <c r="D658" s="128">
        <f>Asset27</f>
        <v>0</v>
      </c>
      <c r="E658" s="9"/>
      <c r="F658" s="9"/>
      <c r="G658" s="191">
        <f t="shared" si="52"/>
        <v>0</v>
      </c>
      <c r="H658" s="109">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9"/>
      <c r="BE658" s="9"/>
      <c r="BF658" s="9"/>
      <c r="BG658" s="9"/>
      <c r="BH658" s="9"/>
      <c r="BI658" s="9"/>
      <c r="BJ658" s="9"/>
      <c r="BK658" s="9"/>
      <c r="BL658" s="9"/>
    </row>
    <row r="659" spans="1:64" ht="14.25" hidden="1" customHeight="1" outlineLevel="1">
      <c r="A659" s="9"/>
      <c r="B659" s="9"/>
      <c r="C659" s="9"/>
      <c r="D659" s="128">
        <f>Asset28</f>
        <v>0</v>
      </c>
      <c r="E659" s="9"/>
      <c r="F659" s="9"/>
      <c r="G659" s="191">
        <f t="shared" si="52"/>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9"/>
      <c r="BE659" s="9"/>
      <c r="BF659" s="9"/>
      <c r="BG659" s="9"/>
      <c r="BH659" s="9"/>
      <c r="BI659" s="9"/>
      <c r="BJ659" s="9"/>
      <c r="BK659" s="9"/>
      <c r="BL659" s="9"/>
    </row>
    <row r="660" spans="1:64" ht="14.25" hidden="1" customHeight="1" outlineLevel="1">
      <c r="A660" s="9"/>
      <c r="B660" s="9"/>
      <c r="C660" s="9"/>
      <c r="D660" s="128">
        <f>Asset29</f>
        <v>0</v>
      </c>
      <c r="E660" s="9"/>
      <c r="F660" s="9"/>
      <c r="G660" s="191">
        <f t="shared" si="52"/>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9"/>
      <c r="BE660" s="9"/>
      <c r="BF660" s="9"/>
      <c r="BG660" s="9"/>
      <c r="BH660" s="9"/>
      <c r="BI660" s="9"/>
      <c r="BJ660" s="9"/>
      <c r="BK660" s="9"/>
      <c r="BL660" s="9"/>
    </row>
    <row r="661" spans="1:64" ht="14.25" hidden="1" customHeight="1" outlineLevel="1">
      <c r="A661" s="9"/>
      <c r="B661" s="9"/>
      <c r="C661" s="9"/>
      <c r="D661" s="128">
        <f>Asset30</f>
        <v>0</v>
      </c>
      <c r="E661" s="9"/>
      <c r="F661" s="9"/>
      <c r="G661" s="191">
        <f t="shared" si="52"/>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9"/>
      <c r="BE661" s="9"/>
      <c r="BF661" s="9"/>
      <c r="BG661" s="9"/>
      <c r="BH661" s="9"/>
      <c r="BI661" s="9"/>
      <c r="BJ661" s="9"/>
      <c r="BK661" s="9"/>
      <c r="BL661" s="9"/>
    </row>
    <row r="662" spans="1:64" ht="14.25" hidden="1" customHeight="1" outlineLevel="1">
      <c r="A662" s="9"/>
      <c r="B662" s="9"/>
      <c r="C662" s="9"/>
      <c r="D662" s="128"/>
      <c r="E662" s="9"/>
      <c r="F662" s="9"/>
      <c r="G662" s="191"/>
      <c r="H662" s="109"/>
      <c r="I662" s="109"/>
      <c r="J662" s="109"/>
      <c r="K662" s="109"/>
      <c r="L662" s="109"/>
      <c r="M662" s="109"/>
      <c r="N662" s="109"/>
      <c r="O662" s="109"/>
      <c r="P662" s="109"/>
      <c r="Q662" s="109"/>
      <c r="R662" s="9"/>
      <c r="S662" s="9"/>
      <c r="T662" s="9"/>
      <c r="U662" s="9"/>
      <c r="V662" s="9"/>
      <c r="W662" s="9"/>
      <c r="X662" s="9"/>
      <c r="Y662" s="9"/>
      <c r="Z662" s="9"/>
      <c r="AA662" s="9"/>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9"/>
      <c r="BE662" s="9"/>
      <c r="BF662" s="9"/>
      <c r="BG662" s="9"/>
      <c r="BH662" s="9"/>
      <c r="BI662" s="9"/>
      <c r="BJ662" s="9"/>
      <c r="BK662" s="9"/>
      <c r="BL662" s="9"/>
    </row>
    <row r="663" spans="1:64" ht="14.25" hidden="1" customHeight="1" outlineLevel="1">
      <c r="A663" s="9"/>
      <c r="B663" s="9"/>
      <c r="C663" s="9"/>
      <c r="D663" s="128"/>
      <c r="E663" s="9"/>
      <c r="F663" s="9"/>
      <c r="G663" s="191"/>
      <c r="H663" s="109"/>
      <c r="I663" s="109"/>
      <c r="J663" s="109"/>
      <c r="K663" s="109"/>
      <c r="L663" s="109"/>
      <c r="M663" s="109"/>
      <c r="N663" s="109"/>
      <c r="O663" s="109"/>
      <c r="P663" s="109"/>
      <c r="Q663" s="109"/>
      <c r="R663" s="9"/>
      <c r="S663" s="9"/>
      <c r="T663" s="9"/>
      <c r="U663" s="9"/>
      <c r="V663" s="9"/>
      <c r="W663" s="9"/>
      <c r="X663" s="9"/>
      <c r="Y663" s="9"/>
      <c r="Z663" s="9"/>
      <c r="AA663" s="9"/>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9"/>
      <c r="BE663" s="9"/>
      <c r="BF663" s="9"/>
      <c r="BG663" s="9"/>
      <c r="BH663" s="9"/>
      <c r="BI663" s="9"/>
      <c r="BJ663" s="9"/>
      <c r="BK663" s="9"/>
      <c r="BL663" s="9"/>
    </row>
    <row r="664" spans="1:64" collapsed="1">
      <c r="A664" s="9"/>
      <c r="B664" s="9"/>
      <c r="C664" s="9"/>
      <c r="D664" s="9"/>
      <c r="E664" s="9"/>
      <c r="F664" s="9"/>
      <c r="G664" s="191"/>
      <c r="H664" s="9"/>
      <c r="I664" s="9"/>
      <c r="J664" s="9"/>
      <c r="K664" s="9"/>
      <c r="L664" s="9"/>
      <c r="M664" s="9"/>
      <c r="N664" s="9"/>
      <c r="O664" s="9"/>
      <c r="P664" s="9"/>
      <c r="Q664" s="9"/>
      <c r="R664" s="9"/>
      <c r="S664" s="9"/>
      <c r="T664" s="9"/>
      <c r="U664" s="9"/>
      <c r="V664" s="9"/>
      <c r="W664" s="9"/>
      <c r="X664" s="9"/>
      <c r="Y664" s="9"/>
      <c r="Z664" s="9"/>
      <c r="AA664" s="9"/>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9"/>
      <c r="BE664" s="9"/>
      <c r="BF664" s="9"/>
      <c r="BG664" s="9"/>
      <c r="BH664" s="9"/>
      <c r="BI664" s="9"/>
      <c r="BJ664" s="9"/>
      <c r="BK664" s="9"/>
      <c r="BL664" s="9"/>
    </row>
    <row r="665" spans="1:64" ht="12" customHeight="1">
      <c r="A665" s="9"/>
      <c r="B665" s="11"/>
      <c r="C665" s="88" t="s">
        <v>47</v>
      </c>
      <c r="D665" s="11"/>
      <c r="E665" s="11"/>
      <c r="F665" s="11"/>
      <c r="G665" s="195">
        <f>SUM(G666:G695)</f>
        <v>276.72258794943099</v>
      </c>
      <c r="H665" s="119">
        <f>SUM(H666:H695)</f>
        <v>132.81667927421083</v>
      </c>
      <c r="I665" s="119">
        <f>SUM(I666:I695)</f>
        <v>236.09414397194112</v>
      </c>
      <c r="J665" s="119">
        <f t="shared" ref="J665:Q665" si="62">SUM(J666:J695)</f>
        <v>323.04445535245634</v>
      </c>
      <c r="K665" s="119">
        <f t="shared" si="62"/>
        <v>191.70182705155591</v>
      </c>
      <c r="L665" s="119">
        <f t="shared" si="62"/>
        <v>286.18714075140451</v>
      </c>
      <c r="M665" s="119">
        <f t="shared" si="62"/>
        <v>0</v>
      </c>
      <c r="N665" s="119">
        <f t="shared" si="62"/>
        <v>0</v>
      </c>
      <c r="O665" s="119">
        <f t="shared" si="62"/>
        <v>0</v>
      </c>
      <c r="P665" s="119">
        <f t="shared" si="62"/>
        <v>0</v>
      </c>
      <c r="Q665" s="119">
        <f t="shared" si="62"/>
        <v>0</v>
      </c>
      <c r="R665" s="9"/>
      <c r="S665" s="11"/>
      <c r="T665" s="11"/>
      <c r="U665" s="11"/>
      <c r="V665" s="11"/>
      <c r="W665" s="11"/>
      <c r="X665" s="11"/>
      <c r="Y665" s="11"/>
      <c r="Z665" s="11"/>
      <c r="AA665" s="11"/>
      <c r="AB665" s="214"/>
      <c r="AC665" s="214"/>
      <c r="AD665" s="214"/>
      <c r="AE665" s="214"/>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11"/>
      <c r="BE665" s="11"/>
      <c r="BF665" s="11"/>
      <c r="BG665" s="11"/>
      <c r="BH665" s="11"/>
      <c r="BI665" s="11"/>
      <c r="BJ665" s="11"/>
      <c r="BK665" s="11"/>
      <c r="BL665" s="11"/>
    </row>
    <row r="666" spans="1:64" ht="12.75" hidden="1" customHeight="1" outlineLevel="1">
      <c r="A666" s="9"/>
      <c r="B666" s="9"/>
      <c r="C666" s="9"/>
      <c r="D666" s="128" t="str">
        <f>Asset1</f>
        <v>Sub-transmission lines and cables</v>
      </c>
      <c r="E666" s="9"/>
      <c r="F666" s="9"/>
      <c r="G666" s="191">
        <f>G438*G$6</f>
        <v>27.337761111761964</v>
      </c>
      <c r="H666" s="109">
        <f>H438*H$6</f>
        <v>11.435946795092248</v>
      </c>
      <c r="I666" s="109">
        <f t="shared" ref="I666:Q666" si="63">I438*I$6</f>
        <v>20.897021218877075</v>
      </c>
      <c r="J666" s="109">
        <f t="shared" si="63"/>
        <v>28.908798486352566</v>
      </c>
      <c r="K666" s="109">
        <f t="shared" si="63"/>
        <v>17.348920044395229</v>
      </c>
      <c r="L666" s="109">
        <f t="shared" si="63"/>
        <v>26.163733964462242</v>
      </c>
      <c r="M666" s="109">
        <f t="shared" si="63"/>
        <v>0</v>
      </c>
      <c r="N666" s="109">
        <f t="shared" si="63"/>
        <v>0</v>
      </c>
      <c r="O666" s="109">
        <f t="shared" si="63"/>
        <v>0</v>
      </c>
      <c r="P666" s="109">
        <f t="shared" si="63"/>
        <v>0</v>
      </c>
      <c r="Q666" s="109">
        <f t="shared" si="63"/>
        <v>0</v>
      </c>
      <c r="R666" s="9"/>
      <c r="S666" s="11"/>
      <c r="T666" s="11"/>
      <c r="U666" s="11"/>
      <c r="V666" s="11"/>
      <c r="W666" s="11"/>
      <c r="X666" s="11"/>
      <c r="Y666" s="11"/>
      <c r="Z666" s="11"/>
      <c r="AA666" s="11"/>
      <c r="AB666" s="214"/>
      <c r="AC666" s="214"/>
      <c r="AD666" s="214"/>
      <c r="AE666" s="214"/>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11"/>
      <c r="BE666" s="11"/>
      <c r="BF666" s="11"/>
      <c r="BG666" s="11"/>
      <c r="BH666" s="11"/>
      <c r="BI666" s="11"/>
      <c r="BJ666" s="11"/>
      <c r="BK666" s="11"/>
      <c r="BL666" s="11"/>
    </row>
    <row r="667" spans="1:64" ht="12.75" hidden="1" customHeight="1" outlineLevel="1">
      <c r="A667" s="9"/>
      <c r="B667" s="9"/>
      <c r="C667" s="9"/>
      <c r="D667" s="128" t="str">
        <f>Asset2</f>
        <v>Cable tunnel (dx)</v>
      </c>
      <c r="E667" s="9"/>
      <c r="F667" s="9"/>
      <c r="G667" s="191">
        <f t="shared" ref="G667:H695" si="64">G439*G$6</f>
        <v>1.4816253715348298</v>
      </c>
      <c r="H667" s="109">
        <f t="shared" si="64"/>
        <v>1.2308294423953823</v>
      </c>
      <c r="I667" s="109">
        <f t="shared" ref="I667:Q667" si="65">I439*I$6</f>
        <v>1.9610674054506123</v>
      </c>
      <c r="J667" s="109">
        <f t="shared" si="65"/>
        <v>2.3754564159664358</v>
      </c>
      <c r="K667" s="109">
        <f t="shared" si="65"/>
        <v>1.2589727879207127</v>
      </c>
      <c r="L667" s="109">
        <f t="shared" si="65"/>
        <v>3.2106623065246023</v>
      </c>
      <c r="M667" s="109">
        <f t="shared" si="65"/>
        <v>0</v>
      </c>
      <c r="N667" s="109">
        <f t="shared" si="65"/>
        <v>0</v>
      </c>
      <c r="O667" s="109">
        <f t="shared" si="65"/>
        <v>0</v>
      </c>
      <c r="P667" s="109">
        <f t="shared" si="65"/>
        <v>0</v>
      </c>
      <c r="Q667" s="109">
        <f t="shared" si="65"/>
        <v>0</v>
      </c>
      <c r="R667" s="28"/>
      <c r="S667" s="99"/>
      <c r="T667" s="99"/>
      <c r="U667" s="99"/>
      <c r="V667" s="99"/>
      <c r="W667" s="99"/>
      <c r="X667" s="99"/>
      <c r="Y667" s="99"/>
      <c r="Z667" s="99"/>
      <c r="AA667" s="99"/>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99"/>
      <c r="BE667" s="99"/>
      <c r="BF667" s="99"/>
      <c r="BG667" s="99"/>
      <c r="BH667" s="99"/>
      <c r="BI667" s="99"/>
      <c r="BJ667" s="99"/>
      <c r="BK667" s="11"/>
      <c r="BL667" s="11"/>
    </row>
    <row r="668" spans="1:64" ht="12.75" hidden="1" customHeight="1" outlineLevel="1">
      <c r="A668" s="9"/>
      <c r="B668" s="9"/>
      <c r="C668" s="9"/>
      <c r="D668" s="128" t="str">
        <f>Asset3</f>
        <v>Distribution lines and cables</v>
      </c>
      <c r="E668" s="9"/>
      <c r="F668" s="9"/>
      <c r="G668" s="191">
        <f t="shared" si="64"/>
        <v>69.214292327552073</v>
      </c>
      <c r="H668" s="109">
        <f t="shared" si="64"/>
        <v>34.905621857806608</v>
      </c>
      <c r="I668" s="109">
        <f t="shared" ref="I668:Q668" si="66">I440*I$6</f>
        <v>59.509964476336549</v>
      </c>
      <c r="J668" s="109">
        <f t="shared" si="66"/>
        <v>81.192623506398888</v>
      </c>
      <c r="K668" s="109">
        <f t="shared" si="66"/>
        <v>48.24352920835188</v>
      </c>
      <c r="L668" s="109">
        <f t="shared" si="66"/>
        <v>73.462495444464423</v>
      </c>
      <c r="M668" s="109">
        <f t="shared" si="66"/>
        <v>0</v>
      </c>
      <c r="N668" s="109">
        <f t="shared" si="66"/>
        <v>0</v>
      </c>
      <c r="O668" s="109">
        <f t="shared" si="66"/>
        <v>0</v>
      </c>
      <c r="P668" s="109">
        <f t="shared" si="66"/>
        <v>0</v>
      </c>
      <c r="Q668" s="109">
        <f t="shared" si="66"/>
        <v>0</v>
      </c>
      <c r="R668" s="9"/>
      <c r="S668" s="11"/>
      <c r="T668" s="11"/>
      <c r="U668" s="11"/>
      <c r="V668" s="11"/>
      <c r="W668" s="11"/>
      <c r="X668" s="11"/>
      <c r="Y668" s="11"/>
      <c r="Z668" s="11"/>
      <c r="AA668" s="11"/>
      <c r="AB668" s="214"/>
      <c r="AC668" s="214"/>
      <c r="AD668" s="214"/>
      <c r="AE668" s="214"/>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11"/>
      <c r="BE668" s="11"/>
      <c r="BF668" s="11"/>
      <c r="BG668" s="11"/>
      <c r="BH668" s="11"/>
      <c r="BI668" s="11"/>
      <c r="BJ668" s="11"/>
      <c r="BK668" s="11"/>
      <c r="BL668" s="11"/>
    </row>
    <row r="669" spans="1:64" ht="12.75" hidden="1" customHeight="1" outlineLevel="1">
      <c r="A669" s="9"/>
      <c r="B669" s="9"/>
      <c r="C669" s="9"/>
      <c r="D669" s="128" t="str">
        <f>Asset4</f>
        <v>Substations</v>
      </c>
      <c r="E669" s="9"/>
      <c r="F669" s="9"/>
      <c r="G669" s="191">
        <f t="shared" si="64"/>
        <v>67.05083722992299</v>
      </c>
      <c r="H669" s="109">
        <f t="shared" si="64"/>
        <v>37.289291080066192</v>
      </c>
      <c r="I669" s="109">
        <f t="shared" ref="I669:Q669" si="67">I441*I$6</f>
        <v>66.308255999379227</v>
      </c>
      <c r="J669" s="109">
        <f t="shared" si="67"/>
        <v>90.67566702871062</v>
      </c>
      <c r="K669" s="109">
        <f t="shared" si="67"/>
        <v>54.930546335018128</v>
      </c>
      <c r="L669" s="109">
        <f t="shared" si="67"/>
        <v>81.999804906280701</v>
      </c>
      <c r="M669" s="109">
        <f t="shared" si="67"/>
        <v>0</v>
      </c>
      <c r="N669" s="109">
        <f t="shared" si="67"/>
        <v>0</v>
      </c>
      <c r="O669" s="109">
        <f t="shared" si="67"/>
        <v>0</v>
      </c>
      <c r="P669" s="109">
        <f t="shared" si="67"/>
        <v>0</v>
      </c>
      <c r="Q669" s="109">
        <f t="shared" si="67"/>
        <v>0</v>
      </c>
      <c r="R669" s="9"/>
      <c r="S669" s="11"/>
      <c r="T669" s="11"/>
      <c r="U669" s="11"/>
      <c r="V669" s="11"/>
      <c r="W669" s="11"/>
      <c r="X669" s="11"/>
      <c r="Y669" s="11"/>
      <c r="Z669" s="11"/>
      <c r="AA669" s="11"/>
      <c r="AB669" s="214"/>
      <c r="AC669" s="214"/>
      <c r="AD669" s="214"/>
      <c r="AE669" s="214"/>
      <c r="AF669" s="214"/>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11"/>
      <c r="BE669" s="11"/>
      <c r="BF669" s="11"/>
      <c r="BG669" s="11"/>
      <c r="BH669" s="11"/>
      <c r="BI669" s="11"/>
      <c r="BJ669" s="11"/>
      <c r="BK669" s="11"/>
      <c r="BL669" s="11"/>
    </row>
    <row r="670" spans="1:64" ht="12.75" hidden="1" customHeight="1" outlineLevel="1">
      <c r="A670" s="9"/>
      <c r="B670" s="9"/>
      <c r="C670" s="9"/>
      <c r="D670" s="128" t="str">
        <f>Asset5</f>
        <v>Transformers</v>
      </c>
      <c r="E670" s="9"/>
      <c r="F670" s="9"/>
      <c r="G670" s="191">
        <f t="shared" si="64"/>
        <v>17.294480998272181</v>
      </c>
      <c r="H670" s="109">
        <f t="shared" si="64"/>
        <v>8.5082790235922712</v>
      </c>
      <c r="I670" s="109">
        <f t="shared" ref="I670:Q670" si="68">I442*I$6</f>
        <v>14.716695059738587</v>
      </c>
      <c r="J670" s="109">
        <f t="shared" si="68"/>
        <v>20.137091735818419</v>
      </c>
      <c r="K670" s="109">
        <f t="shared" si="68"/>
        <v>11.415956489034388</v>
      </c>
      <c r="L670" s="109">
        <f t="shared" si="68"/>
        <v>16.595655639623416</v>
      </c>
      <c r="M670" s="109">
        <f t="shared" si="68"/>
        <v>0</v>
      </c>
      <c r="N670" s="109">
        <f t="shared" si="68"/>
        <v>0</v>
      </c>
      <c r="O670" s="109">
        <f t="shared" si="68"/>
        <v>0</v>
      </c>
      <c r="P670" s="109">
        <f t="shared" si="68"/>
        <v>0</v>
      </c>
      <c r="Q670" s="109">
        <f t="shared" si="68"/>
        <v>0</v>
      </c>
      <c r="R670" s="9"/>
      <c r="S670" s="11"/>
      <c r="T670" s="11"/>
      <c r="U670" s="11"/>
      <c r="V670" s="11"/>
      <c r="W670" s="11"/>
      <c r="X670" s="11"/>
      <c r="Y670" s="11"/>
      <c r="Z670" s="11"/>
      <c r="AA670" s="11"/>
      <c r="AB670" s="214"/>
      <c r="AC670" s="214"/>
      <c r="AD670" s="214"/>
      <c r="AE670" s="214"/>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11"/>
      <c r="BE670" s="11"/>
      <c r="BF670" s="11"/>
      <c r="BG670" s="11"/>
      <c r="BH670" s="11"/>
      <c r="BI670" s="11"/>
      <c r="BJ670" s="11"/>
      <c r="BK670" s="11"/>
      <c r="BL670" s="11"/>
    </row>
    <row r="671" spans="1:64" ht="12.75" hidden="1" customHeight="1" outlineLevel="1">
      <c r="A671" s="9"/>
      <c r="B671" s="9"/>
      <c r="C671" s="9"/>
      <c r="D671" s="128" t="str">
        <f>Asset6</f>
        <v>Low Voltage Lines and Cables</v>
      </c>
      <c r="E671" s="9"/>
      <c r="F671" s="9"/>
      <c r="G671" s="191">
        <f t="shared" si="64"/>
        <v>30.278441066969222</v>
      </c>
      <c r="H671" s="109">
        <f t="shared" si="64"/>
        <v>13.783063481702021</v>
      </c>
      <c r="I671" s="109">
        <f t="shared" ref="I671:Q671" si="69">I443*I$6</f>
        <v>24.866664225358189</v>
      </c>
      <c r="J671" s="109">
        <f t="shared" si="69"/>
        <v>34.861323241150203</v>
      </c>
      <c r="K671" s="109">
        <f t="shared" si="69"/>
        <v>21.622994973444968</v>
      </c>
      <c r="L671" s="109">
        <f t="shared" si="69"/>
        <v>33.422928391791174</v>
      </c>
      <c r="M671" s="109">
        <f t="shared" si="69"/>
        <v>0</v>
      </c>
      <c r="N671" s="109">
        <f t="shared" si="69"/>
        <v>0</v>
      </c>
      <c r="O671" s="109">
        <f t="shared" si="69"/>
        <v>0</v>
      </c>
      <c r="P671" s="109">
        <f t="shared" si="69"/>
        <v>0</v>
      </c>
      <c r="Q671" s="109">
        <f t="shared" si="69"/>
        <v>0</v>
      </c>
      <c r="R671" s="9"/>
      <c r="S671" s="11"/>
      <c r="T671" s="11"/>
      <c r="U671" s="11"/>
      <c r="V671" s="11"/>
      <c r="W671" s="11"/>
      <c r="X671" s="11"/>
      <c r="Y671" s="11"/>
      <c r="Z671" s="11"/>
      <c r="AA671" s="11"/>
      <c r="AB671" s="214"/>
      <c r="AC671" s="214"/>
      <c r="AD671" s="214"/>
      <c r="AE671" s="214"/>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11"/>
      <c r="BE671" s="11"/>
      <c r="BF671" s="11"/>
      <c r="BG671" s="11"/>
      <c r="BH671" s="11"/>
      <c r="BI671" s="11"/>
      <c r="BJ671" s="11"/>
      <c r="BK671" s="11"/>
      <c r="BL671" s="11"/>
    </row>
    <row r="672" spans="1:64" ht="12.75" hidden="1" customHeight="1" outlineLevel="1">
      <c r="A672" s="9"/>
      <c r="B672" s="9"/>
      <c r="C672" s="9"/>
      <c r="D672" s="128" t="str">
        <f>Asset7</f>
        <v>Customer Metering and Load Control</v>
      </c>
      <c r="E672" s="9"/>
      <c r="F672" s="9"/>
      <c r="G672" s="191">
        <f t="shared" si="64"/>
        <v>8.1355573919342223</v>
      </c>
      <c r="H672" s="109">
        <f t="shared" si="64"/>
        <v>4.2853419826983776</v>
      </c>
      <c r="I672" s="109">
        <f t="shared" ref="I672:Q672" si="70">I444*I$6</f>
        <v>6.4749049858438719</v>
      </c>
      <c r="J672" s="109">
        <f t="shared" si="70"/>
        <v>7.4970869897986665</v>
      </c>
      <c r="K672" s="109">
        <f t="shared" si="70"/>
        <v>3.7984019189706637</v>
      </c>
      <c r="L672" s="109">
        <f t="shared" si="70"/>
        <v>5.0372926785879502</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9"/>
      <c r="BE672" s="9"/>
      <c r="BF672" s="9"/>
      <c r="BG672" s="9"/>
      <c r="BH672" s="9"/>
      <c r="BI672" s="9"/>
      <c r="BJ672" s="9"/>
      <c r="BK672" s="9"/>
      <c r="BL672" s="9"/>
    </row>
    <row r="673" spans="1:64" ht="12.75" hidden="1" customHeight="1" outlineLevel="1">
      <c r="A673" s="9"/>
      <c r="B673" s="9"/>
      <c r="C673" s="9"/>
      <c r="D673" s="128" t="str">
        <f>Asset8</f>
        <v>Customer Metering (digital)</v>
      </c>
      <c r="E673" s="9"/>
      <c r="F673" s="9"/>
      <c r="G673" s="191">
        <f t="shared" si="64"/>
        <v>0</v>
      </c>
      <c r="H673" s="109">
        <f t="shared" si="64"/>
        <v>0</v>
      </c>
      <c r="I673" s="109">
        <f t="shared" ref="I673:Q673" si="71">I445*I$6</f>
        <v>0.66710489813147444</v>
      </c>
      <c r="J673" s="109">
        <f t="shared" si="71"/>
        <v>1.8185795423682105</v>
      </c>
      <c r="K673" s="109">
        <f t="shared" si="71"/>
        <v>1.3167526027988785</v>
      </c>
      <c r="L673" s="109">
        <f t="shared" si="71"/>
        <v>2.1441952371508832</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9"/>
      <c r="BE673" s="9"/>
      <c r="BF673" s="9"/>
      <c r="BG673" s="9"/>
      <c r="BH673" s="9"/>
      <c r="BI673" s="9"/>
      <c r="BJ673" s="9"/>
      <c r="BK673" s="9"/>
      <c r="BL673" s="9"/>
    </row>
    <row r="674" spans="1:64" ht="12.75" hidden="1" customHeight="1" outlineLevel="1">
      <c r="A674" s="9"/>
      <c r="B674" s="9"/>
      <c r="C674" s="9"/>
      <c r="D674" s="128" t="str">
        <f>Asset9</f>
        <v>Communications (digital) - dx</v>
      </c>
      <c r="E674" s="9"/>
      <c r="F674" s="9"/>
      <c r="G674" s="191">
        <f t="shared" si="64"/>
        <v>0</v>
      </c>
      <c r="H674" s="109">
        <f t="shared" si="64"/>
        <v>0</v>
      </c>
      <c r="I674" s="109">
        <f t="shared" ref="I674:Q674" si="72">I446*I$6</f>
        <v>0.63259416751377862</v>
      </c>
      <c r="J674" s="109">
        <f t="shared" si="72"/>
        <v>0.73960424488514265</v>
      </c>
      <c r="K674" s="109">
        <f t="shared" si="72"/>
        <v>0.37375464865939462</v>
      </c>
      <c r="L674" s="109">
        <f t="shared" si="72"/>
        <v>0.38154635098608009</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9"/>
      <c r="BE674" s="9"/>
      <c r="BF674" s="9"/>
      <c r="BG674" s="9"/>
      <c r="BH674" s="9"/>
      <c r="BI674" s="9"/>
      <c r="BJ674" s="9"/>
      <c r="BK674" s="9"/>
      <c r="BL674" s="9"/>
    </row>
    <row r="675" spans="1:64" ht="12.75" hidden="1" customHeight="1" outlineLevel="1">
      <c r="A675" s="9"/>
      <c r="B675" s="9"/>
      <c r="C675" s="9"/>
      <c r="D675" s="128" t="str">
        <f>Asset10</f>
        <v>Total Communications</v>
      </c>
      <c r="E675" s="9"/>
      <c r="F675" s="9"/>
      <c r="G675" s="191">
        <f t="shared" si="64"/>
        <v>4.4419016042768238</v>
      </c>
      <c r="H675" s="109">
        <f t="shared" si="64"/>
        <v>2.3798217334160618</v>
      </c>
      <c r="I675" s="109">
        <f t="shared" ref="I675:Q675" si="73">I447*I$6</f>
        <v>3.3669458490368731</v>
      </c>
      <c r="J675" s="109">
        <f t="shared" si="73"/>
        <v>3.5283175187230578</v>
      </c>
      <c r="K675" s="109">
        <f t="shared" si="73"/>
        <v>1.5781240514249737</v>
      </c>
      <c r="L675" s="109">
        <f t="shared" si="73"/>
        <v>1.7733567936231722</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9"/>
      <c r="BE675" s="9"/>
      <c r="BF675" s="9"/>
      <c r="BG675" s="9"/>
      <c r="BH675" s="9"/>
      <c r="BI675" s="9"/>
      <c r="BJ675" s="9"/>
      <c r="BK675" s="9"/>
      <c r="BL675" s="9"/>
    </row>
    <row r="676" spans="1:64" ht="12.75" hidden="1" customHeight="1" outlineLevel="1">
      <c r="A676" s="9"/>
      <c r="B676" s="9"/>
      <c r="C676" s="9"/>
      <c r="D676" s="128" t="str">
        <f>Asset11</f>
        <v>System IT (dx)</v>
      </c>
      <c r="E676" s="9"/>
      <c r="F676" s="9"/>
      <c r="G676" s="191">
        <f t="shared" si="64"/>
        <v>0</v>
      </c>
      <c r="H676" s="109">
        <f t="shared" si="64"/>
        <v>0</v>
      </c>
      <c r="I676" s="109">
        <f t="shared" ref="I676:Q676" si="74">I448*I$6</f>
        <v>0.85972125966054092</v>
      </c>
      <c r="J676" s="109">
        <f t="shared" si="74"/>
        <v>4.4980530785701482</v>
      </c>
      <c r="K676" s="109">
        <f t="shared" si="74"/>
        <v>3.7673002164091165</v>
      </c>
      <c r="L676" s="109">
        <f t="shared" si="74"/>
        <v>5.8125900057253146</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9"/>
      <c r="BE676" s="9"/>
      <c r="BF676" s="9"/>
      <c r="BG676" s="9"/>
      <c r="BH676" s="9"/>
      <c r="BI676" s="9"/>
      <c r="BJ676" s="9"/>
      <c r="BK676" s="9"/>
      <c r="BL676" s="9"/>
    </row>
    <row r="677" spans="1:64" ht="12.75" hidden="1" customHeight="1" outlineLevel="1">
      <c r="A677" s="9"/>
      <c r="B677" s="9"/>
      <c r="C677" s="9"/>
      <c r="D677" s="128" t="str">
        <f>Asset12</f>
        <v>Ancillary substation equipment (dx)</v>
      </c>
      <c r="E677" s="9"/>
      <c r="F677" s="9"/>
      <c r="G677" s="191">
        <f t="shared" si="64"/>
        <v>0</v>
      </c>
      <c r="H677" s="109">
        <f t="shared" si="64"/>
        <v>0</v>
      </c>
      <c r="I677" s="109">
        <f t="shared" ref="I677:Q677" si="75">I449*I$6</f>
        <v>0.80281748840298717</v>
      </c>
      <c r="J677" s="109">
        <f t="shared" si="75"/>
        <v>1.1671193443345764</v>
      </c>
      <c r="K677" s="109">
        <f t="shared" si="75"/>
        <v>0.85328590095163781</v>
      </c>
      <c r="L677" s="109">
        <f t="shared" si="75"/>
        <v>1.3443526733130733</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9"/>
      <c r="BE677" s="9"/>
      <c r="BF677" s="9"/>
      <c r="BG677" s="9"/>
      <c r="BH677" s="9"/>
      <c r="BI677" s="9"/>
      <c r="BJ677" s="9"/>
      <c r="BK677" s="9"/>
      <c r="BL677" s="9"/>
    </row>
    <row r="678" spans="1:64" ht="12.75" hidden="1" customHeight="1" outlineLevel="1">
      <c r="A678" s="9"/>
      <c r="B678" s="9"/>
      <c r="C678" s="9"/>
      <c r="D678" s="128" t="str">
        <f>Asset13</f>
        <v>Land and Easements</v>
      </c>
      <c r="E678" s="9"/>
      <c r="F678" s="9"/>
      <c r="G678" s="191">
        <f t="shared" si="64"/>
        <v>20.395273752295129</v>
      </c>
      <c r="H678" s="109">
        <f t="shared" si="64"/>
        <v>8.8882189522909201</v>
      </c>
      <c r="I678" s="109">
        <f t="shared" ref="I678:Q678" si="76">I450*I$6</f>
        <v>15.130045599496764</v>
      </c>
      <c r="J678" s="109">
        <f t="shared" si="76"/>
        <v>19.121871983942089</v>
      </c>
      <c r="K678" s="109">
        <f t="shared" si="76"/>
        <v>10.565002819956888</v>
      </c>
      <c r="L678" s="109">
        <f t="shared" si="76"/>
        <v>15.189151502855488</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9"/>
      <c r="BE678" s="9"/>
      <c r="BF678" s="9"/>
      <c r="BG678" s="9"/>
      <c r="BH678" s="9"/>
      <c r="BI678" s="9"/>
      <c r="BJ678" s="9"/>
      <c r="BK678" s="9"/>
      <c r="BL678" s="9"/>
    </row>
    <row r="679" spans="1:64" ht="12.75" hidden="1" customHeight="1" outlineLevel="1">
      <c r="A679" s="9"/>
      <c r="B679" s="9"/>
      <c r="C679" s="9"/>
      <c r="D679" s="128" t="str">
        <f>Asset14</f>
        <v>Emergency Spares (Major Plant, Excludes Inventory)</v>
      </c>
      <c r="E679" s="9"/>
      <c r="F679" s="9"/>
      <c r="G679" s="191">
        <f t="shared" si="64"/>
        <v>2.4603671317953486</v>
      </c>
      <c r="H679" s="109">
        <f t="shared" si="64"/>
        <v>0.71687021733293232</v>
      </c>
      <c r="I679" s="109">
        <f t="shared" ref="I679:Q679" si="77">I451*I$6</f>
        <v>1.1410184292549235</v>
      </c>
      <c r="J679" s="109">
        <f t="shared" si="77"/>
        <v>1.3978969237992027</v>
      </c>
      <c r="K679" s="109">
        <f t="shared" si="77"/>
        <v>0.75168171911477422</v>
      </c>
      <c r="L679" s="109">
        <f t="shared" si="77"/>
        <v>1.0630927170337503</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9"/>
      <c r="BE679" s="9"/>
      <c r="BF679" s="9"/>
      <c r="BG679" s="9"/>
      <c r="BH679" s="9"/>
      <c r="BI679" s="9"/>
      <c r="BJ679" s="9"/>
      <c r="BK679" s="9"/>
      <c r="BL679" s="9"/>
    </row>
    <row r="680" spans="1:64" ht="12.75" hidden="1" customHeight="1" outlineLevel="1">
      <c r="A680" s="9"/>
      <c r="B680" s="9"/>
      <c r="C680" s="9"/>
      <c r="D680" s="128" t="str">
        <f>Asset15</f>
        <v>Furniture, fittings, plant and equipment</v>
      </c>
      <c r="E680" s="9"/>
      <c r="F680" s="9"/>
      <c r="G680" s="191">
        <f t="shared" si="64"/>
        <v>1.0801019442560611</v>
      </c>
      <c r="H680" s="109">
        <f t="shared" si="64"/>
        <v>0.50782508579537966</v>
      </c>
      <c r="I680" s="109">
        <f t="shared" ref="I680:Q680" si="78">I452*I$6</f>
        <v>0.95900672536301057</v>
      </c>
      <c r="J680" s="109">
        <f t="shared" si="78"/>
        <v>1.3226719203379567</v>
      </c>
      <c r="K680" s="109">
        <f t="shared" si="78"/>
        <v>0.78366146557180949</v>
      </c>
      <c r="L680" s="109">
        <f t="shared" si="78"/>
        <v>1.1285486343126916</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9"/>
      <c r="BE680" s="9"/>
      <c r="BF680" s="9"/>
      <c r="BG680" s="9"/>
      <c r="BH680" s="9"/>
      <c r="BI680" s="9"/>
      <c r="BJ680" s="9"/>
      <c r="BK680" s="9"/>
      <c r="BL680" s="9"/>
    </row>
    <row r="681" spans="1:64" ht="12.75" hidden="1" customHeight="1" outlineLevel="1">
      <c r="A681" s="9"/>
      <c r="B681" s="9"/>
      <c r="C681" s="9"/>
      <c r="D681" s="128" t="str">
        <f>Asset16</f>
        <v>Land (non-system)</v>
      </c>
      <c r="E681" s="9"/>
      <c r="F681" s="9"/>
      <c r="G681" s="191">
        <f t="shared" si="64"/>
        <v>1.0241659445854767</v>
      </c>
      <c r="H681" s="109">
        <f t="shared" si="64"/>
        <v>0.85587864575141059</v>
      </c>
      <c r="I681" s="109">
        <f t="shared" ref="I681:Q681" si="79">I453*I$6</f>
        <v>1.9163819010466088</v>
      </c>
      <c r="J681" s="109">
        <f t="shared" si="79"/>
        <v>2.5681471476739723</v>
      </c>
      <c r="K681" s="109">
        <f t="shared" si="79"/>
        <v>1.5284090818736935</v>
      </c>
      <c r="L681" s="109">
        <f t="shared" si="79"/>
        <v>2.1587650014089301</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9"/>
      <c r="BE681" s="9"/>
      <c r="BF681" s="9"/>
      <c r="BG681" s="9"/>
      <c r="BH681" s="9"/>
      <c r="BI681" s="9"/>
      <c r="BJ681" s="9"/>
      <c r="BK681" s="9"/>
      <c r="BL681" s="9"/>
    </row>
    <row r="682" spans="1:64" ht="12.75" hidden="1" customHeight="1" outlineLevel="1">
      <c r="A682" s="9"/>
      <c r="B682" s="9"/>
      <c r="C682" s="9"/>
      <c r="D682" s="128" t="str">
        <f>Asset17</f>
        <v>Other non system assets</v>
      </c>
      <c r="E682" s="9"/>
      <c r="F682" s="9"/>
      <c r="G682" s="191">
        <f t="shared" si="64"/>
        <v>4.9944453128266302</v>
      </c>
      <c r="H682" s="109">
        <f t="shared" si="64"/>
        <v>1.9554879479035843</v>
      </c>
      <c r="I682" s="109">
        <f t="shared" ref="I682:Q682" si="80">I454*I$6</f>
        <v>2.8571289041517982</v>
      </c>
      <c r="J682" s="109">
        <f t="shared" si="80"/>
        <v>3.1811240880336071</v>
      </c>
      <c r="K682" s="109">
        <f t="shared" si="80"/>
        <v>1.5583587618881336</v>
      </c>
      <c r="L682" s="109">
        <f t="shared" si="80"/>
        <v>1.9593311263477056</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9"/>
      <c r="BE682" s="9"/>
      <c r="BF682" s="9"/>
      <c r="BG682" s="9"/>
      <c r="BH682" s="9"/>
      <c r="BI682" s="9"/>
      <c r="BJ682" s="9"/>
      <c r="BK682" s="9"/>
      <c r="BL682" s="9"/>
    </row>
    <row r="683" spans="1:64" ht="12.75" hidden="1" customHeight="1" outlineLevel="1">
      <c r="A683" s="9"/>
      <c r="B683" s="9"/>
      <c r="C683" s="9"/>
      <c r="D683" s="128" t="str">
        <f>Asset18</f>
        <v>IT systems</v>
      </c>
      <c r="E683" s="9"/>
      <c r="F683" s="9"/>
      <c r="G683" s="191">
        <f t="shared" si="64"/>
        <v>4.349045918350801</v>
      </c>
      <c r="H683" s="109">
        <f t="shared" si="64"/>
        <v>2.1546346672725933</v>
      </c>
      <c r="I683" s="109">
        <f t="shared" ref="I683:Q683" si="81">I455*I$6</f>
        <v>3.9019396873663319</v>
      </c>
      <c r="J683" s="109">
        <f t="shared" si="81"/>
        <v>5.2145183192848377</v>
      </c>
      <c r="K683" s="109">
        <f t="shared" si="81"/>
        <v>2.4922787397584121</v>
      </c>
      <c r="L683" s="109">
        <f t="shared" si="81"/>
        <v>2.682347088095856</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9"/>
      <c r="BE683" s="9"/>
      <c r="BF683" s="9"/>
      <c r="BG683" s="9"/>
      <c r="BH683" s="9"/>
      <c r="BI683" s="9"/>
      <c r="BJ683" s="9"/>
      <c r="BK683" s="9"/>
      <c r="BL683" s="9"/>
    </row>
    <row r="684" spans="1:64" ht="12.75" hidden="1" customHeight="1" outlineLevel="1">
      <c r="A684" s="9"/>
      <c r="B684" s="9"/>
      <c r="C684" s="9"/>
      <c r="D684" s="128" t="str">
        <f>Asset19</f>
        <v>Motor vehicles</v>
      </c>
      <c r="E684" s="9"/>
      <c r="F684" s="9"/>
      <c r="G684" s="191">
        <f t="shared" si="64"/>
        <v>3.2620766099458955</v>
      </c>
      <c r="H684" s="109">
        <f t="shared" si="64"/>
        <v>1.6572288517228282</v>
      </c>
      <c r="I684" s="109">
        <f t="shared" ref="I684:Q684" si="82">I456*I$6</f>
        <v>3.0001286789851869</v>
      </c>
      <c r="J684" s="109">
        <f t="shared" si="82"/>
        <v>4.0792386078125009</v>
      </c>
      <c r="K684" s="109">
        <f t="shared" si="82"/>
        <v>2.3941891875434509</v>
      </c>
      <c r="L684" s="109">
        <f t="shared" si="82"/>
        <v>3.1786724332365206</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9"/>
      <c r="BE684" s="9"/>
      <c r="BF684" s="9"/>
      <c r="BG684" s="9"/>
      <c r="BH684" s="9"/>
      <c r="BI684" s="9"/>
      <c r="BJ684" s="9"/>
      <c r="BK684" s="9"/>
      <c r="BL684" s="9"/>
    </row>
    <row r="685" spans="1:64" ht="12.75" hidden="1" customHeight="1" outlineLevel="1">
      <c r="A685" s="9"/>
      <c r="B685" s="9"/>
      <c r="C685" s="9"/>
      <c r="D685" s="128" t="str">
        <f>Asset20</f>
        <v>Buildings</v>
      </c>
      <c r="E685" s="9"/>
      <c r="F685" s="9"/>
      <c r="G685" s="191">
        <f t="shared" si="64"/>
        <v>2.7378907829804469</v>
      </c>
      <c r="H685" s="109">
        <f t="shared" si="64"/>
        <v>2.2623395093719925</v>
      </c>
      <c r="I685" s="109">
        <f t="shared" ref="I685:Q685" si="83">I457*I$6</f>
        <v>5.3566868184819114</v>
      </c>
      <c r="J685" s="109">
        <f t="shared" si="83"/>
        <v>7.8379451929800785</v>
      </c>
      <c r="K685" s="109">
        <f t="shared" si="83"/>
        <v>4.6347972330479639</v>
      </c>
      <c r="L685" s="109">
        <f t="shared" si="83"/>
        <v>6.8079146818156282</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9"/>
      <c r="BE685" s="9"/>
      <c r="BF685" s="9"/>
      <c r="BG685" s="9"/>
      <c r="BH685" s="9"/>
      <c r="BI685" s="9"/>
      <c r="BJ685" s="9"/>
      <c r="BK685" s="9"/>
      <c r="BL685" s="9"/>
    </row>
    <row r="686" spans="1:64" hidden="1" outlineLevel="1">
      <c r="A686" s="9"/>
      <c r="B686" s="9"/>
      <c r="C686" s="9"/>
      <c r="D686" s="128" t="str">
        <f>Asset21</f>
        <v>Equity raising costs</v>
      </c>
      <c r="E686" s="9"/>
      <c r="F686" s="9"/>
      <c r="G686" s="191">
        <f t="shared" si="64"/>
        <v>0</v>
      </c>
      <c r="H686" s="109">
        <f t="shared" si="64"/>
        <v>0</v>
      </c>
      <c r="I686" s="109">
        <f t="shared" ref="I686:Q686" si="84">I458*I$6</f>
        <v>0.7680501940648522</v>
      </c>
      <c r="J686" s="109">
        <f t="shared" si="84"/>
        <v>0.92132003551529351</v>
      </c>
      <c r="K686" s="109">
        <f t="shared" si="84"/>
        <v>0.48490886542081557</v>
      </c>
      <c r="L686" s="109">
        <f t="shared" si="84"/>
        <v>0.67070317376494948</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9"/>
      <c r="BE686" s="9"/>
      <c r="BF686" s="9"/>
      <c r="BG686" s="9"/>
      <c r="BH686" s="9"/>
      <c r="BI686" s="9"/>
      <c r="BJ686" s="9"/>
      <c r="BK686" s="9"/>
      <c r="BL686" s="9"/>
    </row>
    <row r="687" spans="1:64" ht="4.5" hidden="1" customHeight="1" outlineLevel="1">
      <c r="A687" s="9"/>
      <c r="B687" s="9"/>
      <c r="C687" s="9"/>
      <c r="D687" s="128">
        <f>Asset22</f>
        <v>0</v>
      </c>
      <c r="E687" s="9"/>
      <c r="F687" s="9"/>
      <c r="G687" s="191">
        <f t="shared" si="64"/>
        <v>11.18432345017086</v>
      </c>
      <c r="H687" s="109">
        <f t="shared" si="64"/>
        <v>0</v>
      </c>
      <c r="I687" s="109">
        <f t="shared" ref="I687:Q687" si="85">I459*I$6</f>
        <v>0</v>
      </c>
      <c r="J687" s="109">
        <f t="shared" si="85"/>
        <v>0</v>
      </c>
      <c r="K687" s="109">
        <f t="shared" si="85"/>
        <v>0</v>
      </c>
      <c r="L687" s="109">
        <f t="shared" si="85"/>
        <v>0</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9"/>
      <c r="BE687" s="9"/>
      <c r="BF687" s="9"/>
      <c r="BG687" s="9"/>
      <c r="BH687" s="9"/>
      <c r="BI687" s="9"/>
      <c r="BJ687" s="9"/>
      <c r="BK687" s="9"/>
      <c r="BL687" s="9"/>
    </row>
    <row r="688" spans="1:64" ht="4.5" hidden="1" customHeight="1" outlineLevel="1">
      <c r="A688" s="9"/>
      <c r="B688" s="9"/>
      <c r="C688" s="9"/>
      <c r="D688" s="128">
        <f>Asset23</f>
        <v>0</v>
      </c>
      <c r="E688" s="9"/>
      <c r="F688" s="9"/>
      <c r="G688" s="191">
        <f t="shared" si="64"/>
        <v>0</v>
      </c>
      <c r="H688" s="109">
        <f t="shared" si="64"/>
        <v>0</v>
      </c>
      <c r="I688" s="109">
        <f t="shared" ref="I688:Q688" si="86">I460*I$6</f>
        <v>0</v>
      </c>
      <c r="J688" s="109">
        <f t="shared" si="86"/>
        <v>0</v>
      </c>
      <c r="K688" s="109">
        <f t="shared" si="86"/>
        <v>0</v>
      </c>
      <c r="L688" s="109">
        <f t="shared" si="86"/>
        <v>0</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9"/>
      <c r="BE688" s="9"/>
      <c r="BF688" s="9"/>
      <c r="BG688" s="9"/>
      <c r="BH688" s="9"/>
      <c r="BI688" s="9"/>
      <c r="BJ688" s="9"/>
      <c r="BK688" s="9"/>
      <c r="BL688" s="9"/>
    </row>
    <row r="689" spans="1:64" ht="4.5" hidden="1" customHeight="1" outlineLevel="1">
      <c r="A689" s="9"/>
      <c r="B689" s="9"/>
      <c r="C689" s="9"/>
      <c r="D689" s="128">
        <f>Asset24</f>
        <v>0</v>
      </c>
      <c r="E689" s="9"/>
      <c r="F689" s="9"/>
      <c r="G689" s="191">
        <f t="shared" si="64"/>
        <v>0</v>
      </c>
      <c r="H689" s="109">
        <f t="shared" si="64"/>
        <v>0</v>
      </c>
      <c r="I689" s="109">
        <f t="shared" ref="I689:Q689" si="87">I461*I$6</f>
        <v>0</v>
      </c>
      <c r="J689" s="109">
        <f t="shared" si="87"/>
        <v>0</v>
      </c>
      <c r="K689" s="109">
        <f t="shared" si="87"/>
        <v>0</v>
      </c>
      <c r="L689" s="109">
        <f t="shared" si="87"/>
        <v>0</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9"/>
      <c r="BE689" s="9"/>
      <c r="BF689" s="9"/>
      <c r="BG689" s="9"/>
      <c r="BH689" s="9"/>
      <c r="BI689" s="9"/>
      <c r="BJ689" s="9"/>
      <c r="BK689" s="9"/>
      <c r="BL689" s="9"/>
    </row>
    <row r="690" spans="1:64" ht="4.5" hidden="1" customHeight="1" outlineLevel="1">
      <c r="A690" s="9"/>
      <c r="B690" s="9"/>
      <c r="C690" s="9"/>
      <c r="D690" s="128">
        <f>Asset25</f>
        <v>0</v>
      </c>
      <c r="E690" s="9"/>
      <c r="F690" s="9"/>
      <c r="G690" s="191">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9"/>
      <c r="BE690" s="9"/>
      <c r="BF690" s="9"/>
      <c r="BG690" s="9"/>
      <c r="BH690" s="9"/>
      <c r="BI690" s="9"/>
      <c r="BJ690" s="9"/>
      <c r="BK690" s="9"/>
      <c r="BL690" s="9"/>
    </row>
    <row r="691" spans="1:64" ht="4.5" hidden="1" customHeight="1" outlineLevel="1">
      <c r="A691" s="9"/>
      <c r="B691" s="9"/>
      <c r="C691" s="9"/>
      <c r="D691" s="128">
        <f>Asset26</f>
        <v>0</v>
      </c>
      <c r="E691" s="9"/>
      <c r="F691" s="9"/>
      <c r="G691" s="191">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9"/>
      <c r="BE691" s="9"/>
      <c r="BF691" s="9"/>
      <c r="BG691" s="9"/>
      <c r="BH691" s="9"/>
      <c r="BI691" s="9"/>
      <c r="BJ691" s="9"/>
      <c r="BK691" s="9"/>
      <c r="BL691" s="9"/>
    </row>
    <row r="692" spans="1:64" ht="4.5" hidden="1" customHeight="1" outlineLevel="1">
      <c r="A692" s="9"/>
      <c r="B692" s="9"/>
      <c r="C692" s="9"/>
      <c r="D692" s="128">
        <f>Asset27</f>
        <v>0</v>
      </c>
      <c r="E692" s="9"/>
      <c r="F692" s="9"/>
      <c r="G692" s="191">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9"/>
      <c r="BE692" s="9"/>
      <c r="BF692" s="9"/>
      <c r="BG692" s="9"/>
      <c r="BH692" s="9"/>
      <c r="BI692" s="9"/>
      <c r="BJ692" s="9"/>
      <c r="BK692" s="9"/>
      <c r="BL692" s="9"/>
    </row>
    <row r="693" spans="1:64" ht="4.5" hidden="1" customHeight="1" outlineLevel="1">
      <c r="A693" s="9"/>
      <c r="B693" s="9"/>
      <c r="C693" s="9"/>
      <c r="D693" s="128">
        <f>Asset28</f>
        <v>0</v>
      </c>
      <c r="E693" s="9"/>
      <c r="F693" s="9"/>
      <c r="G693" s="191">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9"/>
      <c r="BE693" s="9"/>
      <c r="BF693" s="9"/>
      <c r="BG693" s="9"/>
      <c r="BH693" s="9"/>
      <c r="BI693" s="9"/>
      <c r="BJ693" s="9"/>
      <c r="BK693" s="9"/>
      <c r="BL693" s="9"/>
    </row>
    <row r="694" spans="1:64" ht="4.5" hidden="1" customHeight="1" outlineLevel="1">
      <c r="A694" s="9"/>
      <c r="B694" s="9"/>
      <c r="C694" s="9"/>
      <c r="D694" s="128">
        <f>Asset29</f>
        <v>0</v>
      </c>
      <c r="E694" s="9"/>
      <c r="F694" s="9"/>
      <c r="G694" s="191">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9"/>
      <c r="BE694" s="9"/>
      <c r="BF694" s="9"/>
      <c r="BG694" s="9"/>
      <c r="BH694" s="9"/>
      <c r="BI694" s="9"/>
      <c r="BJ694" s="9"/>
      <c r="BK694" s="9"/>
      <c r="BL694" s="9"/>
    </row>
    <row r="695" spans="1:64" ht="4.5" hidden="1" customHeight="1" outlineLevel="1">
      <c r="A695" s="9"/>
      <c r="B695" s="9"/>
      <c r="C695" s="9"/>
      <c r="D695" s="128">
        <f>Asset30</f>
        <v>0</v>
      </c>
      <c r="E695" s="9"/>
      <c r="F695" s="9"/>
      <c r="G695" s="191">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9"/>
      <c r="BE695" s="9"/>
      <c r="BF695" s="9"/>
      <c r="BG695" s="9"/>
      <c r="BH695" s="9"/>
      <c r="BI695" s="9"/>
      <c r="BJ695" s="9"/>
      <c r="BK695" s="9"/>
      <c r="BL695" s="9"/>
    </row>
    <row r="696" spans="1:64" collapsed="1">
      <c r="A696" s="9"/>
      <c r="B696" s="9"/>
      <c r="C696" s="9"/>
      <c r="D696" s="9"/>
      <c r="E696" s="9"/>
      <c r="F696" s="9"/>
      <c r="G696" s="191"/>
      <c r="H696" s="109"/>
      <c r="I696" s="109"/>
      <c r="J696" s="109"/>
      <c r="K696" s="109"/>
      <c r="L696" s="109"/>
      <c r="M696" s="109"/>
      <c r="N696" s="109"/>
      <c r="O696" s="109"/>
      <c r="P696" s="109"/>
      <c r="Q696" s="109"/>
      <c r="R696" s="9"/>
      <c r="S696" s="9"/>
      <c r="T696" s="9"/>
      <c r="U696" s="9"/>
      <c r="V696" s="9"/>
      <c r="W696" s="9"/>
      <c r="X696" s="9"/>
      <c r="Y696" s="9"/>
      <c r="Z696" s="9"/>
      <c r="AA696" s="9"/>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9"/>
      <c r="BE696" s="9"/>
      <c r="BF696" s="9"/>
      <c r="BG696" s="9"/>
      <c r="BH696" s="9"/>
      <c r="BI696" s="9"/>
      <c r="BJ696" s="9"/>
      <c r="BK696" s="9"/>
      <c r="BL696" s="9"/>
    </row>
    <row r="697" spans="1:64">
      <c r="A697" s="9"/>
      <c r="B697" s="9"/>
      <c r="C697" s="345" t="s">
        <v>158</v>
      </c>
      <c r="D697" s="346"/>
      <c r="E697" s="346"/>
      <c r="F697" s="346"/>
      <c r="G697" s="346"/>
      <c r="H697" s="346">
        <f>SUM(H698:H707)</f>
        <v>268.13907093446136</v>
      </c>
      <c r="I697" s="356">
        <f>SUM(I698:I718)</f>
        <v>1</v>
      </c>
      <c r="J697" s="9"/>
      <c r="K697" s="9"/>
      <c r="L697" s="9"/>
      <c r="M697" s="9"/>
      <c r="N697" s="9"/>
      <c r="O697" s="9"/>
      <c r="P697" s="9"/>
      <c r="Q697" s="9"/>
      <c r="R697" s="9"/>
      <c r="S697" s="9"/>
      <c r="T697" s="9"/>
      <c r="U697" s="9"/>
      <c r="V697" s="9"/>
      <c r="W697" s="9"/>
      <c r="X697" s="9"/>
      <c r="Y697" s="9"/>
      <c r="Z697" s="9"/>
      <c r="AA697" s="9"/>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9"/>
      <c r="BE697" s="9"/>
      <c r="BF697" s="9"/>
      <c r="BG697" s="9"/>
      <c r="BH697" s="9"/>
      <c r="BI697" s="9"/>
      <c r="BJ697" s="9"/>
      <c r="BK697" s="9"/>
      <c r="BL697" s="9"/>
    </row>
    <row r="698" spans="1:64" hidden="1" outlineLevel="1">
      <c r="A698" s="9"/>
      <c r="B698" s="9"/>
      <c r="C698" s="346"/>
      <c r="D698" s="347" t="str">
        <f>Asset1</f>
        <v>Sub-transmission lines and cables</v>
      </c>
      <c r="E698" s="346"/>
      <c r="F698" s="346"/>
      <c r="G698" s="346"/>
      <c r="H698" s="346">
        <v>27.995473990802182</v>
      </c>
      <c r="I698" s="356">
        <f>H698/$H$697</f>
        <v>0.10440654505603492</v>
      </c>
      <c r="J698" s="9"/>
      <c r="K698" s="9"/>
      <c r="L698" s="9"/>
      <c r="M698" s="9"/>
      <c r="N698" s="9"/>
      <c r="O698" s="9"/>
      <c r="P698" s="9"/>
      <c r="Q698" s="9"/>
      <c r="R698" s="9"/>
      <c r="S698" s="9"/>
      <c r="T698" s="9"/>
      <c r="U698" s="9"/>
      <c r="V698" s="9"/>
      <c r="W698" s="9"/>
      <c r="X698" s="9"/>
      <c r="Y698" s="9"/>
      <c r="Z698" s="9"/>
      <c r="AA698" s="9"/>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9"/>
      <c r="BE698" s="9"/>
      <c r="BF698" s="9"/>
      <c r="BG698" s="9"/>
      <c r="BH698" s="9"/>
      <c r="BI698" s="9"/>
      <c r="BJ698" s="9"/>
      <c r="BK698" s="9"/>
      <c r="BL698" s="9"/>
    </row>
    <row r="699" spans="1:64" hidden="1" outlineLevel="1">
      <c r="A699" s="9"/>
      <c r="B699" s="9"/>
      <c r="C699" s="346"/>
      <c r="D699" s="347" t="str">
        <f>Asset2</f>
        <v>Cable tunnel (dx)</v>
      </c>
      <c r="E699" s="346"/>
      <c r="F699" s="346"/>
      <c r="G699" s="346"/>
      <c r="H699" s="346">
        <v>3.013100205789784</v>
      </c>
      <c r="I699" s="356">
        <f t="shared" ref="I699:I718" si="94">H699/$H$697</f>
        <v>1.1237080054350777E-2</v>
      </c>
      <c r="J699" s="9"/>
      <c r="K699" s="9"/>
      <c r="L699" s="9"/>
      <c r="M699" s="9"/>
      <c r="N699" s="9"/>
      <c r="O699" s="9"/>
      <c r="P699" s="9"/>
      <c r="Q699" s="9"/>
      <c r="R699" s="9"/>
      <c r="S699" s="9"/>
      <c r="T699" s="9"/>
      <c r="U699" s="9"/>
      <c r="V699" s="9"/>
      <c r="W699" s="9"/>
      <c r="X699" s="9"/>
      <c r="Y699" s="9"/>
      <c r="Z699" s="9"/>
      <c r="AA699" s="9"/>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9"/>
      <c r="BE699" s="9"/>
      <c r="BF699" s="9"/>
      <c r="BG699" s="9"/>
      <c r="BH699" s="9"/>
      <c r="BI699" s="9"/>
      <c r="BJ699" s="9"/>
      <c r="BK699" s="9"/>
      <c r="BL699" s="9"/>
    </row>
    <row r="700" spans="1:64" hidden="1" outlineLevel="1">
      <c r="A700" s="9"/>
      <c r="B700" s="9"/>
      <c r="C700" s="346"/>
      <c r="D700" s="347" t="str">
        <f>Asset3</f>
        <v>Distribution lines and cables</v>
      </c>
      <c r="E700" s="346"/>
      <c r="F700" s="346"/>
      <c r="G700" s="346"/>
      <c r="H700" s="346">
        <v>85.449805456629733</v>
      </c>
      <c r="I700" s="356">
        <f t="shared" si="94"/>
        <v>0.3186771892616701</v>
      </c>
      <c r="J700" s="9"/>
      <c r="K700" s="9"/>
      <c r="L700" s="9"/>
      <c r="M700" s="9"/>
      <c r="N700" s="9"/>
      <c r="O700" s="9"/>
      <c r="P700" s="9"/>
      <c r="Q700" s="9"/>
      <c r="R700" s="9"/>
      <c r="S700" s="9"/>
      <c r="T700" s="9"/>
      <c r="U700" s="9"/>
      <c r="V700" s="9"/>
      <c r="W700" s="9"/>
      <c r="X700" s="9"/>
      <c r="Y700" s="9"/>
      <c r="Z700" s="9"/>
      <c r="AA700" s="9"/>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9"/>
      <c r="BE700" s="9"/>
      <c r="BF700" s="9"/>
      <c r="BG700" s="9"/>
      <c r="BH700" s="9"/>
      <c r="BI700" s="9"/>
      <c r="BJ700" s="9"/>
      <c r="BK700" s="9"/>
      <c r="BL700" s="9"/>
    </row>
    <row r="701" spans="1:64" hidden="1" outlineLevel="1">
      <c r="A701" s="9"/>
      <c r="B701" s="9"/>
      <c r="C701" s="346"/>
      <c r="D701" s="347" t="str">
        <f>Asset4</f>
        <v>Substations</v>
      </c>
      <c r="E701" s="346"/>
      <c r="F701" s="346"/>
      <c r="G701" s="346"/>
      <c r="H701" s="346">
        <v>91.285085290485043</v>
      </c>
      <c r="I701" s="356">
        <f t="shared" si="94"/>
        <v>0.3404393286377761</v>
      </c>
      <c r="J701" s="9"/>
      <c r="K701" s="9"/>
      <c r="L701" s="9"/>
      <c r="M701" s="9"/>
      <c r="N701" s="9"/>
      <c r="O701" s="9"/>
      <c r="P701" s="9"/>
      <c r="Q701" s="9"/>
      <c r="R701" s="9"/>
      <c r="S701" s="9"/>
      <c r="T701" s="9"/>
      <c r="U701" s="9"/>
      <c r="V701" s="9"/>
      <c r="W701" s="9"/>
      <c r="X701" s="9"/>
      <c r="Y701" s="9"/>
      <c r="Z701" s="9"/>
      <c r="AA701" s="9"/>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9"/>
      <c r="BE701" s="9"/>
      <c r="BF701" s="9"/>
      <c r="BG701" s="9"/>
      <c r="BH701" s="9"/>
      <c r="BI701" s="9"/>
      <c r="BJ701" s="9"/>
      <c r="BK701" s="9"/>
      <c r="BL701" s="9"/>
    </row>
    <row r="702" spans="1:64" hidden="1" outlineLevel="1">
      <c r="A702" s="9"/>
      <c r="B702" s="9"/>
      <c r="C702" s="346"/>
      <c r="D702" s="347" t="str">
        <f>Asset5</f>
        <v>Transformers</v>
      </c>
      <c r="E702" s="346"/>
      <c r="F702" s="346"/>
      <c r="G702" s="346"/>
      <c r="H702" s="346">
        <v>20.828472568068101</v>
      </c>
      <c r="I702" s="356">
        <f t="shared" si="94"/>
        <v>7.7677872513994814E-2</v>
      </c>
      <c r="J702" s="9"/>
      <c r="K702" s="9"/>
      <c r="L702" s="9"/>
      <c r="M702" s="9"/>
      <c r="N702" s="9"/>
      <c r="O702" s="9"/>
      <c r="P702" s="9"/>
      <c r="Q702" s="9"/>
      <c r="R702" s="9"/>
      <c r="S702" s="9"/>
      <c r="T702" s="9"/>
      <c r="U702" s="9"/>
      <c r="V702" s="9"/>
      <c r="W702" s="9"/>
      <c r="X702" s="9"/>
      <c r="Y702" s="9"/>
      <c r="Z702" s="9"/>
      <c r="AA702" s="9"/>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9"/>
      <c r="BE702" s="9"/>
      <c r="BF702" s="9"/>
      <c r="BG702" s="9"/>
      <c r="BH702" s="9"/>
      <c r="BI702" s="9"/>
      <c r="BJ702" s="9"/>
      <c r="BK702" s="9"/>
      <c r="BL702" s="9"/>
    </row>
    <row r="703" spans="1:64" hidden="1" outlineLevel="1">
      <c r="A703" s="9"/>
      <c r="B703" s="9"/>
      <c r="C703" s="346"/>
      <c r="D703" s="347" t="str">
        <f>Asset6</f>
        <v>Low Voltage Lines and Cables</v>
      </c>
      <c r="E703" s="346"/>
      <c r="F703" s="346"/>
      <c r="G703" s="346"/>
      <c r="H703" s="346">
        <v>33.741272334456653</v>
      </c>
      <c r="I703" s="356">
        <f t="shared" si="94"/>
        <v>0.12583497144548436</v>
      </c>
      <c r="J703" s="9"/>
      <c r="K703" s="9"/>
      <c r="L703" s="9"/>
      <c r="M703" s="9"/>
      <c r="N703" s="9"/>
      <c r="O703" s="9"/>
      <c r="P703" s="9"/>
      <c r="Q703" s="9"/>
      <c r="R703" s="9"/>
      <c r="S703" s="9"/>
      <c r="T703" s="9"/>
      <c r="U703" s="9"/>
      <c r="V703" s="9"/>
      <c r="W703" s="9"/>
      <c r="X703" s="9"/>
      <c r="Y703" s="9"/>
      <c r="Z703" s="9"/>
      <c r="AA703" s="9"/>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9"/>
      <c r="BE703" s="9"/>
      <c r="BF703" s="9"/>
      <c r="BG703" s="9"/>
      <c r="BH703" s="9"/>
      <c r="BI703" s="9"/>
      <c r="BJ703" s="9"/>
      <c r="BK703" s="9"/>
      <c r="BL703" s="9"/>
    </row>
    <row r="704" spans="1:64" hidden="1" outlineLevel="1">
      <c r="A704" s="9"/>
      <c r="B704" s="9"/>
      <c r="C704" s="346"/>
      <c r="D704" s="347" t="str">
        <f>Asset7</f>
        <v>Customer Metering and Load Control</v>
      </c>
      <c r="E704" s="346"/>
      <c r="F704" s="346"/>
      <c r="G704" s="346"/>
      <c r="H704" s="348">
        <v>0</v>
      </c>
      <c r="I704" s="356">
        <f t="shared" si="94"/>
        <v>0</v>
      </c>
      <c r="J704" s="9"/>
      <c r="K704" s="9"/>
      <c r="L704" s="9"/>
      <c r="M704" s="9"/>
      <c r="N704" s="9"/>
      <c r="O704" s="9"/>
      <c r="P704" s="9"/>
      <c r="Q704" s="9"/>
      <c r="R704" s="9"/>
      <c r="S704" s="9"/>
      <c r="T704" s="9"/>
      <c r="U704" s="9"/>
      <c r="V704" s="9"/>
      <c r="W704" s="9"/>
      <c r="X704" s="9"/>
      <c r="Y704" s="9"/>
      <c r="Z704" s="9"/>
      <c r="AA704" s="9"/>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9"/>
      <c r="BE704" s="9"/>
      <c r="BF704" s="9"/>
      <c r="BG704" s="9"/>
      <c r="BH704" s="9"/>
      <c r="BI704" s="9"/>
      <c r="BJ704" s="9"/>
      <c r="BK704" s="9"/>
      <c r="BL704" s="9"/>
    </row>
    <row r="705" spans="1:64" hidden="1" outlineLevel="1">
      <c r="A705" s="9"/>
      <c r="B705" s="9"/>
      <c r="C705" s="346"/>
      <c r="D705" s="347" t="str">
        <f>Asset8</f>
        <v>Customer Metering (digital)</v>
      </c>
      <c r="E705" s="346"/>
      <c r="F705" s="346"/>
      <c r="G705" s="346"/>
      <c r="H705" s="346">
        <v>0</v>
      </c>
      <c r="I705" s="356">
        <f t="shared" si="94"/>
        <v>0</v>
      </c>
      <c r="J705" s="9"/>
      <c r="K705" s="9"/>
      <c r="L705" s="9"/>
      <c r="M705" s="9"/>
      <c r="N705" s="9"/>
      <c r="O705" s="9"/>
      <c r="P705" s="9"/>
      <c r="Q705" s="9"/>
      <c r="R705" s="9"/>
      <c r="S705" s="9"/>
      <c r="T705" s="9"/>
      <c r="U705" s="9"/>
      <c r="V705" s="9"/>
      <c r="W705" s="9"/>
      <c r="X705" s="9"/>
      <c r="Y705" s="9"/>
      <c r="Z705" s="9"/>
      <c r="AA705" s="9"/>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9"/>
      <c r="BE705" s="9"/>
      <c r="BF705" s="9"/>
      <c r="BG705" s="9"/>
      <c r="BH705" s="9"/>
      <c r="BI705" s="9"/>
      <c r="BJ705" s="9"/>
      <c r="BK705" s="9"/>
      <c r="BL705" s="9"/>
    </row>
    <row r="706" spans="1:64" hidden="1" outlineLevel="1">
      <c r="A706" s="9"/>
      <c r="B706" s="9"/>
      <c r="C706" s="346"/>
      <c r="D706" s="347" t="str">
        <f>Asset9</f>
        <v>Communications (digital) - dx</v>
      </c>
      <c r="E706" s="346"/>
      <c r="F706" s="346"/>
      <c r="G706" s="346"/>
      <c r="H706" s="346">
        <v>0</v>
      </c>
      <c r="I706" s="356">
        <f t="shared" si="94"/>
        <v>0</v>
      </c>
      <c r="J706" s="9"/>
      <c r="K706" s="9"/>
      <c r="L706" s="9"/>
      <c r="M706" s="9"/>
      <c r="N706" s="9"/>
      <c r="O706" s="9"/>
      <c r="P706" s="9"/>
      <c r="Q706" s="9"/>
      <c r="R706" s="9"/>
      <c r="S706" s="9"/>
      <c r="T706" s="9"/>
      <c r="U706" s="9"/>
      <c r="V706" s="9"/>
      <c r="W706" s="9"/>
      <c r="X706" s="9"/>
      <c r="Y706" s="9"/>
      <c r="Z706" s="9"/>
      <c r="AA706" s="9"/>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9"/>
      <c r="BE706" s="9"/>
      <c r="BF706" s="9"/>
      <c r="BG706" s="9"/>
      <c r="BH706" s="9"/>
      <c r="BI706" s="9"/>
      <c r="BJ706" s="9"/>
      <c r="BK706" s="9"/>
      <c r="BL706" s="9"/>
    </row>
    <row r="707" spans="1:64" hidden="1" outlineLevel="1">
      <c r="A707" s="9"/>
      <c r="B707" s="9"/>
      <c r="C707" s="346"/>
      <c r="D707" s="347" t="str">
        <f>Asset10</f>
        <v>Total Communications</v>
      </c>
      <c r="E707" s="346"/>
      <c r="F707" s="346"/>
      <c r="G707" s="346"/>
      <c r="H707" s="346">
        <v>5.82586108822988</v>
      </c>
      <c r="I707" s="356">
        <f t="shared" si="94"/>
        <v>2.1727013030688986E-2</v>
      </c>
      <c r="J707" s="9"/>
      <c r="K707" s="9"/>
      <c r="L707" s="9"/>
      <c r="M707" s="9"/>
      <c r="N707" s="9"/>
      <c r="O707" s="9"/>
      <c r="P707" s="9"/>
      <c r="Q707" s="9"/>
      <c r="R707" s="9"/>
      <c r="S707" s="9"/>
      <c r="T707" s="9"/>
      <c r="U707" s="9"/>
      <c r="V707" s="9"/>
      <c r="W707" s="9"/>
      <c r="X707" s="9"/>
      <c r="Y707" s="9"/>
      <c r="Z707" s="9"/>
      <c r="AA707" s="9"/>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9"/>
      <c r="BE707" s="9"/>
      <c r="BF707" s="9"/>
      <c r="BG707" s="9"/>
      <c r="BH707" s="9"/>
      <c r="BI707" s="9"/>
      <c r="BJ707" s="9"/>
      <c r="BK707" s="9"/>
      <c r="BL707" s="9"/>
    </row>
    <row r="708" spans="1:64" hidden="1" outlineLevel="1">
      <c r="A708" s="9"/>
      <c r="B708" s="9"/>
      <c r="C708" s="346"/>
      <c r="D708" s="347" t="str">
        <f>Asset11</f>
        <v>System IT (dx)</v>
      </c>
      <c r="E708" s="346"/>
      <c r="F708" s="346"/>
      <c r="G708" s="346"/>
      <c r="H708" s="346">
        <v>0</v>
      </c>
      <c r="I708" s="356">
        <f t="shared" si="94"/>
        <v>0</v>
      </c>
      <c r="J708" s="9"/>
      <c r="K708" s="9"/>
      <c r="L708" s="9"/>
      <c r="M708" s="9"/>
      <c r="N708" s="9"/>
      <c r="O708" s="9"/>
      <c r="P708" s="9"/>
      <c r="Q708" s="9"/>
      <c r="R708" s="9"/>
      <c r="S708" s="9"/>
      <c r="T708" s="9"/>
      <c r="U708" s="9"/>
      <c r="V708" s="9"/>
      <c r="W708" s="9"/>
      <c r="X708" s="9"/>
      <c r="Y708" s="9"/>
      <c r="Z708" s="9"/>
      <c r="AA708" s="9"/>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9"/>
      <c r="BE708" s="9"/>
      <c r="BF708" s="9"/>
      <c r="BG708" s="9"/>
      <c r="BH708" s="9"/>
      <c r="BI708" s="9"/>
      <c r="BJ708" s="9"/>
      <c r="BK708" s="9"/>
      <c r="BL708" s="9"/>
    </row>
    <row r="709" spans="1:64" hidden="1" outlineLevel="1">
      <c r="A709" s="9"/>
      <c r="B709" s="9"/>
      <c r="C709" s="346"/>
      <c r="D709" s="347" t="str">
        <f>Asset12</f>
        <v>Ancillary substation equipment (dx)</v>
      </c>
      <c r="E709" s="346"/>
      <c r="F709" s="346"/>
      <c r="G709" s="346"/>
      <c r="H709" s="346">
        <v>0</v>
      </c>
      <c r="I709" s="356">
        <f t="shared" si="94"/>
        <v>0</v>
      </c>
      <c r="J709" s="9"/>
      <c r="K709" s="9"/>
      <c r="L709" s="9"/>
      <c r="M709" s="9"/>
      <c r="N709" s="9"/>
      <c r="O709" s="9"/>
      <c r="P709" s="9"/>
      <c r="Q709" s="9"/>
      <c r="R709" s="9"/>
      <c r="S709" s="9"/>
      <c r="T709" s="9"/>
      <c r="U709" s="9"/>
      <c r="V709" s="9"/>
      <c r="W709" s="9"/>
      <c r="X709" s="9"/>
      <c r="Y709" s="9"/>
      <c r="Z709" s="9"/>
      <c r="AA709" s="9"/>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9"/>
      <c r="BE709" s="9"/>
      <c r="BF709" s="9"/>
      <c r="BG709" s="9"/>
      <c r="BH709" s="9"/>
      <c r="BI709" s="9"/>
      <c r="BJ709" s="9"/>
      <c r="BK709" s="9"/>
      <c r="BL709" s="9"/>
    </row>
    <row r="710" spans="1:64" hidden="1" outlineLevel="1">
      <c r="A710" s="185"/>
      <c r="B710" s="185"/>
      <c r="C710" s="346"/>
      <c r="D710" s="347" t="str">
        <f>Asset13</f>
        <v>Land and Easements</v>
      </c>
      <c r="E710" s="346"/>
      <c r="F710" s="346"/>
      <c r="G710" s="346"/>
      <c r="H710" s="346">
        <v>0</v>
      </c>
      <c r="I710" s="356">
        <f t="shared" si="94"/>
        <v>0</v>
      </c>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9"/>
      <c r="BE710" s="9"/>
      <c r="BF710" s="9"/>
      <c r="BG710" s="9"/>
      <c r="BH710" s="9"/>
      <c r="BI710" s="9"/>
      <c r="BJ710" s="9"/>
      <c r="BK710" s="9"/>
      <c r="BL710" s="9"/>
    </row>
    <row r="711" spans="1:64" hidden="1" outlineLevel="1">
      <c r="B711" s="185"/>
      <c r="C711" s="346"/>
      <c r="D711" s="347" t="str">
        <f>Asset14</f>
        <v>Emergency Spares (Major Plant, Excludes Inventory)</v>
      </c>
      <c r="E711" s="346"/>
      <c r="F711" s="346"/>
      <c r="G711" s="346"/>
      <c r="H711" s="346">
        <v>0</v>
      </c>
      <c r="I711" s="356">
        <f t="shared" si="94"/>
        <v>0</v>
      </c>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9"/>
      <c r="BE711" s="9"/>
      <c r="BF711" s="9"/>
      <c r="BG711" s="9"/>
      <c r="BH711" s="9"/>
      <c r="BI711" s="9"/>
      <c r="BJ711" s="9"/>
      <c r="BK711" s="9"/>
      <c r="BL711" s="9"/>
    </row>
    <row r="712" spans="1:64" hidden="1" outlineLevel="1">
      <c r="B712" s="185"/>
      <c r="C712" s="346"/>
      <c r="D712" s="347" t="str">
        <f>Asset15</f>
        <v>Furniture, fittings, plant and equipment</v>
      </c>
      <c r="E712" s="346"/>
      <c r="F712" s="346"/>
      <c r="G712" s="346"/>
      <c r="H712" s="346">
        <v>0</v>
      </c>
      <c r="I712" s="356">
        <f t="shared" si="94"/>
        <v>0</v>
      </c>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9"/>
      <c r="BE712" s="9"/>
      <c r="BF712" s="9"/>
      <c r="BG712" s="9"/>
      <c r="BH712" s="9"/>
      <c r="BI712" s="9"/>
      <c r="BJ712" s="9"/>
      <c r="BK712" s="9"/>
      <c r="BL712" s="9"/>
    </row>
    <row r="713" spans="1:64" hidden="1" outlineLevel="1">
      <c r="B713" s="185"/>
      <c r="C713" s="346"/>
      <c r="D713" s="347" t="str">
        <f>Asset16</f>
        <v>Land (non-system)</v>
      </c>
      <c r="E713" s="346"/>
      <c r="F713" s="346"/>
      <c r="G713" s="346"/>
      <c r="H713" s="346">
        <v>0</v>
      </c>
      <c r="I713" s="356">
        <f t="shared" si="94"/>
        <v>0</v>
      </c>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9"/>
      <c r="BE713" s="9"/>
      <c r="BF713" s="9"/>
      <c r="BG713" s="9"/>
      <c r="BH713" s="9"/>
      <c r="BI713" s="9"/>
      <c r="BJ713" s="9"/>
      <c r="BK713" s="9"/>
      <c r="BL713" s="9"/>
    </row>
    <row r="714" spans="1:64" hidden="1" outlineLevel="1">
      <c r="B714" s="185"/>
      <c r="C714" s="346"/>
      <c r="D714" s="347" t="str">
        <f>Asset17</f>
        <v>Other non system assets</v>
      </c>
      <c r="E714" s="346"/>
      <c r="F714" s="346"/>
      <c r="G714" s="346"/>
      <c r="H714" s="346">
        <v>0</v>
      </c>
      <c r="I714" s="356">
        <f t="shared" si="94"/>
        <v>0</v>
      </c>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9"/>
      <c r="BE714" s="9"/>
      <c r="BF714" s="9"/>
      <c r="BG714" s="9"/>
      <c r="BH714" s="9"/>
      <c r="BI714" s="9"/>
      <c r="BJ714" s="9"/>
      <c r="BK714" s="9"/>
      <c r="BL714" s="9"/>
    </row>
    <row r="715" spans="1:64" hidden="1" outlineLevel="1">
      <c r="B715" s="185"/>
      <c r="C715" s="346"/>
      <c r="D715" s="347" t="str">
        <f>Asset18</f>
        <v>IT systems</v>
      </c>
      <c r="E715" s="346"/>
      <c r="F715" s="346"/>
      <c r="G715" s="346"/>
      <c r="H715" s="346">
        <v>0</v>
      </c>
      <c r="I715" s="356">
        <f t="shared" si="94"/>
        <v>0</v>
      </c>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9"/>
      <c r="BE715" s="9"/>
      <c r="BF715" s="9"/>
      <c r="BG715" s="9"/>
      <c r="BH715" s="9"/>
      <c r="BI715" s="9"/>
      <c r="BJ715" s="9"/>
      <c r="BK715" s="9"/>
      <c r="BL715" s="9"/>
    </row>
    <row r="716" spans="1:64" hidden="1" outlineLevel="1">
      <c r="B716" s="185"/>
      <c r="C716" s="346"/>
      <c r="D716" s="347" t="str">
        <f>Asset19</f>
        <v>Motor vehicles</v>
      </c>
      <c r="E716" s="346"/>
      <c r="F716" s="346"/>
      <c r="G716" s="346"/>
      <c r="H716" s="346">
        <v>0</v>
      </c>
      <c r="I716" s="356">
        <f t="shared" si="94"/>
        <v>0</v>
      </c>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9"/>
      <c r="BE716" s="9"/>
      <c r="BF716" s="9"/>
      <c r="BG716" s="9"/>
      <c r="BH716" s="9"/>
      <c r="BI716" s="9"/>
      <c r="BJ716" s="9"/>
      <c r="BK716" s="9"/>
      <c r="BL716" s="9"/>
    </row>
    <row r="717" spans="1:64" hidden="1" outlineLevel="1">
      <c r="B717" s="185"/>
      <c r="C717" s="346"/>
      <c r="D717" s="347" t="str">
        <f>Asset20</f>
        <v>Buildings</v>
      </c>
      <c r="E717" s="346"/>
      <c r="F717" s="346"/>
      <c r="G717" s="346"/>
      <c r="H717" s="346">
        <v>0</v>
      </c>
      <c r="I717" s="356">
        <f t="shared" si="94"/>
        <v>0</v>
      </c>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9"/>
      <c r="BE717" s="9"/>
      <c r="BF717" s="9"/>
      <c r="BG717" s="9"/>
      <c r="BH717" s="9"/>
      <c r="BI717" s="9"/>
      <c r="BJ717" s="9"/>
      <c r="BK717" s="9"/>
      <c r="BL717" s="9"/>
    </row>
    <row r="718" spans="1:64" hidden="1" outlineLevel="1">
      <c r="B718" s="185"/>
      <c r="C718" s="346"/>
      <c r="D718" s="347" t="str">
        <f>Asset21</f>
        <v>Equity raising costs</v>
      </c>
      <c r="E718" s="346"/>
      <c r="F718" s="346"/>
      <c r="G718" s="346"/>
      <c r="H718" s="346">
        <v>0</v>
      </c>
      <c r="I718" s="356">
        <f t="shared" si="94"/>
        <v>0</v>
      </c>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9"/>
      <c r="BE718" s="9"/>
      <c r="BF718" s="9"/>
      <c r="BG718" s="9"/>
      <c r="BH718" s="9"/>
      <c r="BI718" s="9"/>
      <c r="BJ718" s="9"/>
      <c r="BK718" s="9"/>
      <c r="BL718" s="9"/>
    </row>
    <row r="719" spans="1:64" hidden="1" outlineLevel="1">
      <c r="B719" s="185"/>
      <c r="C719" s="346"/>
      <c r="D719" s="347" t="s">
        <v>151</v>
      </c>
      <c r="E719" s="346"/>
      <c r="F719" s="346"/>
      <c r="G719" s="346"/>
      <c r="H719" s="346">
        <v>-268.13907093446136</v>
      </c>
      <c r="I719" s="346"/>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9"/>
      <c r="BE719" s="9"/>
      <c r="BF719" s="9"/>
      <c r="BG719" s="9"/>
      <c r="BH719" s="9"/>
      <c r="BI719" s="9"/>
      <c r="BJ719" s="9"/>
      <c r="BK719" s="9"/>
      <c r="BL719" s="9"/>
    </row>
    <row r="720" spans="1:64" collapsed="1">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9"/>
      <c r="BE720" s="9"/>
      <c r="BF720" s="9"/>
      <c r="BG720" s="9"/>
      <c r="BH720" s="9"/>
      <c r="BI720" s="9"/>
      <c r="BJ720" s="9"/>
      <c r="BK720" s="9"/>
      <c r="BL720" s="9"/>
    </row>
    <row r="721" spans="2:64">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9"/>
      <c r="BE721" s="9"/>
      <c r="BF721" s="9"/>
      <c r="BG721" s="9"/>
      <c r="BH721" s="9"/>
      <c r="BI721" s="9"/>
      <c r="BJ721" s="9"/>
      <c r="BK721" s="9"/>
      <c r="BL721" s="9"/>
    </row>
    <row r="722" spans="2:64">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9"/>
      <c r="BE722" s="9"/>
      <c r="BF722" s="9"/>
      <c r="BG722" s="9"/>
      <c r="BH722" s="9"/>
      <c r="BI722" s="9"/>
      <c r="BJ722" s="9"/>
      <c r="BK722" s="9"/>
      <c r="BL722" s="9"/>
    </row>
    <row r="723" spans="2:64">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9"/>
      <c r="BE723" s="9"/>
      <c r="BF723" s="9"/>
      <c r="BG723" s="9"/>
      <c r="BH723" s="9"/>
      <c r="BI723" s="9"/>
      <c r="BJ723" s="9"/>
      <c r="BK723" s="9"/>
      <c r="BL723" s="9"/>
    </row>
    <row r="724" spans="2:64">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9"/>
      <c r="BE724" s="9"/>
      <c r="BF724" s="9"/>
      <c r="BG724" s="9"/>
      <c r="BH724" s="9"/>
      <c r="BI724" s="9"/>
      <c r="BJ724" s="9"/>
      <c r="BK724" s="9"/>
      <c r="BL724" s="9"/>
    </row>
    <row r="725" spans="2:64">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9"/>
      <c r="BE725" s="9"/>
      <c r="BF725" s="9"/>
      <c r="BG725" s="9"/>
      <c r="BH725" s="9"/>
      <c r="BI725" s="9"/>
      <c r="BJ725" s="9"/>
      <c r="BK725" s="9"/>
      <c r="BL725" s="9"/>
    </row>
    <row r="726" spans="2:64">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row>
    <row r="727" spans="2:64">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row>
    <row r="728" spans="2:64">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row>
    <row r="729" spans="2:64">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row>
    <row r="730" spans="2:64">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row>
    <row r="731" spans="2:64">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row>
    <row r="732" spans="2:64">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row>
    <row r="733" spans="2:64">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row>
    <row r="734" spans="2:64">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row>
    <row r="735" spans="2:64">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row>
    <row r="736" spans="2:64">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row>
    <row r="737" spans="2:5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row>
    <row r="738" spans="2:5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row>
    <row r="739" spans="2:5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row>
    <row r="740" spans="2:5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row>
    <row r="741" spans="2:5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row>
    <row r="742" spans="2:5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row>
    <row r="743" spans="2:5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row>
    <row r="744" spans="2:5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row>
    <row r="745" spans="2:5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row>
    <row r="746" spans="2:5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row>
    <row r="747" spans="2:5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row>
    <row r="748" spans="2:5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row>
    <row r="749" spans="2:5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row>
    <row r="750" spans="2:5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row>
    <row r="751" spans="2:5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row>
    <row r="752" spans="2:5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row>
    <row r="753" spans="2:5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row>
    <row r="754" spans="2:5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row>
    <row r="755" spans="2:5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row>
    <row r="756" spans="2:5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row>
    <row r="757" spans="2:5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row>
    <row r="758" spans="2:5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row>
    <row r="759" spans="2:5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row>
    <row r="760" spans="2:5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row>
    <row r="761" spans="2:5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row>
    <row r="762" spans="2:5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row>
    <row r="763" spans="2:5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row>
    <row r="764" spans="2:5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row>
    <row r="765" spans="2:5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row>
    <row r="766" spans="2:5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row>
    <row r="767" spans="2:5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row>
    <row r="768" spans="2:5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row>
    <row r="769" spans="28:5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row>
    <row r="770" spans="28:5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row>
    <row r="771" spans="28:5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row>
    <row r="772" spans="28:5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row>
    <row r="773" spans="28:5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row>
    <row r="774" spans="28:5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row>
    <row r="775" spans="28:5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row>
    <row r="776" spans="28:5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row>
    <row r="777" spans="28:5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row>
    <row r="778" spans="28:5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row>
    <row r="779" spans="28:5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row>
    <row r="780" spans="28:5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row>
    <row r="781" spans="28:5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row>
    <row r="782" spans="28:5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row>
    <row r="783" spans="28:5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row>
    <row r="784" spans="28:5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row>
    <row r="785" spans="28:5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row>
    <row r="786" spans="28:5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row>
    <row r="787" spans="28:5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row>
    <row r="788" spans="28:5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row>
    <row r="789" spans="28:5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row>
    <row r="790" spans="28:5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row>
    <row r="791" spans="28:5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row>
    <row r="792" spans="28:5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row>
    <row r="793" spans="28:5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row>
    <row r="794" spans="28:5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row>
    <row r="795" spans="28:5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row>
    <row r="796" spans="28:5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row>
    <row r="797" spans="28:5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row>
    <row r="798" spans="28:5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row>
    <row r="799" spans="28:5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row>
    <row r="800" spans="28:5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row>
    <row r="801" spans="28:5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row>
    <row r="802" spans="28:5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row>
    <row r="803" spans="28:5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row>
    <row r="804" spans="28:5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row>
    <row r="805" spans="28:5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row>
    <row r="806" spans="28:5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row>
    <row r="807" spans="28:5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row>
    <row r="808" spans="28:5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row>
    <row r="809" spans="28:5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row>
    <row r="810" spans="28:5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row>
    <row r="811" spans="28:5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row>
    <row r="812" spans="28:5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row>
    <row r="813" spans="28:5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row>
    <row r="814" spans="28:5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row>
    <row r="815" spans="28:5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row>
    <row r="816" spans="28:5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row>
    <row r="817" spans="28:5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row>
    <row r="818" spans="28:5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row>
    <row r="819" spans="28:5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row>
    <row r="820" spans="28:5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row>
    <row r="821" spans="28:5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row>
    <row r="822" spans="28:5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row>
    <row r="823" spans="28:5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row>
    <row r="824" spans="28:5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row>
    <row r="825" spans="28:5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row>
    <row r="826" spans="28:5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row>
    <row r="827" spans="28:5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row>
    <row r="828" spans="28:5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row>
    <row r="829" spans="28:5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row>
    <row r="830" spans="28:5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row>
    <row r="831" spans="28:5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row>
    <row r="832" spans="28:5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row>
    <row r="833" spans="28:5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row>
    <row r="834" spans="28:5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row>
    <row r="835" spans="28:5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row>
    <row r="836" spans="28:5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row>
    <row r="837" spans="28:5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row>
    <row r="838" spans="28:5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row>
    <row r="839" spans="28:5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row>
    <row r="840" spans="28:5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row>
    <row r="841" spans="28:5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row>
    <row r="842" spans="28:5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row>
    <row r="843" spans="28:5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row>
    <row r="844" spans="28:5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row>
    <row r="845" spans="28:5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row>
    <row r="846" spans="28:5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row>
    <row r="847" spans="28:5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row>
    <row r="848" spans="28:5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row>
    <row r="849" spans="28:5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row>
    <row r="850" spans="28:5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row>
    <row r="851" spans="28:5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row>
    <row r="852" spans="28:5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row>
    <row r="853" spans="28:5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row>
    <row r="854" spans="28:5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row>
    <row r="855" spans="28:5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row>
    <row r="856" spans="28:5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row>
    <row r="857" spans="28:5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row>
    <row r="858" spans="28:5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row>
    <row r="859" spans="28:5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row>
    <row r="860" spans="28:5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row>
    <row r="861" spans="28:5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row>
    <row r="862" spans="28:5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row>
    <row r="863" spans="28:5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row>
    <row r="864" spans="28:5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row>
    <row r="865" spans="28:5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row>
    <row r="866" spans="28:5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row>
    <row r="867" spans="28:5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row>
    <row r="868" spans="28:5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row>
    <row r="869" spans="28:5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row>
    <row r="870" spans="28:5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row>
    <row r="871" spans="28:5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row>
    <row r="872" spans="28:5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row>
    <row r="873" spans="28:5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row>
    <row r="874" spans="28:5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row>
    <row r="875" spans="28:5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row>
    <row r="876" spans="28:5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row>
    <row r="877" spans="28:5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row>
    <row r="878" spans="28:5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row>
    <row r="879" spans="28:5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row>
    <row r="880" spans="28:5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row>
    <row r="881" spans="28:5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row>
    <row r="882" spans="28:5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row>
    <row r="883" spans="28:5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row>
    <row r="884" spans="28:5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row>
    <row r="885" spans="28:5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row>
    <row r="886" spans="28:5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row>
    <row r="887" spans="28:5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row>
    <row r="888" spans="28:5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row>
    <row r="889" spans="28:5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row>
    <row r="890" spans="28:5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row>
    <row r="891" spans="28:5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row>
    <row r="892" spans="28:5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row>
    <row r="893" spans="28:5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row>
    <row r="894" spans="28:5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row>
    <row r="895" spans="28:5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row>
    <row r="896" spans="28:5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row>
    <row r="897" spans="28:5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row>
    <row r="898" spans="28:5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row>
    <row r="899" spans="28:5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row>
    <row r="900" spans="28:5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row>
    <row r="901" spans="28:5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row>
    <row r="902" spans="28:5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row>
    <row r="903" spans="28:5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row>
    <row r="904" spans="28:5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row>
    <row r="905" spans="28:5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row>
    <row r="906" spans="28:5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row>
    <row r="907" spans="28:5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row>
    <row r="908" spans="28:5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row>
    <row r="909" spans="28:5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row>
    <row r="910" spans="28:5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row>
    <row r="911" spans="28:5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row>
    <row r="912" spans="28:5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row>
    <row r="913" spans="28:5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row>
    <row r="914" spans="28:5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row>
    <row r="915" spans="28:5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row>
    <row r="916" spans="28:5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row>
    <row r="917" spans="28:5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row>
    <row r="918" spans="28:5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row>
    <row r="919" spans="28:5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row>
    <row r="920" spans="28:5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row>
    <row r="921" spans="28:5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row>
    <row r="922" spans="28:5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row>
    <row r="923" spans="28:5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row>
    <row r="924" spans="28:5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row>
    <row r="925" spans="28:5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row>
    <row r="926" spans="28:5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row>
    <row r="927" spans="28:5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row>
    <row r="928" spans="28:5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row>
    <row r="929" spans="28:5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row>
    <row r="930" spans="28:5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row>
    <row r="931" spans="28:5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row>
    <row r="932" spans="28:5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row>
    <row r="933" spans="28:5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row>
    <row r="934" spans="28:5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row>
    <row r="935" spans="28:5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row>
    <row r="936" spans="28:5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row>
    <row r="937" spans="28:5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row>
    <row r="938" spans="28:5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row>
    <row r="939" spans="28:5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row>
    <row r="940" spans="28:5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row>
    <row r="941" spans="28:5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row>
    <row r="942" spans="28:5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row>
    <row r="943" spans="28:5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row>
    <row r="944" spans="28:5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row>
    <row r="945" spans="28:5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row>
    <row r="946" spans="28:5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row>
    <row r="947" spans="28:5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row>
    <row r="948" spans="28:5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row>
    <row r="949" spans="28:5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row>
    <row r="950" spans="28:5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row>
    <row r="951" spans="28:5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row>
    <row r="952" spans="28:5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row>
    <row r="953" spans="28:5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row>
    <row r="954" spans="28:5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row>
    <row r="955" spans="28:5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row>
    <row r="956" spans="28:5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row>
    <row r="957" spans="28:5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row>
    <row r="958" spans="28:5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row>
    <row r="959" spans="28:5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row>
    <row r="960" spans="28:5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row>
    <row r="961" spans="28:5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row>
    <row r="962" spans="28:5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row>
    <row r="963" spans="28:5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row>
    <row r="964" spans="28:5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row>
    <row r="965" spans="28:5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row>
    <row r="966" spans="28:5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row>
    <row r="967" spans="28:5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row>
    <row r="968" spans="28:5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row>
    <row r="969" spans="28:5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row>
    <row r="970" spans="28:5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row>
    <row r="971" spans="28:5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row>
    <row r="972" spans="28:5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row>
    <row r="973" spans="28:5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row>
    <row r="974" spans="28:5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row>
    <row r="975" spans="28:5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row>
    <row r="976" spans="28:5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row>
    <row r="977" spans="28:5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row>
    <row r="978" spans="28:5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row>
    <row r="979" spans="28:5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row>
    <row r="980" spans="28:5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row>
    <row r="981" spans="28:5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row>
    <row r="982" spans="28:5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row>
    <row r="983" spans="28:5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row>
    <row r="984" spans="28:5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row>
    <row r="985" spans="28:5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row>
    <row r="986" spans="28:5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row>
    <row r="987" spans="28:5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row>
    <row r="988" spans="28:5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row>
    <row r="989" spans="28:5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row>
    <row r="990" spans="28:5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row>
    <row r="991" spans="28:5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row>
    <row r="992" spans="28:5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row>
    <row r="993" spans="28:5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row>
    <row r="994" spans="28:5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row>
    <row r="995" spans="28:5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row>
    <row r="996" spans="28:5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row>
    <row r="997" spans="28:5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row>
    <row r="998" spans="28:5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row>
    <row r="999" spans="28:5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row>
    <row r="1000" spans="28:5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row>
    <row r="1001" spans="28:5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row>
    <row r="1002" spans="28:5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row>
    <row r="1003" spans="28:5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row>
    <row r="1004" spans="28:5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row>
    <row r="1005" spans="28:5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row>
    <row r="1006" spans="28:5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row>
    <row r="1007" spans="28:5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row>
    <row r="1008" spans="28:5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row>
    <row r="1009" spans="28:5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row>
    <row r="1010" spans="28:5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row>
    <row r="1011" spans="28:5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row>
    <row r="1012" spans="28:5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row>
    <row r="1013" spans="28:5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row>
    <row r="1014" spans="28:5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row>
    <row r="1015" spans="28:5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row>
    <row r="1016" spans="28:5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row>
    <row r="1017" spans="28:5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row>
    <row r="1018" spans="28:5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row>
    <row r="1019" spans="28:5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row>
    <row r="1020" spans="28:5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row>
    <row r="1021" spans="28:5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row>
    <row r="1022" spans="28:5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row>
    <row r="1023" spans="28:5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row>
    <row r="1024" spans="28:5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row>
    <row r="1025" spans="28:5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row>
    <row r="1026" spans="28:5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row>
    <row r="1027" spans="28:5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row>
    <row r="1028" spans="28:5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row>
    <row r="1029" spans="28:5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row>
    <row r="1030" spans="28:5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row>
    <row r="1031" spans="28:5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row>
    <row r="1032" spans="28:5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row>
    <row r="1033" spans="28:5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row>
    <row r="1034" spans="28:5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row>
    <row r="1035" spans="28:5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row>
    <row r="1036" spans="28:5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row>
    <row r="1037" spans="28:5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row>
    <row r="1038" spans="28:5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row>
    <row r="1039" spans="28:5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row>
    <row r="1040" spans="28:5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row>
    <row r="1041" spans="28:5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row>
    <row r="1042" spans="28:5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row>
    <row r="1043" spans="28:5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row>
    <row r="1044" spans="28:5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row>
    <row r="1045" spans="28:5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row>
    <row r="1046" spans="28:5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row>
    <row r="1047" spans="28:5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row>
    <row r="1048" spans="28:5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row>
    <row r="1049" spans="28:5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row>
    <row r="1050" spans="28:5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row>
    <row r="1051" spans="28:5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row>
    <row r="1052" spans="28:5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row>
    <row r="1053" spans="28:5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row>
    <row r="1054" spans="28:5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row>
    <row r="1055" spans="28:5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row>
    <row r="1056" spans="28:5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row>
    <row r="1057" spans="28:5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8:5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8:5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8:5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8:5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8:5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8:5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8:5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8:5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8:5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8:5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8:5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8:5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8:5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8:5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8:5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8:5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8:5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8:5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8:5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8:5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8:5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8:5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8:5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8:5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8:5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8:5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8:5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8:5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8:5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8:5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8:5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8:5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8:5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8:5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8:5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8:5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8:5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8:5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8:5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8:5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8:5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8: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8: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8: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8: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8: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8: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ignoredErrors>
    <ignoredError sqref="H697" formulaRange="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558"/>
  <sheetViews>
    <sheetView zoomScale="85" zoomScaleNormal="85" workbookViewId="0"/>
  </sheetViews>
  <sheetFormatPr defaultRowHeight="12.75" outlineLevelRow="2"/>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5703125" bestFit="1" customWidth="1"/>
    <col min="12" max="12" width="10.28515625" bestFit="1" customWidth="1"/>
    <col min="13" max="13" width="10" bestFit="1" customWidth="1"/>
    <col min="14" max="14" width="25.7109375" customWidth="1"/>
    <col min="15" max="15" width="10.85546875" bestFit="1" customWidth="1"/>
    <col min="16" max="17" width="10.28515625" bestFit="1" customWidth="1"/>
    <col min="18" max="18" width="14.5703125" customWidth="1"/>
    <col min="19" max="19" width="24.140625" customWidth="1"/>
    <col min="20" max="20" width="19.42578125" customWidth="1"/>
    <col min="21" max="21" width="15.5703125" customWidth="1"/>
    <col min="22" max="23" width="9.5703125" bestFit="1" customWidth="1"/>
    <col min="24" max="24" width="12.28515625" customWidth="1"/>
    <col min="2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14"/>
      <c r="BL1" s="214"/>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19"/>
      <c r="BL3" s="219"/>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16"/>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14"/>
      <c r="BL4" s="21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14"/>
      <c r="BL5" s="21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90">
        <f>SUM(G7:G36)</f>
        <v>6357.5756751436893</v>
      </c>
      <c r="H6" s="138">
        <f>SUM(H7:H36)</f>
        <v>7297.1697204572347</v>
      </c>
      <c r="I6" s="138">
        <f t="shared" ref="I6:Q6" si="1">SUM(I7:I36)</f>
        <v>8297.9056988671546</v>
      </c>
      <c r="J6" s="138">
        <f t="shared" si="1"/>
        <v>9531.1919647580125</v>
      </c>
      <c r="K6" s="138">
        <f t="shared" si="1"/>
        <v>10874.97078888181</v>
      </c>
      <c r="L6" s="138">
        <f t="shared" si="1"/>
        <v>11681.638745216416</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14"/>
      <c r="BL6" s="214"/>
    </row>
    <row r="7" spans="1:256" ht="12.75" hidden="1" customHeight="1" outlineLevel="1">
      <c r="A7" s="9"/>
      <c r="B7" s="9"/>
      <c r="C7" s="9"/>
      <c r="D7" s="128" t="str">
        <f>Asset1</f>
        <v>Sub-transmission lines and cables</v>
      </c>
      <c r="E7" s="9"/>
      <c r="F7" s="9"/>
      <c r="G7" s="191">
        <f>'Actual RAB roll forward'!G438</f>
        <v>628.07263528768385</v>
      </c>
      <c r="H7" s="357">
        <f>G7+G39+G71+G103+G135+G167+'Actual RAB roll forward'!H698</f>
        <v>628.30997683369071</v>
      </c>
      <c r="I7" s="109">
        <f t="shared" ref="I7:L34" si="2">H7+H39+H71</f>
        <v>734.45918032628526</v>
      </c>
      <c r="J7" s="109">
        <f t="shared" si="2"/>
        <v>852.93309722128004</v>
      </c>
      <c r="K7" s="109">
        <f t="shared" si="2"/>
        <v>984.17944994704737</v>
      </c>
      <c r="L7" s="109">
        <f t="shared" si="2"/>
        <v>1067.9560500039584</v>
      </c>
      <c r="M7" s="109">
        <f>IF(Input!M$174&gt;0, L7+L39+L71, 0)</f>
        <v>0</v>
      </c>
      <c r="N7" s="109">
        <f>IF(Input!N$174&gt;0, M7+M39+M71, 0)</f>
        <v>0</v>
      </c>
      <c r="O7" s="109">
        <f>IF(Input!O$174&gt;0, N7+N39+N71, 0)</f>
        <v>0</v>
      </c>
      <c r="P7" s="109">
        <f>IF(Input!P$174&gt;0, O7+O39+O71, 0)</f>
        <v>0</v>
      </c>
      <c r="Q7" s="109">
        <f>IF(Input!Q$174&gt;0, P7+P39+P71,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t="12.75" hidden="1" customHeight="1" outlineLevel="1">
      <c r="A8" s="9"/>
      <c r="B8" s="9"/>
      <c r="C8" s="44"/>
      <c r="D8" s="128" t="str">
        <f>Asset2</f>
        <v>Cable tunnel (dx)</v>
      </c>
      <c r="E8" s="9"/>
      <c r="F8" s="9"/>
      <c r="G8" s="191">
        <f>'Actual RAB roll forward'!G439</f>
        <v>34.039669444934937</v>
      </c>
      <c r="H8" s="357">
        <f>G8+G40+G72+G104+G136+G168+'Actual RAB roll forward'!H699</f>
        <v>67.623820947606021</v>
      </c>
      <c r="I8" s="109">
        <f t="shared" si="2"/>
        <v>68.924845511988678</v>
      </c>
      <c r="J8" s="109">
        <f t="shared" si="2"/>
        <v>70.086115794155504</v>
      </c>
      <c r="K8" s="109">
        <f t="shared" si="2"/>
        <v>71.419727726187716</v>
      </c>
      <c r="L8" s="109">
        <f t="shared" si="2"/>
        <v>131.05339778450417</v>
      </c>
      <c r="M8" s="109">
        <f>IF(Input!M$174&gt;0, L8+L40+L72, 0)</f>
        <v>0</v>
      </c>
      <c r="N8" s="109">
        <f>IF(Input!N$174&gt;0, M8+M40+M72, 0)</f>
        <v>0</v>
      </c>
      <c r="O8" s="109">
        <f>IF(Input!O$174&gt;0, N8+N40+N72, 0)</f>
        <v>0</v>
      </c>
      <c r="P8" s="109">
        <f>IF(Input!P$174&gt;0, O8+O40+O72, 0)</f>
        <v>0</v>
      </c>
      <c r="Q8" s="109">
        <f>IF(Input!Q$174&gt;0, P8+P40+P72, 0)</f>
        <v>0</v>
      </c>
      <c r="R8" s="109"/>
      <c r="S8" s="99"/>
      <c r="T8" s="99"/>
      <c r="U8" s="99"/>
      <c r="V8" s="99"/>
      <c r="W8" s="99"/>
      <c r="X8" s="99"/>
      <c r="Y8" s="99"/>
      <c r="Z8" s="99"/>
      <c r="AA8" s="99"/>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14"/>
      <c r="BL8" s="214"/>
    </row>
    <row r="9" spans="1:256" ht="12.75" hidden="1" customHeight="1" outlineLevel="1">
      <c r="A9" s="9"/>
      <c r="B9" s="9"/>
      <c r="C9" s="44"/>
      <c r="D9" s="128" t="str">
        <f>Asset3</f>
        <v>Distribution lines and cables</v>
      </c>
      <c r="E9" s="9"/>
      <c r="F9" s="9"/>
      <c r="G9" s="191">
        <f>'Actual RAB roll forward'!G440</f>
        <v>1590.1669051835506</v>
      </c>
      <c r="H9" s="357">
        <f>G9+G41+G73+G105+G137+G169+'Actual RAB roll forward'!H700</f>
        <v>1917.7730409043168</v>
      </c>
      <c r="I9" s="109">
        <f t="shared" si="2"/>
        <v>2091.5727305216938</v>
      </c>
      <c r="J9" s="109">
        <f t="shared" si="2"/>
        <v>2395.5293704623159</v>
      </c>
      <c r="K9" s="109">
        <f t="shared" si="2"/>
        <v>2736.7864926623565</v>
      </c>
      <c r="L9" s="109">
        <f t="shared" si="2"/>
        <v>2998.6054958695013</v>
      </c>
      <c r="M9" s="109">
        <f>IF(Input!M$174&gt;0, L9+L41+L73, 0)</f>
        <v>0</v>
      </c>
      <c r="N9" s="109">
        <f>IF(Input!N$174&gt;0, M9+M41+M73, 0)</f>
        <v>0</v>
      </c>
      <c r="O9" s="109">
        <f>IF(Input!O$174&gt;0, N9+N41+N73, 0)</f>
        <v>0</v>
      </c>
      <c r="P9" s="109">
        <f>IF(Input!P$174&gt;0, O9+O41+O73, 0)</f>
        <v>0</v>
      </c>
      <c r="Q9" s="109">
        <f>IF(Input!Q$174&gt;0, P9+P41+P73, 0)</f>
        <v>0</v>
      </c>
      <c r="R9" s="109"/>
      <c r="S9" s="99"/>
      <c r="T9" s="99"/>
      <c r="U9" s="99"/>
      <c r="V9" s="99"/>
      <c r="W9" s="99"/>
      <c r="X9" s="99"/>
      <c r="Y9" s="99"/>
      <c r="Z9" s="99"/>
      <c r="AA9" s="99"/>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14"/>
      <c r="BL9" s="214"/>
    </row>
    <row r="10" spans="1:256" ht="12.75" hidden="1" customHeight="1" outlineLevel="1">
      <c r="A10" s="9"/>
      <c r="B10" s="9"/>
      <c r="C10" s="44"/>
      <c r="D10" s="128" t="str">
        <f>Asset4</f>
        <v>Substations</v>
      </c>
      <c r="E10" s="9"/>
      <c r="F10" s="9"/>
      <c r="G10" s="191">
        <f>'Actual RAB roll forward'!G441</f>
        <v>1540.4625077042031</v>
      </c>
      <c r="H10" s="357">
        <f>G10+G42+G74+G106+G138+G170+'Actual RAB roll forward'!H701</f>
        <v>2048.7358007572952</v>
      </c>
      <c r="I10" s="109">
        <f t="shared" si="2"/>
        <v>2330.5095420095736</v>
      </c>
      <c r="J10" s="109">
        <f t="shared" si="2"/>
        <v>2675.3196801975323</v>
      </c>
      <c r="K10" s="109">
        <f t="shared" si="2"/>
        <v>3116.1314213765227</v>
      </c>
      <c r="L10" s="109">
        <f t="shared" si="2"/>
        <v>3347.082945720002</v>
      </c>
      <c r="M10" s="109">
        <f>IF(Input!M$174&gt;0, L10+L42+L74, 0)</f>
        <v>0</v>
      </c>
      <c r="N10" s="109">
        <f>IF(Input!N$174&gt;0, M10+M42+M74, 0)</f>
        <v>0</v>
      </c>
      <c r="O10" s="109">
        <f>IF(Input!O$174&gt;0, N10+N42+N74, 0)</f>
        <v>0</v>
      </c>
      <c r="P10" s="109">
        <f>IF(Input!P$174&gt;0, O10+O42+O74, 0)</f>
        <v>0</v>
      </c>
      <c r="Q10" s="109">
        <f>IF(Input!Q$174&gt;0, P10+P42+P74, 0)</f>
        <v>0</v>
      </c>
      <c r="R10" s="109"/>
      <c r="S10" s="99"/>
      <c r="T10" s="99"/>
      <c r="U10" s="99"/>
      <c r="V10" s="99"/>
      <c r="W10" s="99"/>
      <c r="X10" s="99"/>
      <c r="Y10" s="99"/>
      <c r="Z10" s="99"/>
      <c r="AA10" s="99"/>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14"/>
      <c r="BL10" s="214"/>
    </row>
    <row r="11" spans="1:256" ht="12.75" hidden="1" customHeight="1" outlineLevel="1">
      <c r="A11" s="9"/>
      <c r="B11" s="9"/>
      <c r="C11" s="44"/>
      <c r="D11" s="128" t="str">
        <f>Asset5</f>
        <v>Transformers</v>
      </c>
      <c r="E11" s="9"/>
      <c r="F11" s="9"/>
      <c r="G11" s="191">
        <f>'Actual RAB roll forward'!G442</f>
        <v>397.33283980757915</v>
      </c>
      <c r="H11" s="357">
        <f>G11+G43+G75+G107+G139+G171+'Actual RAB roll forward'!H702</f>
        <v>467.45903002119684</v>
      </c>
      <c r="I11" s="109">
        <f t="shared" si="2"/>
        <v>517.2417483561477</v>
      </c>
      <c r="J11" s="109">
        <f t="shared" si="2"/>
        <v>594.13026215423656</v>
      </c>
      <c r="K11" s="109">
        <f t="shared" si="2"/>
        <v>647.61090311364956</v>
      </c>
      <c r="L11" s="109">
        <f t="shared" si="2"/>
        <v>677.40448929008278</v>
      </c>
      <c r="M11" s="109">
        <f>IF(Input!M$174&gt;0, L11+L43+L75, 0)</f>
        <v>0</v>
      </c>
      <c r="N11" s="109">
        <f>IF(Input!N$174&gt;0, M11+M43+M75, 0)</f>
        <v>0</v>
      </c>
      <c r="O11" s="109">
        <f>IF(Input!O$174&gt;0, N11+N43+N75, 0)</f>
        <v>0</v>
      </c>
      <c r="P11" s="109">
        <f>IF(Input!P$174&gt;0, O11+O43+O75, 0)</f>
        <v>0</v>
      </c>
      <c r="Q11" s="109">
        <f>IF(Input!Q$174&gt;0, P11+P43+P75, 0)</f>
        <v>0</v>
      </c>
      <c r="R11" s="109"/>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14"/>
      <c r="BL11" s="214"/>
    </row>
    <row r="12" spans="1:256" ht="12.75" hidden="1" customHeight="1" outlineLevel="1">
      <c r="A12" s="9"/>
      <c r="B12" s="9"/>
      <c r="C12" s="44"/>
      <c r="D12" s="128" t="str">
        <f>Asset6</f>
        <v>Low Voltage Lines and Cables</v>
      </c>
      <c r="E12" s="9"/>
      <c r="F12" s="9"/>
      <c r="G12" s="191">
        <f>'Actual RAB roll forward'!G443</f>
        <v>695.63342058586409</v>
      </c>
      <c r="H12" s="357">
        <f>G12+G44+G76+G108+G140+G172+'Actual RAB roll forward'!H703</f>
        <v>757.26447945717541</v>
      </c>
      <c r="I12" s="109">
        <f t="shared" si="2"/>
        <v>873.97862274779038</v>
      </c>
      <c r="J12" s="109">
        <f t="shared" si="2"/>
        <v>1028.5580156277892</v>
      </c>
      <c r="K12" s="109">
        <f t="shared" si="2"/>
        <v>1226.6416148507114</v>
      </c>
      <c r="L12" s="109">
        <f t="shared" si="2"/>
        <v>1364.2631679922029</v>
      </c>
      <c r="M12" s="109">
        <f>IF(Input!M$174&gt;0, L12+L44+L76, 0)</f>
        <v>0</v>
      </c>
      <c r="N12" s="109">
        <f>IF(Input!N$174&gt;0, M12+M44+M76, 0)</f>
        <v>0</v>
      </c>
      <c r="O12" s="109">
        <f>IF(Input!O$174&gt;0, N12+N44+N76, 0)</f>
        <v>0</v>
      </c>
      <c r="P12" s="109">
        <f>IF(Input!P$174&gt;0, O12+O44+O76, 0)</f>
        <v>0</v>
      </c>
      <c r="Q12" s="109">
        <f>IF(Input!Q$174&gt;0, P12+P44+P76, 0)</f>
        <v>0</v>
      </c>
      <c r="R12" s="109"/>
      <c r="S12" s="99"/>
      <c r="T12" s="99"/>
      <c r="U12" s="99"/>
      <c r="V12" s="99"/>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14"/>
      <c r="BL12" s="214"/>
    </row>
    <row r="13" spans="1:256" ht="12.75" hidden="1" customHeight="1" outlineLevel="1">
      <c r="A13" s="9"/>
      <c r="B13" s="9"/>
      <c r="C13" s="44"/>
      <c r="D13" s="128" t="str">
        <f>Asset7</f>
        <v>Customer Metering and Load Control</v>
      </c>
      <c r="E13" s="9"/>
      <c r="F13" s="9"/>
      <c r="G13" s="191">
        <f>'Actual RAB roll forward'!G444</f>
        <v>186.91073309905713</v>
      </c>
      <c r="H13" s="357">
        <f>G13+G45+G77+G109+G141+G173+'Actual RAB roll forward'!H704</f>
        <v>235.44383076608574</v>
      </c>
      <c r="I13" s="109">
        <f t="shared" si="2"/>
        <v>227.57087523544243</v>
      </c>
      <c r="J13" s="109">
        <f t="shared" si="2"/>
        <v>221.19610503235197</v>
      </c>
      <c r="K13" s="109">
        <f t="shared" si="2"/>
        <v>215.47791457474966</v>
      </c>
      <c r="L13" s="109">
        <f t="shared" si="2"/>
        <v>205.61312842599898</v>
      </c>
      <c r="M13" s="109">
        <f>IF(Input!M$174&gt;0, L13+L45+L77, 0)</f>
        <v>0</v>
      </c>
      <c r="N13" s="109">
        <f>IF(Input!N$174&gt;0, M13+M45+M77, 0)</f>
        <v>0</v>
      </c>
      <c r="O13" s="109">
        <f>IF(Input!O$174&gt;0, N13+N45+N77, 0)</f>
        <v>0</v>
      </c>
      <c r="P13" s="109">
        <f>IF(Input!P$174&gt;0, O13+O45+O77, 0)</f>
        <v>0</v>
      </c>
      <c r="Q13" s="109">
        <f>IF(Input!Q$174&gt;0, P13+P45+P77, 0)</f>
        <v>0</v>
      </c>
      <c r="R13" s="109"/>
      <c r="S13" s="99"/>
      <c r="T13" s="99"/>
      <c r="U13" s="99"/>
      <c r="V13" s="99"/>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14"/>
      <c r="BL13" s="214"/>
    </row>
    <row r="14" spans="1:256" ht="12.75" hidden="1" customHeight="1" outlineLevel="1">
      <c r="A14" s="9"/>
      <c r="B14" s="9"/>
      <c r="C14" s="44"/>
      <c r="D14" s="128" t="str">
        <f>Asset8</f>
        <v>Customer Metering (digital)</v>
      </c>
      <c r="E14" s="9"/>
      <c r="F14" s="9"/>
      <c r="G14" s="191">
        <f>'Actual RAB roll forward'!G445</f>
        <v>0</v>
      </c>
      <c r="H14" s="357">
        <f>G14+G46+G78+G110+G142+G174+'Actual RAB roll forward'!H705</f>
        <v>0</v>
      </c>
      <c r="I14" s="109">
        <f t="shared" si="2"/>
        <v>23.446466917049978</v>
      </c>
      <c r="J14" s="109">
        <f t="shared" si="2"/>
        <v>53.655868207308608</v>
      </c>
      <c r="K14" s="109">
        <f t="shared" si="2"/>
        <v>74.69749408163338</v>
      </c>
      <c r="L14" s="109">
        <f t="shared" si="2"/>
        <v>87.522151043704199</v>
      </c>
      <c r="M14" s="109">
        <f>IF(Input!M$174&gt;0, L14+L46+L78, 0)</f>
        <v>0</v>
      </c>
      <c r="N14" s="109">
        <f>IF(Input!N$174&gt;0, M14+M46+M78, 0)</f>
        <v>0</v>
      </c>
      <c r="O14" s="109">
        <f>IF(Input!O$174&gt;0, N14+N46+N78, 0)</f>
        <v>0</v>
      </c>
      <c r="P14" s="109">
        <f>IF(Input!P$174&gt;0, O14+O46+O78, 0)</f>
        <v>0</v>
      </c>
      <c r="Q14" s="109">
        <f>IF(Input!Q$174&gt;0, P14+P46+P78, 0)</f>
        <v>0</v>
      </c>
      <c r="R14" s="109"/>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14"/>
      <c r="BL14" s="214"/>
    </row>
    <row r="15" spans="1:256" ht="12.75" hidden="1" customHeight="1" outlineLevel="1">
      <c r="A15" s="9"/>
      <c r="B15" s="9"/>
      <c r="C15" s="44"/>
      <c r="D15" s="128" t="str">
        <f>Asset9</f>
        <v>Communications (digital) - dx</v>
      </c>
      <c r="E15" s="9"/>
      <c r="F15" s="9"/>
      <c r="G15" s="191">
        <f>'Actual RAB roll forward'!G446</f>
        <v>0</v>
      </c>
      <c r="H15" s="357">
        <f>G15+G47+G79+G111+G143+G175+'Actual RAB roll forward'!H706</f>
        <v>0</v>
      </c>
      <c r="I15" s="109">
        <f t="shared" si="2"/>
        <v>22.233532180732755</v>
      </c>
      <c r="J15" s="109">
        <f t="shared" si="2"/>
        <v>21.821485926013082</v>
      </c>
      <c r="K15" s="109">
        <f t="shared" si="2"/>
        <v>21.202567283235044</v>
      </c>
      <c r="L15" s="109">
        <f t="shared" si="2"/>
        <v>15.574028326613627</v>
      </c>
      <c r="M15" s="109">
        <f>IF(Input!M$174&gt;0, L15+L47+L79, 0)</f>
        <v>0</v>
      </c>
      <c r="N15" s="109">
        <f>IF(Input!N$174&gt;0, M15+M47+M79, 0)</f>
        <v>0</v>
      </c>
      <c r="O15" s="109">
        <f>IF(Input!O$174&gt;0, N15+N47+N79, 0)</f>
        <v>0</v>
      </c>
      <c r="P15" s="109">
        <f>IF(Input!P$174&gt;0, O15+O47+O79, 0)</f>
        <v>0</v>
      </c>
      <c r="Q15" s="109">
        <f>IF(Input!Q$174&gt;0, P15+P47+P79, 0)</f>
        <v>0</v>
      </c>
      <c r="R15" s="109"/>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14"/>
      <c r="BL15" s="214"/>
    </row>
    <row r="16" spans="1:256" ht="12.75" hidden="1" customHeight="1" outlineLevel="1">
      <c r="A16" s="9"/>
      <c r="B16" s="9"/>
      <c r="C16" s="44"/>
      <c r="D16" s="128" t="str">
        <f>Asset10</f>
        <v>Total Communications</v>
      </c>
      <c r="E16" s="9"/>
      <c r="F16" s="9"/>
      <c r="G16" s="191">
        <f>'Actual RAB roll forward'!G447</f>
        <v>102.05067031207685</v>
      </c>
      <c r="H16" s="357">
        <f>G16+G48+G80+G112+G144+G176+'Actual RAB roll forward'!H707</f>
        <v>130.75137240343361</v>
      </c>
      <c r="I16" s="109">
        <f t="shared" si="2"/>
        <v>118.33668840096502</v>
      </c>
      <c r="J16" s="109">
        <f t="shared" si="2"/>
        <v>104.10044508232548</v>
      </c>
      <c r="K16" s="109">
        <f t="shared" si="2"/>
        <v>89.524722974407979</v>
      </c>
      <c r="L16" s="109">
        <f t="shared" si="2"/>
        <v>72.385200030618549</v>
      </c>
      <c r="M16" s="109">
        <f>IF(Input!M$174&gt;0, L16+L48+L80, 0)</f>
        <v>0</v>
      </c>
      <c r="N16" s="109">
        <f>IF(Input!N$174&gt;0, M16+M48+M80, 0)</f>
        <v>0</v>
      </c>
      <c r="O16" s="109">
        <f>IF(Input!O$174&gt;0, N16+N48+N80, 0)</f>
        <v>0</v>
      </c>
      <c r="P16" s="109">
        <f>IF(Input!P$174&gt;0, O16+O48+O80, 0)</f>
        <v>0</v>
      </c>
      <c r="Q16" s="109">
        <f>IF(Input!Q$174&gt;0, P16+P48+P80, 0)</f>
        <v>0</v>
      </c>
      <c r="R16" s="109"/>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14"/>
      <c r="BL16" s="214"/>
    </row>
    <row r="17" spans="1:64" ht="12.75" hidden="1" customHeight="1" outlineLevel="1">
      <c r="A17" s="9"/>
      <c r="B17" s="9"/>
      <c r="C17" s="44"/>
      <c r="D17" s="128" t="str">
        <f>Asset11</f>
        <v>System IT (dx)</v>
      </c>
      <c r="E17" s="9"/>
      <c r="F17" s="9"/>
      <c r="G17" s="191">
        <f>'Actual RAB roll forward'!G448</f>
        <v>0</v>
      </c>
      <c r="H17" s="357">
        <f>G17+G49+G81+G113+G145+G177+'Actual RAB roll forward'!H708</f>
        <v>0</v>
      </c>
      <c r="I17" s="109">
        <f t="shared" si="2"/>
        <v>30.216276524089828</v>
      </c>
      <c r="J17" s="109">
        <f t="shared" si="2"/>
        <v>132.71178826687404</v>
      </c>
      <c r="K17" s="109">
        <f t="shared" si="2"/>
        <v>213.71355941943676</v>
      </c>
      <c r="L17" s="109">
        <f t="shared" si="2"/>
        <v>237.25935568824229</v>
      </c>
      <c r="M17" s="109">
        <f>IF(Input!M$174&gt;0, L17+L49+L81, 0)</f>
        <v>0</v>
      </c>
      <c r="N17" s="109">
        <f>IF(Input!N$174&gt;0, M17+M49+M81, 0)</f>
        <v>0</v>
      </c>
      <c r="O17" s="109">
        <f>IF(Input!O$174&gt;0, N17+N49+N81, 0)</f>
        <v>0</v>
      </c>
      <c r="P17" s="109">
        <f>IF(Input!P$174&gt;0, O17+O49+O81, 0)</f>
        <v>0</v>
      </c>
      <c r="Q17" s="109">
        <f>IF(Input!Q$174&gt;0, P17+P49+P81, 0)</f>
        <v>0</v>
      </c>
      <c r="R17" s="109"/>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14"/>
      <c r="BL17" s="214"/>
    </row>
    <row r="18" spans="1:64" ht="12.75" hidden="1" customHeight="1" outlineLevel="1">
      <c r="A18" s="9"/>
      <c r="B18" s="9"/>
      <c r="C18" s="44"/>
      <c r="D18" s="128" t="str">
        <f>Asset12</f>
        <v>Ancillary substation equipment (dx)</v>
      </c>
      <c r="E18" s="9"/>
      <c r="F18" s="9"/>
      <c r="G18" s="191">
        <f>'Actual RAB roll forward'!G449</f>
        <v>0</v>
      </c>
      <c r="H18" s="357">
        <f>G18+G50+G82+G114+G146+G178+'Actual RAB roll forward'!H709</f>
        <v>0</v>
      </c>
      <c r="I18" s="109">
        <f t="shared" si="2"/>
        <v>28.216302615964409</v>
      </c>
      <c r="J18" s="109">
        <f t="shared" si="2"/>
        <v>34.435008347375948</v>
      </c>
      <c r="K18" s="109">
        <f t="shared" si="2"/>
        <v>48.405690181127817</v>
      </c>
      <c r="L18" s="109">
        <f t="shared" si="2"/>
        <v>54.874031847051789</v>
      </c>
      <c r="M18" s="109">
        <f>IF(Input!M$174&gt;0, L18+L50+L82, 0)</f>
        <v>0</v>
      </c>
      <c r="N18" s="109">
        <f>IF(Input!N$174&gt;0, M18+M50+M82, 0)</f>
        <v>0</v>
      </c>
      <c r="O18" s="109">
        <f>IF(Input!O$174&gt;0, N18+N50+N82, 0)</f>
        <v>0</v>
      </c>
      <c r="P18" s="109">
        <f>IF(Input!P$174&gt;0, O18+O50+O82, 0)</f>
        <v>0</v>
      </c>
      <c r="Q18" s="109">
        <f>IF(Input!Q$174&gt;0, P18+P50+P82, 0)</f>
        <v>0</v>
      </c>
      <c r="R18" s="109"/>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14"/>
      <c r="BL18" s="214"/>
    </row>
    <row r="19" spans="1:64" ht="12.75" hidden="1" customHeight="1" outlineLevel="1">
      <c r="A19" s="9"/>
      <c r="B19" s="9"/>
      <c r="C19" s="44"/>
      <c r="D19" s="128" t="str">
        <f>Asset13</f>
        <v>Land and Easements</v>
      </c>
      <c r="E19" s="9"/>
      <c r="F19" s="9"/>
      <c r="G19" s="191">
        <f>'Actual RAB roll forward'!G450</f>
        <v>468.57214388000489</v>
      </c>
      <c r="H19" s="357">
        <f>G19+G51+G83+G115+G147+G179+'Actual RAB roll forward'!H710</f>
        <v>488.33356293711495</v>
      </c>
      <c r="I19" s="109">
        <f t="shared" si="2"/>
        <v>531.76961313832896</v>
      </c>
      <c r="J19" s="109">
        <f t="shared" si="2"/>
        <v>564.17694092793636</v>
      </c>
      <c r="K19" s="109">
        <f t="shared" si="2"/>
        <v>599.33751711498178</v>
      </c>
      <c r="L19" s="109">
        <f t="shared" si="2"/>
        <v>619.9935477074647</v>
      </c>
      <c r="M19" s="109">
        <f>IF(Input!M$174&gt;0, L19+L51+L83, 0)</f>
        <v>0</v>
      </c>
      <c r="N19" s="109">
        <f>IF(Input!N$174&gt;0, M19+M51+M83, 0)</f>
        <v>0</v>
      </c>
      <c r="O19" s="109">
        <f>IF(Input!O$174&gt;0, N19+N51+N83, 0)</f>
        <v>0</v>
      </c>
      <c r="P19" s="109">
        <f>IF(Input!P$174&gt;0, O19+O51+O83, 0)</f>
        <v>0</v>
      </c>
      <c r="Q19" s="109">
        <f>IF(Input!Q$174&gt;0, P19+P51+P83, 0)</f>
        <v>0</v>
      </c>
      <c r="R19" s="109"/>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14"/>
      <c r="BL19" s="214"/>
    </row>
    <row r="20" spans="1:64" ht="12.75" hidden="1" customHeight="1" outlineLevel="1">
      <c r="A20" s="9"/>
      <c r="B20" s="9"/>
      <c r="C20" s="44"/>
      <c r="D20" s="128" t="str">
        <f>Asset14</f>
        <v>Emergency Spares (Major Plant, Excludes Inventory)</v>
      </c>
      <c r="E20" s="9"/>
      <c r="F20" s="9"/>
      <c r="G20" s="191">
        <f>'Actual RAB roll forward'!G451</f>
        <v>56.525816504302178</v>
      </c>
      <c r="H20" s="357">
        <f>G20+G52+G84+G116+G148+G180+'Actual RAB roll forward'!H711</f>
        <v>39.386044523966696</v>
      </c>
      <c r="I20" s="109">
        <f t="shared" si="2"/>
        <v>40.102914741299628</v>
      </c>
      <c r="J20" s="109">
        <f t="shared" si="2"/>
        <v>41.243933170554548</v>
      </c>
      <c r="K20" s="109">
        <f t="shared" si="2"/>
        <v>42.64183009435375</v>
      </c>
      <c r="L20" s="109">
        <f t="shared" si="2"/>
        <v>43.393511813468521</v>
      </c>
      <c r="M20" s="109">
        <f>IF(Input!M$174&gt;0, L20+L52+L84, 0)</f>
        <v>0</v>
      </c>
      <c r="N20" s="109">
        <f>IF(Input!N$174&gt;0, M20+M52+M84, 0)</f>
        <v>0</v>
      </c>
      <c r="O20" s="109">
        <f>IF(Input!O$174&gt;0, N20+N52+N84, 0)</f>
        <v>0</v>
      </c>
      <c r="P20" s="109">
        <f>IF(Input!P$174&gt;0, O20+O52+O84, 0)</f>
        <v>0</v>
      </c>
      <c r="Q20" s="109">
        <f>IF(Input!Q$174&gt;0, P20+P52+P84, 0)</f>
        <v>0</v>
      </c>
      <c r="R20" s="109"/>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14"/>
      <c r="BL20" s="214"/>
    </row>
    <row r="21" spans="1:64" ht="12.75" hidden="1" customHeight="1" outlineLevel="1">
      <c r="A21" s="9"/>
      <c r="B21" s="9"/>
      <c r="C21" s="44"/>
      <c r="D21" s="128" t="str">
        <f>Asset15</f>
        <v>Furniture, fittings, plant and equipment</v>
      </c>
      <c r="E21" s="9"/>
      <c r="F21" s="9"/>
      <c r="G21" s="191">
        <f>'Actual RAB roll forward'!G452</f>
        <v>24.814851213853935</v>
      </c>
      <c r="H21" s="357">
        <f>G21+G53+G85+G117+G149+G181+'Actual RAB roll forward'!H712</f>
        <v>27.900756588741036</v>
      </c>
      <c r="I21" s="109">
        <f t="shared" si="2"/>
        <v>33.705822761056702</v>
      </c>
      <c r="J21" s="109">
        <f t="shared" si="2"/>
        <v>39.024474094074009</v>
      </c>
      <c r="K21" s="109">
        <f t="shared" si="2"/>
        <v>44.455995425509279</v>
      </c>
      <c r="L21" s="109">
        <f t="shared" si="2"/>
        <v>46.06530334603621</v>
      </c>
      <c r="M21" s="109">
        <f>IF(Input!M$174&gt;0, L21+L53+L85, 0)</f>
        <v>0</v>
      </c>
      <c r="N21" s="109">
        <f>IF(Input!N$174&gt;0, M21+M53+M85, 0)</f>
        <v>0</v>
      </c>
      <c r="O21" s="109">
        <f>IF(Input!O$174&gt;0, N21+N53+N85, 0)</f>
        <v>0</v>
      </c>
      <c r="P21" s="109">
        <f>IF(Input!P$174&gt;0, O21+O53+O85, 0)</f>
        <v>0</v>
      </c>
      <c r="Q21" s="109">
        <f>IF(Input!Q$174&gt;0, P21+P53+P85, 0)</f>
        <v>0</v>
      </c>
      <c r="R21" s="109"/>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14"/>
      <c r="BL21" s="214"/>
    </row>
    <row r="22" spans="1:64" ht="12.75" hidden="1" customHeight="1" outlineLevel="1">
      <c r="A22" s="9"/>
      <c r="B22" s="9"/>
      <c r="C22" s="44"/>
      <c r="D22" s="128" t="str">
        <f>Asset16</f>
        <v>Land (non-system)</v>
      </c>
      <c r="E22" s="9"/>
      <c r="F22" s="9"/>
      <c r="G22" s="191">
        <f>'Actual RAB roll forward'!G453</f>
        <v>23.529747046876647</v>
      </c>
      <c r="H22" s="357">
        <f>G22+G54+G86+G118+G150+G182+'Actual RAB roll forward'!H713</f>
        <v>47.023399261991891</v>
      </c>
      <c r="I22" s="109">
        <f t="shared" si="2"/>
        <v>67.354302103276254</v>
      </c>
      <c r="J22" s="109">
        <f t="shared" si="2"/>
        <v>75.771315844193296</v>
      </c>
      <c r="K22" s="109">
        <f t="shared" si="2"/>
        <v>86.70446377314893</v>
      </c>
      <c r="L22" s="109">
        <f t="shared" si="2"/>
        <v>88.116862330237211</v>
      </c>
      <c r="M22" s="109">
        <f>IF(Input!M$174&gt;0, L22+L54+L86, 0)</f>
        <v>0</v>
      </c>
      <c r="N22" s="109">
        <f>IF(Input!N$174&gt;0, M22+M54+M86, 0)</f>
        <v>0</v>
      </c>
      <c r="O22" s="109">
        <f>IF(Input!O$174&gt;0, N22+N54+N86, 0)</f>
        <v>0</v>
      </c>
      <c r="P22" s="109">
        <f>IF(Input!P$174&gt;0, O22+O54+O86, 0)</f>
        <v>0</v>
      </c>
      <c r="Q22" s="109">
        <f>IF(Input!Q$174&gt;0, P22+P54+P86, 0)</f>
        <v>0</v>
      </c>
      <c r="R22" s="109"/>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14"/>
      <c r="BL22" s="214"/>
    </row>
    <row r="23" spans="1:64" ht="12.75" hidden="1" customHeight="1" outlineLevel="1">
      <c r="A23" s="9"/>
      <c r="B23" s="9"/>
      <c r="C23" s="44"/>
      <c r="D23" s="128" t="str">
        <f>Asset17</f>
        <v>Other non system assets</v>
      </c>
      <c r="E23" s="9"/>
      <c r="F23" s="9"/>
      <c r="G23" s="191">
        <f>'Actual RAB roll forward'!G454</f>
        <v>114.74511085977755</v>
      </c>
      <c r="H23" s="357">
        <f>G23+G55+G87+G119+G151+G183+'Actual RAB roll forward'!H714</f>
        <v>107.43776700440232</v>
      </c>
      <c r="I23" s="109">
        <f t="shared" si="2"/>
        <v>100.41835776738661</v>
      </c>
      <c r="J23" s="109">
        <f t="shared" si="2"/>
        <v>93.856755144376834</v>
      </c>
      <c r="K23" s="109">
        <f t="shared" si="2"/>
        <v>88.403466335110949</v>
      </c>
      <c r="L23" s="109">
        <f t="shared" si="2"/>
        <v>79.976334157283588</v>
      </c>
      <c r="M23" s="109">
        <f>IF(Input!M$174&gt;0, L23+L55+L87, 0)</f>
        <v>0</v>
      </c>
      <c r="N23" s="109">
        <f>IF(Input!N$174&gt;0, M23+M55+M87, 0)</f>
        <v>0</v>
      </c>
      <c r="O23" s="109">
        <f>IF(Input!O$174&gt;0, N23+N55+N87, 0)</f>
        <v>0</v>
      </c>
      <c r="P23" s="109">
        <f>IF(Input!P$174&gt;0, O23+O55+O87, 0)</f>
        <v>0</v>
      </c>
      <c r="Q23" s="109">
        <f>IF(Input!Q$174&gt;0, P23+P55+P87, 0)</f>
        <v>0</v>
      </c>
      <c r="R23" s="109"/>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14"/>
      <c r="BL23" s="214"/>
    </row>
    <row r="24" spans="1:64" ht="12.75" hidden="1" customHeight="1" outlineLevel="1">
      <c r="A24" s="9"/>
      <c r="B24" s="9"/>
      <c r="C24" s="44"/>
      <c r="D24" s="128" t="str">
        <f>Asset18</f>
        <v>IT systems</v>
      </c>
      <c r="E24" s="9"/>
      <c r="F24" s="9"/>
      <c r="G24" s="191">
        <f>'Actual RAB roll forward'!G455</f>
        <v>99.917353135056416</v>
      </c>
      <c r="H24" s="357">
        <f>G24+G56+G88+G120+G152+G184+'Actual RAB roll forward'!H715</f>
        <v>118.3792196777346</v>
      </c>
      <c r="I24" s="109">
        <f t="shared" si="2"/>
        <v>137.13990115858607</v>
      </c>
      <c r="J24" s="109">
        <f t="shared" si="2"/>
        <v>153.85057468522552</v>
      </c>
      <c r="K24" s="109">
        <f t="shared" si="2"/>
        <v>141.38341250829478</v>
      </c>
      <c r="L24" s="109">
        <f t="shared" si="2"/>
        <v>109.48853114136718</v>
      </c>
      <c r="M24" s="109">
        <f>IF(Input!M$174&gt;0, L24+L56+L88, 0)</f>
        <v>0</v>
      </c>
      <c r="N24" s="109">
        <f>IF(Input!N$174&gt;0, M24+M56+M88, 0)</f>
        <v>0</v>
      </c>
      <c r="O24" s="109">
        <f>IF(Input!O$174&gt;0, N24+N56+N88, 0)</f>
        <v>0</v>
      </c>
      <c r="P24" s="109">
        <f>IF(Input!P$174&gt;0, O24+O56+O88, 0)</f>
        <v>0</v>
      </c>
      <c r="Q24" s="109">
        <f>IF(Input!Q$174&gt;0, P24+P56+P88, 0)</f>
        <v>0</v>
      </c>
      <c r="R24" s="109"/>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14"/>
      <c r="BL24" s="214"/>
    </row>
    <row r="25" spans="1:64" ht="12.75" hidden="1" customHeight="1" outlineLevel="1">
      <c r="A25" s="9"/>
      <c r="B25" s="9"/>
      <c r="C25" s="44"/>
      <c r="D25" s="128" t="str">
        <f>Asset19</f>
        <v>Motor vehicles</v>
      </c>
      <c r="E25" s="9"/>
      <c r="F25" s="9"/>
      <c r="G25" s="191">
        <f>'Actual RAB roll forward'!G456</f>
        <v>74.944727351411942</v>
      </c>
      <c r="H25" s="357">
        <f>G25+G57+G89+G121+G153+G185+'Actual RAB roll forward'!H716</f>
        <v>91.050915161738018</v>
      </c>
      <c r="I25" s="109">
        <f t="shared" si="2"/>
        <v>105.44431320433179</v>
      </c>
      <c r="J25" s="109">
        <f t="shared" si="2"/>
        <v>120.35497157409276</v>
      </c>
      <c r="K25" s="109">
        <f t="shared" si="2"/>
        <v>135.81893233907178</v>
      </c>
      <c r="L25" s="109">
        <f t="shared" si="2"/>
        <v>129.74762932029066</v>
      </c>
      <c r="M25" s="109">
        <f>IF(Input!M$174&gt;0, L25+L57+L89, 0)</f>
        <v>0</v>
      </c>
      <c r="N25" s="109">
        <f>IF(Input!N$174&gt;0, M25+M57+M89, 0)</f>
        <v>0</v>
      </c>
      <c r="O25" s="109">
        <f>IF(Input!O$174&gt;0, N25+N57+N89, 0)</f>
        <v>0</v>
      </c>
      <c r="P25" s="109">
        <f>IF(Input!P$174&gt;0, O25+O57+O89, 0)</f>
        <v>0</v>
      </c>
      <c r="Q25" s="109">
        <f>IF(Input!Q$174&gt;0, P25+P57+P89, 0)</f>
        <v>0</v>
      </c>
      <c r="R25" s="109"/>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14"/>
      <c r="BL25" s="214"/>
    </row>
    <row r="26" spans="1:64" ht="12.75" hidden="1" customHeight="1" outlineLevel="1">
      <c r="A26" s="9"/>
      <c r="B26" s="9"/>
      <c r="C26" s="44"/>
      <c r="D26" s="128" t="str">
        <f>Asset20</f>
        <v>Buildings</v>
      </c>
      <c r="E26" s="9"/>
      <c r="F26" s="9"/>
      <c r="G26" s="191">
        <f>'Actual RAB roll forward'!G457</f>
        <v>62.901796243165677</v>
      </c>
      <c r="H26" s="357">
        <f>G26+G58+G90+G122+G154+G186+'Actual RAB roll forward'!H717</f>
        <v>124.2967032107457</v>
      </c>
      <c r="I26" s="109">
        <f t="shared" si="2"/>
        <v>188.26931210716614</v>
      </c>
      <c r="J26" s="109">
        <f t="shared" si="2"/>
        <v>231.25287868519163</v>
      </c>
      <c r="K26" s="109">
        <f t="shared" si="2"/>
        <v>262.92542589190612</v>
      </c>
      <c r="L26" s="109">
        <f t="shared" si="2"/>
        <v>277.88669928501963</v>
      </c>
      <c r="M26" s="109">
        <f>IF(Input!M$174&gt;0, L26+L58+L90, 0)</f>
        <v>0</v>
      </c>
      <c r="N26" s="109">
        <f>IF(Input!N$174&gt;0, M26+M58+M90, 0)</f>
        <v>0</v>
      </c>
      <c r="O26" s="109">
        <f>IF(Input!O$174&gt;0, N26+N58+N90, 0)</f>
        <v>0</v>
      </c>
      <c r="P26" s="109">
        <f>IF(Input!P$174&gt;0, O26+O58+O90, 0)</f>
        <v>0</v>
      </c>
      <c r="Q26" s="109">
        <f>IF(Input!Q$174&gt;0, P26+P58+P90, 0)</f>
        <v>0</v>
      </c>
      <c r="R26" s="109"/>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14"/>
      <c r="BL26" s="214"/>
    </row>
    <row r="27" spans="1:64" ht="15" hidden="1" customHeight="1" outlineLevel="1">
      <c r="A27" s="9"/>
      <c r="B27" s="9"/>
      <c r="C27" s="44"/>
      <c r="D27" s="128" t="str">
        <f>Asset21</f>
        <v>Equity raising costs</v>
      </c>
      <c r="E27" s="9"/>
      <c r="F27" s="9"/>
      <c r="G27" s="191">
        <f>'Actual RAB roll forward'!G458</f>
        <v>0</v>
      </c>
      <c r="H27" s="357">
        <f>G27+G59+G91+G123+G155+G187+'Actual RAB roll forward'!H718</f>
        <v>0</v>
      </c>
      <c r="I27" s="109">
        <f t="shared" si="2"/>
        <v>26.994350537996358</v>
      </c>
      <c r="J27" s="109">
        <f t="shared" si="2"/>
        <v>27.182878312810391</v>
      </c>
      <c r="K27" s="109">
        <f t="shared" si="2"/>
        <v>27.508187208372213</v>
      </c>
      <c r="L27" s="109">
        <f t="shared" si="2"/>
        <v>27.376884092769291</v>
      </c>
      <c r="M27" s="109">
        <f>IF(Input!M$174&gt;0, L27+L59+L91, 0)</f>
        <v>0</v>
      </c>
      <c r="N27" s="109">
        <f>IF(Input!N$174&gt;0, M27+M59+M91, 0)</f>
        <v>0</v>
      </c>
      <c r="O27" s="109">
        <f>IF(Input!O$174&gt;0, N27+N59+N91, 0)</f>
        <v>0</v>
      </c>
      <c r="P27" s="109">
        <f>IF(Input!P$174&gt;0, O27+O59+O91, 0)</f>
        <v>0</v>
      </c>
      <c r="Q27" s="109">
        <f>IF(Input!Q$174&gt;0, P27+P59+P91, 0)</f>
        <v>0</v>
      </c>
      <c r="R27" s="109"/>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14"/>
      <c r="BL27" s="214"/>
    </row>
    <row r="28" spans="1:64" ht="12.75" hidden="1" customHeight="1" outlineLevel="1">
      <c r="A28" s="9"/>
      <c r="B28" s="9"/>
      <c r="C28" s="44"/>
      <c r="D28" s="128" t="s">
        <v>151</v>
      </c>
      <c r="E28" s="9"/>
      <c r="F28" s="9"/>
      <c r="G28" s="191">
        <f>'Actual RAB roll forward'!G459</f>
        <v>256.95474748429052</v>
      </c>
      <c r="H28" s="357">
        <f>G28+G60+G92+G124+G156+G188+'Actual RAB roll forward'!H719</f>
        <v>0</v>
      </c>
      <c r="I28" s="109">
        <f t="shared" si="2"/>
        <v>0</v>
      </c>
      <c r="J28" s="109">
        <f t="shared" si="2"/>
        <v>0</v>
      </c>
      <c r="K28" s="109">
        <f t="shared" si="2"/>
        <v>0</v>
      </c>
      <c r="L28" s="109">
        <f t="shared" si="2"/>
        <v>0</v>
      </c>
      <c r="M28" s="109">
        <f>IF(Input!M$174&gt;0, L28+L60+L92, 0)</f>
        <v>0</v>
      </c>
      <c r="N28" s="109">
        <f>IF(Input!N$174&gt;0, M28+M60+M92, 0)</f>
        <v>0</v>
      </c>
      <c r="O28" s="109">
        <f>IF(Input!O$174&gt;0, N28+N60+N92, 0)</f>
        <v>0</v>
      </c>
      <c r="P28" s="109">
        <f>IF(Input!P$174&gt;0, O28+O60+O92, 0)</f>
        <v>0</v>
      </c>
      <c r="Q28" s="109">
        <f>IF(Input!Q$174&gt;0, P28+P60+P92, 0)</f>
        <v>0</v>
      </c>
      <c r="R28" s="109"/>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14"/>
      <c r="BL28" s="214"/>
    </row>
    <row r="29" spans="1:64" ht="5.25" hidden="1" customHeight="1" outlineLevel="1">
      <c r="A29" s="9"/>
      <c r="B29" s="9"/>
      <c r="C29" s="44"/>
      <c r="D29" s="128">
        <f>Asset23</f>
        <v>0</v>
      </c>
      <c r="E29" s="9"/>
      <c r="F29" s="9"/>
      <c r="G29" s="191">
        <f>'Actual RAB roll forward'!G460</f>
        <v>0</v>
      </c>
      <c r="H29" s="109">
        <f t="shared" ref="H29:H36" si="3">G29+G61+G93+G125+G157+G189</f>
        <v>0</v>
      </c>
      <c r="I29" s="109">
        <f t="shared" si="2"/>
        <v>0</v>
      </c>
      <c r="J29" s="109">
        <f t="shared" si="2"/>
        <v>0</v>
      </c>
      <c r="K29" s="109">
        <f t="shared" si="2"/>
        <v>0</v>
      </c>
      <c r="L29" s="109">
        <f t="shared" si="2"/>
        <v>0</v>
      </c>
      <c r="M29" s="109">
        <f>IF(Input!M$174&gt;0, L29+L61+L93, 0)</f>
        <v>0</v>
      </c>
      <c r="N29" s="109">
        <f>IF(Input!N$174&gt;0, M29+M61+M93, 0)</f>
        <v>0</v>
      </c>
      <c r="O29" s="109">
        <f>IF(Input!O$174&gt;0, N29+N61+N93, 0)</f>
        <v>0</v>
      </c>
      <c r="P29" s="109">
        <f>IF(Input!P$174&gt;0, O29+O61+O93, 0)</f>
        <v>0</v>
      </c>
      <c r="Q29" s="109">
        <f>IF(Input!Q$174&gt;0, P29+P61+P93, 0)</f>
        <v>0</v>
      </c>
      <c r="R29" s="109"/>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14"/>
      <c r="BL29" s="214"/>
    </row>
    <row r="30" spans="1:64" ht="5.25" hidden="1" customHeight="1" outlineLevel="1">
      <c r="A30" s="9"/>
      <c r="B30" s="9"/>
      <c r="C30" s="44"/>
      <c r="D30" s="128">
        <f>Asset24</f>
        <v>0</v>
      </c>
      <c r="E30" s="9"/>
      <c r="F30" s="9"/>
      <c r="G30" s="191">
        <f>'Actual RAB roll forward'!G461</f>
        <v>0</v>
      </c>
      <c r="H30" s="109">
        <f t="shared" si="3"/>
        <v>0</v>
      </c>
      <c r="I30" s="109">
        <f t="shared" si="2"/>
        <v>0</v>
      </c>
      <c r="J30" s="109">
        <f t="shared" si="2"/>
        <v>0</v>
      </c>
      <c r="K30" s="109">
        <f t="shared" si="2"/>
        <v>0</v>
      </c>
      <c r="L30" s="109">
        <f t="shared" si="2"/>
        <v>0</v>
      </c>
      <c r="M30" s="109">
        <f>IF(Input!M$174&gt;0, L30+L62+L94, 0)</f>
        <v>0</v>
      </c>
      <c r="N30" s="109">
        <f>IF(Input!N$174&gt;0, M30+M62+M94, 0)</f>
        <v>0</v>
      </c>
      <c r="O30" s="109">
        <f>IF(Input!O$174&gt;0, N30+N62+N94, 0)</f>
        <v>0</v>
      </c>
      <c r="P30" s="109">
        <f>IF(Input!P$174&gt;0, O30+O62+O94, 0)</f>
        <v>0</v>
      </c>
      <c r="Q30" s="109">
        <f>IF(Input!Q$174&gt;0, P30+P62+P94, 0)</f>
        <v>0</v>
      </c>
      <c r="R30" s="109"/>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14"/>
      <c r="BL30" s="214"/>
    </row>
    <row r="31" spans="1:64" ht="5.25" hidden="1" customHeight="1" outlineLevel="1">
      <c r="A31" s="9"/>
      <c r="B31" s="9"/>
      <c r="C31" s="44"/>
      <c r="D31" s="128">
        <f>Asset25</f>
        <v>0</v>
      </c>
      <c r="E31" s="9"/>
      <c r="F31" s="9"/>
      <c r="G31" s="191">
        <f>'Actual RAB roll forward'!G462</f>
        <v>0</v>
      </c>
      <c r="H31" s="109">
        <f t="shared" si="3"/>
        <v>0</v>
      </c>
      <c r="I31" s="109">
        <f t="shared" si="2"/>
        <v>0</v>
      </c>
      <c r="J31" s="109">
        <f t="shared" si="2"/>
        <v>0</v>
      </c>
      <c r="K31" s="109">
        <f t="shared" si="2"/>
        <v>0</v>
      </c>
      <c r="L31" s="109">
        <f t="shared" si="2"/>
        <v>0</v>
      </c>
      <c r="M31" s="109">
        <f>IF(Input!M$174&gt;0, L31+L63+L95, 0)</f>
        <v>0</v>
      </c>
      <c r="N31" s="109">
        <f>IF(Input!N$174&gt;0, M31+M63+M95, 0)</f>
        <v>0</v>
      </c>
      <c r="O31" s="109">
        <f>IF(Input!O$174&gt;0, N31+N63+N95, 0)</f>
        <v>0</v>
      </c>
      <c r="P31" s="109">
        <f>IF(Input!P$174&gt;0, O31+O63+O95, 0)</f>
        <v>0</v>
      </c>
      <c r="Q31" s="109">
        <f>IF(Input!Q$174&gt;0, P31+P63+P95, 0)</f>
        <v>0</v>
      </c>
      <c r="R31" s="109"/>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14"/>
      <c r="BL31" s="214"/>
    </row>
    <row r="32" spans="1:64" ht="5.25" hidden="1" customHeight="1" outlineLevel="1">
      <c r="A32" s="9"/>
      <c r="B32" s="9"/>
      <c r="C32" s="44"/>
      <c r="D32" s="128">
        <f>Asset26</f>
        <v>0</v>
      </c>
      <c r="E32" s="9"/>
      <c r="F32" s="9"/>
      <c r="G32" s="191">
        <f>'Actual RAB roll forward'!G463</f>
        <v>0</v>
      </c>
      <c r="H32" s="109">
        <f t="shared" si="3"/>
        <v>0</v>
      </c>
      <c r="I32" s="109">
        <f t="shared" si="2"/>
        <v>0</v>
      </c>
      <c r="J32" s="109">
        <f t="shared" si="2"/>
        <v>0</v>
      </c>
      <c r="K32" s="109">
        <f t="shared" si="2"/>
        <v>0</v>
      </c>
      <c r="L32" s="109">
        <f t="shared" si="2"/>
        <v>0</v>
      </c>
      <c r="M32" s="109">
        <f>IF(Input!M$174&gt;0, L32+L64+L96, 0)</f>
        <v>0</v>
      </c>
      <c r="N32" s="109">
        <f>IF(Input!N$174&gt;0, M32+M64+M96, 0)</f>
        <v>0</v>
      </c>
      <c r="O32" s="109">
        <f>IF(Input!O$174&gt;0, N32+N64+N96, 0)</f>
        <v>0</v>
      </c>
      <c r="P32" s="109">
        <f>IF(Input!P$174&gt;0, O32+O64+O96, 0)</f>
        <v>0</v>
      </c>
      <c r="Q32" s="109">
        <f>IF(Input!Q$174&gt;0, P32+P64+P96, 0)</f>
        <v>0</v>
      </c>
      <c r="R32" s="109"/>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14"/>
      <c r="BL32" s="214"/>
    </row>
    <row r="33" spans="1:64" ht="5.25" hidden="1" customHeight="1" outlineLevel="1">
      <c r="A33" s="9"/>
      <c r="B33" s="9"/>
      <c r="C33" s="44"/>
      <c r="D33" s="128">
        <f>Asset27</f>
        <v>0</v>
      </c>
      <c r="E33" s="9"/>
      <c r="F33" s="9"/>
      <c r="G33" s="191">
        <f>'Actual RAB roll forward'!G464</f>
        <v>0</v>
      </c>
      <c r="H33" s="109">
        <f t="shared" si="3"/>
        <v>0</v>
      </c>
      <c r="I33" s="109">
        <f t="shared" si="2"/>
        <v>0</v>
      </c>
      <c r="J33" s="109">
        <f t="shared" si="2"/>
        <v>0</v>
      </c>
      <c r="K33" s="109">
        <f t="shared" si="2"/>
        <v>0</v>
      </c>
      <c r="L33" s="109">
        <f t="shared" si="2"/>
        <v>0</v>
      </c>
      <c r="M33" s="109">
        <f>IF(Input!M$174&gt;0, L33+L65+L97, 0)</f>
        <v>0</v>
      </c>
      <c r="N33" s="109">
        <f>IF(Input!N$174&gt;0, M33+M65+M97, 0)</f>
        <v>0</v>
      </c>
      <c r="O33" s="109">
        <f>IF(Input!O$174&gt;0, N33+N65+N97, 0)</f>
        <v>0</v>
      </c>
      <c r="P33" s="109">
        <f>IF(Input!P$174&gt;0, O33+O65+O97, 0)</f>
        <v>0</v>
      </c>
      <c r="Q33" s="109">
        <f>IF(Input!Q$174&gt;0, P33+P65+P97, 0)</f>
        <v>0</v>
      </c>
      <c r="R33" s="109"/>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14"/>
      <c r="BL33" s="214"/>
    </row>
    <row r="34" spans="1:64" ht="5.25" hidden="1" customHeight="1" outlineLevel="1">
      <c r="A34" s="9"/>
      <c r="B34" s="9"/>
      <c r="C34" s="44"/>
      <c r="D34" s="128">
        <f>Asset28</f>
        <v>0</v>
      </c>
      <c r="E34" s="9"/>
      <c r="F34" s="9"/>
      <c r="G34" s="191">
        <f>'Actual RAB roll forward'!G465</f>
        <v>0</v>
      </c>
      <c r="H34" s="109">
        <f t="shared" si="3"/>
        <v>0</v>
      </c>
      <c r="I34" s="109">
        <f t="shared" si="2"/>
        <v>0</v>
      </c>
      <c r="J34" s="109">
        <f t="shared" si="2"/>
        <v>0</v>
      </c>
      <c r="K34" s="109">
        <f t="shared" si="2"/>
        <v>0</v>
      </c>
      <c r="L34" s="109">
        <f t="shared" si="2"/>
        <v>0</v>
      </c>
      <c r="M34" s="109">
        <f>IF(Input!M$174&gt;0, L34+L66+L98, 0)</f>
        <v>0</v>
      </c>
      <c r="N34" s="109">
        <f>IF(Input!N$174&gt;0, M34+M66+M98, 0)</f>
        <v>0</v>
      </c>
      <c r="O34" s="109">
        <f>IF(Input!O$174&gt;0, N34+N66+N98, 0)</f>
        <v>0</v>
      </c>
      <c r="P34" s="109">
        <f>IF(Input!P$174&gt;0, O34+O66+O98, 0)</f>
        <v>0</v>
      </c>
      <c r="Q34" s="109">
        <f>IF(Input!Q$174&gt;0, P34+P66+P98, 0)</f>
        <v>0</v>
      </c>
      <c r="R34" s="109"/>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14"/>
      <c r="BL34" s="214"/>
    </row>
    <row r="35" spans="1:64" ht="5.25" hidden="1" customHeight="1" outlineLevel="1">
      <c r="A35" s="9"/>
      <c r="B35" s="9"/>
      <c r="C35" s="44"/>
      <c r="D35" s="128">
        <f>Asset29</f>
        <v>0</v>
      </c>
      <c r="E35" s="9"/>
      <c r="F35" s="9"/>
      <c r="G35" s="191">
        <f>'Actual RAB roll forward'!G466</f>
        <v>0</v>
      </c>
      <c r="H35" s="109">
        <f t="shared" si="3"/>
        <v>0</v>
      </c>
      <c r="I35" s="109">
        <f t="shared" ref="I35:L36" si="4">H35+H67+H99</f>
        <v>0</v>
      </c>
      <c r="J35" s="109">
        <f t="shared" si="4"/>
        <v>0</v>
      </c>
      <c r="K35" s="109">
        <f t="shared" si="4"/>
        <v>0</v>
      </c>
      <c r="L35" s="109">
        <f t="shared" si="4"/>
        <v>0</v>
      </c>
      <c r="M35" s="109">
        <f>IF(Input!M$174&gt;0, L35+L67+L99, 0)</f>
        <v>0</v>
      </c>
      <c r="N35" s="109">
        <f>IF(Input!N$174&gt;0, M35+M67+M99, 0)</f>
        <v>0</v>
      </c>
      <c r="O35" s="109">
        <f>IF(Input!O$174&gt;0, N35+N67+N99, 0)</f>
        <v>0</v>
      </c>
      <c r="P35" s="109">
        <f>IF(Input!P$174&gt;0, O35+O67+O99, 0)</f>
        <v>0</v>
      </c>
      <c r="Q35" s="109">
        <f>IF(Input!Q$174&gt;0, P35+P67+P99, 0)</f>
        <v>0</v>
      </c>
      <c r="R35" s="109"/>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14"/>
      <c r="BL35" s="214"/>
    </row>
    <row r="36" spans="1:64" ht="5.25" hidden="1" customHeight="1" outlineLevel="1">
      <c r="A36" s="9"/>
      <c r="B36" s="9"/>
      <c r="C36" s="44"/>
      <c r="D36" s="128">
        <f>Asset30</f>
        <v>0</v>
      </c>
      <c r="E36" s="9"/>
      <c r="F36" s="9"/>
      <c r="G36" s="191">
        <f>'Actual RAB roll forward'!G467</f>
        <v>0</v>
      </c>
      <c r="H36" s="109">
        <f t="shared" si="3"/>
        <v>0</v>
      </c>
      <c r="I36" s="109">
        <f t="shared" si="4"/>
        <v>0</v>
      </c>
      <c r="J36" s="109">
        <f t="shared" si="4"/>
        <v>0</v>
      </c>
      <c r="K36" s="109">
        <f t="shared" si="4"/>
        <v>0</v>
      </c>
      <c r="L36" s="109">
        <f t="shared" si="4"/>
        <v>0</v>
      </c>
      <c r="M36" s="109">
        <f>IF(Input!M$174&gt;0, L36+L68+L100, 0)</f>
        <v>0</v>
      </c>
      <c r="N36" s="109">
        <f>IF(Input!N$174&gt;0, M36+M68+M100, 0)</f>
        <v>0</v>
      </c>
      <c r="O36" s="109">
        <f>IF(Input!O$174&gt;0, N36+N68+N100, 0)</f>
        <v>0</v>
      </c>
      <c r="P36" s="109">
        <f>IF(Input!P$174&gt;0, O36+O68+O100, 0)</f>
        <v>0</v>
      </c>
      <c r="Q36" s="109">
        <f>IF(Input!Q$174&gt;0, P36+P68+P100, 0)</f>
        <v>0</v>
      </c>
      <c r="R36" s="109"/>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14"/>
      <c r="BL36" s="214"/>
    </row>
    <row r="37" spans="1:64" collapsed="1">
      <c r="A37" s="9"/>
      <c r="B37" s="9"/>
      <c r="C37" s="44"/>
      <c r="D37" s="112"/>
      <c r="E37" s="9"/>
      <c r="F37" s="9"/>
      <c r="G37" s="202"/>
      <c r="H37" s="36"/>
      <c r="I37" s="36"/>
      <c r="J37" s="36"/>
      <c r="K37" s="36"/>
      <c r="L37" s="36"/>
      <c r="M37" s="36"/>
      <c r="N37" s="99"/>
      <c r="O37" s="28"/>
      <c r="P37" s="28"/>
      <c r="Q37" s="28"/>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14"/>
      <c r="BL37" s="214"/>
    </row>
    <row r="38" spans="1:64">
      <c r="A38" s="9"/>
      <c r="B38" s="9"/>
      <c r="C38" s="44" t="s">
        <v>36</v>
      </c>
      <c r="D38" s="9"/>
      <c r="E38" s="9"/>
      <c r="F38" s="9"/>
      <c r="G38" s="192">
        <f>SUM(G39:G68)</f>
        <v>934.27028086116718</v>
      </c>
      <c r="H38" s="36">
        <f>SUM(H39:H68)</f>
        <v>1129.1747621531501</v>
      </c>
      <c r="I38" s="36">
        <f t="shared" ref="I38:Q38" si="5">SUM(I39:I68)</f>
        <v>1304.6736646960683</v>
      </c>
      <c r="J38" s="36">
        <f t="shared" si="5"/>
        <v>1390.9445004263339</v>
      </c>
      <c r="K38" s="36">
        <f t="shared" si="5"/>
        <v>1049.1969906361933</v>
      </c>
      <c r="L38" s="36">
        <f t="shared" si="5"/>
        <v>605.3911579081597</v>
      </c>
      <c r="M38" s="36">
        <f t="shared" si="5"/>
        <v>0</v>
      </c>
      <c r="N38" s="36">
        <f t="shared" si="5"/>
        <v>0</v>
      </c>
      <c r="O38" s="36">
        <f t="shared" si="5"/>
        <v>0</v>
      </c>
      <c r="P38" s="36">
        <f t="shared" si="5"/>
        <v>0</v>
      </c>
      <c r="Q38" s="36">
        <f t="shared" si="5"/>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14"/>
      <c r="BL38" s="214"/>
    </row>
    <row r="39" spans="1:64" ht="12.75" hidden="1" customHeight="1" outlineLevel="1">
      <c r="A39" s="9"/>
      <c r="B39" s="9"/>
      <c r="C39" s="44"/>
      <c r="D39" s="128" t="str">
        <f>Asset1</f>
        <v>Sub-transmission lines and cables</v>
      </c>
      <c r="E39" s="9"/>
      <c r="F39" s="9"/>
      <c r="G39" s="191">
        <f>'Actual RAB roll forward'!G470</f>
        <v>0</v>
      </c>
      <c r="H39" s="109">
        <f>'Actual RAB roll forward'!H470</f>
        <v>118.2817585823714</v>
      </c>
      <c r="I39" s="109">
        <f>'Actual RAB roll forward'!I470</f>
        <v>124.17560934837782</v>
      </c>
      <c r="J39" s="109">
        <f>'Actual RAB roll forward'!J470</f>
        <v>132.45141076630887</v>
      </c>
      <c r="K39" s="109">
        <f>'Actual RAB roll forward'!K470</f>
        <v>100.51994555141997</v>
      </c>
      <c r="L39" s="109">
        <f>'Actual RAB roll forward'!L470</f>
        <v>56.536441197346747</v>
      </c>
      <c r="M39" s="109">
        <f>'Actual RAB roll forward'!M470</f>
        <v>0</v>
      </c>
      <c r="N39" s="109">
        <f>'Actual RAB roll forward'!N470</f>
        <v>0</v>
      </c>
      <c r="O39" s="109">
        <f>'Actual RAB roll forward'!O470</f>
        <v>0</v>
      </c>
      <c r="P39" s="109">
        <f>'Actual RAB roll forward'!P470</f>
        <v>0</v>
      </c>
      <c r="Q39" s="109">
        <f>'Actual RAB roll forward'!Q470</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14"/>
      <c r="BL39" s="214"/>
    </row>
    <row r="40" spans="1:64" ht="12.75" hidden="1" customHeight="1" outlineLevel="1">
      <c r="A40" s="9"/>
      <c r="B40" s="9"/>
      <c r="C40" s="44"/>
      <c r="D40" s="128" t="str">
        <f>Asset2</f>
        <v>Cable tunnel (dx)</v>
      </c>
      <c r="E40" s="9"/>
      <c r="F40" s="9"/>
      <c r="G40" s="191">
        <f>'Actual RAB roll forward'!G471</f>
        <v>29.58704874813581</v>
      </c>
      <c r="H40" s="109">
        <f>'Actual RAB roll forward'!H471</f>
        <v>1.0861272135531035</v>
      </c>
      <c r="I40" s="109">
        <f>'Actual RAB roll forward'!I471</f>
        <v>0.25042458617489571</v>
      </c>
      <c r="J40" s="109">
        <f>'Actual RAB roll forward'!J471</f>
        <v>4.1937685183568774E-2</v>
      </c>
      <c r="K40" s="109">
        <f>'Actual RAB roll forward'!K471</f>
        <v>59.495831912462961</v>
      </c>
      <c r="L40" s="109">
        <f>'Actual RAB roll forward'!L471</f>
        <v>46.687226561349341</v>
      </c>
      <c r="M40" s="109">
        <f>'Actual RAB roll forward'!M471</f>
        <v>0</v>
      </c>
      <c r="N40" s="109">
        <f>'Actual RAB roll forward'!N471</f>
        <v>0</v>
      </c>
      <c r="O40" s="109">
        <f>'Actual RAB roll forward'!O471</f>
        <v>0</v>
      </c>
      <c r="P40" s="109">
        <f>'Actual RAB roll forward'!P471</f>
        <v>0</v>
      </c>
      <c r="Q40" s="109">
        <f>'Actual RAB roll forward'!Q471</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14"/>
      <c r="BL40" s="214"/>
    </row>
    <row r="41" spans="1:64" ht="12.75" hidden="1" customHeight="1" outlineLevel="1">
      <c r="A41" s="9"/>
      <c r="B41" s="9"/>
      <c r="C41" s="44"/>
      <c r="D41" s="128" t="str">
        <f>Asset3</f>
        <v>Distribution lines and cables</v>
      </c>
      <c r="E41" s="9"/>
      <c r="F41" s="9"/>
      <c r="G41" s="191">
        <f>'Actual RAB roll forward'!G472</f>
        <v>189.88115007143207</v>
      </c>
      <c r="H41" s="109">
        <f>'Actual RAB roll forward'!H472</f>
        <v>182.48739954301965</v>
      </c>
      <c r="I41" s="109">
        <f>'Actual RAB roll forward'!I472</f>
        <v>292.03521325606573</v>
      </c>
      <c r="J41" s="109">
        <f>'Actual RAB roll forward'!J472</f>
        <v>314.18240852259333</v>
      </c>
      <c r="K41" s="109">
        <f>'Actual RAB roll forward'!K472</f>
        <v>275.12493835370122</v>
      </c>
      <c r="L41" s="109">
        <f>'Actual RAB roll forward'!L472</f>
        <v>184.37712290403988</v>
      </c>
      <c r="M41" s="109">
        <f>'Actual RAB roll forward'!M472</f>
        <v>0</v>
      </c>
      <c r="N41" s="109">
        <f>'Actual RAB roll forward'!N472</f>
        <v>0</v>
      </c>
      <c r="O41" s="109">
        <f>'Actual RAB roll forward'!O472</f>
        <v>0</v>
      </c>
      <c r="P41" s="109">
        <f>'Actual RAB roll forward'!P472</f>
        <v>0</v>
      </c>
      <c r="Q41" s="109">
        <f>'Actual RAB roll forward'!Q472</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14"/>
      <c r="BL41" s="214"/>
    </row>
    <row r="42" spans="1:64" ht="12.75" hidden="1" customHeight="1" outlineLevel="1">
      <c r="A42" s="9"/>
      <c r="B42" s="9"/>
      <c r="C42" s="44"/>
      <c r="D42" s="128" t="str">
        <f>Asset4</f>
        <v>Substations</v>
      </c>
      <c r="E42" s="9"/>
      <c r="F42" s="9"/>
      <c r="G42" s="191">
        <f>'Actual RAB roll forward'!G473</f>
        <v>329.36725338549758</v>
      </c>
      <c r="H42" s="109">
        <f>'Actual RAB roll forward'!H473</f>
        <v>310.87342560778603</v>
      </c>
      <c r="I42" s="109">
        <f>'Actual RAB roll forward'!I473</f>
        <v>352.85652435902307</v>
      </c>
      <c r="J42" s="109">
        <f>'Actual RAB roll forward'!J473</f>
        <v>434.35337338791584</v>
      </c>
      <c r="K42" s="109">
        <f>'Actual RAB roll forward'!K473</f>
        <v>272.67953489867256</v>
      </c>
      <c r="L42" s="109">
        <f>'Actual RAB roll forward'!L473</f>
        <v>173.19602621055793</v>
      </c>
      <c r="M42" s="109">
        <f>'Actual RAB roll forward'!M473</f>
        <v>0</v>
      </c>
      <c r="N42" s="109">
        <f>'Actual RAB roll forward'!N473</f>
        <v>0</v>
      </c>
      <c r="O42" s="109">
        <f>'Actual RAB roll forward'!O473</f>
        <v>0</v>
      </c>
      <c r="P42" s="109">
        <f>'Actual RAB roll forward'!P473</f>
        <v>0</v>
      </c>
      <c r="Q42" s="109">
        <f>'Actual RAB roll forward'!Q473</f>
        <v>0</v>
      </c>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14"/>
      <c r="BL42" s="214"/>
    </row>
    <row r="43" spans="1:64" ht="12.75" hidden="1" customHeight="1" outlineLevel="1">
      <c r="A43" s="9"/>
      <c r="B43" s="9"/>
      <c r="C43" s="44"/>
      <c r="D43" s="128" t="str">
        <f>Asset5</f>
        <v>Transformers</v>
      </c>
      <c r="E43" s="9"/>
      <c r="F43" s="9"/>
      <c r="G43" s="191">
        <f>'Actual RAB roll forward'!G474</f>
        <v>62.449806464815232</v>
      </c>
      <c r="H43" s="109">
        <f>'Actual RAB roll forward'!H474</f>
        <v>59.069157822017694</v>
      </c>
      <c r="I43" s="109">
        <f>'Actual RAB roll forward'!I474</f>
        <v>81.601119156905668</v>
      </c>
      <c r="J43" s="109">
        <f>'Actual RAB roll forward'!J474</f>
        <v>55.154551176387059</v>
      </c>
      <c r="K43" s="109">
        <f>'Actual RAB roll forward'!K474</f>
        <v>42.17057803826107</v>
      </c>
      <c r="L43" s="109">
        <f>'Actual RAB roll forward'!L474</f>
        <v>32.312333022666358</v>
      </c>
      <c r="M43" s="109">
        <f>'Actual RAB roll forward'!M474</f>
        <v>0</v>
      </c>
      <c r="N43" s="109">
        <f>'Actual RAB roll forward'!N474</f>
        <v>0</v>
      </c>
      <c r="O43" s="109">
        <f>'Actual RAB roll forward'!O474</f>
        <v>0</v>
      </c>
      <c r="P43" s="109">
        <f>'Actual RAB roll forward'!P474</f>
        <v>0</v>
      </c>
      <c r="Q43" s="109">
        <f>'Actual RAB roll forward'!Q474</f>
        <v>0</v>
      </c>
      <c r="R43" s="28"/>
      <c r="S43" s="99"/>
      <c r="T43" s="99"/>
      <c r="U43" s="99"/>
      <c r="V43" s="99"/>
      <c r="W43" s="99"/>
      <c r="X43" s="99"/>
      <c r="Y43" s="99"/>
      <c r="Z43" s="99"/>
      <c r="AA43" s="99"/>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14"/>
      <c r="BL43" s="214"/>
    </row>
    <row r="44" spans="1:64" ht="12.75" hidden="1" customHeight="1" outlineLevel="1">
      <c r="A44" s="9"/>
      <c r="B44" s="9"/>
      <c r="C44" s="44"/>
      <c r="D44" s="128" t="str">
        <f>Asset6</f>
        <v>Low Voltage Lines and Cables</v>
      </c>
      <c r="E44" s="9"/>
      <c r="F44" s="9"/>
      <c r="G44" s="191">
        <f>'Actual RAB roll forward'!G475</f>
        <v>42.267212497336871</v>
      </c>
      <c r="H44" s="109">
        <f>'Actual RAB roll forward'!H475</f>
        <v>125.71669690346464</v>
      </c>
      <c r="I44" s="109">
        <f>'Actual RAB roll forward'!I475</f>
        <v>155.37123943755628</v>
      </c>
      <c r="J44" s="109">
        <f>'Actual RAB roll forward'!J475</f>
        <v>192.67942820945294</v>
      </c>
      <c r="K44" s="109">
        <f>'Actual RAB roll forward'!K475</f>
        <v>150.27968608696753</v>
      </c>
      <c r="L44" s="109">
        <f>'Actual RAB roll forward'!L475</f>
        <v>128.72288845977855</v>
      </c>
      <c r="M44" s="109">
        <f>'Actual RAB roll forward'!M475</f>
        <v>0</v>
      </c>
      <c r="N44" s="109">
        <f>'Actual RAB roll forward'!N475</f>
        <v>0</v>
      </c>
      <c r="O44" s="109">
        <f>'Actual RAB roll forward'!O475</f>
        <v>0</v>
      </c>
      <c r="P44" s="109">
        <f>'Actual RAB roll forward'!P475</f>
        <v>0</v>
      </c>
      <c r="Q44" s="109">
        <f>'Actual RAB roll forward'!Q475</f>
        <v>0</v>
      </c>
      <c r="R44" s="28"/>
      <c r="S44" s="99"/>
      <c r="T44" s="99"/>
      <c r="U44" s="99"/>
      <c r="V44" s="99"/>
      <c r="W44" s="99"/>
      <c r="X44" s="99"/>
      <c r="Y44" s="99"/>
      <c r="Z44" s="99"/>
      <c r="AA44" s="99"/>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14"/>
      <c r="BL44" s="214"/>
    </row>
    <row r="45" spans="1:64" ht="12.75" hidden="1" customHeight="1" outlineLevel="1">
      <c r="A45" s="9"/>
      <c r="B45" s="9"/>
      <c r="C45" s="44"/>
      <c r="D45" s="128" t="str">
        <f>Asset7</f>
        <v>Customer Metering and Load Control</v>
      </c>
      <c r="E45" s="9"/>
      <c r="F45" s="9"/>
      <c r="G45" s="191">
        <f>'Actual RAB roll forward'!G476</f>
        <v>45.225917372150448</v>
      </c>
      <c r="H45" s="109">
        <f>'Actual RAB roll forward'!H476</f>
        <v>0.4439230015213822</v>
      </c>
      <c r="I45" s="109">
        <f>'Actual RAB roll forward'!I476</f>
        <v>0</v>
      </c>
      <c r="J45" s="109">
        <f>'Actual RAB roll forward'!J476</f>
        <v>0</v>
      </c>
      <c r="K45" s="109">
        <f>'Actual RAB roll forward'!K476</f>
        <v>0</v>
      </c>
      <c r="L45" s="109">
        <f>'Actual RAB roll forward'!L476</f>
        <v>0</v>
      </c>
      <c r="M45" s="109">
        <f>'Actual RAB roll forward'!M476</f>
        <v>0</v>
      </c>
      <c r="N45" s="109">
        <f>'Actual RAB roll forward'!N476</f>
        <v>0</v>
      </c>
      <c r="O45" s="109">
        <f>'Actual RAB roll forward'!O476</f>
        <v>0</v>
      </c>
      <c r="P45" s="109">
        <f>'Actual RAB roll forward'!P476</f>
        <v>0</v>
      </c>
      <c r="Q45" s="109">
        <f>'Actual RAB roll forward'!Q476</f>
        <v>0</v>
      </c>
      <c r="R45" s="28"/>
      <c r="S45" s="99"/>
      <c r="T45" s="99"/>
      <c r="U45" s="99"/>
      <c r="V45" s="99"/>
      <c r="W45" s="99"/>
      <c r="X45" s="99"/>
      <c r="Y45" s="99"/>
      <c r="Z45" s="99"/>
      <c r="AA45" s="99"/>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14"/>
      <c r="BL45" s="214"/>
    </row>
    <row r="46" spans="1:64" ht="12.75" hidden="1" customHeight="1" outlineLevel="1">
      <c r="A46" s="9"/>
      <c r="B46" s="9"/>
      <c r="C46" s="44"/>
      <c r="D46" s="128" t="str">
        <f>Asset8</f>
        <v>Customer Metering (digital)</v>
      </c>
      <c r="E46" s="9"/>
      <c r="F46" s="9"/>
      <c r="G46" s="191">
        <f>'Actual RAB roll forward'!G477</f>
        <v>0</v>
      </c>
      <c r="H46" s="109">
        <f>'Actual RAB roll forward'!H477</f>
        <v>23.446466917049978</v>
      </c>
      <c r="I46" s="109">
        <f>'Actual RAB roll forward'!I477</f>
        <v>31.133844320881455</v>
      </c>
      <c r="J46" s="109">
        <f>'Actual RAB roll forward'!J477</f>
        <v>22.994522221456144</v>
      </c>
      <c r="K46" s="109">
        <f>'Actual RAB roll forward'!K477</f>
        <v>16.992134014597113</v>
      </c>
      <c r="L46" s="109">
        <f>'Actual RAB roll forward'!L477</f>
        <v>17.928647923441929</v>
      </c>
      <c r="M46" s="109">
        <f>'Actual RAB roll forward'!M477</f>
        <v>0</v>
      </c>
      <c r="N46" s="109">
        <f>'Actual RAB roll forward'!N477</f>
        <v>0</v>
      </c>
      <c r="O46" s="109">
        <f>'Actual RAB roll forward'!O477</f>
        <v>0</v>
      </c>
      <c r="P46" s="109">
        <f>'Actual RAB roll forward'!P477</f>
        <v>0</v>
      </c>
      <c r="Q46" s="109">
        <f>'Actual RAB roll forward'!Q477</f>
        <v>0</v>
      </c>
      <c r="R46" s="28"/>
      <c r="S46" s="99"/>
      <c r="T46" s="99"/>
      <c r="U46" s="99"/>
      <c r="V46" s="99"/>
      <c r="W46" s="99"/>
      <c r="X46" s="99"/>
      <c r="Y46" s="99"/>
      <c r="Z46" s="99"/>
      <c r="AA46" s="99"/>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14"/>
      <c r="BL46" s="214"/>
    </row>
    <row r="47" spans="1:64" ht="12.75" hidden="1" customHeight="1" outlineLevel="1">
      <c r="A47" s="9"/>
      <c r="B47" s="9"/>
      <c r="C47" s="44"/>
      <c r="D47" s="128" t="str">
        <f>Asset9</f>
        <v>Communications (digital) - dx</v>
      </c>
      <c r="E47" s="9"/>
      <c r="F47" s="9"/>
      <c r="G47" s="191">
        <f>'Actual RAB roll forward'!G478</f>
        <v>0</v>
      </c>
      <c r="H47" s="109">
        <f>'Actual RAB roll forward'!H478</f>
        <v>22.233532180732755</v>
      </c>
      <c r="I47" s="109">
        <f>'Actual RAB roll forward'!I478</f>
        <v>1.219180319906076</v>
      </c>
      <c r="J47" s="109">
        <f>'Actual RAB roll forward'!J478</f>
        <v>1.0950955387623287</v>
      </c>
      <c r="K47" s="109">
        <f>'Actual RAB roll forward'!K478</f>
        <v>-3.3522925155655963</v>
      </c>
      <c r="L47" s="109">
        <f>'Actual RAB roll forward'!L478</f>
        <v>0.39609904625620551</v>
      </c>
      <c r="M47" s="109">
        <f>'Actual RAB roll forward'!M478</f>
        <v>0</v>
      </c>
      <c r="N47" s="109">
        <f>'Actual RAB roll forward'!N478</f>
        <v>0</v>
      </c>
      <c r="O47" s="109">
        <f>'Actual RAB roll forward'!O478</f>
        <v>0</v>
      </c>
      <c r="P47" s="109">
        <f>'Actual RAB roll forward'!P478</f>
        <v>0</v>
      </c>
      <c r="Q47" s="109">
        <f>'Actual RAB roll forward'!Q478</f>
        <v>0</v>
      </c>
      <c r="R47" s="28"/>
      <c r="S47" s="99"/>
      <c r="T47" s="99"/>
      <c r="U47" s="99"/>
      <c r="V47" s="99"/>
      <c r="W47" s="99"/>
      <c r="X47" s="99"/>
      <c r="Y47" s="99"/>
      <c r="Z47" s="99"/>
      <c r="AA47" s="99"/>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14"/>
      <c r="BL47" s="214"/>
    </row>
    <row r="48" spans="1:64" ht="12.75" hidden="1" customHeight="1" outlineLevel="1">
      <c r="A48" s="9"/>
      <c r="B48" s="9"/>
      <c r="C48" s="44"/>
      <c r="D48" s="128" t="str">
        <f>Asset10</f>
        <v>Total Communications</v>
      </c>
      <c r="E48" s="9"/>
      <c r="F48" s="9"/>
      <c r="G48" s="191">
        <f>'Actual RAB roll forward'!G479</f>
        <v>23.035630811048595</v>
      </c>
      <c r="H48" s="109">
        <f>'Actual RAB roll forward'!H479</f>
        <v>2.2717501863455389</v>
      </c>
      <c r="I48" s="109">
        <f>'Actual RAB roll forward'!I479</f>
        <v>0</v>
      </c>
      <c r="J48" s="109">
        <f>'Actual RAB roll forward'!J479</f>
        <v>0</v>
      </c>
      <c r="K48" s="109">
        <f>'Actual RAB roll forward'!K479</f>
        <v>0</v>
      </c>
      <c r="L48" s="109">
        <f>'Actual RAB roll forward'!L479</f>
        <v>0</v>
      </c>
      <c r="M48" s="109">
        <f>'Actual RAB roll forward'!M479</f>
        <v>0</v>
      </c>
      <c r="N48" s="109">
        <f>'Actual RAB roll forward'!N479</f>
        <v>0</v>
      </c>
      <c r="O48" s="109">
        <f>'Actual RAB roll forward'!O479</f>
        <v>0</v>
      </c>
      <c r="P48" s="109">
        <f>'Actual RAB roll forward'!P479</f>
        <v>0</v>
      </c>
      <c r="Q48" s="109">
        <f>'Actual RAB roll forward'!Q479</f>
        <v>0</v>
      </c>
      <c r="R48" s="28"/>
      <c r="S48" s="99"/>
      <c r="T48" s="99"/>
      <c r="U48" s="99"/>
      <c r="V48" s="99"/>
      <c r="W48" s="99"/>
      <c r="X48" s="99"/>
      <c r="Y48" s="99"/>
      <c r="Z48" s="99"/>
      <c r="AA48" s="99"/>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14"/>
      <c r="BL48" s="214"/>
    </row>
    <row r="49" spans="1:64" ht="12.75" hidden="1" customHeight="1" outlineLevel="1">
      <c r="A49" s="9"/>
      <c r="B49" s="9"/>
      <c r="C49" s="44"/>
      <c r="D49" s="128" t="str">
        <f>Asset11</f>
        <v>System IT (dx)</v>
      </c>
      <c r="E49" s="9"/>
      <c r="F49" s="9"/>
      <c r="G49" s="191">
        <f>'Actual RAB roll forward'!G480</f>
        <v>0</v>
      </c>
      <c r="H49" s="109">
        <f>'Actual RAB roll forward'!H480</f>
        <v>30.216276524089828</v>
      </c>
      <c r="I49" s="109">
        <f>'Actual RAB roll forward'!I480</f>
        <v>106.03096857907424</v>
      </c>
      <c r="J49" s="109">
        <f>'Actual RAB roll forward'!J480</f>
        <v>96.602204466940776</v>
      </c>
      <c r="K49" s="109">
        <f>'Actual RAB roll forward'!K480</f>
        <v>54.826242836767193</v>
      </c>
      <c r="L49" s="109">
        <f>'Actual RAB roll forward'!L480</f>
        <v>9.761468309097598</v>
      </c>
      <c r="M49" s="109">
        <f>'Actual RAB roll forward'!M480</f>
        <v>0</v>
      </c>
      <c r="N49" s="109">
        <f>'Actual RAB roll forward'!N480</f>
        <v>0</v>
      </c>
      <c r="O49" s="109">
        <f>'Actual RAB roll forward'!O480</f>
        <v>0</v>
      </c>
      <c r="P49" s="109">
        <f>'Actual RAB roll forward'!P480</f>
        <v>0</v>
      </c>
      <c r="Q49" s="109">
        <f>'Actual RAB roll forward'!Q480</f>
        <v>0</v>
      </c>
      <c r="R49" s="28"/>
      <c r="S49" s="99"/>
      <c r="T49" s="99"/>
      <c r="U49" s="99"/>
      <c r="V49" s="99"/>
      <c r="W49" s="99"/>
      <c r="X49" s="99"/>
      <c r="Y49" s="99"/>
      <c r="Z49" s="99"/>
      <c r="AA49" s="99"/>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14"/>
      <c r="BL49" s="214"/>
    </row>
    <row r="50" spans="1:64" ht="12.75" hidden="1" customHeight="1" outlineLevel="1">
      <c r="A50" s="9"/>
      <c r="B50" s="9"/>
      <c r="C50" s="44"/>
      <c r="D50" s="128" t="str">
        <f>Asset12</f>
        <v>Ancillary substation equipment (dx)</v>
      </c>
      <c r="E50" s="9"/>
      <c r="F50" s="9"/>
      <c r="G50" s="191">
        <f>'Actual RAB roll forward'!G481</f>
        <v>0</v>
      </c>
      <c r="H50" s="109">
        <f>'Actual RAB roll forward'!H481</f>
        <v>28.216302615964409</v>
      </c>
      <c r="I50" s="109">
        <f>'Actual RAB roll forward'!I481</f>
        <v>7.3312129759168752</v>
      </c>
      <c r="J50" s="109">
        <f>'Actual RAB roll forward'!J481</f>
        <v>15.276036035528978</v>
      </c>
      <c r="K50" s="109">
        <f>'Actual RAB roll forward'!K481</f>
        <v>9.2242493513356436</v>
      </c>
      <c r="L50" s="109">
        <f>'Actual RAB roll forward'!L481</f>
        <v>5.491651963339697</v>
      </c>
      <c r="M50" s="109">
        <f>'Actual RAB roll forward'!M481</f>
        <v>0</v>
      </c>
      <c r="N50" s="109">
        <f>'Actual RAB roll forward'!N481</f>
        <v>0</v>
      </c>
      <c r="O50" s="109">
        <f>'Actual RAB roll forward'!O481</f>
        <v>0</v>
      </c>
      <c r="P50" s="109">
        <f>'Actual RAB roll forward'!P481</f>
        <v>0</v>
      </c>
      <c r="Q50" s="109">
        <f>'Actual RAB roll forward'!Q481</f>
        <v>0</v>
      </c>
      <c r="R50" s="28"/>
      <c r="S50" s="99"/>
      <c r="T50" s="99"/>
      <c r="U50" s="99"/>
      <c r="V50" s="99"/>
      <c r="W50" s="99"/>
      <c r="X50" s="99"/>
      <c r="Y50" s="99"/>
      <c r="Z50" s="99"/>
      <c r="AA50" s="99"/>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14"/>
      <c r="BL50" s="214"/>
    </row>
    <row r="51" spans="1:64" ht="12.75" hidden="1" customHeight="1" outlineLevel="1">
      <c r="A51" s="9"/>
      <c r="B51" s="9"/>
      <c r="C51" s="44"/>
      <c r="D51" s="128" t="str">
        <f>Asset13</f>
        <v>Land and Easements</v>
      </c>
      <c r="E51" s="9"/>
      <c r="F51" s="9"/>
      <c r="G51" s="191">
        <f>'Actual RAB roll forward'!G482</f>
        <v>41.421868247390137</v>
      </c>
      <c r="H51" s="109">
        <f>'Actual RAB roll forward'!H482</f>
        <v>34.547831248923146</v>
      </c>
      <c r="I51" s="109">
        <f>'Actual RAB roll forward'!I482</f>
        <v>17.277282190110707</v>
      </c>
      <c r="J51" s="109">
        <f>'Actual RAB roll forward'!J482</f>
        <v>16.038704203103254</v>
      </c>
      <c r="K51" s="109">
        <f>'Actual RAB roll forward'!K482</f>
        <v>10.091027772526036</v>
      </c>
      <c r="L51" s="109">
        <f>'Actual RAB roll forward'!L482</f>
        <v>7.6632215037155227</v>
      </c>
      <c r="M51" s="109">
        <f>'Actual RAB roll forward'!M482</f>
        <v>0</v>
      </c>
      <c r="N51" s="109">
        <f>'Actual RAB roll forward'!N482</f>
        <v>0</v>
      </c>
      <c r="O51" s="109">
        <f>'Actual RAB roll forward'!O482</f>
        <v>0</v>
      </c>
      <c r="P51" s="109">
        <f>'Actual RAB roll forward'!P482</f>
        <v>0</v>
      </c>
      <c r="Q51" s="109">
        <f>'Actual RAB roll forward'!Q482</f>
        <v>0</v>
      </c>
      <c r="R51" s="28"/>
      <c r="S51" s="99"/>
      <c r="T51" s="99"/>
      <c r="U51" s="99"/>
      <c r="V51" s="99"/>
      <c r="W51" s="99"/>
      <c r="X51" s="99"/>
      <c r="Y51" s="99"/>
      <c r="Z51" s="99"/>
      <c r="AA51" s="99"/>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14"/>
      <c r="BL51" s="214"/>
    </row>
    <row r="52" spans="1:64" ht="12.75" hidden="1" customHeight="1" outlineLevel="1">
      <c r="A52" s="9"/>
      <c r="B52" s="9"/>
      <c r="C52" s="44"/>
      <c r="D52" s="128" t="str">
        <f>Asset14</f>
        <v>Emergency Spares (Major Plant, Excludes Inventory)</v>
      </c>
      <c r="E52" s="9"/>
      <c r="F52" s="9"/>
      <c r="G52" s="191">
        <f>'Actual RAB roll forward'!G483</f>
        <v>0</v>
      </c>
      <c r="H52" s="109">
        <f>'Actual RAB roll forward'!H483</f>
        <v>0</v>
      </c>
      <c r="I52" s="109">
        <f>'Actual RAB roll forward'!I483</f>
        <v>0</v>
      </c>
      <c r="J52" s="109">
        <f>'Actual RAB roll forward'!J483</f>
        <v>0</v>
      </c>
      <c r="K52" s="109">
        <f>'Actual RAB roll forward'!K483</f>
        <v>0</v>
      </c>
      <c r="L52" s="109">
        <f>'Actual RAB roll forward'!L483</f>
        <v>0</v>
      </c>
      <c r="M52" s="109">
        <f>'Actual RAB roll forward'!M483</f>
        <v>0</v>
      </c>
      <c r="N52" s="109">
        <f>'Actual RAB roll forward'!N483</f>
        <v>0</v>
      </c>
      <c r="O52" s="109">
        <f>'Actual RAB roll forward'!O483</f>
        <v>0</v>
      </c>
      <c r="P52" s="109">
        <f>'Actual RAB roll forward'!P483</f>
        <v>0</v>
      </c>
      <c r="Q52" s="109">
        <f>'Actual RAB roll forward'!Q483</f>
        <v>0</v>
      </c>
      <c r="R52" s="28"/>
      <c r="S52" s="99"/>
      <c r="T52" s="99"/>
      <c r="U52" s="99"/>
      <c r="V52" s="99"/>
      <c r="W52" s="99"/>
      <c r="X52" s="99"/>
      <c r="Y52" s="99"/>
      <c r="Z52" s="99"/>
      <c r="AA52" s="99"/>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14"/>
      <c r="BL52" s="214"/>
    </row>
    <row r="53" spans="1:64" ht="12.75" hidden="1" customHeight="1" outlineLevel="1">
      <c r="A53" s="9"/>
      <c r="B53" s="9"/>
      <c r="C53" s="44"/>
      <c r="D53" s="128" t="str">
        <f>Asset15</f>
        <v>Furniture, fittings, plant and equipment</v>
      </c>
      <c r="E53" s="9"/>
      <c r="F53" s="9"/>
      <c r="G53" s="191">
        <f>'Actual RAB roll forward'!G484</f>
        <v>5.3811924881171107</v>
      </c>
      <c r="H53" s="109">
        <f>'Actual RAB roll forward'!H484</f>
        <v>7.3915686986169504</v>
      </c>
      <c r="I53" s="109">
        <f>'Actual RAB roll forward'!I484</f>
        <v>6.9236532206464902</v>
      </c>
      <c r="J53" s="109">
        <f>'Actual RAB roll forward'!J484</f>
        <v>7.1541220383421456</v>
      </c>
      <c r="K53" s="109">
        <f>'Actual RAB roll forward'!K484</f>
        <v>4.3982695776994998</v>
      </c>
      <c r="L53" s="109">
        <f>'Actual RAB roll forward'!L484</f>
        <v>4.0391028932187156</v>
      </c>
      <c r="M53" s="109">
        <f>'Actual RAB roll forward'!M484</f>
        <v>0</v>
      </c>
      <c r="N53" s="109">
        <f>'Actual RAB roll forward'!N484</f>
        <v>0</v>
      </c>
      <c r="O53" s="109">
        <f>'Actual RAB roll forward'!O484</f>
        <v>0</v>
      </c>
      <c r="P53" s="109">
        <f>'Actual RAB roll forward'!P484</f>
        <v>0</v>
      </c>
      <c r="Q53" s="109">
        <f>'Actual RAB roll forward'!Q484</f>
        <v>0</v>
      </c>
      <c r="R53" s="28"/>
      <c r="S53" s="99"/>
      <c r="T53" s="99"/>
      <c r="U53" s="99"/>
      <c r="V53" s="99"/>
      <c r="W53" s="99"/>
      <c r="X53" s="99"/>
      <c r="Y53" s="99"/>
      <c r="Z53" s="99"/>
      <c r="AA53" s="99"/>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14"/>
      <c r="BL53" s="214"/>
    </row>
    <row r="54" spans="1:64" ht="12.75" hidden="1" customHeight="1" outlineLevel="1">
      <c r="A54" s="9"/>
      <c r="B54" s="9"/>
      <c r="C54" s="44"/>
      <c r="D54" s="128" t="str">
        <f>Asset16</f>
        <v>Land (non-system)</v>
      </c>
      <c r="E54" s="9"/>
      <c r="F54" s="9"/>
      <c r="G54" s="191">
        <f>'Actual RAB roll forward'!G485</f>
        <v>24.640226043635298</v>
      </c>
      <c r="H54" s="109">
        <f>'Actual RAB roll forward'!H485</f>
        <v>19.475024195532949</v>
      </c>
      <c r="I54" s="109">
        <f>'Actual RAB roll forward'!I485</f>
        <v>6.5006318398704304</v>
      </c>
      <c r="J54" s="109">
        <f>'Actual RAB roll forward'!J485</f>
        <v>8.3650007812816689</v>
      </c>
      <c r="K54" s="109">
        <f>'Actual RAB roll forward'!K485</f>
        <v>-0.1160105247854111</v>
      </c>
      <c r="L54" s="109">
        <f>'Actual RAB roll forward'!L485</f>
        <v>-56.694073590508538</v>
      </c>
      <c r="M54" s="109">
        <f>'Actual RAB roll forward'!M485</f>
        <v>0</v>
      </c>
      <c r="N54" s="109">
        <f>'Actual RAB roll forward'!N485</f>
        <v>0</v>
      </c>
      <c r="O54" s="109">
        <f>'Actual RAB roll forward'!O485</f>
        <v>0</v>
      </c>
      <c r="P54" s="109">
        <f>'Actual RAB roll forward'!P485</f>
        <v>0</v>
      </c>
      <c r="Q54" s="109">
        <f>'Actual RAB roll forward'!Q485</f>
        <v>0</v>
      </c>
      <c r="R54" s="28"/>
      <c r="S54" s="99"/>
      <c r="T54" s="99"/>
      <c r="U54" s="99"/>
      <c r="V54" s="99"/>
      <c r="W54" s="99"/>
      <c r="X54" s="99"/>
      <c r="Y54" s="99"/>
      <c r="Z54" s="99"/>
      <c r="AA54" s="99"/>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14"/>
      <c r="BL54" s="214"/>
    </row>
    <row r="55" spans="1:64" ht="12.75" hidden="1" customHeight="1" outlineLevel="1">
      <c r="A55" s="9"/>
      <c r="B55" s="9"/>
      <c r="C55" s="44"/>
      <c r="D55" s="128" t="str">
        <f>Asset17</f>
        <v>Other non system assets</v>
      </c>
      <c r="E55" s="9"/>
      <c r="F55" s="9"/>
      <c r="G55" s="191">
        <f>'Actual RAB roll forward'!G486</f>
        <v>0</v>
      </c>
      <c r="H55" s="109">
        <f>'Actual RAB roll forward'!H486</f>
        <v>0.35115505279443943</v>
      </c>
      <c r="I55" s="109">
        <f>'Actual RAB roll forward'!I486</f>
        <v>8.9208583360115196E-2</v>
      </c>
      <c r="J55" s="109">
        <f>'Actual RAB roll forward'!J486</f>
        <v>1.1471655378495527</v>
      </c>
      <c r="K55" s="109">
        <f>'Actual RAB roll forward'!K486</f>
        <v>0.16789978910080328</v>
      </c>
      <c r="L55" s="109">
        <f>'Actual RAB roll forward'!L486</f>
        <v>0.5819376718434941</v>
      </c>
      <c r="M55" s="109">
        <f>'Actual RAB roll forward'!M486</f>
        <v>0</v>
      </c>
      <c r="N55" s="109">
        <f>'Actual RAB roll forward'!N486</f>
        <v>0</v>
      </c>
      <c r="O55" s="109">
        <f>'Actual RAB roll forward'!O486</f>
        <v>0</v>
      </c>
      <c r="P55" s="109">
        <f>'Actual RAB roll forward'!P486</f>
        <v>0</v>
      </c>
      <c r="Q55" s="109">
        <f>'Actual RAB roll forward'!Q486</f>
        <v>0</v>
      </c>
      <c r="R55" s="28"/>
      <c r="S55" s="99"/>
      <c r="T55" s="99"/>
      <c r="U55" s="99"/>
      <c r="V55" s="99"/>
      <c r="W55" s="99"/>
      <c r="X55" s="99"/>
      <c r="Y55" s="99"/>
      <c r="Z55" s="99"/>
      <c r="AA55" s="99"/>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14"/>
      <c r="BL55" s="214"/>
    </row>
    <row r="56" spans="1:64" ht="12.75" hidden="1" customHeight="1" outlineLevel="1">
      <c r="A56" s="9"/>
      <c r="B56" s="9"/>
      <c r="C56" s="44"/>
      <c r="D56" s="128" t="str">
        <f>Asset18</f>
        <v>IT systems</v>
      </c>
      <c r="E56" s="9"/>
      <c r="F56" s="9"/>
      <c r="G56" s="191">
        <f>'Actual RAB roll forward'!G487</f>
        <v>61.480877112247526</v>
      </c>
      <c r="H56" s="109">
        <f>'Actual RAB roll forward'!H487</f>
        <v>46.341695325405723</v>
      </c>
      <c r="I56" s="109">
        <f>'Actual RAB roll forward'!I487</f>
        <v>52.522637768255869</v>
      </c>
      <c r="J56" s="109">
        <f>'Actual RAB roll forward'!J487</f>
        <v>33.965578695815495</v>
      </c>
      <c r="K56" s="109">
        <f>'Actual RAB roll forward'!K487</f>
        <v>26.033957543786769</v>
      </c>
      <c r="L56" s="109">
        <f>'Actual RAB roll forward'!L487</f>
        <v>26.168805803005366</v>
      </c>
      <c r="M56" s="109">
        <f>'Actual RAB roll forward'!M487</f>
        <v>0</v>
      </c>
      <c r="N56" s="109">
        <f>'Actual RAB roll forward'!N487</f>
        <v>0</v>
      </c>
      <c r="O56" s="109">
        <f>'Actual RAB roll forward'!O487</f>
        <v>0</v>
      </c>
      <c r="P56" s="109">
        <f>'Actual RAB roll forward'!P487</f>
        <v>0</v>
      </c>
      <c r="Q56" s="109">
        <f>'Actual RAB roll forward'!Q487</f>
        <v>0</v>
      </c>
      <c r="R56" s="28"/>
      <c r="S56" s="99"/>
      <c r="T56" s="99"/>
      <c r="U56" s="99"/>
      <c r="V56" s="99"/>
      <c r="W56" s="99"/>
      <c r="X56" s="99"/>
      <c r="Y56" s="99"/>
      <c r="Z56" s="99"/>
      <c r="AA56" s="99"/>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14"/>
      <c r="BL56" s="214"/>
    </row>
    <row r="57" spans="1:64" ht="12.75" hidden="1" customHeight="1" outlineLevel="1">
      <c r="A57" s="9"/>
      <c r="B57" s="9"/>
      <c r="C57" s="44"/>
      <c r="D57" s="128" t="str">
        <f>Asset19</f>
        <v>Motor vehicles</v>
      </c>
      <c r="E57" s="9"/>
      <c r="F57" s="9"/>
      <c r="G57" s="191">
        <f>'Actual RAB roll forward'!G488</f>
        <v>22.631020279422213</v>
      </c>
      <c r="H57" s="109">
        <f>'Actual RAB roll forward'!H488</f>
        <v>24.093328113595881</v>
      </c>
      <c r="I57" s="109">
        <f>'Actual RAB roll forward'!I488</f>
        <v>25.869111384442085</v>
      </c>
      <c r="J57" s="109">
        <f>'Actual RAB roll forward'!J488</f>
        <v>28.337553931483018</v>
      </c>
      <c r="K57" s="109">
        <f>'Actual RAB roll forward'!K488</f>
        <v>11.921893032766219</v>
      </c>
      <c r="L57" s="109">
        <f>'Actual RAB roll forward'!L488</f>
        <v>7.1589926000375685</v>
      </c>
      <c r="M57" s="109">
        <f>'Actual RAB roll forward'!M488</f>
        <v>0</v>
      </c>
      <c r="N57" s="109">
        <f>'Actual RAB roll forward'!N488</f>
        <v>0</v>
      </c>
      <c r="O57" s="109">
        <f>'Actual RAB roll forward'!O488</f>
        <v>0</v>
      </c>
      <c r="P57" s="109">
        <f>'Actual RAB roll forward'!P488</f>
        <v>0</v>
      </c>
      <c r="Q57" s="109">
        <f>'Actual RAB roll forward'!Q488</f>
        <v>0</v>
      </c>
      <c r="R57" s="28"/>
      <c r="S57" s="99"/>
      <c r="T57" s="99"/>
      <c r="U57" s="99"/>
      <c r="V57" s="99"/>
      <c r="W57" s="99"/>
      <c r="X57" s="99"/>
      <c r="Y57" s="99"/>
      <c r="Z57" s="99"/>
      <c r="AA57" s="99"/>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14"/>
      <c r="BL57" s="214"/>
    </row>
    <row r="58" spans="1:64" ht="12.75" hidden="1" customHeight="1" outlineLevel="1">
      <c r="A58" s="9"/>
      <c r="B58" s="9"/>
      <c r="C58" s="44"/>
      <c r="D58" s="128" t="str">
        <f>Asset20</f>
        <v>Buildings</v>
      </c>
      <c r="E58" s="9"/>
      <c r="F58" s="9"/>
      <c r="G58" s="191">
        <f>'Actual RAB roll forward'!G489</f>
        <v>56.901077339938503</v>
      </c>
      <c r="H58" s="109">
        <f>'Actual RAB roll forward'!H489</f>
        <v>65.63699188236842</v>
      </c>
      <c r="I58" s="109">
        <f>'Actual RAB roll forward'!I489</f>
        <v>43.485803369500417</v>
      </c>
      <c r="J58" s="109">
        <f>'Actual RAB roll forward'!J489</f>
        <v>31.105407227929216</v>
      </c>
      <c r="K58" s="109">
        <f>'Actual RAB roll forward'!K489</f>
        <v>18.739104916479889</v>
      </c>
      <c r="L58" s="109">
        <f>'Actual RAB roll forward'!L489</f>
        <v>-38.936734571026484</v>
      </c>
      <c r="M58" s="109">
        <f>'Actual RAB roll forward'!M489</f>
        <v>0</v>
      </c>
      <c r="N58" s="109">
        <f>'Actual RAB roll forward'!N489</f>
        <v>0</v>
      </c>
      <c r="O58" s="109">
        <f>'Actual RAB roll forward'!O489</f>
        <v>0</v>
      </c>
      <c r="P58" s="109">
        <f>'Actual RAB roll forward'!P489</f>
        <v>0</v>
      </c>
      <c r="Q58" s="109">
        <f>'Actual RAB roll forward'!Q489</f>
        <v>0</v>
      </c>
      <c r="R58" s="28"/>
      <c r="S58" s="99"/>
      <c r="T58" s="99"/>
      <c r="U58" s="99"/>
      <c r="V58" s="99"/>
      <c r="W58" s="99"/>
      <c r="X58" s="99"/>
      <c r="Y58" s="99"/>
      <c r="Z58" s="99"/>
      <c r="AA58" s="99"/>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14"/>
      <c r="BL58" s="214"/>
    </row>
    <row r="59" spans="1:64" ht="13.5" hidden="1" customHeight="1" outlineLevel="1">
      <c r="A59" s="9"/>
      <c r="B59" s="9"/>
      <c r="C59" s="44"/>
      <c r="D59" s="128" t="str">
        <f>Asset21</f>
        <v>Equity raising costs</v>
      </c>
      <c r="E59" s="9"/>
      <c r="F59" s="9"/>
      <c r="G59" s="191">
        <f>'Actual RAB roll forward'!G490</f>
        <v>0</v>
      </c>
      <c r="H59" s="109">
        <f>'Actual RAB roll forward'!H490</f>
        <v>26.994350537996358</v>
      </c>
      <c r="I59" s="109">
        <f>'Actual RAB roll forward'!I490</f>
        <v>0</v>
      </c>
      <c r="J59" s="109">
        <f>'Actual RAB roll forward'!J490</f>
        <v>0</v>
      </c>
      <c r="K59" s="109">
        <f>'Actual RAB roll forward'!K490</f>
        <v>0</v>
      </c>
      <c r="L59" s="109">
        <f>'Actual RAB roll forward'!L490</f>
        <v>0</v>
      </c>
      <c r="M59" s="109">
        <f>'Actual RAB roll forward'!M490</f>
        <v>0</v>
      </c>
      <c r="N59" s="109">
        <f>'Actual RAB roll forward'!N490</f>
        <v>0</v>
      </c>
      <c r="O59" s="109">
        <f>'Actual RAB roll forward'!O490</f>
        <v>0</v>
      </c>
      <c r="P59" s="109">
        <f>'Actual RAB roll forward'!P490</f>
        <v>0</v>
      </c>
      <c r="Q59" s="109">
        <f>'Actual RAB roll forward'!Q490</f>
        <v>0</v>
      </c>
      <c r="R59" s="28"/>
      <c r="S59" s="99"/>
      <c r="T59" s="99"/>
      <c r="U59" s="99"/>
      <c r="V59" s="99"/>
      <c r="W59" s="99"/>
      <c r="X59" s="99"/>
      <c r="Y59" s="99"/>
      <c r="Z59" s="99"/>
      <c r="AA59" s="99"/>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14"/>
      <c r="BL59" s="214"/>
    </row>
    <row r="60" spans="1:64" ht="5.25" hidden="1" customHeight="1" outlineLevel="1">
      <c r="A60" s="9"/>
      <c r="B60" s="9"/>
      <c r="C60" s="44"/>
      <c r="D60" s="128">
        <f>Asset22</f>
        <v>0</v>
      </c>
      <c r="E60" s="9"/>
      <c r="F60" s="9"/>
      <c r="G60" s="191">
        <f>'Actual RAB roll forward'!G491</f>
        <v>0</v>
      </c>
      <c r="H60" s="109">
        <f>'Actual RAB roll forward'!H491</f>
        <v>0</v>
      </c>
      <c r="I60" s="109">
        <f>'Actual RAB roll forward'!I491</f>
        <v>0</v>
      </c>
      <c r="J60" s="109">
        <f>'Actual RAB roll forward'!J491</f>
        <v>0</v>
      </c>
      <c r="K60" s="109">
        <f>'Actual RAB roll forward'!K491</f>
        <v>0</v>
      </c>
      <c r="L60" s="109">
        <f>'Actual RAB roll forward'!L491</f>
        <v>0</v>
      </c>
      <c r="M60" s="109">
        <f>'Actual RAB roll forward'!M491</f>
        <v>0</v>
      </c>
      <c r="N60" s="109">
        <f>'Actual RAB roll forward'!N491</f>
        <v>0</v>
      </c>
      <c r="O60" s="109">
        <f>'Actual RAB roll forward'!O491</f>
        <v>0</v>
      </c>
      <c r="P60" s="109">
        <f>'Actual RAB roll forward'!P491</f>
        <v>0</v>
      </c>
      <c r="Q60" s="109">
        <f>'Actual RAB roll forward'!Q491</f>
        <v>0</v>
      </c>
      <c r="R60" s="28"/>
      <c r="S60" s="99"/>
      <c r="T60" s="99"/>
      <c r="U60" s="99"/>
      <c r="V60" s="99"/>
      <c r="W60" s="99"/>
      <c r="X60" s="99"/>
      <c r="Y60" s="99"/>
      <c r="Z60" s="99"/>
      <c r="AA60" s="99"/>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14"/>
      <c r="BL60" s="214"/>
    </row>
    <row r="61" spans="1:64" ht="5.25" hidden="1" customHeight="1" outlineLevel="1">
      <c r="A61" s="9"/>
      <c r="B61" s="9"/>
      <c r="C61" s="44"/>
      <c r="D61" s="128">
        <f>Asset23</f>
        <v>0</v>
      </c>
      <c r="E61" s="9"/>
      <c r="F61" s="9"/>
      <c r="G61" s="191">
        <f>'Actual RAB roll forward'!G492</f>
        <v>0</v>
      </c>
      <c r="H61" s="109">
        <f>'Actual RAB roll forward'!H492</f>
        <v>0</v>
      </c>
      <c r="I61" s="109">
        <f>'Actual RAB roll forward'!I492</f>
        <v>0</v>
      </c>
      <c r="J61" s="109">
        <f>'Actual RAB roll forward'!J492</f>
        <v>0</v>
      </c>
      <c r="K61" s="109">
        <f>'Actual RAB roll forward'!K492</f>
        <v>0</v>
      </c>
      <c r="L61" s="109">
        <f>'Actual RAB roll forward'!L492</f>
        <v>0</v>
      </c>
      <c r="M61" s="109">
        <f>'Actual RAB roll forward'!M492</f>
        <v>0</v>
      </c>
      <c r="N61" s="109">
        <f>'Actual RAB roll forward'!N492</f>
        <v>0</v>
      </c>
      <c r="O61" s="109">
        <f>'Actual RAB roll forward'!O492</f>
        <v>0</v>
      </c>
      <c r="P61" s="109">
        <f>'Actual RAB roll forward'!P492</f>
        <v>0</v>
      </c>
      <c r="Q61" s="109">
        <f>'Actual RAB roll forward'!Q492</f>
        <v>0</v>
      </c>
      <c r="R61" s="28"/>
      <c r="S61" s="99"/>
      <c r="T61" s="99"/>
      <c r="U61" s="99"/>
      <c r="V61" s="99"/>
      <c r="W61" s="99"/>
      <c r="X61" s="99"/>
      <c r="Y61" s="99"/>
      <c r="Z61" s="99"/>
      <c r="AA61" s="99"/>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14"/>
      <c r="BL61" s="214"/>
    </row>
    <row r="62" spans="1:64" ht="5.25" hidden="1" customHeight="1" outlineLevel="1">
      <c r="A62" s="9"/>
      <c r="B62" s="9"/>
      <c r="C62" s="44"/>
      <c r="D62" s="128">
        <f>Asset24</f>
        <v>0</v>
      </c>
      <c r="E62" s="9"/>
      <c r="F62" s="9"/>
      <c r="G62" s="191">
        <f>'Actual RAB roll forward'!G493</f>
        <v>0</v>
      </c>
      <c r="H62" s="109">
        <f>'Actual RAB roll forward'!H493</f>
        <v>0</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8"/>
      <c r="S62" s="99"/>
      <c r="T62" s="99"/>
      <c r="U62" s="99"/>
      <c r="V62" s="99"/>
      <c r="W62" s="99"/>
      <c r="X62" s="99"/>
      <c r="Y62" s="99"/>
      <c r="Z62" s="99"/>
      <c r="AA62" s="99"/>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14"/>
      <c r="BL62" s="214"/>
    </row>
    <row r="63" spans="1:64" ht="5.25" hidden="1" customHeight="1" outlineLevel="1">
      <c r="A63" s="9"/>
      <c r="B63" s="9"/>
      <c r="C63" s="44"/>
      <c r="D63" s="128">
        <f>Asset25</f>
        <v>0</v>
      </c>
      <c r="E63" s="9"/>
      <c r="F63" s="9"/>
      <c r="G63" s="191">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8"/>
      <c r="S63" s="99"/>
      <c r="T63" s="99"/>
      <c r="U63" s="99"/>
      <c r="V63" s="99"/>
      <c r="W63" s="99"/>
      <c r="X63" s="99"/>
      <c r="Y63" s="99"/>
      <c r="Z63" s="99"/>
      <c r="AA63" s="99"/>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14"/>
      <c r="BL63" s="214"/>
    </row>
    <row r="64" spans="1:64" ht="5.25" hidden="1" customHeight="1" outlineLevel="1">
      <c r="A64" s="9"/>
      <c r="B64" s="9"/>
      <c r="C64" s="44"/>
      <c r="D64" s="128">
        <f>Asset26</f>
        <v>0</v>
      </c>
      <c r="E64" s="9"/>
      <c r="F64" s="9"/>
      <c r="G64" s="191">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8"/>
      <c r="S64" s="99"/>
      <c r="T64" s="99"/>
      <c r="U64" s="99"/>
      <c r="V64" s="99"/>
      <c r="W64" s="99"/>
      <c r="X64" s="99"/>
      <c r="Y64" s="99"/>
      <c r="Z64" s="99"/>
      <c r="AA64" s="99"/>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14"/>
      <c r="BL64" s="214"/>
    </row>
    <row r="65" spans="1:64" ht="5.25" hidden="1" customHeight="1" outlineLevel="1">
      <c r="A65" s="9"/>
      <c r="B65" s="9"/>
      <c r="C65" s="44"/>
      <c r="D65" s="128">
        <f>Asset27</f>
        <v>0</v>
      </c>
      <c r="E65" s="9"/>
      <c r="F65" s="9"/>
      <c r="G65" s="191">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8"/>
      <c r="S65" s="99"/>
      <c r="T65" s="99"/>
      <c r="U65" s="99"/>
      <c r="V65" s="99"/>
      <c r="W65" s="99"/>
      <c r="X65" s="99"/>
      <c r="Y65" s="99"/>
      <c r="Z65" s="99"/>
      <c r="AA65" s="99"/>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14"/>
      <c r="BL65" s="214"/>
    </row>
    <row r="66" spans="1:64" ht="5.25" hidden="1" customHeight="1" outlineLevel="1">
      <c r="A66" s="9"/>
      <c r="B66" s="9"/>
      <c r="C66" s="44"/>
      <c r="D66" s="128">
        <f>Asset28</f>
        <v>0</v>
      </c>
      <c r="E66" s="9"/>
      <c r="F66" s="9"/>
      <c r="G66" s="191">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8"/>
      <c r="S66" s="99"/>
      <c r="T66" s="99"/>
      <c r="U66" s="99"/>
      <c r="V66" s="99"/>
      <c r="W66" s="99"/>
      <c r="X66" s="99"/>
      <c r="Y66" s="99"/>
      <c r="Z66" s="99"/>
      <c r="AA66" s="99"/>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14"/>
      <c r="BL66" s="214"/>
    </row>
    <row r="67" spans="1:64" ht="5.25" hidden="1" customHeight="1" outlineLevel="1">
      <c r="A67" s="9"/>
      <c r="B67" s="9"/>
      <c r="C67" s="44"/>
      <c r="D67" s="128">
        <f>Asset29</f>
        <v>0</v>
      </c>
      <c r="E67" s="9"/>
      <c r="F67" s="9"/>
      <c r="G67" s="191">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8"/>
      <c r="S67" s="99"/>
      <c r="T67" s="99"/>
      <c r="U67" s="99"/>
      <c r="V67" s="99"/>
      <c r="W67" s="99"/>
      <c r="X67" s="99"/>
      <c r="Y67" s="99"/>
      <c r="Z67" s="99"/>
      <c r="AA67" s="99"/>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14"/>
      <c r="BL67" s="214"/>
    </row>
    <row r="68" spans="1:64" ht="5.25" hidden="1" customHeight="1" outlineLevel="1">
      <c r="A68" s="9"/>
      <c r="B68" s="9"/>
      <c r="C68" s="44"/>
      <c r="D68" s="128">
        <f>Asset30</f>
        <v>0</v>
      </c>
      <c r="E68" s="9"/>
      <c r="F68" s="9"/>
      <c r="G68" s="191">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8"/>
      <c r="S68" s="99"/>
      <c r="T68" s="99"/>
      <c r="U68" s="99"/>
      <c r="V68" s="99"/>
      <c r="W68" s="99"/>
      <c r="X68" s="99"/>
      <c r="Y68" s="99"/>
      <c r="Z68" s="99"/>
      <c r="AA68" s="99"/>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14"/>
      <c r="BL68" s="214"/>
    </row>
    <row r="69" spans="1:64" collapsed="1">
      <c r="A69" s="9"/>
      <c r="B69" s="9"/>
      <c r="C69" s="44"/>
      <c r="D69" s="112"/>
      <c r="E69" s="9"/>
      <c r="F69" s="9"/>
      <c r="G69" s="202"/>
      <c r="H69" s="36"/>
      <c r="I69" s="36"/>
      <c r="J69" s="36"/>
      <c r="K69" s="36"/>
      <c r="L69" s="36"/>
      <c r="M69" s="36"/>
      <c r="N69" s="99"/>
      <c r="O69" s="28"/>
      <c r="P69" s="28"/>
      <c r="Q69" s="28"/>
      <c r="R69" s="28"/>
      <c r="S69" s="99"/>
      <c r="T69" s="99"/>
      <c r="U69" s="99"/>
      <c r="V69" s="99"/>
      <c r="W69" s="99"/>
      <c r="X69" s="99"/>
      <c r="Y69" s="99"/>
      <c r="Z69" s="99"/>
      <c r="AA69" s="99"/>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14"/>
      <c r="BL69" s="214"/>
    </row>
    <row r="70" spans="1:64">
      <c r="A70" s="9"/>
      <c r="B70" s="9"/>
      <c r="C70" s="219" t="s">
        <v>72</v>
      </c>
      <c r="D70" s="214"/>
      <c r="E70" s="9"/>
      <c r="F70" s="9"/>
      <c r="G70" s="192">
        <f>SUM(G71:G100)</f>
        <v>7.6463264939134206</v>
      </c>
      <c r="H70" s="36">
        <f>SUM(H71:H100)</f>
        <v>-128.43878374323333</v>
      </c>
      <c r="I70" s="36">
        <f t="shared" ref="I70:Q70" si="6">SUM(I71:I100)</f>
        <v>-71.387398805206146</v>
      </c>
      <c r="J70" s="36">
        <f t="shared" si="6"/>
        <v>-47.165676302532958</v>
      </c>
      <c r="K70" s="36">
        <f t="shared" si="6"/>
        <v>-242.52903430159057</v>
      </c>
      <c r="L70" s="36">
        <f t="shared" si="6"/>
        <v>-162.37177215123168</v>
      </c>
      <c r="M70" s="36">
        <f t="shared" si="6"/>
        <v>0</v>
      </c>
      <c r="N70" s="36">
        <f t="shared" si="6"/>
        <v>0</v>
      </c>
      <c r="O70" s="36">
        <f t="shared" si="6"/>
        <v>0</v>
      </c>
      <c r="P70" s="36">
        <f t="shared" si="6"/>
        <v>0</v>
      </c>
      <c r="Q70" s="36">
        <f t="shared" si="6"/>
        <v>0</v>
      </c>
      <c r="R70" s="28"/>
      <c r="S70" s="99"/>
      <c r="T70" s="99"/>
      <c r="U70" s="99"/>
      <c r="V70" s="99"/>
      <c r="W70" s="99"/>
      <c r="X70" s="99"/>
      <c r="Y70" s="99"/>
      <c r="Z70" s="99"/>
      <c r="AA70" s="99"/>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14"/>
      <c r="BL70" s="214"/>
    </row>
    <row r="71" spans="1:64" ht="12.75" hidden="1" customHeight="1" outlineLevel="1">
      <c r="A71" s="9"/>
      <c r="B71" s="9"/>
      <c r="C71" s="44"/>
      <c r="D71" s="128" t="str">
        <f>Asset1</f>
        <v>Sub-transmission lines and cables</v>
      </c>
      <c r="E71" s="9"/>
      <c r="F71" s="9"/>
      <c r="G71" s="191">
        <f>'Actual RAB roll forward'!G502</f>
        <v>-3.4084223005991499</v>
      </c>
      <c r="H71" s="109">
        <f>'Actual RAB roll forward'!H502</f>
        <v>-12.132555089776853</v>
      </c>
      <c r="I71" s="109">
        <f>'Actual RAB roll forward'!I502</f>
        <v>-5.701692453383103</v>
      </c>
      <c r="J71" s="109">
        <f>'Actual RAB roll forward'!J502</f>
        <v>-1.2050580405415374</v>
      </c>
      <c r="K71" s="109">
        <f>'Actual RAB roll forward'!K502</f>
        <v>-16.743345494508979</v>
      </c>
      <c r="L71" s="109">
        <f>'Actual RAB roll forward'!L502</f>
        <v>-10.738881410739975</v>
      </c>
      <c r="M71" s="109">
        <f>'Actual RAB roll forward'!M502</f>
        <v>0</v>
      </c>
      <c r="N71" s="109">
        <f>'Actual RAB roll forward'!N502</f>
        <v>0</v>
      </c>
      <c r="O71" s="109">
        <f>'Actual RAB roll forward'!O502</f>
        <v>0</v>
      </c>
      <c r="P71" s="109">
        <f>'Actual RAB roll forward'!P502</f>
        <v>0</v>
      </c>
      <c r="Q71" s="109">
        <f>'Actual RAB roll forward'!Q502</f>
        <v>0</v>
      </c>
      <c r="R71" s="28"/>
      <c r="S71" s="99"/>
      <c r="T71" s="99"/>
      <c r="U71" s="99"/>
      <c r="V71" s="99"/>
      <c r="W71" s="99"/>
      <c r="X71" s="99"/>
      <c r="Y71" s="99"/>
      <c r="Z71" s="99"/>
      <c r="AA71" s="99"/>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14"/>
      <c r="BL71" s="214"/>
    </row>
    <row r="72" spans="1:64" ht="12.75" hidden="1" customHeight="1" outlineLevel="1">
      <c r="A72" s="9"/>
      <c r="B72" s="9"/>
      <c r="C72" s="44"/>
      <c r="D72" s="128" t="str">
        <f>Asset2</f>
        <v>Cable tunnel (dx)</v>
      </c>
      <c r="E72" s="9"/>
      <c r="F72" s="9"/>
      <c r="G72" s="191">
        <f>'Actual RAB roll forward'!G503</f>
        <v>0.98400254874549298</v>
      </c>
      <c r="H72" s="109">
        <f>'Actual RAB roll forward'!H503</f>
        <v>0.2148973508295593</v>
      </c>
      <c r="I72" s="109">
        <f>'Actual RAB roll forward'!I503</f>
        <v>0.91084569599192711</v>
      </c>
      <c r="J72" s="109">
        <f>'Actual RAB roll forward'!J503</f>
        <v>1.2916742468486364</v>
      </c>
      <c r="K72" s="109">
        <f>'Actual RAB roll forward'!K503</f>
        <v>0.13783814585350562</v>
      </c>
      <c r="L72" s="109">
        <f>'Actual RAB roll forward'!L503</f>
        <v>1.2048414878757785</v>
      </c>
      <c r="M72" s="109">
        <f>'Actual RAB roll forward'!M503</f>
        <v>0</v>
      </c>
      <c r="N72" s="109">
        <f>'Actual RAB roll forward'!N503</f>
        <v>0</v>
      </c>
      <c r="O72" s="109">
        <f>'Actual RAB roll forward'!O503</f>
        <v>0</v>
      </c>
      <c r="P72" s="109">
        <f>'Actual RAB roll forward'!P503</f>
        <v>0</v>
      </c>
      <c r="Q72" s="109">
        <f>'Actual RAB roll forward'!Q503</f>
        <v>0</v>
      </c>
      <c r="R72" s="28"/>
      <c r="S72" s="99"/>
      <c r="T72" s="99"/>
      <c r="U72" s="99"/>
      <c r="V72" s="99"/>
      <c r="W72" s="99"/>
      <c r="X72" s="99"/>
      <c r="Y72" s="99"/>
      <c r="Z72" s="99"/>
      <c r="AA72" s="99"/>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14"/>
      <c r="BL72" s="214"/>
    </row>
    <row r="73" spans="1:64" ht="12.75" hidden="1" customHeight="1" outlineLevel="1">
      <c r="A73" s="9"/>
      <c r="B73" s="9"/>
      <c r="C73" s="44"/>
      <c r="D73" s="128" t="str">
        <f>Asset3</f>
        <v>Distribution lines and cables</v>
      </c>
      <c r="E73" s="9"/>
      <c r="F73" s="9"/>
      <c r="G73" s="191">
        <f>'Actual RAB roll forward'!G504</f>
        <v>32.3580732625907</v>
      </c>
      <c r="H73" s="109">
        <f>'Actual RAB roll forward'!H504</f>
        <v>-8.6877099256425439</v>
      </c>
      <c r="I73" s="109">
        <f>'Actual RAB roll forward'!I504</f>
        <v>11.921426684556749</v>
      </c>
      <c r="J73" s="109">
        <f>'Actual RAB roll forward'!J504</f>
        <v>27.074713677447065</v>
      </c>
      <c r="K73" s="109">
        <f>'Actual RAB roll forward'!K504</f>
        <v>-13.30593514655623</v>
      </c>
      <c r="L73" s="109">
        <f>'Actual RAB roll forward'!L504</f>
        <v>6.0036746510427719</v>
      </c>
      <c r="M73" s="109">
        <f>'Actual RAB roll forward'!M504</f>
        <v>0</v>
      </c>
      <c r="N73" s="109">
        <f>'Actual RAB roll forward'!N504</f>
        <v>0</v>
      </c>
      <c r="O73" s="109">
        <f>'Actual RAB roll forward'!O504</f>
        <v>0</v>
      </c>
      <c r="P73" s="109">
        <f>'Actual RAB roll forward'!P504</f>
        <v>0</v>
      </c>
      <c r="Q73" s="109">
        <f>'Actual RAB roll forward'!Q504</f>
        <v>0</v>
      </c>
      <c r="R73" s="28"/>
      <c r="S73" s="99"/>
      <c r="T73" s="99"/>
      <c r="U73" s="99"/>
      <c r="V73" s="99"/>
      <c r="W73" s="99"/>
      <c r="X73" s="99"/>
      <c r="Y73" s="99"/>
      <c r="Z73" s="99"/>
      <c r="AA73" s="99"/>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14"/>
      <c r="BL73" s="214"/>
    </row>
    <row r="74" spans="1:64" ht="12.75" hidden="1" customHeight="1" outlineLevel="1">
      <c r="A74" s="9"/>
      <c r="B74" s="9"/>
      <c r="C74" s="44"/>
      <c r="D74" s="128" t="str">
        <f>Asset4</f>
        <v>Substations</v>
      </c>
      <c r="E74" s="9"/>
      <c r="F74" s="9"/>
      <c r="G74" s="191">
        <f>'Actual RAB roll forward'!G505</f>
        <v>-2.4798460213513902</v>
      </c>
      <c r="H74" s="109">
        <f>'Actual RAB roll forward'!H505</f>
        <v>-29.099684355507705</v>
      </c>
      <c r="I74" s="109">
        <f>'Actual RAB roll forward'!I505</f>
        <v>-8.0463861710645546</v>
      </c>
      <c r="J74" s="109">
        <f>'Actual RAB roll forward'!J505</f>
        <v>6.4583677910746502</v>
      </c>
      <c r="K74" s="109">
        <f>'Actual RAB roll forward'!K505</f>
        <v>-41.728010555192917</v>
      </c>
      <c r="L74" s="109">
        <f>'Actual RAB roll forward'!L505</f>
        <v>-22.286402259761303</v>
      </c>
      <c r="M74" s="109">
        <f>'Actual RAB roll forward'!M505</f>
        <v>0</v>
      </c>
      <c r="N74" s="109">
        <f>'Actual RAB roll forward'!N505</f>
        <v>0</v>
      </c>
      <c r="O74" s="109">
        <f>'Actual RAB roll forward'!O505</f>
        <v>0</v>
      </c>
      <c r="P74" s="109">
        <f>'Actual RAB roll forward'!P505</f>
        <v>0</v>
      </c>
      <c r="Q74" s="109">
        <f>'Actual RAB roll forward'!Q505</f>
        <v>0</v>
      </c>
      <c r="R74" s="28"/>
      <c r="S74" s="99"/>
      <c r="T74" s="99"/>
      <c r="U74" s="99"/>
      <c r="V74" s="99"/>
      <c r="W74" s="99"/>
      <c r="X74" s="99"/>
      <c r="Y74" s="99"/>
      <c r="Z74" s="99"/>
      <c r="AA74" s="99"/>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14"/>
      <c r="BL74" s="214"/>
    </row>
    <row r="75" spans="1:64" ht="12.75" hidden="1" customHeight="1" outlineLevel="1">
      <c r="A75" s="9"/>
      <c r="B75" s="9"/>
      <c r="C75" s="44"/>
      <c r="D75" s="128" t="str">
        <f>Asset5</f>
        <v>Transformers</v>
      </c>
      <c r="E75" s="9"/>
      <c r="F75" s="9"/>
      <c r="G75" s="191">
        <f>'Actual RAB roll forward'!G506</f>
        <v>-2.1690686637323902</v>
      </c>
      <c r="H75" s="109">
        <f>'Actual RAB roll forward'!H506</f>
        <v>-9.2864394870668203</v>
      </c>
      <c r="I75" s="109">
        <f>'Actual RAB roll forward'!I506</f>
        <v>-4.7126053588167061</v>
      </c>
      <c r="J75" s="109">
        <f>'Actual RAB roll forward'!J506</f>
        <v>-1.6739102169740896</v>
      </c>
      <c r="K75" s="109">
        <f>'Actual RAB roll forward'!K506</f>
        <v>-12.376991861827888</v>
      </c>
      <c r="L75" s="109">
        <f>'Actual RAB roll forward'!L506</f>
        <v>-8.5519150895884515</v>
      </c>
      <c r="M75" s="109">
        <f>'Actual RAB roll forward'!M506</f>
        <v>0</v>
      </c>
      <c r="N75" s="109">
        <f>'Actual RAB roll forward'!N506</f>
        <v>0</v>
      </c>
      <c r="O75" s="109">
        <f>'Actual RAB roll forward'!O506</f>
        <v>0</v>
      </c>
      <c r="P75" s="109">
        <f>'Actual RAB roll forward'!P506</f>
        <v>0</v>
      </c>
      <c r="Q75" s="109">
        <f>'Actual RAB roll forward'!Q506</f>
        <v>0</v>
      </c>
      <c r="R75" s="28"/>
      <c r="S75" s="99"/>
      <c r="T75" s="99"/>
      <c r="U75" s="99"/>
      <c r="V75" s="99"/>
      <c r="W75" s="99"/>
      <c r="X75" s="99"/>
      <c r="Y75" s="99"/>
      <c r="Z75" s="99"/>
      <c r="AA75" s="99"/>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14"/>
      <c r="BL75" s="214"/>
    </row>
    <row r="76" spans="1:64" ht="12.75" hidden="1" customHeight="1" outlineLevel="1">
      <c r="A76" s="9"/>
      <c r="B76" s="9"/>
      <c r="C76" s="44"/>
      <c r="D76" s="128" t="str">
        <f>Asset6</f>
        <v>Low Voltage Lines and Cables</v>
      </c>
      <c r="E76" s="9"/>
      <c r="F76" s="9"/>
      <c r="G76" s="191">
        <f>'Actual RAB roll forward'!G507</f>
        <v>9.1007699457152604</v>
      </c>
      <c r="H76" s="109">
        <f>'Actual RAB roll forward'!H507</f>
        <v>-9.0025536128496757</v>
      </c>
      <c r="I76" s="109">
        <f>'Actual RAB roll forward'!I507</f>
        <v>-0.79184655755729239</v>
      </c>
      <c r="J76" s="109">
        <f>'Actual RAB roll forward'!J507</f>
        <v>5.4041710134692167</v>
      </c>
      <c r="K76" s="109">
        <f>'Actual RAB roll forward'!K507</f>
        <v>-12.658132945476112</v>
      </c>
      <c r="L76" s="109">
        <f>'Actual RAB roll forward'!L507</f>
        <v>-4.3993020113478281</v>
      </c>
      <c r="M76" s="109">
        <f>'Actual RAB roll forward'!M507</f>
        <v>0</v>
      </c>
      <c r="N76" s="109">
        <f>'Actual RAB roll forward'!N507</f>
        <v>0</v>
      </c>
      <c r="O76" s="109">
        <f>'Actual RAB roll forward'!O507</f>
        <v>0</v>
      </c>
      <c r="P76" s="109">
        <f>'Actual RAB roll forward'!P507</f>
        <v>0</v>
      </c>
      <c r="Q76" s="109">
        <f>'Actual RAB roll forward'!Q507</f>
        <v>0</v>
      </c>
      <c r="R76" s="28"/>
      <c r="S76" s="99"/>
      <c r="T76" s="99"/>
      <c r="U76" s="99"/>
      <c r="V76" s="99"/>
      <c r="W76" s="99"/>
      <c r="X76" s="99"/>
      <c r="Y76" s="99"/>
      <c r="Z76" s="99"/>
      <c r="AA76" s="99"/>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14"/>
      <c r="BL76" s="214"/>
    </row>
    <row r="77" spans="1:64" ht="12.75" hidden="1" customHeight="1" outlineLevel="1">
      <c r="A77" s="9"/>
      <c r="B77" s="9"/>
      <c r="C77" s="44"/>
      <c r="D77" s="128" t="str">
        <f>Asset7</f>
        <v>Customer Metering and Load Control</v>
      </c>
      <c r="E77" s="9"/>
      <c r="F77" s="9"/>
      <c r="G77" s="191">
        <f>'Actual RAB roll forward'!G508</f>
        <v>-2.5794350532511898</v>
      </c>
      <c r="H77" s="109">
        <f>'Actual RAB roll forward'!H508</f>
        <v>-8.3168785321646688</v>
      </c>
      <c r="I77" s="109">
        <f>'Actual RAB roll forward'!I508</f>
        <v>-6.3747702030904732</v>
      </c>
      <c r="J77" s="109">
        <f>'Actual RAB roll forward'!J508</f>
        <v>-5.7181904576023088</v>
      </c>
      <c r="K77" s="109">
        <f>'Actual RAB roll forward'!K508</f>
        <v>-9.8647861487506781</v>
      </c>
      <c r="L77" s="109">
        <f>'Actual RAB roll forward'!L508</f>
        <v>-8.8667473570861723</v>
      </c>
      <c r="M77" s="109">
        <f>'Actual RAB roll forward'!M508</f>
        <v>0</v>
      </c>
      <c r="N77" s="109">
        <f>'Actual RAB roll forward'!N508</f>
        <v>0</v>
      </c>
      <c r="O77" s="109">
        <f>'Actual RAB roll forward'!O508</f>
        <v>0</v>
      </c>
      <c r="P77" s="109">
        <f>'Actual RAB roll forward'!P508</f>
        <v>0</v>
      </c>
      <c r="Q77" s="109">
        <f>'Actual RAB roll forward'!Q508</f>
        <v>0</v>
      </c>
      <c r="R77" s="28"/>
      <c r="S77" s="99"/>
      <c r="T77" s="99"/>
      <c r="U77" s="99"/>
      <c r="V77" s="99"/>
      <c r="W77" s="99"/>
      <c r="X77" s="99"/>
      <c r="Y77" s="99"/>
      <c r="Z77" s="99"/>
      <c r="AA77" s="99"/>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14"/>
      <c r="BL77" s="214"/>
    </row>
    <row r="78" spans="1:64" ht="12.75" hidden="1" customHeight="1" outlineLevel="1">
      <c r="A78" s="9"/>
      <c r="B78" s="9"/>
      <c r="C78" s="44"/>
      <c r="D78" s="128" t="str">
        <f>Asset8</f>
        <v>Customer Metering (digital)</v>
      </c>
      <c r="E78" s="9"/>
      <c r="F78" s="9"/>
      <c r="G78" s="191">
        <f>'Actual RAB roll forward'!G509</f>
        <v>0</v>
      </c>
      <c r="H78" s="109">
        <f>'Actual RAB roll forward'!H509</f>
        <v>0</v>
      </c>
      <c r="I78" s="109">
        <f>'Actual RAB roll forward'!I509</f>
        <v>-0.92444303062282573</v>
      </c>
      <c r="J78" s="109">
        <f>'Actual RAB roll forward'!J509</f>
        <v>-1.9528963471313774</v>
      </c>
      <c r="K78" s="109">
        <f>'Actual RAB roll forward'!K509</f>
        <v>-4.1674770525262925</v>
      </c>
      <c r="L78" s="109">
        <f>'Actual RAB roll forward'!L509</f>
        <v>-4.5894871956623806</v>
      </c>
      <c r="M78" s="109">
        <f>'Actual RAB roll forward'!M509</f>
        <v>0</v>
      </c>
      <c r="N78" s="109">
        <f>'Actual RAB roll forward'!N509</f>
        <v>0</v>
      </c>
      <c r="O78" s="109">
        <f>'Actual RAB roll forward'!O509</f>
        <v>0</v>
      </c>
      <c r="P78" s="109">
        <f>'Actual RAB roll forward'!P509</f>
        <v>0</v>
      </c>
      <c r="Q78" s="109">
        <f>'Actual RAB roll forward'!Q509</f>
        <v>0</v>
      </c>
      <c r="R78" s="28"/>
      <c r="S78" s="99"/>
      <c r="T78" s="99"/>
      <c r="U78" s="99"/>
      <c r="V78" s="99"/>
      <c r="W78" s="99"/>
      <c r="X78" s="99"/>
      <c r="Y78" s="99"/>
      <c r="Z78" s="99"/>
      <c r="AA78" s="99"/>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14"/>
      <c r="BL78" s="214"/>
    </row>
    <row r="79" spans="1:64" ht="12.75" hidden="1" customHeight="1" outlineLevel="1">
      <c r="A79" s="9"/>
      <c r="B79" s="9"/>
      <c r="C79" s="44"/>
      <c r="D79" s="128" t="str">
        <f>Asset9</f>
        <v>Communications (digital) - dx</v>
      </c>
      <c r="E79" s="9"/>
      <c r="F79" s="9"/>
      <c r="G79" s="191">
        <f>'Actual RAB roll forward'!G510</f>
        <v>0</v>
      </c>
      <c r="H79" s="109">
        <f>'Actual RAB roll forward'!H510</f>
        <v>0</v>
      </c>
      <c r="I79" s="109">
        <f>'Actual RAB roll forward'!I510</f>
        <v>-1.6312265746257482</v>
      </c>
      <c r="J79" s="109">
        <f>'Actual RAB roll forward'!J510</f>
        <v>-1.7140141815403678</v>
      </c>
      <c r="K79" s="109">
        <f>'Actual RAB roll forward'!K510</f>
        <v>-2.2762464410558199</v>
      </c>
      <c r="L79" s="109">
        <f>'Actual RAB roll forward'!L510</f>
        <v>-1.9740298257953663</v>
      </c>
      <c r="M79" s="109">
        <f>'Actual RAB roll forward'!M510</f>
        <v>0</v>
      </c>
      <c r="N79" s="109">
        <f>'Actual RAB roll forward'!N510</f>
        <v>0</v>
      </c>
      <c r="O79" s="109">
        <f>'Actual RAB roll forward'!O510</f>
        <v>0</v>
      </c>
      <c r="P79" s="109">
        <f>'Actual RAB roll forward'!P510</f>
        <v>0</v>
      </c>
      <c r="Q79" s="109">
        <f>'Actual RAB roll forward'!Q510</f>
        <v>0</v>
      </c>
      <c r="R79" s="28"/>
      <c r="S79" s="99"/>
      <c r="T79" s="99"/>
      <c r="U79" s="99"/>
      <c r="V79" s="99"/>
      <c r="W79" s="99"/>
      <c r="X79" s="99"/>
      <c r="Y79" s="99"/>
      <c r="Z79" s="99"/>
      <c r="AA79" s="99"/>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14"/>
      <c r="BL79" s="214"/>
    </row>
    <row r="80" spans="1:64" ht="12.75" hidden="1" customHeight="1" outlineLevel="1">
      <c r="A80" s="9"/>
      <c r="B80" s="9"/>
      <c r="C80" s="44"/>
      <c r="D80" s="128" t="str">
        <f>Asset10</f>
        <v>Total Communications</v>
      </c>
      <c r="E80" s="9"/>
      <c r="F80" s="9"/>
      <c r="G80" s="191">
        <f>'Actual RAB roll forward'!G511</f>
        <v>-11.1703111163889</v>
      </c>
      <c r="H80" s="109">
        <f>'Actual RAB roll forward'!H511</f>
        <v>-14.686434188814133</v>
      </c>
      <c r="I80" s="109">
        <f>'Actual RAB roll forward'!I511</f>
        <v>-14.236243318639545</v>
      </c>
      <c r="J80" s="109">
        <f>'Actual RAB roll forward'!J511</f>
        <v>-14.575722107917496</v>
      </c>
      <c r="K80" s="109">
        <f>'Actual RAB roll forward'!K511</f>
        <v>-17.139522943789427</v>
      </c>
      <c r="L80" s="109">
        <f>'Actual RAB roll forward'!L511</f>
        <v>-17.274241168517701</v>
      </c>
      <c r="M80" s="109">
        <f>'Actual RAB roll forward'!M511</f>
        <v>0</v>
      </c>
      <c r="N80" s="109">
        <f>'Actual RAB roll forward'!N511</f>
        <v>0</v>
      </c>
      <c r="O80" s="109">
        <f>'Actual RAB roll forward'!O511</f>
        <v>0</v>
      </c>
      <c r="P80" s="109">
        <f>'Actual RAB roll forward'!P511</f>
        <v>0</v>
      </c>
      <c r="Q80" s="109">
        <f>'Actual RAB roll forward'!Q511</f>
        <v>0</v>
      </c>
      <c r="R80" s="28"/>
      <c r="S80" s="99"/>
      <c r="T80" s="99"/>
      <c r="U80" s="99"/>
      <c r="V80" s="99"/>
      <c r="W80" s="99"/>
      <c r="X80" s="99"/>
      <c r="Y80" s="99"/>
      <c r="Z80" s="99"/>
      <c r="AA80" s="99"/>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14"/>
      <c r="BL80" s="214"/>
    </row>
    <row r="81" spans="1:64" ht="12.75" hidden="1" customHeight="1" outlineLevel="1">
      <c r="A81" s="9"/>
      <c r="B81" s="9"/>
      <c r="C81" s="44"/>
      <c r="D81" s="128" t="str">
        <f>Asset11</f>
        <v>System IT (dx)</v>
      </c>
      <c r="E81" s="9"/>
      <c r="F81" s="9"/>
      <c r="G81" s="191">
        <f>'Actual RAB roll forward'!G512</f>
        <v>0</v>
      </c>
      <c r="H81" s="109">
        <f>'Actual RAB roll forward'!H512</f>
        <v>0</v>
      </c>
      <c r="I81" s="109">
        <f>'Actual RAB roll forward'!I512</f>
        <v>-3.5354568362900349</v>
      </c>
      <c r="J81" s="109">
        <f>'Actual RAB roll forward'!J512</f>
        <v>-15.600433314378041</v>
      </c>
      <c r="K81" s="109">
        <f>'Actual RAB roll forward'!K512</f>
        <v>-31.280446567961686</v>
      </c>
      <c r="L81" s="109">
        <f>'Actual RAB roll forward'!L512</f>
        <v>-37.82335849925267</v>
      </c>
      <c r="M81" s="109">
        <f>'Actual RAB roll forward'!M512</f>
        <v>0</v>
      </c>
      <c r="N81" s="109">
        <f>'Actual RAB roll forward'!N512</f>
        <v>0</v>
      </c>
      <c r="O81" s="109">
        <f>'Actual RAB roll forward'!O512</f>
        <v>0</v>
      </c>
      <c r="P81" s="109">
        <f>'Actual RAB roll forward'!P512</f>
        <v>0</v>
      </c>
      <c r="Q81" s="109">
        <f>'Actual RAB roll forward'!Q512</f>
        <v>0</v>
      </c>
      <c r="R81" s="28"/>
      <c r="S81" s="99"/>
      <c r="T81" s="99"/>
      <c r="U81" s="99"/>
      <c r="V81" s="99"/>
      <c r="W81" s="99"/>
      <c r="X81" s="99"/>
      <c r="Y81" s="99"/>
      <c r="Z81" s="99"/>
      <c r="AA81" s="99"/>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14"/>
      <c r="BL81" s="214"/>
    </row>
    <row r="82" spans="1:64" ht="12.75" hidden="1" customHeight="1" outlineLevel="1">
      <c r="A82" s="9"/>
      <c r="B82" s="9"/>
      <c r="C82" s="44"/>
      <c r="D82" s="128" t="str">
        <f>Asset12</f>
        <v>Ancillary substation equipment (dx)</v>
      </c>
      <c r="E82" s="9"/>
      <c r="F82" s="9"/>
      <c r="G82" s="191">
        <f>'Actual RAB roll forward'!G513</f>
        <v>0</v>
      </c>
      <c r="H82" s="109">
        <f>'Actual RAB roll forward'!H513</f>
        <v>0</v>
      </c>
      <c r="I82" s="109">
        <f>'Actual RAB roll forward'!I513</f>
        <v>-1.1125072445053403</v>
      </c>
      <c r="J82" s="109">
        <f>'Actual RAB roll forward'!J513</f>
        <v>-1.3053542017771131</v>
      </c>
      <c r="K82" s="109">
        <f>'Actual RAB roll forward'!K513</f>
        <v>-2.7559076854116724</v>
      </c>
      <c r="L82" s="109">
        <f>'Actual RAB roll forward'!L513</f>
        <v>-2.9542532339505776</v>
      </c>
      <c r="M82" s="109">
        <f>'Actual RAB roll forward'!M513</f>
        <v>0</v>
      </c>
      <c r="N82" s="109">
        <f>'Actual RAB roll forward'!N513</f>
        <v>0</v>
      </c>
      <c r="O82" s="109">
        <f>'Actual RAB roll forward'!O513</f>
        <v>0</v>
      </c>
      <c r="P82" s="109">
        <f>'Actual RAB roll forward'!P513</f>
        <v>0</v>
      </c>
      <c r="Q82" s="109">
        <f>'Actual RAB roll forward'!Q513</f>
        <v>0</v>
      </c>
      <c r="R82" s="28"/>
      <c r="S82" s="99"/>
      <c r="T82" s="99"/>
      <c r="U82" s="99"/>
      <c r="V82" s="99"/>
      <c r="W82" s="99"/>
      <c r="X82" s="99"/>
      <c r="Y82" s="99"/>
      <c r="Z82" s="99"/>
      <c r="AA82" s="99"/>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14"/>
      <c r="BL82" s="214"/>
    </row>
    <row r="83" spans="1:64" ht="12.75" hidden="1" customHeight="1" outlineLevel="1">
      <c r="A83" s="9"/>
      <c r="B83" s="9"/>
      <c r="C83" s="44"/>
      <c r="D83" s="128" t="str">
        <f>Asset13</f>
        <v>Land and Easements</v>
      </c>
      <c r="E83" s="9"/>
      <c r="F83" s="9"/>
      <c r="G83" s="191">
        <f>'Actual RAB roll forward'!G514</f>
        <v>20.3952737522952</v>
      </c>
      <c r="H83" s="109">
        <f>'Actual RAB roll forward'!H514</f>
        <v>8.8882189522909201</v>
      </c>
      <c r="I83" s="109">
        <f>'Actual RAB roll forward'!I514</f>
        <v>15.130045599496764</v>
      </c>
      <c r="J83" s="109">
        <f>'Actual RAB roll forward'!J514</f>
        <v>19.121871983942089</v>
      </c>
      <c r="K83" s="109">
        <f>'Actual RAB roll forward'!K514</f>
        <v>10.565002819956888</v>
      </c>
      <c r="L83" s="109">
        <f>'Actual RAB roll forward'!L514</f>
        <v>15.189151502855488</v>
      </c>
      <c r="M83" s="109">
        <f>'Actual RAB roll forward'!M514</f>
        <v>0</v>
      </c>
      <c r="N83" s="109">
        <f>'Actual RAB roll forward'!N514</f>
        <v>0</v>
      </c>
      <c r="O83" s="109">
        <f>'Actual RAB roll forward'!O514</f>
        <v>0</v>
      </c>
      <c r="P83" s="109">
        <f>'Actual RAB roll forward'!P514</f>
        <v>0</v>
      </c>
      <c r="Q83" s="109">
        <f>'Actual RAB roll forward'!Q514</f>
        <v>0</v>
      </c>
      <c r="R83" s="28"/>
      <c r="S83" s="99"/>
      <c r="T83" s="99"/>
      <c r="U83" s="99"/>
      <c r="V83" s="99"/>
      <c r="W83" s="99"/>
      <c r="X83" s="99"/>
      <c r="Y83" s="99"/>
      <c r="Z83" s="99"/>
      <c r="AA83" s="99"/>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14"/>
      <c r="BL83" s="214"/>
    </row>
    <row r="84" spans="1:64" ht="12.75" hidden="1" customHeight="1" outlineLevel="1">
      <c r="A84" s="9"/>
      <c r="B84" s="9"/>
      <c r="C84" s="44"/>
      <c r="D84" s="128" t="str">
        <f>Asset14</f>
        <v>Emergency Spares (Major Plant, Excludes Inventory)</v>
      </c>
      <c r="E84" s="9"/>
      <c r="F84" s="9"/>
      <c r="G84" s="191">
        <f>'Actual RAB roll forward'!G515</f>
        <v>2.4603671317953602</v>
      </c>
      <c r="H84" s="109">
        <f>'Actual RAB roll forward'!H515</f>
        <v>0.71687021733293232</v>
      </c>
      <c r="I84" s="109">
        <f>'Actual RAB roll forward'!I515</f>
        <v>1.1410184292549235</v>
      </c>
      <c r="J84" s="109">
        <f>'Actual RAB roll forward'!J515</f>
        <v>1.3978969237992027</v>
      </c>
      <c r="K84" s="109">
        <f>'Actual RAB roll forward'!K515</f>
        <v>0.75168171911477422</v>
      </c>
      <c r="L84" s="109">
        <f>'Actual RAB roll forward'!L515</f>
        <v>1.0630927170337503</v>
      </c>
      <c r="M84" s="109">
        <f>'Actual RAB roll forward'!M515</f>
        <v>0</v>
      </c>
      <c r="N84" s="109">
        <f>'Actual RAB roll forward'!N515</f>
        <v>0</v>
      </c>
      <c r="O84" s="109">
        <f>'Actual RAB roll forward'!O515</f>
        <v>0</v>
      </c>
      <c r="P84" s="109">
        <f>'Actual RAB roll forward'!P515</f>
        <v>0</v>
      </c>
      <c r="Q84" s="109">
        <f>'Actual RAB roll forward'!Q515</f>
        <v>0</v>
      </c>
      <c r="R84" s="28"/>
      <c r="S84" s="99"/>
      <c r="T84" s="99"/>
      <c r="U84" s="99"/>
      <c r="V84" s="99"/>
      <c r="W84" s="99"/>
      <c r="X84" s="99"/>
      <c r="Y84" s="99"/>
      <c r="Z84" s="99"/>
      <c r="AA84" s="99"/>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14"/>
      <c r="BL84" s="214"/>
    </row>
    <row r="85" spans="1:64" ht="12.75" hidden="1" customHeight="1" outlineLevel="1">
      <c r="A85" s="9"/>
      <c r="B85" s="9"/>
      <c r="C85" s="44"/>
      <c r="D85" s="128" t="str">
        <f>Asset15</f>
        <v>Furniture, fittings, plant and equipment</v>
      </c>
      <c r="E85" s="9"/>
      <c r="F85" s="9"/>
      <c r="G85" s="191">
        <f>'Actual RAB roll forward'!G516</f>
        <v>-2.5768657614300801</v>
      </c>
      <c r="H85" s="109">
        <f>'Actual RAB roll forward'!H516</f>
        <v>-1.5865025263012824</v>
      </c>
      <c r="I85" s="109">
        <f>'Actual RAB roll forward'!I516</f>
        <v>-1.6050018876291867</v>
      </c>
      <c r="J85" s="109">
        <f>'Actual RAB roll forward'!J516</f>
        <v>-1.7226007069068761</v>
      </c>
      <c r="K85" s="109">
        <f>'Actual RAB roll forward'!K516</f>
        <v>-2.7889616571725697</v>
      </c>
      <c r="L85" s="109">
        <f>'Actual RAB roll forward'!L516</f>
        <v>-2.7637034184335021</v>
      </c>
      <c r="M85" s="109">
        <f>'Actual RAB roll forward'!M516</f>
        <v>0</v>
      </c>
      <c r="N85" s="109">
        <f>'Actual RAB roll forward'!N516</f>
        <v>0</v>
      </c>
      <c r="O85" s="109">
        <f>'Actual RAB roll forward'!O516</f>
        <v>0</v>
      </c>
      <c r="P85" s="109">
        <f>'Actual RAB roll forward'!P516</f>
        <v>0</v>
      </c>
      <c r="Q85" s="109">
        <f>'Actual RAB roll forward'!Q516</f>
        <v>0</v>
      </c>
      <c r="R85" s="28"/>
      <c r="S85" s="99"/>
      <c r="T85" s="99"/>
      <c r="U85" s="99"/>
      <c r="V85" s="99"/>
      <c r="W85" s="99"/>
      <c r="X85" s="99"/>
      <c r="Y85" s="99"/>
      <c r="Z85" s="99"/>
      <c r="AA85" s="99"/>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14"/>
      <c r="BL85" s="214"/>
    </row>
    <row r="86" spans="1:64" ht="12.75" hidden="1" customHeight="1" outlineLevel="1">
      <c r="A86" s="9"/>
      <c r="B86" s="9"/>
      <c r="C86" s="44"/>
      <c r="D86" s="128" t="str">
        <f>Asset16</f>
        <v>Land (non-system)</v>
      </c>
      <c r="E86" s="9"/>
      <c r="F86" s="9"/>
      <c r="G86" s="191">
        <f>'Actual RAB roll forward'!G517</f>
        <v>1.02416594458548</v>
      </c>
      <c r="H86" s="109">
        <f>'Actual RAB roll forward'!H517</f>
        <v>0.85587864575141059</v>
      </c>
      <c r="I86" s="109">
        <f>'Actual RAB roll forward'!I517</f>
        <v>1.9163819010466088</v>
      </c>
      <c r="J86" s="109">
        <f>'Actual RAB roll forward'!J517</f>
        <v>2.5681471476739723</v>
      </c>
      <c r="K86" s="109">
        <f>'Actual RAB roll forward'!K517</f>
        <v>1.5284090818736935</v>
      </c>
      <c r="L86" s="109">
        <f>'Actual RAB roll forward'!L517</f>
        <v>2.1587650014089301</v>
      </c>
      <c r="M86" s="109">
        <f>'Actual RAB roll forward'!M517</f>
        <v>0</v>
      </c>
      <c r="N86" s="109">
        <f>'Actual RAB roll forward'!N517</f>
        <v>0</v>
      </c>
      <c r="O86" s="109">
        <f>'Actual RAB roll forward'!O517</f>
        <v>0</v>
      </c>
      <c r="P86" s="109">
        <f>'Actual RAB roll forward'!P517</f>
        <v>0</v>
      </c>
      <c r="Q86" s="109">
        <f>'Actual RAB roll forward'!Q517</f>
        <v>0</v>
      </c>
      <c r="R86" s="28"/>
      <c r="S86" s="99"/>
      <c r="T86" s="99"/>
      <c r="U86" s="99"/>
      <c r="V86" s="99"/>
      <c r="W86" s="99"/>
      <c r="X86" s="99"/>
      <c r="Y86" s="99"/>
      <c r="Z86" s="99"/>
      <c r="AA86" s="99"/>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14"/>
      <c r="BL86" s="214"/>
    </row>
    <row r="87" spans="1:64" ht="12.75" hidden="1" customHeight="1" outlineLevel="1">
      <c r="A87" s="9"/>
      <c r="B87" s="9"/>
      <c r="C87" s="44"/>
      <c r="D87" s="128" t="str">
        <f>Asset17</f>
        <v>Other non system assets</v>
      </c>
      <c r="E87" s="9"/>
      <c r="F87" s="9"/>
      <c r="G87" s="191">
        <f>'Actual RAB roll forward'!G518</f>
        <v>-4.0960644723242501</v>
      </c>
      <c r="H87" s="109">
        <f>'Actual RAB roll forward'!H518</f>
        <v>-7.3705642898101473</v>
      </c>
      <c r="I87" s="109">
        <f>'Actual RAB roll forward'!I518</f>
        <v>-6.6508112063698928</v>
      </c>
      <c r="J87" s="109">
        <f>'Actual RAB roll forward'!J518</f>
        <v>-6.6004543471154342</v>
      </c>
      <c r="K87" s="109">
        <f>'Actual RAB roll forward'!K518</f>
        <v>-8.5950319669281541</v>
      </c>
      <c r="L87" s="109">
        <f>'Actual RAB roll forward'!L518</f>
        <v>-8.3788444143971699</v>
      </c>
      <c r="M87" s="109">
        <f>'Actual RAB roll forward'!M518</f>
        <v>0</v>
      </c>
      <c r="N87" s="109">
        <f>'Actual RAB roll forward'!N518</f>
        <v>0</v>
      </c>
      <c r="O87" s="109">
        <f>'Actual RAB roll forward'!O518</f>
        <v>0</v>
      </c>
      <c r="P87" s="109">
        <f>'Actual RAB roll forward'!P518</f>
        <v>0</v>
      </c>
      <c r="Q87" s="109">
        <f>'Actual RAB roll forward'!Q518</f>
        <v>0</v>
      </c>
      <c r="R87" s="28"/>
      <c r="S87" s="99"/>
      <c r="T87" s="99"/>
      <c r="U87" s="99"/>
      <c r="V87" s="99"/>
      <c r="W87" s="99"/>
      <c r="X87" s="99"/>
      <c r="Y87" s="99"/>
      <c r="Z87" s="99"/>
      <c r="AA87" s="99"/>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14"/>
      <c r="BL87" s="214"/>
    </row>
    <row r="88" spans="1:64" ht="12.75" hidden="1" customHeight="1" outlineLevel="1">
      <c r="A88" s="9"/>
      <c r="B88" s="9"/>
      <c r="C88" s="44"/>
      <c r="D88" s="128" t="str">
        <f>Asset18</f>
        <v>IT systems</v>
      </c>
      <c r="E88" s="9"/>
      <c r="F88" s="9"/>
      <c r="G88" s="191">
        <f>'Actual RAB roll forward'!G519</f>
        <v>-29.814847967849801</v>
      </c>
      <c r="H88" s="109">
        <f>'Actual RAB roll forward'!H519</f>
        <v>-27.581013844554235</v>
      </c>
      <c r="I88" s="109">
        <f>'Actual RAB roll forward'!I519</f>
        <v>-35.811964241616415</v>
      </c>
      <c r="J88" s="109">
        <f>'Actual RAB roll forward'!J519</f>
        <v>-46.432740872746251</v>
      </c>
      <c r="K88" s="109">
        <f>'Actual RAB roll forward'!K519</f>
        <v>-57.928838910714362</v>
      </c>
      <c r="L88" s="109">
        <f>'Actual RAB roll forward'!L519</f>
        <v>-36.397434137651089</v>
      </c>
      <c r="M88" s="109">
        <f>'Actual RAB roll forward'!M519</f>
        <v>0</v>
      </c>
      <c r="N88" s="109">
        <f>'Actual RAB roll forward'!N519</f>
        <v>0</v>
      </c>
      <c r="O88" s="109">
        <f>'Actual RAB roll forward'!O519</f>
        <v>0</v>
      </c>
      <c r="P88" s="109">
        <f>'Actual RAB roll forward'!P519</f>
        <v>0</v>
      </c>
      <c r="Q88" s="109">
        <f>'Actual RAB roll forward'!Q519</f>
        <v>0</v>
      </c>
      <c r="R88" s="28"/>
      <c r="S88" s="99"/>
      <c r="T88" s="99"/>
      <c r="U88" s="99"/>
      <c r="V88" s="99"/>
      <c r="W88" s="99"/>
      <c r="X88" s="99"/>
      <c r="Y88" s="99"/>
      <c r="Z88" s="99"/>
      <c r="AA88" s="99"/>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14"/>
      <c r="BL88" s="214"/>
    </row>
    <row r="89" spans="1:64" ht="12.75" hidden="1" customHeight="1" outlineLevel="1">
      <c r="A89" s="9"/>
      <c r="B89" s="9"/>
      <c r="C89" s="44"/>
      <c r="D89" s="128" t="str">
        <f>Asset19</f>
        <v>Motor vehicles</v>
      </c>
      <c r="E89" s="9"/>
      <c r="F89" s="9"/>
      <c r="G89" s="191">
        <f>'Actual RAB roll forward'!G520</f>
        <v>-12.2188805582015</v>
      </c>
      <c r="H89" s="109">
        <f>'Actual RAB roll forward'!H520</f>
        <v>-9.6999300710021181</v>
      </c>
      <c r="I89" s="109">
        <f>'Actual RAB roll forward'!I520</f>
        <v>-10.958453014681117</v>
      </c>
      <c r="J89" s="109">
        <f>'Actual RAB roll forward'!J520</f>
        <v>-12.873593166504003</v>
      </c>
      <c r="K89" s="109">
        <f>'Actual RAB roll forward'!K520</f>
        <v>-17.993196051547329</v>
      </c>
      <c r="L89" s="109">
        <f>'Actual RAB roll forward'!L520</f>
        <v>-18.752383863822704</v>
      </c>
      <c r="M89" s="109">
        <f>'Actual RAB roll forward'!M520</f>
        <v>0</v>
      </c>
      <c r="N89" s="109">
        <f>'Actual RAB roll forward'!N520</f>
        <v>0</v>
      </c>
      <c r="O89" s="109">
        <f>'Actual RAB roll forward'!O520</f>
        <v>0</v>
      </c>
      <c r="P89" s="109">
        <f>'Actual RAB roll forward'!P520</f>
        <v>0</v>
      </c>
      <c r="Q89" s="109">
        <f>'Actual RAB roll forward'!Q520</f>
        <v>0</v>
      </c>
      <c r="R89" s="28"/>
      <c r="S89" s="99"/>
      <c r="T89" s="99"/>
      <c r="U89" s="99"/>
      <c r="V89" s="99"/>
      <c r="W89" s="99"/>
      <c r="X89" s="99"/>
      <c r="Y89" s="99"/>
      <c r="Z89" s="99"/>
      <c r="AA89" s="99"/>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14"/>
      <c r="BL89" s="214"/>
    </row>
    <row r="90" spans="1:64" ht="12.75" hidden="1" customHeight="1" outlineLevel="1">
      <c r="A90" s="9"/>
      <c r="B90" s="9"/>
      <c r="C90" s="44"/>
      <c r="D90" s="128" t="str">
        <f>Asset20</f>
        <v>Buildings</v>
      </c>
      <c r="E90" s="9"/>
      <c r="F90" s="9"/>
      <c r="G90" s="191">
        <f>'Actual RAB roll forward'!G521</f>
        <v>0.65309237314368795</v>
      </c>
      <c r="H90" s="109">
        <f>'Actual RAB roll forward'!H521</f>
        <v>-1.6643829859479875</v>
      </c>
      <c r="I90" s="109">
        <f>'Actual RAB roll forward'!I521</f>
        <v>-0.5022367914749255</v>
      </c>
      <c r="J90" s="109">
        <f>'Actual RAB roll forward'!J521</f>
        <v>0.56713997878528133</v>
      </c>
      <c r="K90" s="109">
        <f>'Actual RAB roll forward'!K521</f>
        <v>-3.7778315233663751</v>
      </c>
      <c r="L90" s="109">
        <f>'Actual RAB roll forward'!L521</f>
        <v>-2.2839423556615177</v>
      </c>
      <c r="M90" s="109">
        <f>'Actual RAB roll forward'!M521</f>
        <v>0</v>
      </c>
      <c r="N90" s="109">
        <f>'Actual RAB roll forward'!N521</f>
        <v>0</v>
      </c>
      <c r="O90" s="109">
        <f>'Actual RAB roll forward'!O521</f>
        <v>0</v>
      </c>
      <c r="P90" s="109">
        <f>'Actual RAB roll forward'!P521</f>
        <v>0</v>
      </c>
      <c r="Q90" s="109">
        <f>'Actual RAB roll forward'!Q521</f>
        <v>0</v>
      </c>
      <c r="R90" s="28"/>
      <c r="S90" s="99"/>
      <c r="T90" s="99"/>
      <c r="U90" s="99"/>
      <c r="V90" s="99"/>
      <c r="W90" s="99"/>
      <c r="X90" s="99"/>
      <c r="Y90" s="99"/>
      <c r="Z90" s="99"/>
      <c r="AA90" s="99"/>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14"/>
      <c r="BL90" s="214"/>
    </row>
    <row r="91" spans="1:64" ht="15" hidden="1" customHeight="1" outlineLevel="1">
      <c r="A91" s="9"/>
      <c r="B91" s="9"/>
      <c r="C91" s="44"/>
      <c r="D91" s="128" t="str">
        <f>Asset21</f>
        <v>Equity raising costs</v>
      </c>
      <c r="E91" s="9"/>
      <c r="F91" s="9"/>
      <c r="G91" s="191">
        <f>'Actual RAB roll forward'!G522</f>
        <v>0</v>
      </c>
      <c r="H91" s="109">
        <f>'Actual RAB roll forward'!H522</f>
        <v>0</v>
      </c>
      <c r="I91" s="109">
        <f>'Actual RAB roll forward'!I522</f>
        <v>0.18852777481403293</v>
      </c>
      <c r="J91" s="109">
        <f>'Actual RAB roll forward'!J522</f>
        <v>0.32530889556182152</v>
      </c>
      <c r="K91" s="109">
        <f>'Actual RAB roll forward'!K522</f>
        <v>-0.13130311560292174</v>
      </c>
      <c r="L91" s="109">
        <f>'Actual RAB roll forward'!L522</f>
        <v>4.3628730220018119E-2</v>
      </c>
      <c r="M91" s="109">
        <f>'Actual RAB roll forward'!M522</f>
        <v>0</v>
      </c>
      <c r="N91" s="109">
        <f>'Actual RAB roll forward'!N522</f>
        <v>0</v>
      </c>
      <c r="O91" s="109">
        <f>'Actual RAB roll forward'!O522</f>
        <v>0</v>
      </c>
      <c r="P91" s="109">
        <f>'Actual RAB roll forward'!P522</f>
        <v>0</v>
      </c>
      <c r="Q91" s="109">
        <f>'Actual RAB roll forward'!Q522</f>
        <v>0</v>
      </c>
      <c r="R91" s="28"/>
      <c r="S91" s="99"/>
      <c r="T91" s="99"/>
      <c r="U91" s="99"/>
      <c r="V91" s="99"/>
      <c r="W91" s="99"/>
      <c r="X91" s="99"/>
      <c r="Y91" s="99"/>
      <c r="Z91" s="99"/>
      <c r="AA91" s="99"/>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14"/>
      <c r="BL91" s="214"/>
    </row>
    <row r="92" spans="1:64" ht="12.75" hidden="1" customHeight="1" outlineLevel="1">
      <c r="A92" s="9"/>
      <c r="B92" s="9"/>
      <c r="C92" s="44"/>
      <c r="D92" s="128" t="s">
        <v>151</v>
      </c>
      <c r="E92" s="9"/>
      <c r="F92" s="9"/>
      <c r="G92" s="191">
        <f>'Actual RAB roll forward'!G523</f>
        <v>11.184323450170901</v>
      </c>
      <c r="H92" s="109">
        <f>'Actual RAB roll forward'!H523</f>
        <v>0</v>
      </c>
      <c r="I92" s="109">
        <f>'Actual RAB roll forward'!I523</f>
        <v>0</v>
      </c>
      <c r="J92" s="109">
        <f>'Actual RAB roll forward'!J523</f>
        <v>0</v>
      </c>
      <c r="K92" s="109">
        <f>'Actual RAB roll forward'!K523</f>
        <v>0</v>
      </c>
      <c r="L92" s="109">
        <f>'Actual RAB roll forward'!L523</f>
        <v>0</v>
      </c>
      <c r="M92" s="109">
        <f>'Actual RAB roll forward'!M523</f>
        <v>0</v>
      </c>
      <c r="N92" s="109">
        <f>'Actual RAB roll forward'!N523</f>
        <v>0</v>
      </c>
      <c r="O92" s="109">
        <f>'Actual RAB roll forward'!O523</f>
        <v>0</v>
      </c>
      <c r="P92" s="109">
        <f>'Actual RAB roll forward'!P523</f>
        <v>0</v>
      </c>
      <c r="Q92" s="109">
        <f>'Actual RAB roll forward'!Q523</f>
        <v>0</v>
      </c>
      <c r="R92" s="28"/>
      <c r="S92" s="99"/>
      <c r="T92" s="99"/>
      <c r="U92" s="99"/>
      <c r="V92" s="99"/>
      <c r="W92" s="99"/>
      <c r="X92" s="99"/>
      <c r="Y92" s="99"/>
      <c r="Z92" s="99"/>
      <c r="AA92" s="99"/>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14"/>
      <c r="BL92" s="214"/>
    </row>
    <row r="93" spans="1:64" ht="4.5" hidden="1" customHeight="1" outlineLevel="1">
      <c r="A93" s="9"/>
      <c r="B93" s="9"/>
      <c r="C93" s="44"/>
      <c r="D93" s="128">
        <f>Asset23</f>
        <v>0</v>
      </c>
      <c r="E93" s="9"/>
      <c r="F93" s="9"/>
      <c r="G93" s="191">
        <f>'Actual RAB roll forward'!G524</f>
        <v>0</v>
      </c>
      <c r="H93" s="109">
        <f>'Actual RAB roll forward'!H524</f>
        <v>0</v>
      </c>
      <c r="I93" s="109">
        <f>'Actual RAB roll forward'!I524</f>
        <v>0</v>
      </c>
      <c r="J93" s="109">
        <f>'Actual RAB roll forward'!J524</f>
        <v>0</v>
      </c>
      <c r="K93" s="109">
        <f>'Actual RAB roll forward'!K524</f>
        <v>0</v>
      </c>
      <c r="L93" s="109">
        <f>'Actual RAB roll forward'!L524</f>
        <v>0</v>
      </c>
      <c r="M93" s="109">
        <f>'Actual RAB roll forward'!M524</f>
        <v>0</v>
      </c>
      <c r="N93" s="109">
        <f>'Actual RAB roll forward'!N524</f>
        <v>0</v>
      </c>
      <c r="O93" s="109">
        <f>'Actual RAB roll forward'!O524</f>
        <v>0</v>
      </c>
      <c r="P93" s="109">
        <f>'Actual RAB roll forward'!P524</f>
        <v>0</v>
      </c>
      <c r="Q93" s="109">
        <f>'Actual RAB roll forward'!Q524</f>
        <v>0</v>
      </c>
      <c r="R93" s="28"/>
      <c r="S93" s="99"/>
      <c r="T93" s="99"/>
      <c r="U93" s="99"/>
      <c r="V93" s="99"/>
      <c r="W93" s="99"/>
      <c r="X93" s="99"/>
      <c r="Y93" s="99"/>
      <c r="Z93" s="99"/>
      <c r="AA93" s="99"/>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14"/>
      <c r="BL93" s="214"/>
    </row>
    <row r="94" spans="1:64" ht="4.5" hidden="1" customHeight="1" outlineLevel="1">
      <c r="A94" s="9"/>
      <c r="B94" s="9"/>
      <c r="C94" s="44"/>
      <c r="D94" s="128">
        <f>Asset24</f>
        <v>0</v>
      </c>
      <c r="E94" s="9"/>
      <c r="F94" s="9"/>
      <c r="G94" s="191">
        <f>'Actual RAB roll forward'!G525</f>
        <v>0</v>
      </c>
      <c r="H94" s="109">
        <f>'Actual RAB roll forward'!H525</f>
        <v>0</v>
      </c>
      <c r="I94" s="109">
        <f>'Actual RAB roll forward'!I525</f>
        <v>0</v>
      </c>
      <c r="J94" s="109">
        <f>'Actual RAB roll forward'!J525</f>
        <v>0</v>
      </c>
      <c r="K94" s="109">
        <f>'Actual RAB roll forward'!K525</f>
        <v>0</v>
      </c>
      <c r="L94" s="109">
        <f>'Actual RAB roll forward'!L525</f>
        <v>0</v>
      </c>
      <c r="M94" s="109">
        <f>'Actual RAB roll forward'!M525</f>
        <v>0</v>
      </c>
      <c r="N94" s="109">
        <f>'Actual RAB roll forward'!N525</f>
        <v>0</v>
      </c>
      <c r="O94" s="109">
        <f>'Actual RAB roll forward'!O525</f>
        <v>0</v>
      </c>
      <c r="P94" s="109">
        <f>'Actual RAB roll forward'!P525</f>
        <v>0</v>
      </c>
      <c r="Q94" s="109">
        <f>'Actual RAB roll forward'!Q525</f>
        <v>0</v>
      </c>
      <c r="R94" s="28"/>
      <c r="S94" s="99"/>
      <c r="T94" s="99"/>
      <c r="U94" s="99"/>
      <c r="V94" s="99"/>
      <c r="W94" s="99"/>
      <c r="X94" s="99"/>
      <c r="Y94" s="99"/>
      <c r="Z94" s="99"/>
      <c r="AA94" s="99"/>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14"/>
      <c r="BL94" s="214"/>
    </row>
    <row r="95" spans="1:64" ht="4.5" hidden="1" customHeight="1" outlineLevel="1">
      <c r="A95" s="9"/>
      <c r="B95" s="9"/>
      <c r="C95" s="44"/>
      <c r="D95" s="128">
        <f>Asset25</f>
        <v>0</v>
      </c>
      <c r="E95" s="9"/>
      <c r="F95" s="9"/>
      <c r="G95" s="191">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8"/>
      <c r="S95" s="99"/>
      <c r="T95" s="99"/>
      <c r="U95" s="99"/>
      <c r="V95" s="99"/>
      <c r="W95" s="99"/>
      <c r="X95" s="99"/>
      <c r="Y95" s="99"/>
      <c r="Z95" s="99"/>
      <c r="AA95" s="99"/>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14"/>
      <c r="BL95" s="214"/>
    </row>
    <row r="96" spans="1:64" ht="4.5" hidden="1" customHeight="1" outlineLevel="1">
      <c r="A96" s="9"/>
      <c r="B96" s="9"/>
      <c r="C96" s="44"/>
      <c r="D96" s="128">
        <f>Asset26</f>
        <v>0</v>
      </c>
      <c r="E96" s="9"/>
      <c r="F96" s="9"/>
      <c r="G96" s="191">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8"/>
      <c r="S96" s="99"/>
      <c r="T96" s="99"/>
      <c r="U96" s="99"/>
      <c r="V96" s="99"/>
      <c r="W96" s="99"/>
      <c r="X96" s="99"/>
      <c r="Y96" s="99"/>
      <c r="Z96" s="99"/>
      <c r="AA96" s="99"/>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14"/>
      <c r="BL96" s="214"/>
    </row>
    <row r="97" spans="1:64" ht="4.5" hidden="1" customHeight="1" outlineLevel="1">
      <c r="A97" s="9"/>
      <c r="B97" s="9"/>
      <c r="C97" s="44"/>
      <c r="D97" s="128">
        <f>Asset27</f>
        <v>0</v>
      </c>
      <c r="E97" s="9"/>
      <c r="F97" s="9"/>
      <c r="G97" s="191">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8"/>
      <c r="S97" s="99"/>
      <c r="T97" s="99"/>
      <c r="U97" s="99"/>
      <c r="V97" s="99"/>
      <c r="W97" s="99"/>
      <c r="X97" s="99"/>
      <c r="Y97" s="99"/>
      <c r="Z97" s="99"/>
      <c r="AA97" s="99"/>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14"/>
      <c r="BL97" s="214"/>
    </row>
    <row r="98" spans="1:64" ht="4.5" hidden="1" customHeight="1" outlineLevel="1">
      <c r="A98" s="9"/>
      <c r="B98" s="9"/>
      <c r="C98" s="44"/>
      <c r="D98" s="128">
        <f>Asset28</f>
        <v>0</v>
      </c>
      <c r="E98" s="9"/>
      <c r="F98" s="9"/>
      <c r="G98" s="191">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8"/>
      <c r="S98" s="99"/>
      <c r="T98" s="99"/>
      <c r="U98" s="99"/>
      <c r="V98" s="99"/>
      <c r="W98" s="99"/>
      <c r="X98" s="99"/>
      <c r="Y98" s="99"/>
      <c r="Z98" s="99"/>
      <c r="AA98" s="99"/>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14"/>
      <c r="BL98" s="214"/>
    </row>
    <row r="99" spans="1:64" ht="4.5" hidden="1" customHeight="1" outlineLevel="1">
      <c r="A99" s="9"/>
      <c r="B99" s="9"/>
      <c r="C99" s="44"/>
      <c r="D99" s="128">
        <f>Asset29</f>
        <v>0</v>
      </c>
      <c r="E99" s="9"/>
      <c r="F99" s="9"/>
      <c r="G99" s="191">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8"/>
      <c r="S99" s="99"/>
      <c r="T99" s="99"/>
      <c r="U99" s="99"/>
      <c r="V99" s="99"/>
      <c r="W99" s="99"/>
      <c r="X99" s="99"/>
      <c r="Y99" s="99"/>
      <c r="Z99" s="99"/>
      <c r="AA99" s="99"/>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14"/>
      <c r="BL99" s="214"/>
    </row>
    <row r="100" spans="1:64" ht="4.5" hidden="1" customHeight="1" outlineLevel="1">
      <c r="A100" s="9"/>
      <c r="B100" s="9"/>
      <c r="C100" s="44"/>
      <c r="D100" s="128">
        <f>Asset30</f>
        <v>0</v>
      </c>
      <c r="E100" s="9"/>
      <c r="F100" s="9"/>
      <c r="G100" s="191">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8"/>
      <c r="S100" s="99"/>
      <c r="T100" s="99"/>
      <c r="U100" s="99"/>
      <c r="V100" s="99"/>
      <c r="W100" s="99"/>
      <c r="X100" s="99"/>
      <c r="Y100" s="99"/>
      <c r="Z100" s="99"/>
      <c r="AA100" s="99"/>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14"/>
      <c r="BL100" s="214"/>
    </row>
    <row r="101" spans="1:64" collapsed="1">
      <c r="A101" s="9"/>
      <c r="B101" s="9"/>
      <c r="C101" s="44"/>
      <c r="D101" s="128"/>
      <c r="E101" s="9"/>
      <c r="F101" s="9"/>
      <c r="G101" s="202"/>
      <c r="H101" s="109"/>
      <c r="I101" s="109"/>
      <c r="J101" s="109"/>
      <c r="K101" s="109"/>
      <c r="L101" s="109"/>
      <c r="M101" s="109"/>
      <c r="N101" s="99"/>
      <c r="O101" s="28"/>
      <c r="P101" s="28"/>
      <c r="Q101" s="28"/>
      <c r="R101" s="28"/>
      <c r="S101" s="99"/>
      <c r="T101" s="99"/>
      <c r="U101" s="99"/>
      <c r="V101" s="99"/>
      <c r="W101" s="99"/>
      <c r="X101" s="99"/>
      <c r="Y101" s="99"/>
      <c r="Z101" s="99"/>
      <c r="AA101" s="99"/>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14"/>
      <c r="BL101" s="214"/>
    </row>
    <row r="102" spans="1:64">
      <c r="A102" s="9"/>
      <c r="B102" s="9"/>
      <c r="C102" s="44" t="s">
        <v>50</v>
      </c>
      <c r="D102" s="112"/>
      <c r="E102" s="9"/>
      <c r="F102" s="9"/>
      <c r="G102" s="198">
        <f>SUM(G103:G132)</f>
        <v>27.129728637429164</v>
      </c>
      <c r="H102" s="36"/>
      <c r="I102" s="36"/>
      <c r="J102" s="36"/>
      <c r="K102" s="36"/>
      <c r="L102" s="36"/>
      <c r="M102" s="36"/>
      <c r="N102" s="99"/>
      <c r="O102" s="28"/>
      <c r="P102" s="28"/>
      <c r="Q102" s="28"/>
      <c r="R102" s="28"/>
      <c r="S102" s="99"/>
      <c r="T102" s="99"/>
      <c r="U102" s="99"/>
      <c r="V102" s="99"/>
      <c r="W102" s="99"/>
      <c r="X102" s="99"/>
      <c r="Y102" s="99"/>
      <c r="Z102" s="99"/>
      <c r="AA102" s="99"/>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14"/>
      <c r="BL102" s="214"/>
    </row>
    <row r="103" spans="1:64" ht="12.75" hidden="1" customHeight="1" outlineLevel="1">
      <c r="A103" s="9"/>
      <c r="B103" s="9"/>
      <c r="C103" s="9"/>
      <c r="D103" s="128" t="str">
        <f>Asset1</f>
        <v>Sub-transmission lines and cables</v>
      </c>
      <c r="E103" s="9"/>
      <c r="F103" s="9"/>
      <c r="G103" s="194">
        <f>'Actual RAB roll forward'!G534</f>
        <v>-13.906548058546541</v>
      </c>
      <c r="H103" s="36"/>
      <c r="I103" s="36"/>
      <c r="J103" s="36"/>
      <c r="K103" s="36"/>
      <c r="L103" s="36"/>
      <c r="M103" s="36"/>
      <c r="N103" s="99"/>
      <c r="O103" s="28"/>
      <c r="P103" s="28"/>
      <c r="Q103" s="28"/>
      <c r="R103" s="28"/>
      <c r="S103" s="99"/>
      <c r="T103" s="99"/>
      <c r="U103" s="99"/>
      <c r="V103" s="99"/>
      <c r="W103" s="99"/>
      <c r="X103" s="99"/>
      <c r="Y103" s="99"/>
      <c r="Z103" s="99"/>
      <c r="AA103" s="99"/>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14"/>
      <c r="BL103" s="214"/>
    </row>
    <row r="104" spans="1:64" ht="12.75" hidden="1" customHeight="1" outlineLevel="1">
      <c r="A104" s="9"/>
      <c r="B104" s="9"/>
      <c r="C104" s="44"/>
      <c r="D104" s="128" t="str">
        <f>Asset2</f>
        <v>Cable tunnel (dx)</v>
      </c>
      <c r="E104" s="9"/>
      <c r="F104" s="9"/>
      <c r="G104" s="194">
        <f>'Actual RAB roll forward'!G535</f>
        <v>0</v>
      </c>
      <c r="H104" s="36"/>
      <c r="I104" s="36"/>
      <c r="J104" s="36"/>
      <c r="K104" s="36"/>
      <c r="L104" s="36"/>
      <c r="M104" s="36"/>
      <c r="N104" s="99"/>
      <c r="O104" s="28"/>
      <c r="P104" s="28"/>
      <c r="Q104" s="28"/>
      <c r="R104" s="28"/>
      <c r="S104" s="99"/>
      <c r="T104" s="99"/>
      <c r="U104" s="99"/>
      <c r="V104" s="99"/>
      <c r="W104" s="99"/>
      <c r="X104" s="99"/>
      <c r="Y104" s="99"/>
      <c r="Z104" s="99"/>
      <c r="AA104" s="99"/>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14"/>
      <c r="BL104" s="214"/>
    </row>
    <row r="105" spans="1:64" ht="12.75" hidden="1" customHeight="1" outlineLevel="1">
      <c r="A105" s="9"/>
      <c r="B105" s="9"/>
      <c r="C105" s="44"/>
      <c r="D105" s="128" t="str">
        <f>Asset3</f>
        <v>Distribution lines and cables</v>
      </c>
      <c r="E105" s="9"/>
      <c r="F105" s="9"/>
      <c r="G105" s="194">
        <f>'Actual RAB roll forward'!G536</f>
        <v>12.2233474467562</v>
      </c>
      <c r="H105" s="36"/>
      <c r="I105" s="36"/>
      <c r="J105" s="36"/>
      <c r="K105" s="36"/>
      <c r="L105" s="36"/>
      <c r="M105" s="36"/>
      <c r="N105" s="99"/>
      <c r="O105" s="28"/>
      <c r="P105" s="28"/>
      <c r="Q105" s="28"/>
      <c r="R105" s="28"/>
      <c r="S105" s="99"/>
      <c r="T105" s="99"/>
      <c r="U105" s="99"/>
      <c r="V105" s="99"/>
      <c r="W105" s="99"/>
      <c r="X105" s="99"/>
      <c r="Y105" s="99"/>
      <c r="Z105" s="99"/>
      <c r="AA105" s="99"/>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14"/>
      <c r="BL105" s="214"/>
    </row>
    <row r="106" spans="1:64" ht="12.75" hidden="1" customHeight="1" outlineLevel="1">
      <c r="A106" s="9"/>
      <c r="B106" s="9"/>
      <c r="C106" s="44"/>
      <c r="D106" s="128" t="str">
        <f>Asset4</f>
        <v>Substations</v>
      </c>
      <c r="E106" s="9"/>
      <c r="F106" s="9"/>
      <c r="G106" s="194">
        <f>'Actual RAB roll forward'!G537</f>
        <v>55.805376788684697</v>
      </c>
      <c r="H106" s="36"/>
      <c r="I106" s="36"/>
      <c r="J106" s="36"/>
      <c r="K106" s="36"/>
      <c r="L106" s="36"/>
      <c r="M106" s="36"/>
      <c r="N106" s="99"/>
      <c r="O106" s="28"/>
      <c r="P106" s="28"/>
      <c r="Q106" s="28"/>
      <c r="R106" s="28"/>
      <c r="S106" s="99"/>
      <c r="T106" s="99"/>
      <c r="U106" s="99"/>
      <c r="V106" s="99"/>
      <c r="W106" s="99"/>
      <c r="X106" s="99"/>
      <c r="Y106" s="99"/>
      <c r="Z106" s="99"/>
      <c r="AA106" s="99"/>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14"/>
      <c r="BL106" s="214"/>
    </row>
    <row r="107" spans="1:64" ht="12.75" hidden="1" customHeight="1" outlineLevel="1">
      <c r="A107" s="9"/>
      <c r="B107" s="9"/>
      <c r="C107" s="44"/>
      <c r="D107" s="128" t="str">
        <f>Asset5</f>
        <v>Transformers</v>
      </c>
      <c r="E107" s="9"/>
      <c r="F107" s="9"/>
      <c r="G107" s="194">
        <f>'Actual RAB roll forward'!G538</f>
        <v>-5.3468658549369792</v>
      </c>
      <c r="H107" s="36"/>
      <c r="I107" s="36"/>
      <c r="J107" s="36"/>
      <c r="K107" s="36"/>
      <c r="L107" s="36"/>
      <c r="M107" s="36"/>
      <c r="N107" s="99"/>
      <c r="O107" s="28"/>
      <c r="P107" s="28"/>
      <c r="Q107" s="28"/>
      <c r="R107" s="28"/>
      <c r="S107" s="99"/>
      <c r="T107" s="99"/>
      <c r="U107" s="99"/>
      <c r="V107" s="99"/>
      <c r="W107" s="99"/>
      <c r="X107" s="99"/>
      <c r="Y107" s="99"/>
      <c r="Z107" s="99"/>
      <c r="AA107" s="99"/>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14"/>
      <c r="BL107" s="214"/>
    </row>
    <row r="108" spans="1:64" ht="12.75" hidden="1" customHeight="1" outlineLevel="1">
      <c r="A108" s="9"/>
      <c r="B108" s="9"/>
      <c r="C108" s="44"/>
      <c r="D108" s="128" t="str">
        <f>Asset6</f>
        <v>Low Voltage Lines and Cables</v>
      </c>
      <c r="E108" s="9"/>
      <c r="F108" s="9"/>
      <c r="G108" s="194">
        <f>'Actual RAB roll forward'!G539</f>
        <v>-14.408826893958135</v>
      </c>
      <c r="H108" s="36"/>
      <c r="I108" s="36"/>
      <c r="J108" s="36"/>
      <c r="K108" s="36"/>
      <c r="L108" s="36"/>
      <c r="M108" s="36"/>
      <c r="N108" s="99"/>
      <c r="O108" s="28"/>
      <c r="P108" s="28"/>
      <c r="Q108" s="28"/>
      <c r="R108" s="28"/>
      <c r="S108" s="99"/>
      <c r="T108" s="99"/>
      <c r="U108" s="99"/>
      <c r="V108" s="99"/>
      <c r="W108" s="99"/>
      <c r="X108" s="99"/>
      <c r="Y108" s="99"/>
      <c r="Z108" s="99"/>
      <c r="AA108" s="99"/>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14"/>
      <c r="BL108" s="214"/>
    </row>
    <row r="109" spans="1:64" ht="12.75" hidden="1" customHeight="1" outlineLevel="1">
      <c r="A109" s="9"/>
      <c r="B109" s="9"/>
      <c r="C109" s="44"/>
      <c r="D109" s="128" t="str">
        <f>Asset7</f>
        <v>Customer Metering and Load Control</v>
      </c>
      <c r="E109" s="9"/>
      <c r="F109" s="9"/>
      <c r="G109" s="194">
        <f>'Actual RAB roll forward'!G540</f>
        <v>3.612680543317369</v>
      </c>
      <c r="H109" s="36"/>
      <c r="I109" s="36"/>
      <c r="J109" s="36"/>
      <c r="K109" s="36"/>
      <c r="L109" s="36"/>
      <c r="M109" s="36"/>
      <c r="N109" s="99"/>
      <c r="O109" s="28"/>
      <c r="P109" s="28"/>
      <c r="Q109" s="28"/>
      <c r="R109" s="28"/>
      <c r="S109" s="99"/>
      <c r="T109" s="99"/>
      <c r="U109" s="99"/>
      <c r="V109" s="99"/>
      <c r="W109" s="99"/>
      <c r="X109" s="99"/>
      <c r="Y109" s="99"/>
      <c r="Z109" s="99"/>
      <c r="AA109" s="99"/>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14"/>
      <c r="BL109" s="214"/>
    </row>
    <row r="110" spans="1:64" ht="12.75" hidden="1" customHeight="1" outlineLevel="1">
      <c r="A110" s="9"/>
      <c r="B110" s="9"/>
      <c r="C110" s="44"/>
      <c r="D110" s="128" t="str">
        <f>Asset8</f>
        <v>Customer Metering (digital)</v>
      </c>
      <c r="E110" s="9"/>
      <c r="F110" s="9"/>
      <c r="G110" s="194">
        <f>'Actual RAB roll forward'!G541</f>
        <v>0</v>
      </c>
      <c r="H110" s="36"/>
      <c r="I110" s="36"/>
      <c r="J110" s="36"/>
      <c r="K110" s="36"/>
      <c r="L110" s="36"/>
      <c r="M110" s="36"/>
      <c r="N110" s="99"/>
      <c r="O110" s="28"/>
      <c r="P110" s="28"/>
      <c r="Q110" s="28"/>
      <c r="R110" s="28"/>
      <c r="S110" s="99"/>
      <c r="T110" s="99"/>
      <c r="U110" s="99"/>
      <c r="V110" s="99"/>
      <c r="W110" s="99"/>
      <c r="X110" s="99"/>
      <c r="Y110" s="99"/>
      <c r="Z110" s="99"/>
      <c r="AA110" s="99"/>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14"/>
      <c r="BL110" s="214"/>
    </row>
    <row r="111" spans="1:64" ht="12.75" hidden="1" customHeight="1" outlineLevel="1">
      <c r="A111" s="9"/>
      <c r="B111" s="9"/>
      <c r="C111" s="44"/>
      <c r="D111" s="128" t="str">
        <f>Asset9</f>
        <v>Communications (digital) - dx</v>
      </c>
      <c r="E111" s="9"/>
      <c r="F111" s="9"/>
      <c r="G111" s="194">
        <f>'Actual RAB roll forward'!G542</f>
        <v>0</v>
      </c>
      <c r="H111" s="36"/>
      <c r="I111" s="36"/>
      <c r="J111" s="36"/>
      <c r="K111" s="36"/>
      <c r="L111" s="36"/>
      <c r="M111" s="36"/>
      <c r="N111" s="99"/>
      <c r="O111" s="28"/>
      <c r="P111" s="28"/>
      <c r="Q111" s="28"/>
      <c r="R111" s="28"/>
      <c r="S111" s="99"/>
      <c r="T111" s="99"/>
      <c r="U111" s="99"/>
      <c r="V111" s="99"/>
      <c r="W111" s="99"/>
      <c r="X111" s="99"/>
      <c r="Y111" s="99"/>
      <c r="Z111" s="99"/>
      <c r="AA111" s="99"/>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14"/>
      <c r="BL111" s="214"/>
    </row>
    <row r="112" spans="1:64" ht="12.75" hidden="1" customHeight="1" outlineLevel="1">
      <c r="A112" s="9"/>
      <c r="B112" s="9"/>
      <c r="C112" s="44"/>
      <c r="D112" s="128" t="str">
        <f>Asset10</f>
        <v>Total Communications</v>
      </c>
      <c r="E112" s="9"/>
      <c r="F112" s="9"/>
      <c r="G112" s="194">
        <f>'Actual RAB roll forward'!G543</f>
        <v>6.7566642408488242</v>
      </c>
      <c r="H112" s="36"/>
      <c r="I112" s="36"/>
      <c r="J112" s="36"/>
      <c r="K112" s="36"/>
      <c r="L112" s="36"/>
      <c r="M112" s="36"/>
      <c r="N112" s="99"/>
      <c r="O112" s="28"/>
      <c r="P112" s="28"/>
      <c r="Q112" s="28"/>
      <c r="R112" s="28"/>
      <c r="S112" s="99"/>
      <c r="T112" s="99"/>
      <c r="U112" s="99"/>
      <c r="V112" s="99"/>
      <c r="W112" s="99"/>
      <c r="X112" s="99"/>
      <c r="Y112" s="99"/>
      <c r="Z112" s="99"/>
      <c r="AA112" s="99"/>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14"/>
      <c r="BL112" s="214"/>
    </row>
    <row r="113" spans="1:64" ht="12.75" hidden="1" customHeight="1" outlineLevel="1">
      <c r="A113" s="9"/>
      <c r="B113" s="9"/>
      <c r="C113" s="44"/>
      <c r="D113" s="128" t="str">
        <f>Asset11</f>
        <v>System IT (dx)</v>
      </c>
      <c r="E113" s="9"/>
      <c r="F113" s="9"/>
      <c r="G113" s="194">
        <f>'Actual RAB roll forward'!G544</f>
        <v>0</v>
      </c>
      <c r="H113" s="36"/>
      <c r="I113" s="36"/>
      <c r="J113" s="36"/>
      <c r="K113" s="36"/>
      <c r="L113" s="36"/>
      <c r="M113" s="36"/>
      <c r="N113" s="99"/>
      <c r="O113" s="28"/>
      <c r="P113" s="28"/>
      <c r="Q113" s="28"/>
      <c r="R113" s="28"/>
      <c r="S113" s="99"/>
      <c r="T113" s="99"/>
      <c r="U113" s="99"/>
      <c r="V113" s="99"/>
      <c r="W113" s="99"/>
      <c r="X113" s="99"/>
      <c r="Y113" s="99"/>
      <c r="Z113" s="99"/>
      <c r="AA113" s="99"/>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14"/>
      <c r="BL113" s="214"/>
    </row>
    <row r="114" spans="1:64" ht="12.75" hidden="1" customHeight="1" outlineLevel="1">
      <c r="A114" s="9"/>
      <c r="B114" s="9"/>
      <c r="C114" s="44"/>
      <c r="D114" s="128" t="str">
        <f>Asset12</f>
        <v>Ancillary substation equipment (dx)</v>
      </c>
      <c r="E114" s="9"/>
      <c r="F114" s="9"/>
      <c r="G114" s="194">
        <f>'Actual RAB roll forward'!G545</f>
        <v>0</v>
      </c>
      <c r="H114" s="36"/>
      <c r="I114" s="36"/>
      <c r="J114" s="36"/>
      <c r="K114" s="36"/>
      <c r="L114" s="36"/>
      <c r="M114" s="36"/>
      <c r="N114" s="99"/>
      <c r="O114" s="28"/>
      <c r="P114" s="28"/>
      <c r="Q114" s="28"/>
      <c r="R114" s="28"/>
      <c r="S114" s="99"/>
      <c r="T114" s="99"/>
      <c r="U114" s="99"/>
      <c r="V114" s="99"/>
      <c r="W114" s="99"/>
      <c r="X114" s="99"/>
      <c r="Y114" s="99"/>
      <c r="Z114" s="99"/>
      <c r="AA114" s="99"/>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14"/>
      <c r="BL114" s="214"/>
    </row>
    <row r="115" spans="1:64" ht="12.75" hidden="1" customHeight="1" outlineLevel="1">
      <c r="A115" s="9"/>
      <c r="B115" s="9"/>
      <c r="C115" s="44"/>
      <c r="D115" s="128" t="str">
        <f>Asset13</f>
        <v>Land and Easements</v>
      </c>
      <c r="E115" s="9"/>
      <c r="F115" s="9"/>
      <c r="G115" s="194">
        <f>'Actual RAB roll forward'!G546</f>
        <v>6.704083661215817</v>
      </c>
      <c r="H115" s="36"/>
      <c r="I115" s="36"/>
      <c r="J115" s="36"/>
      <c r="K115" s="36"/>
      <c r="L115" s="36"/>
      <c r="M115" s="36"/>
      <c r="N115" s="99"/>
      <c r="O115" s="28"/>
      <c r="P115" s="28"/>
      <c r="Q115" s="28"/>
      <c r="R115" s="28"/>
      <c r="S115" s="99"/>
      <c r="T115" s="99"/>
      <c r="U115" s="99"/>
      <c r="V115" s="99"/>
      <c r="W115" s="99"/>
      <c r="X115" s="99"/>
      <c r="Y115" s="99"/>
      <c r="Z115" s="99"/>
      <c r="AA115" s="99"/>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14"/>
      <c r="BL115" s="214"/>
    </row>
    <row r="116" spans="1:64" ht="12.75" hidden="1" customHeight="1" outlineLevel="1">
      <c r="A116" s="9"/>
      <c r="B116" s="9"/>
      <c r="C116" s="44"/>
      <c r="D116" s="128" t="str">
        <f>Asset14</f>
        <v>Emergency Spares (Major Plant, Excludes Inventory)</v>
      </c>
      <c r="E116" s="9"/>
      <c r="F116" s="9"/>
      <c r="G116" s="194">
        <f>'Actual RAB roll forward'!G547</f>
        <v>-12.028820812831013</v>
      </c>
      <c r="H116" s="36"/>
      <c r="I116" s="36"/>
      <c r="J116" s="36"/>
      <c r="K116" s="36"/>
      <c r="L116" s="36"/>
      <c r="M116" s="36"/>
      <c r="N116" s="99"/>
      <c r="O116" s="28"/>
      <c r="P116" s="28"/>
      <c r="Q116" s="28"/>
      <c r="R116" s="28"/>
      <c r="S116" s="99"/>
      <c r="T116" s="99"/>
      <c r="U116" s="99"/>
      <c r="V116" s="99"/>
      <c r="W116" s="99"/>
      <c r="X116" s="99"/>
      <c r="Y116" s="99"/>
      <c r="Z116" s="99"/>
      <c r="AA116" s="99"/>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14"/>
      <c r="BL116" s="214"/>
    </row>
    <row r="117" spans="1:64" ht="12.75" hidden="1" customHeight="1" outlineLevel="1">
      <c r="A117" s="9"/>
      <c r="B117" s="9"/>
      <c r="C117" s="44"/>
      <c r="D117" s="128" t="str">
        <f>Asset15</f>
        <v>Furniture, fittings, plant and equipment</v>
      </c>
      <c r="E117" s="9"/>
      <c r="F117" s="9"/>
      <c r="G117" s="194">
        <f>'Actual RAB roll forward'!G548</f>
        <v>-0.20017774486448836</v>
      </c>
      <c r="H117" s="36"/>
      <c r="I117" s="36"/>
      <c r="J117" s="36"/>
      <c r="K117" s="36"/>
      <c r="L117" s="36"/>
      <c r="M117" s="36"/>
      <c r="N117" s="99"/>
      <c r="O117" s="28"/>
      <c r="P117" s="28"/>
      <c r="Q117" s="28"/>
      <c r="R117" s="28"/>
      <c r="S117" s="99"/>
      <c r="T117" s="99"/>
      <c r="U117" s="99"/>
      <c r="V117" s="99"/>
      <c r="W117" s="99"/>
      <c r="X117" s="99"/>
      <c r="Y117" s="99"/>
      <c r="Z117" s="99"/>
      <c r="AA117" s="99"/>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14"/>
      <c r="BL117" s="214"/>
    </row>
    <row r="118" spans="1:64" ht="12.75" hidden="1" customHeight="1" outlineLevel="1">
      <c r="A118" s="9"/>
      <c r="B118" s="9"/>
      <c r="C118" s="44"/>
      <c r="D118" s="128" t="str">
        <f>Asset16</f>
        <v>Land (non-system)</v>
      </c>
      <c r="E118" s="9"/>
      <c r="F118" s="9"/>
      <c r="G118" s="194">
        <f>'Actual RAB roll forward'!G549</f>
        <v>-1.9608297201348512</v>
      </c>
      <c r="H118" s="36"/>
      <c r="I118" s="36"/>
      <c r="J118" s="36"/>
      <c r="K118" s="36"/>
      <c r="L118" s="36"/>
      <c r="M118" s="36"/>
      <c r="N118" s="99"/>
      <c r="O118" s="28"/>
      <c r="P118" s="28"/>
      <c r="Q118" s="28"/>
      <c r="R118" s="28"/>
      <c r="S118" s="99"/>
      <c r="T118" s="99"/>
      <c r="U118" s="99"/>
      <c r="V118" s="99"/>
      <c r="W118" s="99"/>
      <c r="X118" s="99"/>
      <c r="Y118" s="99"/>
      <c r="Z118" s="99"/>
      <c r="AA118" s="99"/>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14"/>
      <c r="BL118" s="214"/>
    </row>
    <row r="119" spans="1:64" ht="12.75" hidden="1" customHeight="1" outlineLevel="1">
      <c r="A119" s="9"/>
      <c r="B119" s="9"/>
      <c r="C119" s="44"/>
      <c r="D119" s="128" t="str">
        <f>Asset17</f>
        <v>Other non system assets</v>
      </c>
      <c r="E119" s="9"/>
      <c r="F119" s="9"/>
      <c r="G119" s="194">
        <f>'Actual RAB roll forward'!G550</f>
        <v>-3.4070576477654524</v>
      </c>
      <c r="H119" s="36"/>
      <c r="I119" s="36"/>
      <c r="J119" s="36"/>
      <c r="K119" s="36"/>
      <c r="L119" s="36"/>
      <c r="M119" s="36"/>
      <c r="N119" s="99"/>
      <c r="O119" s="28"/>
      <c r="P119" s="28"/>
      <c r="Q119" s="28"/>
      <c r="R119" s="28"/>
      <c r="S119" s="99"/>
      <c r="T119" s="99"/>
      <c r="U119" s="99"/>
      <c r="V119" s="99"/>
      <c r="W119" s="99"/>
      <c r="X119" s="99"/>
      <c r="Y119" s="99"/>
      <c r="Z119" s="99"/>
      <c r="AA119" s="99"/>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14"/>
      <c r="BL119" s="214"/>
    </row>
    <row r="120" spans="1:64" ht="12.75" hidden="1" customHeight="1" outlineLevel="1">
      <c r="A120" s="9"/>
      <c r="B120" s="9"/>
      <c r="C120" s="44"/>
      <c r="D120" s="128" t="str">
        <f>Asset18</f>
        <v>IT systems</v>
      </c>
      <c r="E120" s="9"/>
      <c r="F120" s="9"/>
      <c r="G120" s="194">
        <f>'Actual RAB roll forward'!G551</f>
        <v>-9.6860685290715409</v>
      </c>
      <c r="H120" s="36"/>
      <c r="I120" s="36"/>
      <c r="J120" s="36"/>
      <c r="K120" s="36"/>
      <c r="L120" s="36"/>
      <c r="M120" s="36"/>
      <c r="N120" s="99"/>
      <c r="O120" s="28"/>
      <c r="P120" s="28"/>
      <c r="Q120" s="28"/>
      <c r="R120" s="28"/>
      <c r="S120" s="99"/>
      <c r="T120" s="99"/>
      <c r="U120" s="99"/>
      <c r="V120" s="99"/>
      <c r="W120" s="99"/>
      <c r="X120" s="99"/>
      <c r="Y120" s="99"/>
      <c r="Z120" s="99"/>
      <c r="AA120" s="99"/>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14"/>
      <c r="BL120" s="214"/>
    </row>
    <row r="121" spans="1:64" ht="12.75" hidden="1" customHeight="1" outlineLevel="1">
      <c r="A121" s="9"/>
      <c r="B121" s="9"/>
      <c r="C121" s="44"/>
      <c r="D121" s="128" t="str">
        <f>Asset19</f>
        <v>Motor vehicles</v>
      </c>
      <c r="E121" s="9"/>
      <c r="F121" s="9"/>
      <c r="G121" s="194">
        <f>'Actual RAB roll forward'!G552</f>
        <v>2.2773040420221129</v>
      </c>
      <c r="H121" s="36"/>
      <c r="I121" s="36"/>
      <c r="J121" s="36"/>
      <c r="K121" s="36"/>
      <c r="L121" s="36"/>
      <c r="M121" s="36"/>
      <c r="N121" s="99"/>
      <c r="O121" s="28"/>
      <c r="P121" s="28"/>
      <c r="Q121" s="28"/>
      <c r="R121" s="28"/>
      <c r="S121" s="99"/>
      <c r="T121" s="99"/>
      <c r="U121" s="99"/>
      <c r="V121" s="99"/>
      <c r="W121" s="99"/>
      <c r="X121" s="99"/>
      <c r="Y121" s="99"/>
      <c r="Z121" s="99"/>
      <c r="AA121" s="99"/>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14"/>
      <c r="BL121" s="214"/>
    </row>
    <row r="122" spans="1:64" ht="17.25" hidden="1" customHeight="1" outlineLevel="1">
      <c r="A122" s="9"/>
      <c r="B122" s="9"/>
      <c r="C122" s="44"/>
      <c r="D122" s="128" t="str">
        <f>Asset20</f>
        <v>Buildings</v>
      </c>
      <c r="E122" s="9"/>
      <c r="F122" s="9"/>
      <c r="G122" s="194">
        <f>'Actual RAB roll forward'!G553</f>
        <v>0.69546717669315772</v>
      </c>
      <c r="H122" s="36"/>
      <c r="I122" s="36"/>
      <c r="J122" s="36"/>
      <c r="K122" s="36"/>
      <c r="L122" s="36"/>
      <c r="M122" s="36"/>
      <c r="N122" s="99"/>
      <c r="O122" s="28"/>
      <c r="P122" s="28"/>
      <c r="Q122" s="28"/>
      <c r="R122" s="28"/>
      <c r="S122" s="99"/>
      <c r="T122" s="99"/>
      <c r="U122" s="99"/>
      <c r="V122" s="99"/>
      <c r="W122" s="99"/>
      <c r="X122" s="99"/>
      <c r="Y122" s="99"/>
      <c r="Z122" s="99"/>
      <c r="AA122" s="99"/>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14"/>
      <c r="BL122" s="214"/>
    </row>
    <row r="123" spans="1:64" ht="17.25" hidden="1" customHeight="1" outlineLevel="1">
      <c r="A123" s="9"/>
      <c r="B123" s="9"/>
      <c r="C123" s="44"/>
      <c r="D123" s="128" t="str">
        <f>Asset21</f>
        <v>Equity raising costs</v>
      </c>
      <c r="E123" s="9"/>
      <c r="F123" s="9"/>
      <c r="G123" s="194">
        <f>'Actual RAB roll forward'!G554</f>
        <v>0</v>
      </c>
      <c r="H123" s="36"/>
      <c r="I123" s="36"/>
      <c r="J123" s="36"/>
      <c r="K123" s="36"/>
      <c r="L123" s="36"/>
      <c r="M123" s="36"/>
      <c r="N123" s="99"/>
      <c r="O123" s="28"/>
      <c r="P123" s="28"/>
      <c r="Q123" s="28"/>
      <c r="R123" s="28"/>
      <c r="S123" s="99"/>
      <c r="T123" s="99"/>
      <c r="U123" s="99"/>
      <c r="V123" s="99"/>
      <c r="W123" s="99"/>
      <c r="X123" s="99"/>
      <c r="Y123" s="99"/>
      <c r="Z123" s="99"/>
      <c r="AA123" s="99"/>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14"/>
      <c r="BL123" s="214"/>
    </row>
    <row r="124" spans="1:64" ht="17.25" hidden="1" customHeight="1" outlineLevel="1">
      <c r="A124" s="9"/>
      <c r="B124" s="9"/>
      <c r="C124" s="44"/>
      <c r="D124" s="128">
        <f>Asset22</f>
        <v>0</v>
      </c>
      <c r="E124" s="9"/>
      <c r="F124" s="9"/>
      <c r="G124" s="194">
        <f>'Actual RAB roll forward'!G555</f>
        <v>0</v>
      </c>
      <c r="H124" s="36"/>
      <c r="I124" s="36"/>
      <c r="J124" s="36"/>
      <c r="K124" s="36"/>
      <c r="L124" s="36"/>
      <c r="M124" s="36"/>
      <c r="N124" s="99"/>
      <c r="O124" s="28"/>
      <c r="P124" s="28"/>
      <c r="Q124" s="28"/>
      <c r="R124" s="28"/>
      <c r="S124" s="99"/>
      <c r="T124" s="99"/>
      <c r="U124" s="99"/>
      <c r="V124" s="99"/>
      <c r="W124" s="99"/>
      <c r="X124" s="99"/>
      <c r="Y124" s="99"/>
      <c r="Z124" s="99"/>
      <c r="AA124" s="99"/>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14"/>
      <c r="BL124" s="214"/>
    </row>
    <row r="125" spans="1:64" ht="17.25" hidden="1" customHeight="1" outlineLevel="1">
      <c r="A125" s="9"/>
      <c r="B125" s="9"/>
      <c r="C125" s="44"/>
      <c r="D125" s="128">
        <f>Asset23</f>
        <v>0</v>
      </c>
      <c r="E125" s="9"/>
      <c r="F125" s="9"/>
      <c r="G125" s="194">
        <f>'Actual RAB roll forward'!G556</f>
        <v>0</v>
      </c>
      <c r="H125" s="36"/>
      <c r="I125" s="36"/>
      <c r="J125" s="36"/>
      <c r="K125" s="36"/>
      <c r="L125" s="36"/>
      <c r="M125" s="36"/>
      <c r="N125" s="99"/>
      <c r="O125" s="28"/>
      <c r="P125" s="28"/>
      <c r="Q125" s="28"/>
      <c r="R125" s="28"/>
      <c r="S125" s="99"/>
      <c r="T125" s="99"/>
      <c r="U125" s="99"/>
      <c r="V125" s="99"/>
      <c r="W125" s="99"/>
      <c r="X125" s="99"/>
      <c r="Y125" s="99"/>
      <c r="Z125" s="99"/>
      <c r="AA125" s="99"/>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14"/>
      <c r="BL125" s="214"/>
    </row>
    <row r="126" spans="1:64" ht="17.25" hidden="1" customHeight="1" outlineLevel="1">
      <c r="A126" s="9"/>
      <c r="B126" s="9"/>
      <c r="C126" s="44"/>
      <c r="D126" s="128">
        <f>Asset24</f>
        <v>0</v>
      </c>
      <c r="E126" s="9"/>
      <c r="F126" s="9"/>
      <c r="G126" s="194">
        <f>'Actual RAB roll forward'!G557</f>
        <v>0</v>
      </c>
      <c r="H126" s="36"/>
      <c r="I126" s="36"/>
      <c r="J126" s="36"/>
      <c r="K126" s="36"/>
      <c r="L126" s="36"/>
      <c r="M126" s="36"/>
      <c r="N126" s="99"/>
      <c r="O126" s="28"/>
      <c r="P126" s="28"/>
      <c r="Q126" s="28"/>
      <c r="R126" s="28"/>
      <c r="S126" s="99"/>
      <c r="T126" s="99"/>
      <c r="U126" s="99"/>
      <c r="V126" s="99"/>
      <c r="W126" s="99"/>
      <c r="X126" s="99"/>
      <c r="Y126" s="99"/>
      <c r="Z126" s="99"/>
      <c r="AA126" s="99"/>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14"/>
      <c r="BL126" s="214"/>
    </row>
    <row r="127" spans="1:64" ht="17.25" hidden="1" customHeight="1" outlineLevel="1">
      <c r="A127" s="9"/>
      <c r="B127" s="9"/>
      <c r="C127" s="44"/>
      <c r="D127" s="128">
        <f>Asset25</f>
        <v>0</v>
      </c>
      <c r="E127" s="9"/>
      <c r="F127" s="9"/>
      <c r="G127" s="194">
        <f>'Actual RAB roll forward'!G558</f>
        <v>0</v>
      </c>
      <c r="H127" s="36"/>
      <c r="I127" s="36"/>
      <c r="J127" s="36"/>
      <c r="K127" s="36"/>
      <c r="L127" s="36"/>
      <c r="M127" s="36"/>
      <c r="N127" s="99"/>
      <c r="O127" s="28"/>
      <c r="P127" s="28"/>
      <c r="Q127" s="28"/>
      <c r="R127" s="28"/>
      <c r="S127" s="99"/>
      <c r="T127" s="99"/>
      <c r="U127" s="99"/>
      <c r="V127" s="99"/>
      <c r="W127" s="99"/>
      <c r="X127" s="99"/>
      <c r="Y127" s="99"/>
      <c r="Z127" s="99"/>
      <c r="AA127" s="99"/>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14"/>
      <c r="BL127" s="214"/>
    </row>
    <row r="128" spans="1:64" ht="17.25" hidden="1" customHeight="1" outlineLevel="1">
      <c r="A128" s="9"/>
      <c r="B128" s="9"/>
      <c r="C128" s="44"/>
      <c r="D128" s="128">
        <f>Asset26</f>
        <v>0</v>
      </c>
      <c r="E128" s="9"/>
      <c r="F128" s="9"/>
      <c r="G128" s="194">
        <f>'Actual RAB roll forward'!G559</f>
        <v>0</v>
      </c>
      <c r="H128" s="36"/>
      <c r="I128" s="36"/>
      <c r="J128" s="36"/>
      <c r="K128" s="36"/>
      <c r="L128" s="36"/>
      <c r="M128" s="36"/>
      <c r="N128" s="99"/>
      <c r="O128" s="28"/>
      <c r="P128" s="28"/>
      <c r="Q128" s="28"/>
      <c r="R128" s="28"/>
      <c r="S128" s="99"/>
      <c r="T128" s="99"/>
      <c r="U128" s="99"/>
      <c r="V128" s="99"/>
      <c r="W128" s="99"/>
      <c r="X128" s="99"/>
      <c r="Y128" s="99"/>
      <c r="Z128" s="99"/>
      <c r="AA128" s="99"/>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14"/>
      <c r="BL128" s="214"/>
    </row>
    <row r="129" spans="1:64" ht="17.25" hidden="1" customHeight="1" outlineLevel="1">
      <c r="A129" s="9"/>
      <c r="B129" s="9"/>
      <c r="C129" s="44"/>
      <c r="D129" s="128">
        <f>Asset27</f>
        <v>0</v>
      </c>
      <c r="E129" s="9"/>
      <c r="F129" s="9"/>
      <c r="G129" s="194">
        <f>'Actual RAB roll forward'!G560</f>
        <v>0</v>
      </c>
      <c r="H129" s="36"/>
      <c r="I129" s="36"/>
      <c r="J129" s="36"/>
      <c r="K129" s="36"/>
      <c r="L129" s="36"/>
      <c r="M129" s="36"/>
      <c r="N129" s="99"/>
      <c r="O129" s="28"/>
      <c r="P129" s="28"/>
      <c r="Q129" s="28"/>
      <c r="R129" s="28"/>
      <c r="S129" s="99"/>
      <c r="T129" s="99"/>
      <c r="U129" s="99"/>
      <c r="V129" s="99"/>
      <c r="W129" s="99"/>
      <c r="X129" s="99"/>
      <c r="Y129" s="99"/>
      <c r="Z129" s="99"/>
      <c r="AA129" s="99"/>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14"/>
      <c r="BL129" s="214"/>
    </row>
    <row r="130" spans="1:64" ht="17.25" hidden="1" customHeight="1" outlineLevel="1">
      <c r="A130" s="9"/>
      <c r="B130" s="9"/>
      <c r="C130" s="44"/>
      <c r="D130" s="128">
        <f>Asset28</f>
        <v>0</v>
      </c>
      <c r="E130" s="9"/>
      <c r="F130" s="9"/>
      <c r="G130" s="194">
        <f>'Actual RAB roll forward'!G561</f>
        <v>0</v>
      </c>
      <c r="H130" s="36"/>
      <c r="I130" s="36"/>
      <c r="J130" s="36"/>
      <c r="K130" s="36"/>
      <c r="L130" s="36"/>
      <c r="M130" s="36"/>
      <c r="N130" s="99"/>
      <c r="O130" s="28"/>
      <c r="P130" s="28"/>
      <c r="Q130" s="28"/>
      <c r="R130" s="28"/>
      <c r="S130" s="99"/>
      <c r="T130" s="99"/>
      <c r="U130" s="99"/>
      <c r="V130" s="99"/>
      <c r="W130" s="99"/>
      <c r="X130" s="99"/>
      <c r="Y130" s="99"/>
      <c r="Z130" s="99"/>
      <c r="AA130" s="99"/>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14"/>
      <c r="BL130" s="214"/>
    </row>
    <row r="131" spans="1:64" ht="17.25" hidden="1" customHeight="1" outlineLevel="1">
      <c r="A131" s="9"/>
      <c r="B131" s="9"/>
      <c r="C131" s="44"/>
      <c r="D131" s="128">
        <f>Asset29</f>
        <v>0</v>
      </c>
      <c r="E131" s="9"/>
      <c r="F131" s="9"/>
      <c r="G131" s="194">
        <f>'Actual RAB roll forward'!G562</f>
        <v>0</v>
      </c>
      <c r="H131" s="36"/>
      <c r="I131" s="36"/>
      <c r="J131" s="36"/>
      <c r="K131" s="36"/>
      <c r="L131" s="36"/>
      <c r="M131" s="36"/>
      <c r="N131" s="99"/>
      <c r="O131" s="28"/>
      <c r="P131" s="28"/>
      <c r="Q131" s="28"/>
      <c r="R131" s="28"/>
      <c r="S131" s="99"/>
      <c r="T131" s="99"/>
      <c r="U131" s="99"/>
      <c r="V131" s="99"/>
      <c r="W131" s="99"/>
      <c r="X131" s="99"/>
      <c r="Y131" s="99"/>
      <c r="Z131" s="99"/>
      <c r="AA131" s="99"/>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14"/>
      <c r="BL131" s="214"/>
    </row>
    <row r="132" spans="1:64" ht="17.25" hidden="1" customHeight="1" outlineLevel="1">
      <c r="A132" s="9"/>
      <c r="B132" s="9"/>
      <c r="C132" s="44"/>
      <c r="D132" s="128">
        <f>Asset30</f>
        <v>0</v>
      </c>
      <c r="E132" s="9"/>
      <c r="F132" s="9"/>
      <c r="G132" s="194">
        <f>'Actual RAB roll forward'!G563</f>
        <v>0</v>
      </c>
      <c r="H132" s="36"/>
      <c r="I132" s="36"/>
      <c r="J132" s="36"/>
      <c r="K132" s="36"/>
      <c r="L132" s="36"/>
      <c r="M132" s="36"/>
      <c r="N132" s="99"/>
      <c r="O132" s="28"/>
      <c r="P132" s="28"/>
      <c r="Q132" s="28"/>
      <c r="R132" s="28"/>
      <c r="S132" s="99"/>
      <c r="T132" s="99"/>
      <c r="U132" s="99"/>
      <c r="V132" s="99"/>
      <c r="W132" s="99"/>
      <c r="X132" s="99"/>
      <c r="Y132" s="99"/>
      <c r="Z132" s="99"/>
      <c r="AA132" s="99"/>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14"/>
      <c r="BL132" s="214"/>
    </row>
    <row r="133" spans="1:64" s="9" customFormat="1" collapsed="1">
      <c r="G133" s="201"/>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row>
    <row r="134" spans="1:64">
      <c r="A134" s="9"/>
      <c r="B134" s="9"/>
      <c r="C134" s="44" t="s">
        <v>61</v>
      </c>
      <c r="D134" s="112"/>
      <c r="E134" s="9"/>
      <c r="F134" s="9"/>
      <c r="G134" s="198">
        <f>SUM(G135:G164)</f>
        <v>17.076304825199475</v>
      </c>
      <c r="H134" s="36"/>
      <c r="I134" s="36"/>
      <c r="J134" s="36"/>
      <c r="K134" s="36"/>
      <c r="L134" s="36"/>
      <c r="M134" s="36"/>
      <c r="N134" s="99"/>
      <c r="O134" s="28"/>
      <c r="P134" s="28"/>
      <c r="Q134" s="28"/>
      <c r="R134" s="28"/>
      <c r="S134" s="99"/>
      <c r="T134" s="99"/>
      <c r="U134" s="99"/>
      <c r="V134" s="99"/>
      <c r="W134" s="99"/>
      <c r="X134" s="99"/>
      <c r="Y134" s="99"/>
      <c r="Z134" s="99"/>
      <c r="AA134" s="99"/>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14"/>
      <c r="BL134" s="214"/>
    </row>
    <row r="135" spans="1:64" ht="12.75" hidden="1" customHeight="1" outlineLevel="1">
      <c r="A135" s="9"/>
      <c r="B135" s="9"/>
      <c r="C135" s="9"/>
      <c r="D135" s="128" t="str">
        <f>Asset1</f>
        <v>Sub-transmission lines and cables</v>
      </c>
      <c r="E135" s="9"/>
      <c r="F135" s="9"/>
      <c r="G135" s="194">
        <f>'Actual RAB roll forward'!G566</f>
        <v>-8.7532189093259447</v>
      </c>
      <c r="H135" s="36"/>
      <c r="I135" s="36"/>
      <c r="J135" s="36"/>
      <c r="K135" s="36"/>
      <c r="L135" s="36"/>
      <c r="M135" s="36"/>
      <c r="N135" s="99"/>
      <c r="O135" s="28"/>
      <c r="P135" s="28"/>
      <c r="Q135" s="28"/>
      <c r="R135" s="28"/>
      <c r="S135" s="99"/>
      <c r="T135" s="99"/>
      <c r="U135" s="99"/>
      <c r="V135" s="99"/>
      <c r="W135" s="99"/>
      <c r="X135" s="99"/>
      <c r="Y135" s="99"/>
      <c r="Z135" s="99"/>
      <c r="AA135" s="99"/>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14"/>
      <c r="BL135" s="214"/>
    </row>
    <row r="136" spans="1:64" ht="12.75" hidden="1" customHeight="1" outlineLevel="1">
      <c r="A136" s="9"/>
      <c r="B136" s="9"/>
      <c r="C136" s="44"/>
      <c r="D136" s="128" t="str">
        <f>Asset2</f>
        <v>Cable tunnel (dx)</v>
      </c>
      <c r="E136" s="9"/>
      <c r="F136" s="9"/>
      <c r="G136" s="194">
        <f>'Actual RAB roll forward'!G567</f>
        <v>0</v>
      </c>
      <c r="H136" s="36"/>
      <c r="I136" s="36"/>
      <c r="J136" s="36"/>
      <c r="K136" s="36"/>
      <c r="L136" s="36"/>
      <c r="M136" s="36"/>
      <c r="N136" s="99"/>
      <c r="O136" s="28"/>
      <c r="P136" s="28"/>
      <c r="Q136" s="28"/>
      <c r="R136" s="28"/>
      <c r="S136" s="99"/>
      <c r="T136" s="99"/>
      <c r="U136" s="99"/>
      <c r="V136" s="99"/>
      <c r="W136" s="99"/>
      <c r="X136" s="99"/>
      <c r="Y136" s="99"/>
      <c r="Z136" s="99"/>
      <c r="AA136" s="99"/>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14"/>
      <c r="BL136" s="214"/>
    </row>
    <row r="137" spans="1:64" ht="12.75" hidden="1" customHeight="1" outlineLevel="1">
      <c r="A137" s="9"/>
      <c r="B137" s="9"/>
      <c r="C137" s="44"/>
      <c r="D137" s="128" t="str">
        <f>Asset3</f>
        <v>Distribution lines and cables</v>
      </c>
      <c r="E137" s="9"/>
      <c r="F137" s="9"/>
      <c r="G137" s="194">
        <f>'Actual RAB roll forward'!G568</f>
        <v>7.6937594833573622</v>
      </c>
      <c r="H137" s="36"/>
      <c r="I137" s="36"/>
      <c r="J137" s="36"/>
      <c r="K137" s="36"/>
      <c r="L137" s="36"/>
      <c r="M137" s="36"/>
      <c r="N137" s="99"/>
      <c r="O137" s="28"/>
      <c r="P137" s="28"/>
      <c r="Q137" s="28"/>
      <c r="R137" s="28"/>
      <c r="S137" s="99"/>
      <c r="T137" s="99"/>
      <c r="U137" s="99"/>
      <c r="V137" s="99"/>
      <c r="W137" s="99"/>
      <c r="X137" s="99"/>
      <c r="Y137" s="99"/>
      <c r="Z137" s="99"/>
      <c r="AA137" s="99"/>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14"/>
      <c r="BL137" s="214"/>
    </row>
    <row r="138" spans="1:64" ht="12.75" hidden="1" customHeight="1" outlineLevel="1">
      <c r="A138" s="9"/>
      <c r="B138" s="9"/>
      <c r="C138" s="44"/>
      <c r="D138" s="128" t="str">
        <f>Asset4</f>
        <v>Substations</v>
      </c>
      <c r="E138" s="9"/>
      <c r="F138" s="9"/>
      <c r="G138" s="194">
        <f>'Actual RAB roll forward'!G569</f>
        <v>35.125660033840759</v>
      </c>
      <c r="H138" s="36"/>
      <c r="I138" s="36"/>
      <c r="J138" s="36"/>
      <c r="K138" s="36"/>
      <c r="L138" s="36"/>
      <c r="M138" s="36"/>
      <c r="N138" s="99"/>
      <c r="O138" s="28"/>
      <c r="P138" s="28"/>
      <c r="Q138" s="28"/>
      <c r="R138" s="28"/>
      <c r="S138" s="99"/>
      <c r="T138" s="99"/>
      <c r="U138" s="99"/>
      <c r="V138" s="99"/>
      <c r="W138" s="99"/>
      <c r="X138" s="99"/>
      <c r="Y138" s="99"/>
      <c r="Z138" s="99"/>
      <c r="AA138" s="99"/>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14"/>
      <c r="BL138" s="214"/>
    </row>
    <row r="139" spans="1:64" ht="12.75" hidden="1" customHeight="1" outlineLevel="1">
      <c r="A139" s="9"/>
      <c r="B139" s="9"/>
      <c r="C139" s="44"/>
      <c r="D139" s="128" t="str">
        <f>Asset5</f>
        <v>Transformers</v>
      </c>
      <c r="E139" s="9"/>
      <c r="F139" s="9"/>
      <c r="G139" s="194">
        <f>'Actual RAB roll forward'!G570</f>
        <v>-3.3654856050564135</v>
      </c>
      <c r="H139" s="36"/>
      <c r="I139" s="36"/>
      <c r="J139" s="36"/>
      <c r="K139" s="36"/>
      <c r="L139" s="36"/>
      <c r="M139" s="36"/>
      <c r="N139" s="99"/>
      <c r="O139" s="28"/>
      <c r="P139" s="28"/>
      <c r="Q139" s="28"/>
      <c r="R139" s="28"/>
      <c r="S139" s="99"/>
      <c r="T139" s="99"/>
      <c r="U139" s="99"/>
      <c r="V139" s="99"/>
      <c r="W139" s="99"/>
      <c r="X139" s="99"/>
      <c r="Y139" s="99"/>
      <c r="Z139" s="99"/>
      <c r="AA139" s="99"/>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14"/>
      <c r="BL139" s="214"/>
    </row>
    <row r="140" spans="1:64" ht="12.75" hidden="1" customHeight="1" outlineLevel="1">
      <c r="A140" s="9"/>
      <c r="B140" s="9"/>
      <c r="C140" s="44"/>
      <c r="D140" s="128" t="str">
        <f>Asset6</f>
        <v>Low Voltage Lines and Cables</v>
      </c>
      <c r="E140" s="9"/>
      <c r="F140" s="9"/>
      <c r="G140" s="194">
        <f>'Actual RAB roll forward'!G571</f>
        <v>-9.0693690122392976</v>
      </c>
      <c r="H140" s="36"/>
      <c r="I140" s="36"/>
      <c r="J140" s="36"/>
      <c r="K140" s="36"/>
      <c r="L140" s="36"/>
      <c r="M140" s="36"/>
      <c r="N140" s="99"/>
      <c r="O140" s="28"/>
      <c r="P140" s="28"/>
      <c r="Q140" s="28"/>
      <c r="R140" s="28"/>
      <c r="S140" s="99"/>
      <c r="T140" s="99"/>
      <c r="U140" s="99"/>
      <c r="V140" s="99"/>
      <c r="W140" s="99"/>
      <c r="X140" s="99"/>
      <c r="Y140" s="99"/>
      <c r="Z140" s="99"/>
      <c r="AA140" s="99"/>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14"/>
      <c r="BL140" s="214"/>
    </row>
    <row r="141" spans="1:64" ht="12.75" hidden="1" customHeight="1" outlineLevel="1">
      <c r="A141" s="9"/>
      <c r="B141" s="9"/>
      <c r="C141" s="44"/>
      <c r="D141" s="128" t="str">
        <f>Asset7</f>
        <v>Customer Metering and Load Control</v>
      </c>
      <c r="E141" s="9"/>
      <c r="F141" s="9"/>
      <c r="G141" s="194">
        <f>'Actual RAB roll forward'!G572</f>
        <v>2.2739348048119852</v>
      </c>
      <c r="H141" s="36"/>
      <c r="I141" s="36"/>
      <c r="J141" s="36"/>
      <c r="K141" s="36"/>
      <c r="L141" s="36"/>
      <c r="M141" s="36"/>
      <c r="N141" s="99"/>
      <c r="O141" s="28"/>
      <c r="P141" s="28"/>
      <c r="Q141" s="28"/>
      <c r="R141" s="28"/>
      <c r="S141" s="99"/>
      <c r="T141" s="99"/>
      <c r="U141" s="99"/>
      <c r="V141" s="99"/>
      <c r="W141" s="99"/>
      <c r="X141" s="99"/>
      <c r="Y141" s="99"/>
      <c r="Z141" s="99"/>
      <c r="AA141" s="99"/>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14"/>
      <c r="BL141" s="214"/>
    </row>
    <row r="142" spans="1:64" ht="12.75" hidden="1" customHeight="1" outlineLevel="1">
      <c r="A142" s="9"/>
      <c r="B142" s="9"/>
      <c r="C142" s="44"/>
      <c r="D142" s="128" t="str">
        <f>Asset8</f>
        <v>Customer Metering (digital)</v>
      </c>
      <c r="E142" s="9"/>
      <c r="F142" s="9"/>
      <c r="G142" s="194">
        <f>'Actual RAB roll forward'!G573</f>
        <v>0</v>
      </c>
      <c r="H142" s="36"/>
      <c r="I142" s="36"/>
      <c r="J142" s="36"/>
      <c r="K142" s="36"/>
      <c r="L142" s="36"/>
      <c r="M142" s="36"/>
      <c r="N142" s="99"/>
      <c r="O142" s="28"/>
      <c r="P142" s="28"/>
      <c r="Q142" s="28"/>
      <c r="R142" s="28"/>
      <c r="S142" s="99"/>
      <c r="T142" s="99"/>
      <c r="U142" s="99"/>
      <c r="V142" s="99"/>
      <c r="W142" s="99"/>
      <c r="X142" s="99"/>
      <c r="Y142" s="99"/>
      <c r="Z142" s="99"/>
      <c r="AA142" s="99"/>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14"/>
      <c r="BL142" s="214"/>
    </row>
    <row r="143" spans="1:64" ht="12.75" hidden="1" customHeight="1" outlineLevel="1">
      <c r="A143" s="9"/>
      <c r="B143" s="9"/>
      <c r="C143" s="44"/>
      <c r="D143" s="128" t="str">
        <f>Asset9</f>
        <v>Communications (digital) - dx</v>
      </c>
      <c r="E143" s="9"/>
      <c r="F143" s="9"/>
      <c r="G143" s="194">
        <f>'Actual RAB roll forward'!G574</f>
        <v>0</v>
      </c>
      <c r="H143" s="36"/>
      <c r="I143" s="36"/>
      <c r="J143" s="36"/>
      <c r="K143" s="36"/>
      <c r="L143" s="36"/>
      <c r="M143" s="36"/>
      <c r="N143" s="99"/>
      <c r="O143" s="28"/>
      <c r="P143" s="28"/>
      <c r="Q143" s="28"/>
      <c r="R143" s="28"/>
      <c r="S143" s="99"/>
      <c r="T143" s="99"/>
      <c r="U143" s="99"/>
      <c r="V143" s="99"/>
      <c r="W143" s="99"/>
      <c r="X143" s="99"/>
      <c r="Y143" s="99"/>
      <c r="Z143" s="99"/>
      <c r="AA143" s="99"/>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14"/>
      <c r="BL143" s="214"/>
    </row>
    <row r="144" spans="1:64" ht="12.75" hidden="1" customHeight="1" outlineLevel="1">
      <c r="A144" s="9"/>
      <c r="B144" s="9"/>
      <c r="C144" s="44"/>
      <c r="D144" s="128" t="str">
        <f>Asset10</f>
        <v>Total Communications</v>
      </c>
      <c r="E144" s="9"/>
      <c r="F144" s="9"/>
      <c r="G144" s="194">
        <f>'Actual RAB roll forward'!G575</f>
        <v>4.2528570676183826</v>
      </c>
      <c r="H144" s="36"/>
      <c r="I144" s="36"/>
      <c r="J144" s="36"/>
      <c r="K144" s="36"/>
      <c r="L144" s="36"/>
      <c r="M144" s="36"/>
      <c r="N144" s="99"/>
      <c r="O144" s="28"/>
      <c r="P144" s="28"/>
      <c r="Q144" s="28"/>
      <c r="R144" s="28"/>
      <c r="S144" s="99"/>
      <c r="T144" s="99"/>
      <c r="U144" s="99"/>
      <c r="V144" s="99"/>
      <c r="W144" s="99"/>
      <c r="X144" s="99"/>
      <c r="Y144" s="99"/>
      <c r="Z144" s="99"/>
      <c r="AA144" s="99"/>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14"/>
      <c r="BL144" s="214"/>
    </row>
    <row r="145" spans="1:64" ht="12.75" hidden="1" customHeight="1" outlineLevel="1">
      <c r="A145" s="9"/>
      <c r="B145" s="9"/>
      <c r="C145" s="44"/>
      <c r="D145" s="128" t="str">
        <f>Asset11</f>
        <v>System IT (dx)</v>
      </c>
      <c r="E145" s="9"/>
      <c r="F145" s="9"/>
      <c r="G145" s="194">
        <f>'Actual RAB roll forward'!G576</f>
        <v>0</v>
      </c>
      <c r="H145" s="36"/>
      <c r="I145" s="36"/>
      <c r="J145" s="36"/>
      <c r="K145" s="36"/>
      <c r="L145" s="36"/>
      <c r="M145" s="36"/>
      <c r="N145" s="99"/>
      <c r="O145" s="28"/>
      <c r="P145" s="28"/>
      <c r="Q145" s="28"/>
      <c r="R145" s="28"/>
      <c r="S145" s="99"/>
      <c r="T145" s="99"/>
      <c r="U145" s="99"/>
      <c r="V145" s="99"/>
      <c r="W145" s="99"/>
      <c r="X145" s="99"/>
      <c r="Y145" s="99"/>
      <c r="Z145" s="99"/>
      <c r="AA145" s="99"/>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14"/>
      <c r="BL145" s="214"/>
    </row>
    <row r="146" spans="1:64" ht="12.75" hidden="1" customHeight="1" outlineLevel="1">
      <c r="A146" s="9"/>
      <c r="B146" s="9"/>
      <c r="C146" s="44"/>
      <c r="D146" s="128" t="str">
        <f>Asset12</f>
        <v>Ancillary substation equipment (dx)</v>
      </c>
      <c r="E146" s="9"/>
      <c r="F146" s="9"/>
      <c r="G146" s="194">
        <f>'Actual RAB roll forward'!G577</f>
        <v>0</v>
      </c>
      <c r="H146" s="36"/>
      <c r="I146" s="36"/>
      <c r="J146" s="36"/>
      <c r="K146" s="36"/>
      <c r="L146" s="36"/>
      <c r="M146" s="36"/>
      <c r="N146" s="99"/>
      <c r="O146" s="28"/>
      <c r="P146" s="28"/>
      <c r="Q146" s="28"/>
      <c r="R146" s="28"/>
      <c r="S146" s="99"/>
      <c r="T146" s="99"/>
      <c r="U146" s="99"/>
      <c r="V146" s="99"/>
      <c r="W146" s="99"/>
      <c r="X146" s="99"/>
      <c r="Y146" s="99"/>
      <c r="Z146" s="99"/>
      <c r="AA146" s="99"/>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14"/>
      <c r="BL146" s="214"/>
    </row>
    <row r="147" spans="1:64" ht="12.75" hidden="1" customHeight="1" outlineLevel="1">
      <c r="A147" s="9"/>
      <c r="B147" s="9"/>
      <c r="C147" s="44"/>
      <c r="D147" s="128" t="str">
        <f>Asset13</f>
        <v>Land and Easements</v>
      </c>
      <c r="E147" s="9"/>
      <c r="F147" s="9"/>
      <c r="G147" s="194">
        <f>'Actual RAB roll forward'!G578</f>
        <v>4.2197611963806532</v>
      </c>
      <c r="H147" s="36"/>
      <c r="I147" s="36"/>
      <c r="J147" s="36"/>
      <c r="K147" s="36"/>
      <c r="L147" s="36"/>
      <c r="M147" s="36"/>
      <c r="N147" s="99"/>
      <c r="O147" s="28"/>
      <c r="P147" s="28"/>
      <c r="Q147" s="28"/>
      <c r="R147" s="28"/>
      <c r="S147" s="99"/>
      <c r="T147" s="99"/>
      <c r="U147" s="99"/>
      <c r="V147" s="99"/>
      <c r="W147" s="99"/>
      <c r="X147" s="99"/>
      <c r="Y147" s="99"/>
      <c r="Z147" s="99"/>
      <c r="AA147" s="99"/>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14"/>
      <c r="BL147" s="214"/>
    </row>
    <row r="148" spans="1:64" ht="12.75" hidden="1" customHeight="1" outlineLevel="1">
      <c r="A148" s="9"/>
      <c r="B148" s="9"/>
      <c r="C148" s="44"/>
      <c r="D148" s="128" t="str">
        <f>Asset14</f>
        <v>Emergency Spares (Major Plant, Excludes Inventory)</v>
      </c>
      <c r="E148" s="9"/>
      <c r="F148" s="9"/>
      <c r="G148" s="194">
        <f>'Actual RAB roll forward'!G579</f>
        <v>-7.5713182992998274</v>
      </c>
      <c r="H148" s="36"/>
      <c r="I148" s="36"/>
      <c r="J148" s="36"/>
      <c r="K148" s="36"/>
      <c r="L148" s="36"/>
      <c r="M148" s="36"/>
      <c r="N148" s="99"/>
      <c r="O148" s="28"/>
      <c r="P148" s="28"/>
      <c r="Q148" s="28"/>
      <c r="R148" s="28"/>
      <c r="S148" s="99"/>
      <c r="T148" s="99"/>
      <c r="U148" s="99"/>
      <c r="V148" s="99"/>
      <c r="W148" s="99"/>
      <c r="X148" s="99"/>
      <c r="Y148" s="99"/>
      <c r="Z148" s="99"/>
      <c r="AA148" s="99"/>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14"/>
      <c r="BL148" s="214"/>
    </row>
    <row r="149" spans="1:64" ht="12.75" hidden="1" customHeight="1" outlineLevel="1">
      <c r="A149" s="9"/>
      <c r="B149" s="9"/>
      <c r="C149" s="44"/>
      <c r="D149" s="128" t="str">
        <f>Asset15</f>
        <v>Furniture, fittings, plant and equipment</v>
      </c>
      <c r="E149" s="9"/>
      <c r="F149" s="9"/>
      <c r="G149" s="194">
        <f>'Actual RAB roll forward'!G580</f>
        <v>-0.12599817109158268</v>
      </c>
      <c r="H149" s="36"/>
      <c r="I149" s="36"/>
      <c r="J149" s="36"/>
      <c r="K149" s="36"/>
      <c r="L149" s="36"/>
      <c r="M149" s="36"/>
      <c r="N149" s="99"/>
      <c r="O149" s="28"/>
      <c r="P149" s="28"/>
      <c r="Q149" s="28"/>
      <c r="R149" s="28"/>
      <c r="S149" s="99"/>
      <c r="T149" s="99"/>
      <c r="U149" s="99"/>
      <c r="V149" s="99"/>
      <c r="W149" s="99"/>
      <c r="X149" s="99"/>
      <c r="Y149" s="99"/>
      <c r="Z149" s="99"/>
      <c r="AA149" s="99"/>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14"/>
      <c r="BL149" s="214"/>
    </row>
    <row r="150" spans="1:64" ht="12.75" hidden="1" customHeight="1" outlineLevel="1">
      <c r="A150" s="9"/>
      <c r="B150" s="9"/>
      <c r="C150" s="44"/>
      <c r="D150" s="128" t="str">
        <f>Asset16</f>
        <v>Land (non-system)</v>
      </c>
      <c r="E150" s="9"/>
      <c r="F150" s="9"/>
      <c r="G150" s="194">
        <f>'Actual RAB roll forward'!G581</f>
        <v>-1.2342079221956501</v>
      </c>
      <c r="H150" s="36"/>
      <c r="I150" s="36"/>
      <c r="J150" s="36"/>
      <c r="K150" s="36"/>
      <c r="L150" s="36"/>
      <c r="M150" s="36"/>
      <c r="N150" s="99"/>
      <c r="O150" s="28"/>
      <c r="P150" s="28"/>
      <c r="Q150" s="28"/>
      <c r="R150" s="28"/>
      <c r="S150" s="99"/>
      <c r="T150" s="99"/>
      <c r="U150" s="99"/>
      <c r="V150" s="99"/>
      <c r="W150" s="99"/>
      <c r="X150" s="99"/>
      <c r="Y150" s="99"/>
      <c r="Z150" s="99"/>
      <c r="AA150" s="99"/>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14"/>
      <c r="BL150" s="214"/>
    </row>
    <row r="151" spans="1:64" ht="12.75" hidden="1" customHeight="1" outlineLevel="1">
      <c r="A151" s="9"/>
      <c r="B151" s="9"/>
      <c r="C151" s="44"/>
      <c r="D151" s="128" t="str">
        <f>Asset17</f>
        <v>Other non system assets</v>
      </c>
      <c r="E151" s="9"/>
      <c r="F151" s="9"/>
      <c r="G151" s="194">
        <f>'Actual RAB roll forward'!G582</f>
        <v>-2.1445092845493021</v>
      </c>
      <c r="H151" s="36"/>
      <c r="I151" s="36"/>
      <c r="J151" s="36"/>
      <c r="K151" s="36"/>
      <c r="L151" s="36"/>
      <c r="M151" s="36"/>
      <c r="N151" s="99"/>
      <c r="O151" s="28"/>
      <c r="P151" s="28"/>
      <c r="Q151" s="28"/>
      <c r="R151" s="28"/>
      <c r="S151" s="99"/>
      <c r="T151" s="99"/>
      <c r="U151" s="99"/>
      <c r="V151" s="99"/>
      <c r="W151" s="99"/>
      <c r="X151" s="99"/>
      <c r="Y151" s="99"/>
      <c r="Z151" s="99"/>
      <c r="AA151" s="99"/>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14"/>
      <c r="BL151" s="214"/>
    </row>
    <row r="152" spans="1:64" ht="12.75" hidden="1" customHeight="1" outlineLevel="1">
      <c r="A152" s="9"/>
      <c r="B152" s="9"/>
      <c r="C152" s="44"/>
      <c r="D152" s="128" t="str">
        <f>Asset18</f>
        <v>IT systems</v>
      </c>
      <c r="E152" s="9"/>
      <c r="F152" s="9"/>
      <c r="G152" s="194">
        <f>'Actual RAB roll forward'!G583</f>
        <v>-6.0967162985921668</v>
      </c>
      <c r="H152" s="36"/>
      <c r="I152" s="36"/>
      <c r="J152" s="36"/>
      <c r="K152" s="36"/>
      <c r="L152" s="36"/>
      <c r="M152" s="36"/>
      <c r="N152" s="99"/>
      <c r="O152" s="28"/>
      <c r="P152" s="28"/>
      <c r="Q152" s="28"/>
      <c r="R152" s="28"/>
      <c r="S152" s="99"/>
      <c r="T152" s="99"/>
      <c r="U152" s="99"/>
      <c r="V152" s="99"/>
      <c r="W152" s="99"/>
      <c r="X152" s="99"/>
      <c r="Y152" s="99"/>
      <c r="Z152" s="99"/>
      <c r="AA152" s="99"/>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14"/>
      <c r="BL152" s="214"/>
    </row>
    <row r="153" spans="1:64" ht="12" hidden="1" customHeight="1" outlineLevel="1">
      <c r="A153" s="9"/>
      <c r="B153" s="9"/>
      <c r="C153" s="44"/>
      <c r="D153" s="128" t="str">
        <f>Asset19</f>
        <v>Motor vehicles</v>
      </c>
      <c r="E153" s="9"/>
      <c r="F153" s="9"/>
      <c r="G153" s="194">
        <f>'Actual RAB roll forward'!G584</f>
        <v>1.4334068180681037</v>
      </c>
      <c r="H153" s="36"/>
      <c r="I153" s="36"/>
      <c r="J153" s="36"/>
      <c r="K153" s="36"/>
      <c r="L153" s="36"/>
      <c r="M153" s="36"/>
      <c r="N153" s="99"/>
      <c r="O153" s="28"/>
      <c r="P153" s="28"/>
      <c r="Q153" s="28"/>
      <c r="R153" s="28"/>
      <c r="S153" s="99"/>
      <c r="T153" s="99"/>
      <c r="U153" s="99"/>
      <c r="V153" s="99"/>
      <c r="W153" s="99"/>
      <c r="X153" s="99"/>
      <c r="Y153" s="99"/>
      <c r="Z153" s="99"/>
      <c r="AA153" s="99"/>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14"/>
      <c r="BL153" s="214"/>
    </row>
    <row r="154" spans="1:64" ht="12" hidden="1" customHeight="1" outlineLevel="1">
      <c r="A154" s="9"/>
      <c r="B154" s="9"/>
      <c r="C154" s="44"/>
      <c r="D154" s="128" t="str">
        <f>Asset20</f>
        <v>Buildings</v>
      </c>
      <c r="E154" s="9"/>
      <c r="F154" s="9"/>
      <c r="G154" s="194">
        <f>'Actual RAB roll forward'!G585</f>
        <v>0.43774892347240957</v>
      </c>
      <c r="H154" s="36"/>
      <c r="I154" s="36"/>
      <c r="J154" s="36"/>
      <c r="K154" s="36"/>
      <c r="L154" s="36"/>
      <c r="M154" s="36"/>
      <c r="N154" s="99"/>
      <c r="O154" s="28"/>
      <c r="P154" s="28"/>
      <c r="Q154" s="28"/>
      <c r="R154" s="28"/>
      <c r="S154" s="99"/>
      <c r="T154" s="99"/>
      <c r="U154" s="99"/>
      <c r="V154" s="99"/>
      <c r="W154" s="99"/>
      <c r="X154" s="99"/>
      <c r="Y154" s="99"/>
      <c r="Z154" s="99"/>
      <c r="AA154" s="99"/>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14"/>
      <c r="BL154" s="214"/>
    </row>
    <row r="155" spans="1:64" ht="12" hidden="1" customHeight="1" outlineLevel="1">
      <c r="A155" s="9"/>
      <c r="B155" s="9"/>
      <c r="C155" s="44"/>
      <c r="D155" s="128" t="str">
        <f>Asset21</f>
        <v>Equity raising costs</v>
      </c>
      <c r="E155" s="9"/>
      <c r="F155" s="9"/>
      <c r="G155" s="194">
        <f>'Actual RAB roll forward'!G586</f>
        <v>0</v>
      </c>
      <c r="H155" s="36"/>
      <c r="I155" s="36"/>
      <c r="J155" s="36"/>
      <c r="K155" s="36"/>
      <c r="L155" s="36"/>
      <c r="M155" s="36"/>
      <c r="N155" s="99"/>
      <c r="O155" s="28"/>
      <c r="P155" s="28"/>
      <c r="Q155" s="28"/>
      <c r="R155" s="28"/>
      <c r="S155" s="99"/>
      <c r="T155" s="99"/>
      <c r="U155" s="99"/>
      <c r="V155" s="99"/>
      <c r="W155" s="99"/>
      <c r="X155" s="99"/>
      <c r="Y155" s="99"/>
      <c r="Z155" s="99"/>
      <c r="AA155" s="99"/>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14"/>
      <c r="BL155" s="214"/>
    </row>
    <row r="156" spans="1:64" ht="12" hidden="1" customHeight="1" outlineLevel="1">
      <c r="A156" s="9"/>
      <c r="B156" s="9"/>
      <c r="C156" s="44"/>
      <c r="D156" s="128">
        <f>Asset22</f>
        <v>0</v>
      </c>
      <c r="E156" s="9"/>
      <c r="F156" s="9"/>
      <c r="G156" s="194">
        <f>'Actual RAB roll forward'!G587</f>
        <v>0</v>
      </c>
      <c r="H156" s="36"/>
      <c r="I156" s="36"/>
      <c r="J156" s="36"/>
      <c r="K156" s="36"/>
      <c r="L156" s="36"/>
      <c r="M156" s="36"/>
      <c r="N156" s="99"/>
      <c r="O156" s="28"/>
      <c r="P156" s="28"/>
      <c r="Q156" s="28"/>
      <c r="R156" s="28"/>
      <c r="S156" s="99"/>
      <c r="T156" s="99"/>
      <c r="U156" s="99"/>
      <c r="V156" s="99"/>
      <c r="W156" s="99"/>
      <c r="X156" s="99"/>
      <c r="Y156" s="99"/>
      <c r="Z156" s="99"/>
      <c r="AA156" s="99"/>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14"/>
      <c r="BL156" s="214"/>
    </row>
    <row r="157" spans="1:64" ht="12" hidden="1" customHeight="1" outlineLevel="1">
      <c r="A157" s="9"/>
      <c r="B157" s="9"/>
      <c r="C157" s="44"/>
      <c r="D157" s="128">
        <f>Asset23</f>
        <v>0</v>
      </c>
      <c r="E157" s="9"/>
      <c r="F157" s="9"/>
      <c r="G157" s="194">
        <f>'Actual RAB roll forward'!G588</f>
        <v>0</v>
      </c>
      <c r="H157" s="36"/>
      <c r="I157" s="36"/>
      <c r="J157" s="36"/>
      <c r="K157" s="36"/>
      <c r="L157" s="36"/>
      <c r="M157" s="36"/>
      <c r="N157" s="99"/>
      <c r="O157" s="28"/>
      <c r="P157" s="28"/>
      <c r="Q157" s="28"/>
      <c r="R157" s="28"/>
      <c r="S157" s="99"/>
      <c r="T157" s="99"/>
      <c r="U157" s="99"/>
      <c r="V157" s="99"/>
      <c r="W157" s="99"/>
      <c r="X157" s="99"/>
      <c r="Y157" s="99"/>
      <c r="Z157" s="99"/>
      <c r="AA157" s="99"/>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14"/>
      <c r="BL157" s="214"/>
    </row>
    <row r="158" spans="1:64" ht="12" hidden="1" customHeight="1" outlineLevel="1">
      <c r="A158" s="9"/>
      <c r="B158" s="9"/>
      <c r="C158" s="44"/>
      <c r="D158" s="128">
        <f>Asset24</f>
        <v>0</v>
      </c>
      <c r="E158" s="9"/>
      <c r="F158" s="9"/>
      <c r="G158" s="194">
        <f>'Actual RAB roll forward'!G589</f>
        <v>0</v>
      </c>
      <c r="H158" s="36"/>
      <c r="I158" s="36"/>
      <c r="J158" s="36"/>
      <c r="K158" s="36"/>
      <c r="L158" s="36"/>
      <c r="M158" s="36"/>
      <c r="N158" s="99"/>
      <c r="O158" s="28"/>
      <c r="P158" s="28"/>
      <c r="Q158" s="28"/>
      <c r="R158" s="28"/>
      <c r="S158" s="99"/>
      <c r="T158" s="99"/>
      <c r="U158" s="99"/>
      <c r="V158" s="99"/>
      <c r="W158" s="99"/>
      <c r="X158" s="99"/>
      <c r="Y158" s="99"/>
      <c r="Z158" s="99"/>
      <c r="AA158" s="99"/>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14"/>
      <c r="BL158" s="214"/>
    </row>
    <row r="159" spans="1:64" ht="12" hidden="1" customHeight="1" outlineLevel="1">
      <c r="A159" s="9"/>
      <c r="B159" s="9"/>
      <c r="C159" s="44"/>
      <c r="D159" s="128">
        <f>Asset25</f>
        <v>0</v>
      </c>
      <c r="E159" s="9"/>
      <c r="F159" s="9"/>
      <c r="G159" s="194">
        <f>'Actual RAB roll forward'!G590</f>
        <v>0</v>
      </c>
      <c r="H159" s="36"/>
      <c r="I159" s="36"/>
      <c r="J159" s="36"/>
      <c r="K159" s="36"/>
      <c r="L159" s="36"/>
      <c r="M159" s="36"/>
      <c r="N159" s="99"/>
      <c r="O159" s="28"/>
      <c r="P159" s="28"/>
      <c r="Q159" s="28"/>
      <c r="R159" s="28"/>
      <c r="S159" s="99"/>
      <c r="T159" s="99"/>
      <c r="U159" s="99"/>
      <c r="V159" s="99"/>
      <c r="W159" s="99"/>
      <c r="X159" s="99"/>
      <c r="Y159" s="99"/>
      <c r="Z159" s="99"/>
      <c r="AA159" s="99"/>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14"/>
      <c r="BL159" s="214"/>
    </row>
    <row r="160" spans="1:64" ht="12" hidden="1" customHeight="1" outlineLevel="1">
      <c r="A160" s="9"/>
      <c r="B160" s="9"/>
      <c r="C160" s="44"/>
      <c r="D160" s="128">
        <f>Asset26</f>
        <v>0</v>
      </c>
      <c r="E160" s="9"/>
      <c r="F160" s="9"/>
      <c r="G160" s="194">
        <f>'Actual RAB roll forward'!G591</f>
        <v>0</v>
      </c>
      <c r="H160" s="36"/>
      <c r="I160" s="36"/>
      <c r="J160" s="36"/>
      <c r="K160" s="36"/>
      <c r="L160" s="36"/>
      <c r="M160" s="36"/>
      <c r="N160" s="99"/>
      <c r="O160" s="28"/>
      <c r="P160" s="28"/>
      <c r="Q160" s="28"/>
      <c r="R160" s="28"/>
      <c r="S160" s="99"/>
      <c r="T160" s="99"/>
      <c r="U160" s="99"/>
      <c r="V160" s="99"/>
      <c r="W160" s="99"/>
      <c r="X160" s="99"/>
      <c r="Y160" s="99"/>
      <c r="Z160" s="99"/>
      <c r="AA160" s="99"/>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14"/>
      <c r="BL160" s="214"/>
    </row>
    <row r="161" spans="1:64" ht="12" hidden="1" customHeight="1" outlineLevel="1">
      <c r="A161" s="9"/>
      <c r="B161" s="9"/>
      <c r="C161" s="44"/>
      <c r="D161" s="128">
        <f>Asset27</f>
        <v>0</v>
      </c>
      <c r="E161" s="9"/>
      <c r="F161" s="9"/>
      <c r="G161" s="194">
        <f>'Actual RAB roll forward'!G592</f>
        <v>0</v>
      </c>
      <c r="H161" s="36"/>
      <c r="I161" s="36"/>
      <c r="J161" s="36"/>
      <c r="K161" s="36"/>
      <c r="L161" s="36"/>
      <c r="M161" s="36"/>
      <c r="N161" s="99"/>
      <c r="O161" s="28"/>
      <c r="P161" s="28"/>
      <c r="Q161" s="28"/>
      <c r="R161" s="28"/>
      <c r="S161" s="99"/>
      <c r="T161" s="99"/>
      <c r="U161" s="99"/>
      <c r="V161" s="99"/>
      <c r="W161" s="99"/>
      <c r="X161" s="99"/>
      <c r="Y161" s="99"/>
      <c r="Z161" s="99"/>
      <c r="AA161" s="99"/>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14"/>
      <c r="BL161" s="214"/>
    </row>
    <row r="162" spans="1:64" ht="12" hidden="1" customHeight="1" outlineLevel="1">
      <c r="A162" s="9"/>
      <c r="B162" s="9"/>
      <c r="C162" s="44"/>
      <c r="D162" s="128">
        <f>Asset28</f>
        <v>0</v>
      </c>
      <c r="E162" s="9"/>
      <c r="F162" s="9"/>
      <c r="G162" s="194">
        <f>'Actual RAB roll forward'!G593</f>
        <v>0</v>
      </c>
      <c r="H162" s="36"/>
      <c r="I162" s="36"/>
      <c r="J162" s="36"/>
      <c r="K162" s="36"/>
      <c r="L162" s="36"/>
      <c r="M162" s="36"/>
      <c r="N162" s="99"/>
      <c r="O162" s="28"/>
      <c r="P162" s="28"/>
      <c r="Q162" s="28"/>
      <c r="R162" s="28"/>
      <c r="S162" s="99"/>
      <c r="T162" s="99"/>
      <c r="U162" s="99"/>
      <c r="V162" s="99"/>
      <c r="W162" s="99"/>
      <c r="X162" s="99"/>
      <c r="Y162" s="99"/>
      <c r="Z162" s="99"/>
      <c r="AA162" s="99"/>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14"/>
      <c r="BL162" s="214"/>
    </row>
    <row r="163" spans="1:64" ht="12" hidden="1" customHeight="1" outlineLevel="1">
      <c r="A163" s="9"/>
      <c r="B163" s="9"/>
      <c r="C163" s="44"/>
      <c r="D163" s="128">
        <f>Asset29</f>
        <v>0</v>
      </c>
      <c r="E163" s="9"/>
      <c r="F163" s="9"/>
      <c r="G163" s="194">
        <f>'Actual RAB roll forward'!G594</f>
        <v>0</v>
      </c>
      <c r="H163" s="36"/>
      <c r="I163" s="36"/>
      <c r="J163" s="36"/>
      <c r="K163" s="36"/>
      <c r="L163" s="36"/>
      <c r="M163" s="36"/>
      <c r="N163" s="99"/>
      <c r="O163" s="28"/>
      <c r="P163" s="28"/>
      <c r="Q163" s="28"/>
      <c r="R163" s="28"/>
      <c r="S163" s="99"/>
      <c r="T163" s="99"/>
      <c r="U163" s="99"/>
      <c r="V163" s="99"/>
      <c r="W163" s="99"/>
      <c r="X163" s="99"/>
      <c r="Y163" s="99"/>
      <c r="Z163" s="99"/>
      <c r="AA163" s="99"/>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14"/>
      <c r="BL163" s="214"/>
    </row>
    <row r="164" spans="1:64" ht="12" hidden="1" customHeight="1" outlineLevel="1">
      <c r="A164" s="9"/>
      <c r="B164" s="9"/>
      <c r="C164" s="44"/>
      <c r="D164" s="128">
        <f>Asset30</f>
        <v>0</v>
      </c>
      <c r="E164" s="9"/>
      <c r="F164" s="9"/>
      <c r="G164" s="194">
        <f>'Actual RAB roll forward'!G595</f>
        <v>0</v>
      </c>
      <c r="H164" s="36"/>
      <c r="I164" s="36"/>
      <c r="J164" s="36"/>
      <c r="K164" s="36"/>
      <c r="L164" s="36"/>
      <c r="M164" s="36"/>
      <c r="N164" s="99"/>
      <c r="O164" s="28"/>
      <c r="P164" s="28"/>
      <c r="Q164" s="28"/>
      <c r="R164" s="28"/>
      <c r="S164" s="99"/>
      <c r="T164" s="99"/>
      <c r="U164" s="99"/>
      <c r="V164" s="99"/>
      <c r="W164" s="99"/>
      <c r="X164" s="99"/>
      <c r="Y164" s="99"/>
      <c r="Z164" s="99"/>
      <c r="AA164" s="99"/>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14"/>
      <c r="BL164" s="214"/>
    </row>
    <row r="165" spans="1:64" collapsed="1">
      <c r="A165" s="9"/>
      <c r="B165" s="9"/>
      <c r="C165" s="44"/>
      <c r="D165" s="112"/>
      <c r="E165" s="9"/>
      <c r="F165" s="9"/>
      <c r="G165" s="202"/>
      <c r="H165" s="36"/>
      <c r="I165" s="36"/>
      <c r="J165" s="36"/>
      <c r="K165" s="36"/>
      <c r="L165" s="36"/>
      <c r="M165" s="36"/>
      <c r="N165" s="99"/>
      <c r="O165" s="28"/>
      <c r="P165" s="28"/>
      <c r="Q165" s="28"/>
      <c r="R165" s="28"/>
      <c r="S165" s="99"/>
      <c r="T165" s="99"/>
      <c r="U165" s="99"/>
      <c r="V165" s="99"/>
      <c r="W165" s="99"/>
      <c r="X165" s="99"/>
      <c r="Y165" s="99"/>
      <c r="Z165" s="99"/>
      <c r="AA165" s="99"/>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14"/>
      <c r="BL165" s="214"/>
    </row>
    <row r="166" spans="1:64">
      <c r="A166" s="9"/>
      <c r="B166" s="9"/>
      <c r="C166" s="44" t="s">
        <v>59</v>
      </c>
      <c r="D166" s="128"/>
      <c r="E166" s="9"/>
      <c r="F166" s="9"/>
      <c r="G166" s="198">
        <f>SUM(G167:G196)</f>
        <v>-46.528595504163583</v>
      </c>
      <c r="H166" s="109"/>
      <c r="I166" s="109"/>
      <c r="J166" s="109"/>
      <c r="K166" s="109"/>
      <c r="L166" s="109"/>
      <c r="M166" s="109"/>
      <c r="N166" s="99"/>
      <c r="O166" s="28"/>
      <c r="P166" s="28"/>
      <c r="Q166" s="28"/>
      <c r="R166" s="28"/>
      <c r="S166" s="99"/>
      <c r="T166" s="99"/>
      <c r="U166" s="99"/>
      <c r="V166" s="99"/>
      <c r="W166" s="99"/>
      <c r="X166" s="99"/>
      <c r="Y166" s="99"/>
      <c r="Z166" s="99"/>
      <c r="AA166" s="99"/>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14"/>
      <c r="BL166" s="214"/>
    </row>
    <row r="167" spans="1:64" ht="12.75" hidden="1" customHeight="1" outlineLevel="1">
      <c r="A167" s="9"/>
      <c r="B167" s="9"/>
      <c r="C167" s="44"/>
      <c r="D167" s="128" t="str">
        <f>Asset1</f>
        <v>Sub-transmission lines and cables</v>
      </c>
      <c r="E167" s="9"/>
      <c r="F167" s="9"/>
      <c r="G167" s="194">
        <f>'Actual RAB roll forward'!G598</f>
        <v>-1.6899431763238399</v>
      </c>
      <c r="H167" s="109"/>
      <c r="I167" s="109"/>
      <c r="J167" s="109"/>
      <c r="K167" s="109"/>
      <c r="L167" s="109"/>
      <c r="M167" s="109"/>
      <c r="N167" s="99"/>
      <c r="O167" s="28"/>
      <c r="P167" s="28"/>
      <c r="Q167" s="28"/>
      <c r="R167" s="28"/>
      <c r="S167" s="99"/>
      <c r="T167" s="99"/>
      <c r="U167" s="99"/>
      <c r="V167" s="99"/>
      <c r="W167" s="99"/>
      <c r="X167" s="99"/>
      <c r="Y167" s="99"/>
      <c r="Z167" s="99"/>
      <c r="AA167" s="99"/>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14"/>
      <c r="BL167" s="214"/>
    </row>
    <row r="168" spans="1:64" ht="12.75" hidden="1" customHeight="1" outlineLevel="1">
      <c r="A168" s="9"/>
      <c r="B168" s="9"/>
      <c r="C168" s="44"/>
      <c r="D168" s="128" t="str">
        <f>Asset2</f>
        <v>Cable tunnel (dx)</v>
      </c>
      <c r="E168" s="9"/>
      <c r="F168" s="9"/>
      <c r="G168" s="194">
        <f>'Actual RAB roll forward'!G599</f>
        <v>0</v>
      </c>
      <c r="H168" s="109"/>
      <c r="I168" s="109"/>
      <c r="J168" s="109"/>
      <c r="K168" s="109"/>
      <c r="L168" s="109"/>
      <c r="M168" s="109"/>
      <c r="N168" s="99"/>
      <c r="O168" s="28"/>
      <c r="P168" s="28"/>
      <c r="Q168" s="28"/>
      <c r="R168" s="28"/>
      <c r="S168" s="99"/>
      <c r="T168" s="99"/>
      <c r="U168" s="99"/>
      <c r="V168" s="99"/>
      <c r="W168" s="99"/>
      <c r="X168" s="99"/>
      <c r="Y168" s="99"/>
      <c r="Z168" s="99"/>
      <c r="AA168" s="99"/>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14"/>
      <c r="BL168" s="214"/>
    </row>
    <row r="169" spans="1:64" ht="12.75" hidden="1" customHeight="1" outlineLevel="1">
      <c r="A169" s="9"/>
      <c r="B169" s="9"/>
      <c r="C169" s="44"/>
      <c r="D169" s="128" t="str">
        <f>Asset3</f>
        <v>Distribution lines and cables</v>
      </c>
      <c r="E169" s="9"/>
      <c r="F169" s="9"/>
      <c r="G169" s="194">
        <f>'Actual RAB roll forward'!G600</f>
        <v>0</v>
      </c>
      <c r="H169" s="109"/>
      <c r="I169" s="109"/>
      <c r="J169" s="109"/>
      <c r="K169" s="109"/>
      <c r="L169" s="109"/>
      <c r="M169" s="109"/>
      <c r="N169" s="99"/>
      <c r="O169" s="28"/>
      <c r="P169" s="28"/>
      <c r="Q169" s="28"/>
      <c r="R169" s="28"/>
      <c r="S169" s="99"/>
      <c r="T169" s="99"/>
      <c r="U169" s="99"/>
      <c r="V169" s="99"/>
      <c r="W169" s="99"/>
      <c r="X169" s="99"/>
      <c r="Y169" s="99"/>
      <c r="Z169" s="99"/>
      <c r="AA169" s="99"/>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14"/>
      <c r="BL169" s="214"/>
    </row>
    <row r="170" spans="1:64" ht="12.75" hidden="1" customHeight="1" outlineLevel="1">
      <c r="A170" s="9"/>
      <c r="B170" s="9"/>
      <c r="C170" s="44"/>
      <c r="D170" s="128" t="str">
        <f>Asset4</f>
        <v>Substations</v>
      </c>
      <c r="E170" s="9"/>
      <c r="F170" s="9"/>
      <c r="G170" s="194">
        <f>'Actual RAB roll forward'!G601</f>
        <v>-0.83023642406459597</v>
      </c>
      <c r="H170" s="109"/>
      <c r="I170" s="109"/>
      <c r="J170" s="109"/>
      <c r="K170" s="109"/>
      <c r="L170" s="109"/>
      <c r="M170" s="109"/>
      <c r="N170" s="99"/>
      <c r="O170" s="28"/>
      <c r="P170" s="28"/>
      <c r="Q170" s="28"/>
      <c r="R170" s="28"/>
      <c r="S170" s="99"/>
      <c r="T170" s="99"/>
      <c r="U170" s="99"/>
      <c r="V170" s="99"/>
      <c r="W170" s="99"/>
      <c r="X170" s="99"/>
      <c r="Y170" s="99"/>
      <c r="Z170" s="99"/>
      <c r="AA170" s="99"/>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14"/>
      <c r="BL170" s="214"/>
    </row>
    <row r="171" spans="1:64" ht="12.75" hidden="1" customHeight="1" outlineLevel="1">
      <c r="A171" s="9"/>
      <c r="B171" s="9"/>
      <c r="C171" s="44"/>
      <c r="D171" s="128" t="str">
        <f>Asset5</f>
        <v>Transformers</v>
      </c>
      <c r="E171" s="9"/>
      <c r="F171" s="9"/>
      <c r="G171" s="194">
        <f>'Actual RAB roll forward'!G602</f>
        <v>-2.2706686955399</v>
      </c>
      <c r="H171" s="109"/>
      <c r="I171" s="109"/>
      <c r="J171" s="109"/>
      <c r="K171" s="109"/>
      <c r="L171" s="109"/>
      <c r="M171" s="109"/>
      <c r="N171" s="99"/>
      <c r="O171" s="28"/>
      <c r="P171" s="28"/>
      <c r="Q171" s="28"/>
      <c r="R171" s="28"/>
      <c r="S171" s="99"/>
      <c r="T171" s="99"/>
      <c r="U171" s="99"/>
      <c r="V171" s="99"/>
      <c r="W171" s="99"/>
      <c r="X171" s="99"/>
      <c r="Y171" s="99"/>
      <c r="Z171" s="99"/>
      <c r="AA171" s="99"/>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14"/>
      <c r="BL171" s="214"/>
    </row>
    <row r="172" spans="1:64" ht="12.75" hidden="1" customHeight="1" outlineLevel="1">
      <c r="A172" s="9"/>
      <c r="B172" s="9"/>
      <c r="C172" s="44"/>
      <c r="D172" s="128" t="str">
        <f>Asset6</f>
        <v>Low Voltage Lines and Cables</v>
      </c>
      <c r="E172" s="9"/>
      <c r="F172" s="9"/>
      <c r="G172" s="194">
        <f>'Actual RAB roll forward'!G603</f>
        <v>0</v>
      </c>
      <c r="H172" s="109"/>
      <c r="I172" s="109"/>
      <c r="J172" s="109"/>
      <c r="K172" s="109"/>
      <c r="L172" s="109"/>
      <c r="M172" s="109"/>
      <c r="N172" s="99"/>
      <c r="O172" s="28"/>
      <c r="P172" s="28"/>
      <c r="Q172" s="28"/>
      <c r="R172" s="28"/>
      <c r="S172" s="99"/>
      <c r="T172" s="99"/>
      <c r="U172" s="99"/>
      <c r="V172" s="99"/>
      <c r="W172" s="99"/>
      <c r="X172" s="99"/>
      <c r="Y172" s="99"/>
      <c r="Z172" s="99"/>
      <c r="AA172" s="99"/>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14"/>
      <c r="BL172" s="214"/>
    </row>
    <row r="173" spans="1:64" ht="12.75" hidden="1" customHeight="1" outlineLevel="1">
      <c r="A173" s="9"/>
      <c r="B173" s="9"/>
      <c r="C173" s="44"/>
      <c r="D173" s="128" t="str">
        <f>Asset7</f>
        <v>Customer Metering and Load Control</v>
      </c>
      <c r="E173" s="9"/>
      <c r="F173" s="9"/>
      <c r="G173" s="194">
        <f>'Actual RAB roll forward'!G604</f>
        <v>0</v>
      </c>
      <c r="H173" s="109"/>
      <c r="I173" s="109"/>
      <c r="J173" s="109"/>
      <c r="K173" s="109"/>
      <c r="L173" s="109"/>
      <c r="M173" s="109"/>
      <c r="N173" s="99"/>
      <c r="O173" s="28"/>
      <c r="P173" s="28"/>
      <c r="Q173" s="28"/>
      <c r="R173" s="28"/>
      <c r="S173" s="99"/>
      <c r="T173" s="99"/>
      <c r="U173" s="99"/>
      <c r="V173" s="99"/>
      <c r="W173" s="99"/>
      <c r="X173" s="99"/>
      <c r="Y173" s="99"/>
      <c r="Z173" s="99"/>
      <c r="AA173" s="99"/>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14"/>
      <c r="BL173" s="214"/>
    </row>
    <row r="174" spans="1:64" ht="12.75" hidden="1" customHeight="1" outlineLevel="1">
      <c r="A174" s="9"/>
      <c r="B174" s="9"/>
      <c r="C174" s="44"/>
      <c r="D174" s="128" t="str">
        <f>Asset8</f>
        <v>Customer Metering (digital)</v>
      </c>
      <c r="E174" s="9"/>
      <c r="F174" s="9"/>
      <c r="G174" s="194">
        <f>'Actual RAB roll forward'!G605</f>
        <v>0</v>
      </c>
      <c r="H174" s="109"/>
      <c r="I174" s="109"/>
      <c r="J174" s="109"/>
      <c r="K174" s="109"/>
      <c r="L174" s="109"/>
      <c r="M174" s="109"/>
      <c r="N174" s="99"/>
      <c r="O174" s="28"/>
      <c r="P174" s="28"/>
      <c r="Q174" s="28"/>
      <c r="R174" s="28"/>
      <c r="S174" s="99"/>
      <c r="T174" s="99"/>
      <c r="U174" s="99"/>
      <c r="V174" s="99"/>
      <c r="W174" s="99"/>
      <c r="X174" s="99"/>
      <c r="Y174" s="99"/>
      <c r="Z174" s="99"/>
      <c r="AA174" s="99"/>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14"/>
      <c r="BL174" s="214"/>
    </row>
    <row r="175" spans="1:64" ht="12.75" hidden="1" customHeight="1" outlineLevel="1">
      <c r="A175" s="9"/>
      <c r="B175" s="9"/>
      <c r="C175" s="44"/>
      <c r="D175" s="128" t="str">
        <f>Asset9</f>
        <v>Communications (digital) - dx</v>
      </c>
      <c r="E175" s="9"/>
      <c r="F175" s="9"/>
      <c r="G175" s="194">
        <f>'Actual RAB roll forward'!G606</f>
        <v>0</v>
      </c>
      <c r="H175" s="109"/>
      <c r="I175" s="109"/>
      <c r="J175" s="109"/>
      <c r="K175" s="109"/>
      <c r="L175" s="109"/>
      <c r="M175" s="109"/>
      <c r="N175" s="99"/>
      <c r="O175" s="28"/>
      <c r="P175" s="28"/>
      <c r="Q175" s="28"/>
      <c r="R175" s="28"/>
      <c r="S175" s="99"/>
      <c r="T175" s="99"/>
      <c r="U175" s="99"/>
      <c r="V175" s="99"/>
      <c r="W175" s="99"/>
      <c r="X175" s="99"/>
      <c r="Y175" s="99"/>
      <c r="Z175" s="99"/>
      <c r="AA175" s="99"/>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14"/>
      <c r="BL175" s="214"/>
    </row>
    <row r="176" spans="1:64" ht="12.75" hidden="1" customHeight="1" outlineLevel="1">
      <c r="A176" s="9"/>
      <c r="B176" s="9"/>
      <c r="C176" s="44"/>
      <c r="D176" s="128" t="str">
        <f>Asset10</f>
        <v>Total Communications</v>
      </c>
      <c r="E176" s="9"/>
      <c r="F176" s="9"/>
      <c r="G176" s="194">
        <f>'Actual RAB roll forward'!G607</f>
        <v>0</v>
      </c>
      <c r="H176" s="109"/>
      <c r="I176" s="109"/>
      <c r="J176" s="109"/>
      <c r="K176" s="109"/>
      <c r="L176" s="109"/>
      <c r="M176" s="109"/>
      <c r="N176" s="99"/>
      <c r="O176" s="28"/>
      <c r="P176" s="28"/>
      <c r="Q176" s="28"/>
      <c r="R176" s="28"/>
      <c r="S176" s="99"/>
      <c r="T176" s="99"/>
      <c r="U176" s="99"/>
      <c r="V176" s="99"/>
      <c r="W176" s="99"/>
      <c r="X176" s="99"/>
      <c r="Y176" s="99"/>
      <c r="Z176" s="99"/>
      <c r="AA176" s="99"/>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14"/>
      <c r="BL176" s="214"/>
    </row>
    <row r="177" spans="1:64" ht="12.75" hidden="1" customHeight="1" outlineLevel="1">
      <c r="A177" s="9"/>
      <c r="B177" s="9"/>
      <c r="C177" s="44"/>
      <c r="D177" s="128" t="str">
        <f>Asset11</f>
        <v>System IT (dx)</v>
      </c>
      <c r="E177" s="9"/>
      <c r="F177" s="9"/>
      <c r="G177" s="194">
        <f>'Actual RAB roll forward'!G608</f>
        <v>0</v>
      </c>
      <c r="H177" s="109"/>
      <c r="I177" s="109"/>
      <c r="J177" s="109"/>
      <c r="K177" s="109"/>
      <c r="L177" s="109"/>
      <c r="M177" s="109"/>
      <c r="N177" s="99"/>
      <c r="O177" s="28"/>
      <c r="P177" s="28"/>
      <c r="Q177" s="28"/>
      <c r="R177" s="28"/>
      <c r="S177" s="99"/>
      <c r="T177" s="99"/>
      <c r="U177" s="99"/>
      <c r="V177" s="99"/>
      <c r="W177" s="99"/>
      <c r="X177" s="99"/>
      <c r="Y177" s="99"/>
      <c r="Z177" s="99"/>
      <c r="AA177" s="99"/>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14"/>
      <c r="BL177" s="214"/>
    </row>
    <row r="178" spans="1:64" ht="12.75" hidden="1" customHeight="1" outlineLevel="1">
      <c r="A178" s="9"/>
      <c r="B178" s="9"/>
      <c r="C178" s="44"/>
      <c r="D178" s="128" t="str">
        <f>Asset12</f>
        <v>Ancillary substation equipment (dx)</v>
      </c>
      <c r="E178" s="9"/>
      <c r="F178" s="9"/>
      <c r="G178" s="194">
        <f>'Actual RAB roll forward'!G609</f>
        <v>0</v>
      </c>
      <c r="H178" s="109"/>
      <c r="I178" s="109"/>
      <c r="J178" s="109"/>
      <c r="K178" s="109"/>
      <c r="L178" s="109"/>
      <c r="M178" s="109"/>
      <c r="N178" s="99"/>
      <c r="O178" s="28"/>
      <c r="P178" s="28"/>
      <c r="Q178" s="28"/>
      <c r="R178" s="28"/>
      <c r="S178" s="99"/>
      <c r="T178" s="99"/>
      <c r="U178" s="99"/>
      <c r="V178" s="99"/>
      <c r="W178" s="99"/>
      <c r="X178" s="99"/>
      <c r="Y178" s="99"/>
      <c r="Z178" s="99"/>
      <c r="AA178" s="99"/>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14"/>
      <c r="BL178" s="214"/>
    </row>
    <row r="179" spans="1:64" ht="12.75" hidden="1" customHeight="1" outlineLevel="1">
      <c r="A179" s="9"/>
      <c r="B179" s="9"/>
      <c r="C179" s="44"/>
      <c r="D179" s="128" t="str">
        <f>Asset13</f>
        <v>Land and Easements</v>
      </c>
      <c r="E179" s="9"/>
      <c r="F179" s="9"/>
      <c r="G179" s="194">
        <f>'Actual RAB roll forward'!G610</f>
        <v>-52.979567800171701</v>
      </c>
      <c r="H179" s="109"/>
      <c r="I179" s="109"/>
      <c r="J179" s="109"/>
      <c r="K179" s="109"/>
      <c r="L179" s="109"/>
      <c r="M179" s="109"/>
      <c r="N179" s="99"/>
      <c r="O179" s="28"/>
      <c r="P179" s="28"/>
      <c r="Q179" s="28"/>
      <c r="R179" s="28"/>
      <c r="S179" s="99"/>
      <c r="T179" s="99"/>
      <c r="U179" s="99"/>
      <c r="V179" s="99"/>
      <c r="W179" s="99"/>
      <c r="X179" s="99"/>
      <c r="Y179" s="99"/>
      <c r="Z179" s="99"/>
      <c r="AA179" s="99"/>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14"/>
      <c r="BL179" s="214"/>
    </row>
    <row r="180" spans="1:64" ht="12.75" hidden="1" customHeight="1" outlineLevel="1">
      <c r="A180" s="9"/>
      <c r="B180" s="9"/>
      <c r="C180" s="44"/>
      <c r="D180" s="128" t="str">
        <f>Asset14</f>
        <v>Emergency Spares (Major Plant, Excludes Inventory)</v>
      </c>
      <c r="E180" s="9"/>
      <c r="F180" s="9"/>
      <c r="G180" s="194">
        <f>'Actual RAB roll forward'!G611</f>
        <v>0</v>
      </c>
      <c r="H180" s="109"/>
      <c r="I180" s="109"/>
      <c r="J180" s="109"/>
      <c r="K180" s="109"/>
      <c r="L180" s="109"/>
      <c r="M180" s="109"/>
      <c r="N180" s="99"/>
      <c r="O180" s="28"/>
      <c r="P180" s="28"/>
      <c r="Q180" s="28"/>
      <c r="R180" s="28"/>
      <c r="S180" s="99"/>
      <c r="T180" s="99"/>
      <c r="U180" s="99"/>
      <c r="V180" s="99"/>
      <c r="W180" s="99"/>
      <c r="X180" s="99"/>
      <c r="Y180" s="99"/>
      <c r="Z180" s="99"/>
      <c r="AA180" s="99"/>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14"/>
      <c r="BL180" s="214"/>
    </row>
    <row r="181" spans="1:64" ht="12.75" hidden="1" customHeight="1" outlineLevel="1">
      <c r="A181" s="9"/>
      <c r="B181" s="9"/>
      <c r="C181" s="44"/>
      <c r="D181" s="128" t="str">
        <f>Asset15</f>
        <v>Furniture, fittings, plant and equipment</v>
      </c>
      <c r="E181" s="9"/>
      <c r="F181" s="9"/>
      <c r="G181" s="194">
        <f>'Actual RAB roll forward'!G612</f>
        <v>0.60775456415614215</v>
      </c>
      <c r="H181" s="109"/>
      <c r="I181" s="109"/>
      <c r="J181" s="109"/>
      <c r="K181" s="109"/>
      <c r="L181" s="109"/>
      <c r="M181" s="109"/>
      <c r="N181" s="99"/>
      <c r="O181" s="28"/>
      <c r="P181" s="28"/>
      <c r="Q181" s="28"/>
      <c r="R181" s="28"/>
      <c r="S181" s="99"/>
      <c r="T181" s="99"/>
      <c r="U181" s="99"/>
      <c r="V181" s="99"/>
      <c r="W181" s="99"/>
      <c r="X181" s="99"/>
      <c r="Y181" s="99"/>
      <c r="Z181" s="99"/>
      <c r="AA181" s="99"/>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14"/>
      <c r="BL181" s="214"/>
    </row>
    <row r="182" spans="1:64" ht="12.75" hidden="1" customHeight="1" outlineLevel="1">
      <c r="A182" s="9"/>
      <c r="B182" s="9"/>
      <c r="C182" s="44"/>
      <c r="D182" s="128" t="str">
        <f>Asset16</f>
        <v>Land (non-system)</v>
      </c>
      <c r="E182" s="9"/>
      <c r="F182" s="9"/>
      <c r="G182" s="194">
        <f>'Actual RAB roll forward'!G613</f>
        <v>1.0242978692249736</v>
      </c>
      <c r="H182" s="109"/>
      <c r="I182" s="109"/>
      <c r="J182" s="109"/>
      <c r="K182" s="109"/>
      <c r="L182" s="109"/>
      <c r="M182" s="109"/>
      <c r="N182" s="99"/>
      <c r="O182" s="28"/>
      <c r="P182" s="28"/>
      <c r="Q182" s="28"/>
      <c r="R182" s="28"/>
      <c r="S182" s="99"/>
      <c r="T182" s="99"/>
      <c r="U182" s="99"/>
      <c r="V182" s="99"/>
      <c r="W182" s="99"/>
      <c r="X182" s="99"/>
      <c r="Y182" s="99"/>
      <c r="Z182" s="99"/>
      <c r="AA182" s="99"/>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14"/>
      <c r="BL182" s="214"/>
    </row>
    <row r="183" spans="1:64" ht="12.75" hidden="1" customHeight="1" outlineLevel="1">
      <c r="A183" s="9"/>
      <c r="B183" s="9"/>
      <c r="C183" s="44"/>
      <c r="D183" s="128" t="str">
        <f>Asset17</f>
        <v>Other non system assets</v>
      </c>
      <c r="E183" s="9"/>
      <c r="F183" s="9"/>
      <c r="G183" s="194">
        <f>'Actual RAB roll forward'!G614</f>
        <v>2.3402875492637634</v>
      </c>
      <c r="H183" s="109"/>
      <c r="I183" s="109"/>
      <c r="J183" s="109"/>
      <c r="K183" s="109"/>
      <c r="L183" s="109"/>
      <c r="M183" s="109"/>
      <c r="N183" s="99"/>
      <c r="O183" s="28"/>
      <c r="P183" s="28"/>
      <c r="Q183" s="28"/>
      <c r="R183" s="28"/>
      <c r="S183" s="99"/>
      <c r="T183" s="99"/>
      <c r="U183" s="99"/>
      <c r="V183" s="99"/>
      <c r="W183" s="99"/>
      <c r="X183" s="99"/>
      <c r="Y183" s="99"/>
      <c r="Z183" s="99"/>
      <c r="AA183" s="99"/>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14"/>
      <c r="BL183" s="214"/>
    </row>
    <row r="184" spans="1:64" ht="12.75" hidden="1" customHeight="1" outlineLevel="1">
      <c r="A184" s="9"/>
      <c r="B184" s="9"/>
      <c r="C184" s="44"/>
      <c r="D184" s="128" t="str">
        <f>Asset18</f>
        <v>IT systems</v>
      </c>
      <c r="E184" s="9"/>
      <c r="F184" s="9"/>
      <c r="G184" s="194">
        <f>'Actual RAB roll forward'!G615</f>
        <v>2.5786222259441587</v>
      </c>
      <c r="H184" s="109"/>
      <c r="I184" s="109"/>
      <c r="J184" s="109"/>
      <c r="K184" s="109"/>
      <c r="L184" s="109"/>
      <c r="M184" s="109"/>
      <c r="N184" s="99"/>
      <c r="O184" s="28"/>
      <c r="P184" s="28"/>
      <c r="Q184" s="28"/>
      <c r="R184" s="28"/>
      <c r="S184" s="99"/>
      <c r="T184" s="99"/>
      <c r="U184" s="99"/>
      <c r="V184" s="99"/>
      <c r="W184" s="99"/>
      <c r="X184" s="99"/>
      <c r="Y184" s="99"/>
      <c r="Z184" s="99"/>
      <c r="AA184" s="99"/>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14"/>
      <c r="BL184" s="214"/>
    </row>
    <row r="185" spans="1:64" ht="12.75" hidden="1" customHeight="1" outlineLevel="1">
      <c r="A185" s="9"/>
      <c r="B185" s="9"/>
      <c r="C185" s="44"/>
      <c r="D185" s="128" t="str">
        <f>Asset19</f>
        <v>Motor vehicles</v>
      </c>
      <c r="E185" s="9"/>
      <c r="F185" s="9"/>
      <c r="G185" s="194">
        <f>'Actual RAB roll forward'!G616</f>
        <v>1.9833372290151488</v>
      </c>
      <c r="H185" s="109"/>
      <c r="I185" s="109"/>
      <c r="J185" s="109"/>
      <c r="K185" s="109"/>
      <c r="L185" s="109"/>
      <c r="M185" s="109"/>
      <c r="N185" s="99"/>
      <c r="O185" s="28"/>
      <c r="P185" s="28"/>
      <c r="Q185" s="28"/>
      <c r="R185" s="28"/>
      <c r="S185" s="99"/>
      <c r="T185" s="99"/>
      <c r="U185" s="99"/>
      <c r="V185" s="99"/>
      <c r="W185" s="99"/>
      <c r="X185" s="99"/>
      <c r="Y185" s="99"/>
      <c r="Z185" s="99"/>
      <c r="AA185" s="99"/>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14"/>
      <c r="BL185" s="214"/>
    </row>
    <row r="186" spans="1:64" ht="9.75" hidden="1" customHeight="1" outlineLevel="1">
      <c r="A186" s="9"/>
      <c r="B186" s="9"/>
      <c r="C186" s="44"/>
      <c r="D186" s="128" t="str">
        <f>Asset20</f>
        <v>Buildings</v>
      </c>
      <c r="E186" s="9"/>
      <c r="F186" s="9"/>
      <c r="G186" s="194">
        <f>'Actual RAB roll forward'!G617</f>
        <v>2.7075211543322695</v>
      </c>
      <c r="H186" s="109"/>
      <c r="I186" s="109"/>
      <c r="J186" s="109"/>
      <c r="K186" s="109"/>
      <c r="L186" s="109"/>
      <c r="M186" s="109"/>
      <c r="N186" s="99"/>
      <c r="O186" s="28"/>
      <c r="P186" s="28"/>
      <c r="Q186" s="28"/>
      <c r="R186" s="28"/>
      <c r="S186" s="99"/>
      <c r="T186" s="99"/>
      <c r="U186" s="99"/>
      <c r="V186" s="99"/>
      <c r="W186" s="99"/>
      <c r="X186" s="99"/>
      <c r="Y186" s="99"/>
      <c r="Z186" s="99"/>
      <c r="AA186" s="99"/>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14"/>
      <c r="BL186" s="214"/>
    </row>
    <row r="187" spans="1:64" ht="9.75" hidden="1" customHeight="1" outlineLevel="1">
      <c r="A187" s="9"/>
      <c r="B187" s="9"/>
      <c r="C187" s="44"/>
      <c r="D187" s="128" t="str">
        <f>Asset21</f>
        <v>Equity raising costs</v>
      </c>
      <c r="E187" s="9"/>
      <c r="F187" s="9"/>
      <c r="G187" s="194">
        <f>'Actual RAB roll forward'!G618</f>
        <v>0</v>
      </c>
      <c r="H187" s="109"/>
      <c r="I187" s="109"/>
      <c r="J187" s="109"/>
      <c r="K187" s="109"/>
      <c r="L187" s="109"/>
      <c r="M187" s="109"/>
      <c r="N187" s="99"/>
      <c r="O187" s="28"/>
      <c r="P187" s="28"/>
      <c r="Q187" s="28"/>
      <c r="R187" s="28"/>
      <c r="S187" s="99"/>
      <c r="T187" s="99"/>
      <c r="U187" s="99"/>
      <c r="V187" s="99"/>
      <c r="W187" s="99"/>
      <c r="X187" s="99"/>
      <c r="Y187" s="99"/>
      <c r="Z187" s="99"/>
      <c r="AA187" s="99"/>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14"/>
      <c r="BL187" s="214"/>
    </row>
    <row r="188" spans="1:64" ht="9.75" hidden="1" customHeight="1" outlineLevel="1">
      <c r="A188" s="9"/>
      <c r="B188" s="9"/>
      <c r="C188" s="44"/>
      <c r="D188" s="128">
        <f>Asset22</f>
        <v>0</v>
      </c>
      <c r="E188" s="9"/>
      <c r="F188" s="9"/>
      <c r="G188" s="194">
        <f>'Actual RAB roll forward'!G619</f>
        <v>0</v>
      </c>
      <c r="H188" s="109"/>
      <c r="I188" s="109"/>
      <c r="J188" s="109"/>
      <c r="K188" s="109"/>
      <c r="L188" s="109"/>
      <c r="M188" s="109"/>
      <c r="N188" s="99"/>
      <c r="O188" s="28"/>
      <c r="P188" s="28"/>
      <c r="Q188" s="28"/>
      <c r="R188" s="28"/>
      <c r="S188" s="99"/>
      <c r="T188" s="99"/>
      <c r="U188" s="99"/>
      <c r="V188" s="99"/>
      <c r="W188" s="99"/>
      <c r="X188" s="99"/>
      <c r="Y188" s="99"/>
      <c r="Z188" s="99"/>
      <c r="AA188" s="99"/>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14"/>
      <c r="BL188" s="214"/>
    </row>
    <row r="189" spans="1:64" ht="9.75" hidden="1" customHeight="1" outlineLevel="1">
      <c r="A189" s="9"/>
      <c r="B189" s="9"/>
      <c r="C189" s="44"/>
      <c r="D189" s="128">
        <f>Asset23</f>
        <v>0</v>
      </c>
      <c r="E189" s="9"/>
      <c r="F189" s="9"/>
      <c r="G189" s="194">
        <f>'Actual RAB roll forward'!G620</f>
        <v>0</v>
      </c>
      <c r="H189" s="109"/>
      <c r="I189" s="109"/>
      <c r="J189" s="109"/>
      <c r="K189" s="109"/>
      <c r="L189" s="109"/>
      <c r="M189" s="109"/>
      <c r="N189" s="99"/>
      <c r="O189" s="28"/>
      <c r="P189" s="28"/>
      <c r="Q189" s="28"/>
      <c r="R189" s="28"/>
      <c r="S189" s="99"/>
      <c r="T189" s="99"/>
      <c r="U189" s="99"/>
      <c r="V189" s="99"/>
      <c r="W189" s="99"/>
      <c r="X189" s="99"/>
      <c r="Y189" s="99"/>
      <c r="Z189" s="99"/>
      <c r="AA189" s="99"/>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14"/>
      <c r="BL189" s="214"/>
    </row>
    <row r="190" spans="1:64" ht="9.75" hidden="1" customHeight="1" outlineLevel="1">
      <c r="A190" s="9"/>
      <c r="B190" s="9"/>
      <c r="C190" s="44"/>
      <c r="D190" s="128">
        <f>Asset24</f>
        <v>0</v>
      </c>
      <c r="E190" s="9"/>
      <c r="F190" s="9"/>
      <c r="G190" s="194">
        <f>'Actual RAB roll forward'!G621</f>
        <v>0</v>
      </c>
      <c r="H190" s="109"/>
      <c r="I190" s="109"/>
      <c r="J190" s="109"/>
      <c r="K190" s="109"/>
      <c r="L190" s="109"/>
      <c r="M190" s="109"/>
      <c r="N190" s="99"/>
      <c r="O190" s="28"/>
      <c r="P190" s="28"/>
      <c r="Q190" s="28"/>
      <c r="R190" s="28"/>
      <c r="S190" s="99"/>
      <c r="T190" s="99"/>
      <c r="U190" s="99"/>
      <c r="V190" s="99"/>
      <c r="W190" s="99"/>
      <c r="X190" s="99"/>
      <c r="Y190" s="99"/>
      <c r="Z190" s="99"/>
      <c r="AA190" s="99"/>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14"/>
      <c r="BL190" s="214"/>
    </row>
    <row r="191" spans="1:64" ht="9.75" hidden="1" customHeight="1" outlineLevel="1">
      <c r="A191" s="9"/>
      <c r="B191" s="9"/>
      <c r="C191" s="44"/>
      <c r="D191" s="128">
        <f>Asset25</f>
        <v>0</v>
      </c>
      <c r="E191" s="9"/>
      <c r="F191" s="9"/>
      <c r="G191" s="194">
        <f>'Actual RAB roll forward'!G622</f>
        <v>0</v>
      </c>
      <c r="H191" s="109"/>
      <c r="I191" s="109"/>
      <c r="J191" s="109"/>
      <c r="K191" s="109"/>
      <c r="L191" s="109"/>
      <c r="M191" s="109"/>
      <c r="N191" s="99"/>
      <c r="O191" s="28"/>
      <c r="P191" s="28"/>
      <c r="Q191" s="28"/>
      <c r="R191" s="28"/>
      <c r="S191" s="99"/>
      <c r="T191" s="99"/>
      <c r="U191" s="99"/>
      <c r="V191" s="99"/>
      <c r="W191" s="99"/>
      <c r="X191" s="99"/>
      <c r="Y191" s="99"/>
      <c r="Z191" s="99"/>
      <c r="AA191" s="99"/>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14"/>
      <c r="BL191" s="214"/>
    </row>
    <row r="192" spans="1:64" ht="9.75" hidden="1" customHeight="1" outlineLevel="1">
      <c r="A192" s="9"/>
      <c r="B192" s="9"/>
      <c r="C192" s="44"/>
      <c r="D192" s="128">
        <f>Asset26</f>
        <v>0</v>
      </c>
      <c r="E192" s="9"/>
      <c r="F192" s="9"/>
      <c r="G192" s="194">
        <f>'Actual RAB roll forward'!G623</f>
        <v>0</v>
      </c>
      <c r="H192" s="109"/>
      <c r="I192" s="109"/>
      <c r="J192" s="109"/>
      <c r="K192" s="109"/>
      <c r="L192" s="109"/>
      <c r="M192" s="109"/>
      <c r="N192" s="99"/>
      <c r="O192" s="28"/>
      <c r="P192" s="28"/>
      <c r="Q192" s="28"/>
      <c r="R192" s="28"/>
      <c r="S192" s="99"/>
      <c r="T192" s="99"/>
      <c r="U192" s="99"/>
      <c r="V192" s="99"/>
      <c r="W192" s="99"/>
      <c r="X192" s="99"/>
      <c r="Y192" s="99"/>
      <c r="Z192" s="99"/>
      <c r="AA192" s="99"/>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14"/>
      <c r="BL192" s="214"/>
    </row>
    <row r="193" spans="1:64" ht="9.75" hidden="1" customHeight="1" outlineLevel="1">
      <c r="A193" s="9"/>
      <c r="B193" s="9"/>
      <c r="C193" s="44"/>
      <c r="D193" s="128">
        <f>Asset27</f>
        <v>0</v>
      </c>
      <c r="E193" s="9"/>
      <c r="F193" s="9"/>
      <c r="G193" s="194">
        <f>'Actual RAB roll forward'!G624</f>
        <v>0</v>
      </c>
      <c r="H193" s="109"/>
      <c r="I193" s="109"/>
      <c r="J193" s="109"/>
      <c r="K193" s="109"/>
      <c r="L193" s="109"/>
      <c r="M193" s="109"/>
      <c r="N193" s="99"/>
      <c r="O193" s="28"/>
      <c r="P193" s="28"/>
      <c r="Q193" s="28"/>
      <c r="R193" s="28"/>
      <c r="S193" s="99"/>
      <c r="T193" s="99"/>
      <c r="U193" s="99"/>
      <c r="V193" s="99"/>
      <c r="W193" s="99"/>
      <c r="X193" s="99"/>
      <c r="Y193" s="99"/>
      <c r="Z193" s="99"/>
      <c r="AA193" s="99"/>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14"/>
      <c r="BL193" s="214"/>
    </row>
    <row r="194" spans="1:64" ht="9.75" hidden="1" customHeight="1" outlineLevel="1">
      <c r="A194" s="9"/>
      <c r="B194" s="9"/>
      <c r="C194" s="44"/>
      <c r="D194" s="128">
        <f>Asset28</f>
        <v>0</v>
      </c>
      <c r="E194" s="9"/>
      <c r="F194" s="9"/>
      <c r="G194" s="194">
        <f>'Actual RAB roll forward'!G625</f>
        <v>0</v>
      </c>
      <c r="H194" s="109"/>
      <c r="I194" s="109"/>
      <c r="J194" s="109"/>
      <c r="K194" s="109"/>
      <c r="L194" s="109"/>
      <c r="M194" s="109"/>
      <c r="N194" s="99"/>
      <c r="O194" s="28"/>
      <c r="P194" s="28"/>
      <c r="Q194" s="28"/>
      <c r="R194" s="28"/>
      <c r="S194" s="99"/>
      <c r="T194" s="99"/>
      <c r="U194" s="99"/>
      <c r="V194" s="99"/>
      <c r="W194" s="99"/>
      <c r="X194" s="99"/>
      <c r="Y194" s="99"/>
      <c r="Z194" s="99"/>
      <c r="AA194" s="99"/>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14"/>
      <c r="BL194" s="214"/>
    </row>
    <row r="195" spans="1:64" ht="9.75" hidden="1" customHeight="1" outlineLevel="1">
      <c r="A195" s="9"/>
      <c r="B195" s="9"/>
      <c r="C195" s="44"/>
      <c r="D195" s="128">
        <f>Asset29</f>
        <v>0</v>
      </c>
      <c r="E195" s="9"/>
      <c r="F195" s="9"/>
      <c r="G195" s="194">
        <f>'Actual RAB roll forward'!G626</f>
        <v>0</v>
      </c>
      <c r="H195" s="109"/>
      <c r="I195" s="109"/>
      <c r="J195" s="109"/>
      <c r="K195" s="109"/>
      <c r="L195" s="109"/>
      <c r="M195" s="109"/>
      <c r="N195" s="99"/>
      <c r="O195" s="28"/>
      <c r="P195" s="28"/>
      <c r="Q195" s="28"/>
      <c r="R195" s="28"/>
      <c r="S195" s="99"/>
      <c r="T195" s="99"/>
      <c r="U195" s="99"/>
      <c r="V195" s="99"/>
      <c r="W195" s="99"/>
      <c r="X195" s="99"/>
      <c r="Y195" s="99"/>
      <c r="Z195" s="99"/>
      <c r="AA195" s="99"/>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14"/>
      <c r="BL195" s="214"/>
    </row>
    <row r="196" spans="1:64" ht="9.75" hidden="1" customHeight="1" outlineLevel="1">
      <c r="A196" s="9"/>
      <c r="B196" s="9"/>
      <c r="C196" s="44"/>
      <c r="D196" s="128">
        <f>Asset30</f>
        <v>0</v>
      </c>
      <c r="E196" s="9"/>
      <c r="F196" s="9"/>
      <c r="G196" s="194">
        <f>'Actual RAB roll forward'!G627</f>
        <v>0</v>
      </c>
      <c r="H196" s="109"/>
      <c r="I196" s="109"/>
      <c r="J196" s="109"/>
      <c r="K196" s="109"/>
      <c r="L196" s="109"/>
      <c r="M196" s="109"/>
      <c r="N196" s="99"/>
      <c r="O196" s="28"/>
      <c r="P196" s="28"/>
      <c r="Q196" s="28"/>
      <c r="R196" s="28"/>
      <c r="S196" s="99"/>
      <c r="T196" s="99"/>
      <c r="U196" s="99"/>
      <c r="V196" s="99"/>
      <c r="W196" s="99"/>
      <c r="X196" s="99"/>
      <c r="Y196" s="99"/>
      <c r="Z196" s="99"/>
      <c r="AA196" s="99"/>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14"/>
      <c r="BL196" s="214"/>
    </row>
    <row r="197" spans="1:64" ht="9.75" customHeight="1" collapsed="1">
      <c r="A197" s="9"/>
      <c r="B197" s="9"/>
      <c r="C197" s="44"/>
      <c r="D197" s="128"/>
      <c r="E197" s="9"/>
      <c r="F197" s="9"/>
      <c r="G197" s="139"/>
      <c r="H197" s="109"/>
      <c r="I197" s="109"/>
      <c r="J197" s="109"/>
      <c r="K197" s="109"/>
      <c r="L197" s="109"/>
      <c r="M197" s="109"/>
      <c r="N197" s="99"/>
      <c r="O197" s="28"/>
      <c r="P197" s="28"/>
      <c r="Q197" s="28"/>
      <c r="R197" s="28"/>
      <c r="S197" s="99"/>
      <c r="T197" s="99"/>
      <c r="U197" s="99"/>
      <c r="V197" s="99"/>
      <c r="W197" s="99"/>
      <c r="X197" s="99"/>
      <c r="Y197" s="99"/>
      <c r="Z197" s="99"/>
      <c r="AA197" s="99"/>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14"/>
      <c r="BL197" s="214"/>
    </row>
    <row r="198" spans="1:64">
      <c r="A198" s="72"/>
      <c r="B198" s="72"/>
      <c r="C198" s="79" t="s">
        <v>49</v>
      </c>
      <c r="D198" s="156"/>
      <c r="E198" s="79"/>
      <c r="F198" s="79"/>
      <c r="G198" s="218">
        <f>SUM(G199:G228)</f>
        <v>7297.1697204572365</v>
      </c>
      <c r="H198" s="218">
        <f>SUM(H199:H228)</f>
        <v>8297.9056988671546</v>
      </c>
      <c r="I198" s="155">
        <f t="shared" ref="I198:Q198" si="7">SUM(I199:I228)</f>
        <v>9531.1919647580125</v>
      </c>
      <c r="J198" s="155">
        <f t="shared" si="7"/>
        <v>10874.97078888181</v>
      </c>
      <c r="K198" s="155">
        <f t="shared" si="7"/>
        <v>11681.638745216416</v>
      </c>
      <c r="L198" s="155">
        <f t="shared" si="7"/>
        <v>12124.658130973348</v>
      </c>
      <c r="M198" s="155">
        <f t="shared" si="7"/>
        <v>0</v>
      </c>
      <c r="N198" s="155">
        <f t="shared" si="7"/>
        <v>0</v>
      </c>
      <c r="O198" s="155">
        <f t="shared" si="7"/>
        <v>0</v>
      </c>
      <c r="P198" s="155">
        <f t="shared" si="7"/>
        <v>0</v>
      </c>
      <c r="Q198" s="155">
        <f t="shared" si="7"/>
        <v>0</v>
      </c>
      <c r="R198" s="155"/>
      <c r="S198" s="99"/>
      <c r="T198" s="99"/>
      <c r="U198" s="99"/>
      <c r="V198" s="99"/>
      <c r="W198" s="99"/>
      <c r="X198" s="99"/>
      <c r="Y198" s="99"/>
      <c r="Z198" s="99"/>
      <c r="AA198" s="99"/>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14"/>
      <c r="BL198" s="214"/>
    </row>
    <row r="199" spans="1:64" ht="12.75" hidden="1" customHeight="1" outlineLevel="1">
      <c r="A199" s="9"/>
      <c r="B199" s="11"/>
      <c r="C199" s="44"/>
      <c r="D199" s="128" t="str">
        <f>Asset1</f>
        <v>Sub-transmission lines and cables</v>
      </c>
      <c r="E199" s="11"/>
      <c r="F199" s="11"/>
      <c r="G199" s="191">
        <f t="shared" ref="G199:G218" si="8">G7+G39+G71+G103+G135+G167</f>
        <v>600.31450284288849</v>
      </c>
      <c r="H199" s="191">
        <f t="shared" ref="H199:H228" si="9">H7+H39+H71</f>
        <v>734.45918032628526</v>
      </c>
      <c r="I199" s="154">
        <f t="shared" ref="I199:L208" si="10">I7+I39+I71</f>
        <v>852.93309722128004</v>
      </c>
      <c r="J199" s="154">
        <f t="shared" si="10"/>
        <v>984.17944994704737</v>
      </c>
      <c r="K199" s="154">
        <f t="shared" si="10"/>
        <v>1067.9560500039584</v>
      </c>
      <c r="L199" s="154">
        <f t="shared" si="10"/>
        <v>1113.753609790565</v>
      </c>
      <c r="M199" s="154">
        <f>IF(Input!M$174&gt;0, M7+M39+M71, 0)</f>
        <v>0</v>
      </c>
      <c r="N199" s="154">
        <f>IF(Input!N$174&gt;0, N7+N39+N71, 0)</f>
        <v>0</v>
      </c>
      <c r="O199" s="154">
        <f>IF(Input!O$174&gt;0, O7+O39+O71, 0)</f>
        <v>0</v>
      </c>
      <c r="P199" s="154">
        <f>IF(Input!P$174&gt;0, P7+P39+P71, 0)</f>
        <v>0</v>
      </c>
      <c r="Q199" s="154">
        <f>IF(Input!Q$174&gt;0, Q7+Q39+Q71, 0)</f>
        <v>0</v>
      </c>
      <c r="R199" s="99"/>
      <c r="S199" s="99"/>
      <c r="T199" s="99"/>
      <c r="U199" s="99"/>
      <c r="V199" s="99"/>
      <c r="W199" s="99"/>
      <c r="X199" s="99"/>
      <c r="Y199" s="99"/>
      <c r="Z199" s="99"/>
      <c r="AA199" s="99"/>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14"/>
      <c r="BL199" s="214"/>
    </row>
    <row r="200" spans="1:64" ht="12.75" hidden="1" customHeight="1" outlineLevel="1">
      <c r="A200" s="9"/>
      <c r="B200" s="11"/>
      <c r="C200" s="44"/>
      <c r="D200" s="128" t="str">
        <f>Asset2</f>
        <v>Cable tunnel (dx)</v>
      </c>
      <c r="E200" s="11"/>
      <c r="F200" s="11"/>
      <c r="G200" s="191">
        <f t="shared" si="8"/>
        <v>64.610720741816237</v>
      </c>
      <c r="H200" s="191">
        <f t="shared" si="9"/>
        <v>68.924845511988678</v>
      </c>
      <c r="I200" s="154">
        <f t="shared" si="10"/>
        <v>70.086115794155504</v>
      </c>
      <c r="J200" s="154">
        <f t="shared" si="10"/>
        <v>71.419727726187716</v>
      </c>
      <c r="K200" s="154">
        <f t="shared" si="10"/>
        <v>131.05339778450417</v>
      </c>
      <c r="L200" s="154">
        <f t="shared" si="10"/>
        <v>178.94546583372929</v>
      </c>
      <c r="M200" s="154">
        <f>IF(Input!M$174&gt;0, M8+M40+M72, 0)</f>
        <v>0</v>
      </c>
      <c r="N200" s="154">
        <f>IF(Input!N$174&gt;0, N8+N40+N72, 0)</f>
        <v>0</v>
      </c>
      <c r="O200" s="154">
        <f>IF(Input!O$174&gt;0, O8+O40+O72, 0)</f>
        <v>0</v>
      </c>
      <c r="P200" s="154">
        <f>IF(Input!P$174&gt;0, P8+P40+P72, 0)</f>
        <v>0</v>
      </c>
      <c r="Q200" s="154">
        <f>IF(Input!Q$174&gt;0, Q8+Q40+Q72, 0)</f>
        <v>0</v>
      </c>
      <c r="R200" s="99"/>
      <c r="S200" s="99"/>
      <c r="T200" s="99"/>
      <c r="U200" s="99"/>
      <c r="V200" s="99"/>
      <c r="W200" s="99"/>
      <c r="X200" s="99"/>
      <c r="Y200" s="99"/>
      <c r="Z200" s="99"/>
      <c r="AA200" s="99"/>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14"/>
      <c r="BL200" s="214"/>
    </row>
    <row r="201" spans="1:64" ht="12.75" hidden="1" customHeight="1" outlineLevel="1">
      <c r="A201" s="9"/>
      <c r="B201" s="11"/>
      <c r="C201" s="44"/>
      <c r="D201" s="128" t="str">
        <f>Asset3</f>
        <v>Distribution lines and cables</v>
      </c>
      <c r="E201" s="11"/>
      <c r="F201" s="11"/>
      <c r="G201" s="191">
        <f t="shared" si="8"/>
        <v>1832.323235447687</v>
      </c>
      <c r="H201" s="193">
        <f t="shared" si="9"/>
        <v>2091.5727305216938</v>
      </c>
      <c r="I201" s="154">
        <f t="shared" si="10"/>
        <v>2395.5293704623159</v>
      </c>
      <c r="J201" s="154">
        <f t="shared" si="10"/>
        <v>2736.7864926623565</v>
      </c>
      <c r="K201" s="154">
        <f t="shared" si="10"/>
        <v>2998.6054958695013</v>
      </c>
      <c r="L201" s="154">
        <f t="shared" si="10"/>
        <v>3188.9862934245839</v>
      </c>
      <c r="M201" s="154">
        <f>IF(Input!M$174&gt;0, M9+M41+M73, 0)</f>
        <v>0</v>
      </c>
      <c r="N201" s="154">
        <f>IF(Input!N$174&gt;0, N9+N41+N73, 0)</f>
        <v>0</v>
      </c>
      <c r="O201" s="154">
        <f>IF(Input!O$174&gt;0, O9+O41+O73, 0)</f>
        <v>0</v>
      </c>
      <c r="P201" s="154">
        <f>IF(Input!P$174&gt;0, P9+P41+P73, 0)</f>
        <v>0</v>
      </c>
      <c r="Q201" s="154">
        <f>IF(Input!Q$174&gt;0, Q9+Q41+Q73, 0)</f>
        <v>0</v>
      </c>
      <c r="R201" s="99"/>
      <c r="S201" s="99"/>
      <c r="T201" s="99"/>
      <c r="U201" s="99"/>
      <c r="V201" s="99"/>
      <c r="W201" s="99"/>
      <c r="X201" s="99"/>
      <c r="Y201" s="99"/>
      <c r="Z201" s="99"/>
      <c r="AA201" s="99"/>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14"/>
      <c r="BL201" s="214"/>
    </row>
    <row r="202" spans="1:64" ht="12.75" hidden="1" customHeight="1" outlineLevel="1">
      <c r="A202" s="9"/>
      <c r="B202" s="11"/>
      <c r="C202" s="44"/>
      <c r="D202" s="128" t="str">
        <f>Asset4</f>
        <v>Substations</v>
      </c>
      <c r="E202" s="11"/>
      <c r="F202" s="11"/>
      <c r="G202" s="191">
        <f t="shared" si="8"/>
        <v>1957.4507154668102</v>
      </c>
      <c r="H202" s="191">
        <f t="shared" si="9"/>
        <v>2330.5095420095736</v>
      </c>
      <c r="I202" s="154">
        <f t="shared" si="10"/>
        <v>2675.3196801975323</v>
      </c>
      <c r="J202" s="154">
        <f t="shared" si="10"/>
        <v>3116.1314213765227</v>
      </c>
      <c r="K202" s="154">
        <f t="shared" si="10"/>
        <v>3347.082945720002</v>
      </c>
      <c r="L202" s="154">
        <f t="shared" si="10"/>
        <v>3497.9925696707987</v>
      </c>
      <c r="M202" s="154">
        <f>IF(Input!M$174&gt;0, M10+M42+M74, 0)</f>
        <v>0</v>
      </c>
      <c r="N202" s="154">
        <f>IF(Input!N$174&gt;0, N10+N42+N74, 0)</f>
        <v>0</v>
      </c>
      <c r="O202" s="154">
        <f>IF(Input!O$174&gt;0, O10+O42+O74, 0)</f>
        <v>0</v>
      </c>
      <c r="P202" s="154">
        <f>IF(Input!P$174&gt;0, P10+P42+P74, 0)</f>
        <v>0</v>
      </c>
      <c r="Q202" s="154">
        <f>IF(Input!Q$174&gt;0, Q10+Q42+Q74, 0)</f>
        <v>0</v>
      </c>
      <c r="R202" s="99"/>
      <c r="S202" s="99"/>
      <c r="T202" s="99"/>
      <c r="U202" s="99"/>
      <c r="V202" s="99"/>
      <c r="W202" s="99"/>
      <c r="X202" s="99"/>
      <c r="Y202" s="99"/>
      <c r="Z202" s="99"/>
      <c r="AA202" s="99"/>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14"/>
      <c r="BL202" s="214"/>
    </row>
    <row r="203" spans="1:64" ht="12.75" hidden="1" customHeight="1" outlineLevel="1">
      <c r="A203" s="9"/>
      <c r="B203" s="11"/>
      <c r="C203" s="44"/>
      <c r="D203" s="128" t="str">
        <f>Asset5</f>
        <v>Transformers</v>
      </c>
      <c r="E203" s="11"/>
      <c r="F203" s="11"/>
      <c r="G203" s="191">
        <f t="shared" si="8"/>
        <v>446.63055745312874</v>
      </c>
      <c r="H203" s="191">
        <f t="shared" si="9"/>
        <v>517.2417483561477</v>
      </c>
      <c r="I203" s="154">
        <f t="shared" si="10"/>
        <v>594.13026215423656</v>
      </c>
      <c r="J203" s="154">
        <f t="shared" si="10"/>
        <v>647.61090311364956</v>
      </c>
      <c r="K203" s="154">
        <f t="shared" si="10"/>
        <v>677.40448929008278</v>
      </c>
      <c r="L203" s="154">
        <f t="shared" si="10"/>
        <v>701.16490722316075</v>
      </c>
      <c r="M203" s="154">
        <f>IF(Input!M$174&gt;0, M11+M43+M75, 0)</f>
        <v>0</v>
      </c>
      <c r="N203" s="154">
        <f>IF(Input!N$174&gt;0, N11+N43+N75, 0)</f>
        <v>0</v>
      </c>
      <c r="O203" s="154">
        <f>IF(Input!O$174&gt;0, O11+O43+O75, 0)</f>
        <v>0</v>
      </c>
      <c r="P203" s="154">
        <f>IF(Input!P$174&gt;0, P11+P43+P75, 0)</f>
        <v>0</v>
      </c>
      <c r="Q203" s="154">
        <f>IF(Input!Q$174&gt;0, Q11+Q43+Q75, 0)</f>
        <v>0</v>
      </c>
      <c r="R203" s="99"/>
      <c r="S203" s="99"/>
      <c r="T203" s="99"/>
      <c r="U203" s="99"/>
      <c r="V203" s="99"/>
      <c r="W203" s="99"/>
      <c r="X203" s="99"/>
      <c r="Y203" s="99"/>
      <c r="Z203" s="99"/>
      <c r="AA203" s="99"/>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14"/>
      <c r="BL203" s="214"/>
    </row>
    <row r="204" spans="1:64" ht="12.75" hidden="1" customHeight="1" outlineLevel="1">
      <c r="A204" s="9"/>
      <c r="B204" s="11"/>
      <c r="C204" s="44"/>
      <c r="D204" s="128" t="str">
        <f>Asset6</f>
        <v>Low Voltage Lines and Cables</v>
      </c>
      <c r="E204" s="11"/>
      <c r="F204" s="11"/>
      <c r="G204" s="191">
        <f t="shared" si="8"/>
        <v>723.52320712271876</v>
      </c>
      <c r="H204" s="191">
        <f t="shared" si="9"/>
        <v>873.97862274779038</v>
      </c>
      <c r="I204" s="154">
        <f t="shared" si="10"/>
        <v>1028.5580156277892</v>
      </c>
      <c r="J204" s="154">
        <f t="shared" si="10"/>
        <v>1226.6416148507114</v>
      </c>
      <c r="K204" s="154">
        <f t="shared" si="10"/>
        <v>1364.2631679922029</v>
      </c>
      <c r="L204" s="154">
        <f t="shared" si="10"/>
        <v>1488.5867544406335</v>
      </c>
      <c r="M204" s="154">
        <f>IF(Input!M$174&gt;0, M12+M44+M76, 0)</f>
        <v>0</v>
      </c>
      <c r="N204" s="154">
        <f>IF(Input!N$174&gt;0, N12+N44+N76, 0)</f>
        <v>0</v>
      </c>
      <c r="O204" s="154">
        <f>IF(Input!O$174&gt;0, O12+O44+O76, 0)</f>
        <v>0</v>
      </c>
      <c r="P204" s="154">
        <f>IF(Input!P$174&gt;0, P12+P44+P76, 0)</f>
        <v>0</v>
      </c>
      <c r="Q204" s="154">
        <f>IF(Input!Q$174&gt;0, Q12+Q44+Q76, 0)</f>
        <v>0</v>
      </c>
      <c r="R204" s="99"/>
      <c r="S204" s="99"/>
      <c r="T204" s="99"/>
      <c r="U204" s="99"/>
      <c r="V204" s="99"/>
      <c r="W204" s="99"/>
      <c r="X204" s="99"/>
      <c r="Y204" s="99"/>
      <c r="Z204" s="99"/>
      <c r="AA204" s="99"/>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14"/>
      <c r="BL204" s="214"/>
    </row>
    <row r="205" spans="1:64" ht="12.75" hidden="1" customHeight="1" outlineLevel="1">
      <c r="A205" s="9"/>
      <c r="B205" s="11"/>
      <c r="C205" s="44"/>
      <c r="D205" s="128" t="str">
        <f>Asset7</f>
        <v>Customer Metering and Load Control</v>
      </c>
      <c r="E205" s="11"/>
      <c r="F205" s="11"/>
      <c r="G205" s="191">
        <f t="shared" si="8"/>
        <v>235.44383076608574</v>
      </c>
      <c r="H205" s="191">
        <f t="shared" si="9"/>
        <v>227.57087523544243</v>
      </c>
      <c r="I205" s="154">
        <f t="shared" si="10"/>
        <v>221.19610503235197</v>
      </c>
      <c r="J205" s="154">
        <f t="shared" si="10"/>
        <v>215.47791457474966</v>
      </c>
      <c r="K205" s="154">
        <f t="shared" si="10"/>
        <v>205.61312842599898</v>
      </c>
      <c r="L205" s="154">
        <f t="shared" si="10"/>
        <v>196.7463810689128</v>
      </c>
      <c r="M205" s="154">
        <f>IF(Input!M$174&gt;0, M13+M45+M77, 0)</f>
        <v>0</v>
      </c>
      <c r="N205" s="154">
        <f>IF(Input!N$174&gt;0, N13+N45+N77, 0)</f>
        <v>0</v>
      </c>
      <c r="O205" s="154">
        <f>IF(Input!O$174&gt;0, O13+O45+O77, 0)</f>
        <v>0</v>
      </c>
      <c r="P205" s="154">
        <f>IF(Input!P$174&gt;0, P13+P45+P77, 0)</f>
        <v>0</v>
      </c>
      <c r="Q205" s="154">
        <f>IF(Input!Q$174&gt;0, Q13+Q45+Q77, 0)</f>
        <v>0</v>
      </c>
      <c r="R205" s="99"/>
      <c r="S205" s="99">
        <f>SUM(L205:L206)</f>
        <v>297.60769284039657</v>
      </c>
      <c r="T205" s="99"/>
      <c r="U205" s="99"/>
      <c r="V205" s="99"/>
      <c r="W205" s="99"/>
      <c r="X205" s="99"/>
      <c r="Y205" s="99"/>
      <c r="Z205" s="99"/>
      <c r="AA205" s="99"/>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14"/>
      <c r="BL205" s="214"/>
    </row>
    <row r="206" spans="1:64" ht="12.75" hidden="1" customHeight="1" outlineLevel="1">
      <c r="A206" s="9"/>
      <c r="B206" s="11"/>
      <c r="C206" s="44"/>
      <c r="D206" s="128" t="str">
        <f>Asset8</f>
        <v>Customer Metering (digital)</v>
      </c>
      <c r="E206" s="11"/>
      <c r="F206" s="11"/>
      <c r="G206" s="191">
        <f t="shared" si="8"/>
        <v>0</v>
      </c>
      <c r="H206" s="191">
        <f t="shared" si="9"/>
        <v>23.446466917049978</v>
      </c>
      <c r="I206" s="154">
        <f t="shared" si="10"/>
        <v>53.655868207308608</v>
      </c>
      <c r="J206" s="154">
        <f t="shared" si="10"/>
        <v>74.69749408163338</v>
      </c>
      <c r="K206" s="154">
        <f t="shared" si="10"/>
        <v>87.522151043704199</v>
      </c>
      <c r="L206" s="154">
        <f t="shared" si="10"/>
        <v>100.86131177148374</v>
      </c>
      <c r="M206" s="154">
        <f>IF(Input!M$174&gt;0, M14+M46+M78, 0)</f>
        <v>0</v>
      </c>
      <c r="N206" s="154">
        <f>IF(Input!N$174&gt;0, N14+N46+N78, 0)</f>
        <v>0</v>
      </c>
      <c r="O206" s="154">
        <f>IF(Input!O$174&gt;0, O14+O46+O78, 0)</f>
        <v>0</v>
      </c>
      <c r="P206" s="154">
        <f>IF(Input!P$174&gt;0, P14+P46+P78, 0)</f>
        <v>0</v>
      </c>
      <c r="Q206" s="154">
        <f>IF(Input!Q$174&gt;0, Q14+Q46+Q78, 0)</f>
        <v>0</v>
      </c>
      <c r="R206" s="99"/>
      <c r="S206" s="99"/>
      <c r="T206" s="99"/>
      <c r="U206" s="99"/>
      <c r="V206" s="99"/>
      <c r="W206" s="99"/>
      <c r="X206" s="99"/>
      <c r="Y206" s="99"/>
      <c r="Z206" s="99"/>
      <c r="AA206" s="99"/>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14"/>
      <c r="BL206" s="214"/>
    </row>
    <row r="207" spans="1:64" ht="12.75" hidden="1" customHeight="1" outlineLevel="1">
      <c r="A207" s="9"/>
      <c r="B207" s="11"/>
      <c r="C207" s="44"/>
      <c r="D207" s="128" t="str">
        <f>Asset9</f>
        <v>Communications (digital) - dx</v>
      </c>
      <c r="E207" s="11"/>
      <c r="F207" s="11"/>
      <c r="G207" s="191">
        <f t="shared" si="8"/>
        <v>0</v>
      </c>
      <c r="H207" s="191">
        <f t="shared" si="9"/>
        <v>22.233532180732755</v>
      </c>
      <c r="I207" s="154">
        <f t="shared" si="10"/>
        <v>21.821485926013082</v>
      </c>
      <c r="J207" s="154">
        <f t="shared" si="10"/>
        <v>21.202567283235044</v>
      </c>
      <c r="K207" s="154">
        <f t="shared" si="10"/>
        <v>15.574028326613627</v>
      </c>
      <c r="L207" s="154">
        <f t="shared" si="10"/>
        <v>13.996097547074466</v>
      </c>
      <c r="M207" s="154">
        <f>IF(Input!M$174&gt;0, M15+M47+M79, 0)</f>
        <v>0</v>
      </c>
      <c r="N207" s="154">
        <f>IF(Input!N$174&gt;0, N15+N47+N79, 0)</f>
        <v>0</v>
      </c>
      <c r="O207" s="154">
        <f>IF(Input!O$174&gt;0, O15+O47+O79, 0)</f>
        <v>0</v>
      </c>
      <c r="P207" s="154">
        <f>IF(Input!P$174&gt;0, P15+P47+P79, 0)</f>
        <v>0</v>
      </c>
      <c r="Q207" s="154">
        <f>IF(Input!Q$174&gt;0, Q15+Q47+Q79, 0)</f>
        <v>0</v>
      </c>
      <c r="R207" s="99"/>
      <c r="S207" s="99"/>
      <c r="T207" s="99"/>
      <c r="U207" s="99"/>
      <c r="V207" s="99"/>
      <c r="W207" s="99"/>
      <c r="X207" s="99"/>
      <c r="Y207" s="99"/>
      <c r="Z207" s="99"/>
      <c r="AA207" s="99"/>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14"/>
      <c r="BL207" s="214"/>
    </row>
    <row r="208" spans="1:64" ht="12.75" hidden="1" customHeight="1" outlineLevel="1">
      <c r="A208" s="9"/>
      <c r="B208" s="11"/>
      <c r="C208" s="44"/>
      <c r="D208" s="128" t="str">
        <f>Asset10</f>
        <v>Total Communications</v>
      </c>
      <c r="E208" s="11"/>
      <c r="F208" s="11"/>
      <c r="G208" s="191">
        <f t="shared" si="8"/>
        <v>124.92551131520374</v>
      </c>
      <c r="H208" s="191">
        <f t="shared" si="9"/>
        <v>118.33668840096502</v>
      </c>
      <c r="I208" s="154">
        <f t="shared" si="10"/>
        <v>104.10044508232548</v>
      </c>
      <c r="J208" s="154">
        <f t="shared" si="10"/>
        <v>89.524722974407979</v>
      </c>
      <c r="K208" s="154">
        <f t="shared" si="10"/>
        <v>72.385200030618549</v>
      </c>
      <c r="L208" s="154">
        <f t="shared" si="10"/>
        <v>55.110958862100844</v>
      </c>
      <c r="M208" s="154">
        <f>IF(Input!M$174&gt;0, M16+M48+M80, 0)</f>
        <v>0</v>
      </c>
      <c r="N208" s="154">
        <f>IF(Input!N$174&gt;0, N16+N48+N80, 0)</f>
        <v>0</v>
      </c>
      <c r="O208" s="154">
        <f>IF(Input!O$174&gt;0, O16+O48+O80, 0)</f>
        <v>0</v>
      </c>
      <c r="P208" s="154">
        <f>IF(Input!P$174&gt;0, P16+P48+P80, 0)</f>
        <v>0</v>
      </c>
      <c r="Q208" s="154">
        <f>IF(Input!Q$174&gt;0, Q16+Q48+Q80, 0)</f>
        <v>0</v>
      </c>
      <c r="R208" s="99"/>
      <c r="S208" s="99"/>
      <c r="T208" s="99"/>
      <c r="U208" s="99"/>
      <c r="V208" s="99"/>
      <c r="W208" s="99"/>
      <c r="X208" s="99"/>
      <c r="Y208" s="99"/>
      <c r="Z208" s="99"/>
      <c r="AA208" s="99"/>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14"/>
      <c r="BL208" s="214"/>
    </row>
    <row r="209" spans="1:64" ht="12.75" hidden="1" customHeight="1" outlineLevel="1">
      <c r="A209" s="9"/>
      <c r="B209" s="11"/>
      <c r="C209" s="44"/>
      <c r="D209" s="128" t="str">
        <f>Asset11</f>
        <v>System IT (dx)</v>
      </c>
      <c r="E209" s="11"/>
      <c r="F209" s="11"/>
      <c r="G209" s="191">
        <f t="shared" si="8"/>
        <v>0</v>
      </c>
      <c r="H209" s="191">
        <f t="shared" si="9"/>
        <v>30.216276524089828</v>
      </c>
      <c r="I209" s="154">
        <f t="shared" ref="I209:L218" si="11">I17+I49+I81</f>
        <v>132.71178826687404</v>
      </c>
      <c r="J209" s="154">
        <f t="shared" si="11"/>
        <v>213.71355941943676</v>
      </c>
      <c r="K209" s="154">
        <f t="shared" si="11"/>
        <v>237.25935568824229</v>
      </c>
      <c r="L209" s="154">
        <f t="shared" si="11"/>
        <v>209.19746549808724</v>
      </c>
      <c r="M209" s="154">
        <f>IF(Input!M$174&gt;0, M17+M49+M81, 0)</f>
        <v>0</v>
      </c>
      <c r="N209" s="154">
        <f>IF(Input!N$174&gt;0, N17+N49+N81, 0)</f>
        <v>0</v>
      </c>
      <c r="O209" s="154">
        <f>IF(Input!O$174&gt;0, O17+O49+O81, 0)</f>
        <v>0</v>
      </c>
      <c r="P209" s="154">
        <f>IF(Input!P$174&gt;0, P17+P49+P81, 0)</f>
        <v>0</v>
      </c>
      <c r="Q209" s="154">
        <f>IF(Input!Q$174&gt;0, Q17+Q49+Q81, 0)</f>
        <v>0</v>
      </c>
      <c r="R209" s="99"/>
      <c r="S209" s="99"/>
      <c r="T209" s="99"/>
      <c r="U209" s="99"/>
      <c r="V209" s="99"/>
      <c r="W209" s="99"/>
      <c r="X209" s="99"/>
      <c r="Y209" s="99"/>
      <c r="Z209" s="99"/>
      <c r="AA209" s="99"/>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14"/>
      <c r="BL209" s="214"/>
    </row>
    <row r="210" spans="1:64" ht="12.75" hidden="1" customHeight="1" outlineLevel="1">
      <c r="A210" s="9"/>
      <c r="B210" s="11"/>
      <c r="C210" s="44"/>
      <c r="D210" s="128" t="str">
        <f>Asset12</f>
        <v>Ancillary substation equipment (dx)</v>
      </c>
      <c r="E210" s="11"/>
      <c r="F210" s="11"/>
      <c r="G210" s="191">
        <f t="shared" si="8"/>
        <v>0</v>
      </c>
      <c r="H210" s="191">
        <f t="shared" si="9"/>
        <v>28.216302615964409</v>
      </c>
      <c r="I210" s="154">
        <f t="shared" si="11"/>
        <v>34.435008347375948</v>
      </c>
      <c r="J210" s="154">
        <f t="shared" si="11"/>
        <v>48.405690181127817</v>
      </c>
      <c r="K210" s="154">
        <f t="shared" si="11"/>
        <v>54.874031847051789</v>
      </c>
      <c r="L210" s="154">
        <f t="shared" si="11"/>
        <v>57.411430576440907</v>
      </c>
      <c r="M210" s="154">
        <f>IF(Input!M$174&gt;0, M18+M50+M82, 0)</f>
        <v>0</v>
      </c>
      <c r="N210" s="154">
        <f>IF(Input!N$174&gt;0, N18+N50+N82, 0)</f>
        <v>0</v>
      </c>
      <c r="O210" s="154">
        <f>IF(Input!O$174&gt;0, O18+O50+O82, 0)</f>
        <v>0</v>
      </c>
      <c r="P210" s="154">
        <f>IF(Input!P$174&gt;0, P18+P50+P82, 0)</f>
        <v>0</v>
      </c>
      <c r="Q210" s="154">
        <f>IF(Input!Q$174&gt;0, Q18+Q50+Q82, 0)</f>
        <v>0</v>
      </c>
      <c r="R210" s="99"/>
      <c r="S210" s="99"/>
      <c r="T210" s="99"/>
      <c r="U210" s="99"/>
      <c r="V210" s="99"/>
      <c r="W210" s="99"/>
      <c r="X210" s="99"/>
      <c r="Y210" s="99"/>
      <c r="Z210" s="99"/>
      <c r="AA210" s="99"/>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14"/>
      <c r="BL210" s="214"/>
    </row>
    <row r="211" spans="1:64" ht="12.75" hidden="1" customHeight="1" outlineLevel="1">
      <c r="A211" s="9"/>
      <c r="B211" s="11"/>
      <c r="C211" s="44"/>
      <c r="D211" s="128" t="str">
        <f>Asset13</f>
        <v>Land and Easements</v>
      </c>
      <c r="E211" s="11"/>
      <c r="F211" s="11"/>
      <c r="G211" s="191">
        <f t="shared" si="8"/>
        <v>488.33356293711495</v>
      </c>
      <c r="H211" s="191">
        <f t="shared" si="9"/>
        <v>531.76961313832896</v>
      </c>
      <c r="I211" s="154">
        <f t="shared" si="11"/>
        <v>564.17694092793636</v>
      </c>
      <c r="J211" s="154">
        <f t="shared" si="11"/>
        <v>599.33751711498178</v>
      </c>
      <c r="K211" s="154">
        <f t="shared" si="11"/>
        <v>619.9935477074647</v>
      </c>
      <c r="L211" s="154">
        <f t="shared" si="11"/>
        <v>642.84592071403563</v>
      </c>
      <c r="M211" s="154">
        <f>IF(Input!M$174&gt;0, M19+M51+M83, 0)</f>
        <v>0</v>
      </c>
      <c r="N211" s="154">
        <f>IF(Input!N$174&gt;0, N19+N51+N83, 0)</f>
        <v>0</v>
      </c>
      <c r="O211" s="154">
        <f>IF(Input!O$174&gt;0, O19+O51+O83, 0)</f>
        <v>0</v>
      </c>
      <c r="P211" s="154">
        <f>IF(Input!P$174&gt;0, P19+P51+P83, 0)</f>
        <v>0</v>
      </c>
      <c r="Q211" s="154">
        <f>IF(Input!Q$174&gt;0, Q19+Q51+Q83, 0)</f>
        <v>0</v>
      </c>
      <c r="R211" s="99"/>
      <c r="S211" s="99"/>
      <c r="T211" s="99"/>
      <c r="U211" s="99"/>
      <c r="V211" s="99"/>
      <c r="W211" s="99"/>
      <c r="X211" s="99"/>
      <c r="Y211" s="99"/>
      <c r="Z211" s="99"/>
      <c r="AA211" s="99"/>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14"/>
      <c r="BL211" s="214"/>
    </row>
    <row r="212" spans="1:64" ht="12.75" hidden="1" customHeight="1" outlineLevel="1">
      <c r="A212" s="9"/>
      <c r="B212" s="11"/>
      <c r="C212" s="44"/>
      <c r="D212" s="128" t="str">
        <f>Asset14</f>
        <v>Emergency Spares (Major Plant, Excludes Inventory)</v>
      </c>
      <c r="E212" s="11"/>
      <c r="F212" s="11"/>
      <c r="G212" s="191">
        <f t="shared" si="8"/>
        <v>39.386044523966696</v>
      </c>
      <c r="H212" s="191">
        <f t="shared" si="9"/>
        <v>40.102914741299628</v>
      </c>
      <c r="I212" s="154">
        <f t="shared" si="11"/>
        <v>41.243933170554548</v>
      </c>
      <c r="J212" s="154">
        <f t="shared" si="11"/>
        <v>42.64183009435375</v>
      </c>
      <c r="K212" s="154">
        <f t="shared" si="11"/>
        <v>43.393511813468521</v>
      </c>
      <c r="L212" s="154">
        <f t="shared" si="11"/>
        <v>44.456604530502268</v>
      </c>
      <c r="M212" s="154">
        <f>IF(Input!M$174&gt;0, M20+M52+M84, 0)</f>
        <v>0</v>
      </c>
      <c r="N212" s="154">
        <f>IF(Input!N$174&gt;0, N20+N52+N84, 0)</f>
        <v>0</v>
      </c>
      <c r="O212" s="154">
        <f>IF(Input!O$174&gt;0, O20+O52+O84, 0)</f>
        <v>0</v>
      </c>
      <c r="P212" s="154">
        <f>IF(Input!P$174&gt;0, P20+P52+P84, 0)</f>
        <v>0</v>
      </c>
      <c r="Q212" s="154">
        <f>IF(Input!Q$174&gt;0, Q20+Q52+Q84, 0)</f>
        <v>0</v>
      </c>
      <c r="R212" s="99"/>
      <c r="S212" s="99"/>
      <c r="T212" s="99"/>
      <c r="U212" s="99"/>
      <c r="V212" s="99"/>
      <c r="W212" s="99"/>
      <c r="X212" s="99"/>
      <c r="Y212" s="99"/>
      <c r="Z212" s="99"/>
      <c r="AA212" s="99"/>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14"/>
      <c r="BL212" s="214"/>
    </row>
    <row r="213" spans="1:64" ht="12.75" hidden="1" customHeight="1" outlineLevel="1">
      <c r="A213" s="9"/>
      <c r="B213" s="11"/>
      <c r="C213" s="44"/>
      <c r="D213" s="128" t="str">
        <f>Asset15</f>
        <v>Furniture, fittings, plant and equipment</v>
      </c>
      <c r="E213" s="11"/>
      <c r="F213" s="11"/>
      <c r="G213" s="191">
        <f t="shared" si="8"/>
        <v>27.900756588741036</v>
      </c>
      <c r="H213" s="191">
        <f t="shared" si="9"/>
        <v>33.705822761056702</v>
      </c>
      <c r="I213" s="154">
        <f t="shared" si="11"/>
        <v>39.024474094074009</v>
      </c>
      <c r="J213" s="154">
        <f t="shared" si="11"/>
        <v>44.455995425509279</v>
      </c>
      <c r="K213" s="154">
        <f t="shared" si="11"/>
        <v>46.06530334603621</v>
      </c>
      <c r="L213" s="154">
        <f t="shared" si="11"/>
        <v>47.340702820821427</v>
      </c>
      <c r="M213" s="154">
        <f>IF(Input!M$174&gt;0, M21+M53+M85, 0)</f>
        <v>0</v>
      </c>
      <c r="N213" s="154">
        <f>IF(Input!N$174&gt;0, N21+N53+N85, 0)</f>
        <v>0</v>
      </c>
      <c r="O213" s="154">
        <f>IF(Input!O$174&gt;0, O21+O53+O85, 0)</f>
        <v>0</v>
      </c>
      <c r="P213" s="154">
        <f>IF(Input!P$174&gt;0, P21+P53+P85, 0)</f>
        <v>0</v>
      </c>
      <c r="Q213" s="154">
        <f>IF(Input!Q$174&gt;0, Q21+Q53+Q85, 0)</f>
        <v>0</v>
      </c>
      <c r="R213" s="99"/>
      <c r="S213" s="99"/>
      <c r="T213" s="99"/>
      <c r="U213" s="99"/>
      <c r="V213" s="99"/>
      <c r="W213" s="99"/>
      <c r="X213" s="99"/>
      <c r="Y213" s="99"/>
      <c r="Z213" s="99"/>
      <c r="AA213" s="99"/>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14"/>
      <c r="BL213" s="214"/>
    </row>
    <row r="214" spans="1:64" ht="12.75" hidden="1" customHeight="1" outlineLevel="1">
      <c r="A214" s="9"/>
      <c r="B214" s="11"/>
      <c r="C214" s="44"/>
      <c r="D214" s="128" t="str">
        <f>Asset16</f>
        <v>Land (non-system)</v>
      </c>
      <c r="E214" s="11"/>
      <c r="F214" s="11"/>
      <c r="G214" s="191">
        <f t="shared" si="8"/>
        <v>47.023399261991891</v>
      </c>
      <c r="H214" s="191">
        <f t="shared" si="9"/>
        <v>67.354302103276254</v>
      </c>
      <c r="I214" s="154">
        <f t="shared" si="11"/>
        <v>75.771315844193296</v>
      </c>
      <c r="J214" s="154">
        <f t="shared" si="11"/>
        <v>86.70446377314893</v>
      </c>
      <c r="K214" s="154">
        <f t="shared" si="11"/>
        <v>88.116862330237211</v>
      </c>
      <c r="L214" s="154">
        <f t="shared" si="11"/>
        <v>33.581553741137604</v>
      </c>
      <c r="M214" s="154">
        <f>IF(Input!M$174&gt;0, M22+M54+M86, 0)</f>
        <v>0</v>
      </c>
      <c r="N214" s="154">
        <f>IF(Input!N$174&gt;0, N22+N54+N86, 0)</f>
        <v>0</v>
      </c>
      <c r="O214" s="154">
        <f>IF(Input!O$174&gt;0, O22+O54+O86, 0)</f>
        <v>0</v>
      </c>
      <c r="P214" s="154">
        <f>IF(Input!P$174&gt;0, P22+P54+P86, 0)</f>
        <v>0</v>
      </c>
      <c r="Q214" s="154">
        <f>IF(Input!Q$174&gt;0, Q22+Q54+Q86, 0)</f>
        <v>0</v>
      </c>
      <c r="R214" s="99"/>
      <c r="S214" s="99"/>
      <c r="T214" s="99"/>
      <c r="U214" s="99"/>
      <c r="V214" s="99"/>
      <c r="W214" s="99"/>
      <c r="X214" s="99"/>
      <c r="Y214" s="99"/>
      <c r="Z214" s="99"/>
      <c r="AA214" s="99"/>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14"/>
      <c r="BL214" s="214"/>
    </row>
    <row r="215" spans="1:64" ht="12.75" hidden="1" customHeight="1" outlineLevel="1">
      <c r="A215" s="9"/>
      <c r="B215" s="11"/>
      <c r="C215" s="44"/>
      <c r="D215" s="128" t="str">
        <f>Asset17</f>
        <v>Other non system assets</v>
      </c>
      <c r="E215" s="11"/>
      <c r="F215" s="11"/>
      <c r="G215" s="191">
        <f t="shared" si="8"/>
        <v>107.43776700440232</v>
      </c>
      <c r="H215" s="191">
        <f t="shared" si="9"/>
        <v>100.41835776738661</v>
      </c>
      <c r="I215" s="154">
        <f t="shared" si="11"/>
        <v>93.856755144376834</v>
      </c>
      <c r="J215" s="154">
        <f t="shared" si="11"/>
        <v>88.403466335110949</v>
      </c>
      <c r="K215" s="154">
        <f t="shared" si="11"/>
        <v>79.976334157283588</v>
      </c>
      <c r="L215" s="154">
        <f t="shared" si="11"/>
        <v>72.179427414729915</v>
      </c>
      <c r="M215" s="154">
        <f>IF(Input!M$174&gt;0, M23+M55+M87, 0)</f>
        <v>0</v>
      </c>
      <c r="N215" s="154">
        <f>IF(Input!N$174&gt;0, N23+N55+N87, 0)</f>
        <v>0</v>
      </c>
      <c r="O215" s="154">
        <f>IF(Input!O$174&gt;0, O23+O55+O87, 0)</f>
        <v>0</v>
      </c>
      <c r="P215" s="154">
        <f>IF(Input!P$174&gt;0, P23+P55+P87, 0)</f>
        <v>0</v>
      </c>
      <c r="Q215" s="154">
        <f>IF(Input!Q$174&gt;0, Q23+Q55+Q87, 0)</f>
        <v>0</v>
      </c>
      <c r="R215" s="99"/>
      <c r="S215" s="99"/>
      <c r="T215" s="99"/>
      <c r="U215" s="99"/>
      <c r="V215" s="99"/>
      <c r="W215" s="99"/>
      <c r="X215" s="99"/>
      <c r="Y215" s="99"/>
      <c r="Z215" s="99"/>
      <c r="AA215" s="99"/>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14"/>
      <c r="BL215" s="214"/>
    </row>
    <row r="216" spans="1:64" ht="12.75" hidden="1" customHeight="1" outlineLevel="1">
      <c r="A216" s="9"/>
      <c r="B216" s="11"/>
      <c r="C216" s="44"/>
      <c r="D216" s="128" t="str">
        <f>Asset18</f>
        <v>IT systems</v>
      </c>
      <c r="E216" s="11"/>
      <c r="F216" s="11"/>
      <c r="G216" s="191">
        <f t="shared" si="8"/>
        <v>118.3792196777346</v>
      </c>
      <c r="H216" s="191">
        <f t="shared" si="9"/>
        <v>137.13990115858607</v>
      </c>
      <c r="I216" s="154">
        <f t="shared" si="11"/>
        <v>153.85057468522552</v>
      </c>
      <c r="J216" s="154">
        <f t="shared" si="11"/>
        <v>141.38341250829478</v>
      </c>
      <c r="K216" s="154">
        <f t="shared" si="11"/>
        <v>109.48853114136718</v>
      </c>
      <c r="L216" s="154">
        <f t="shared" si="11"/>
        <v>99.259902806721442</v>
      </c>
      <c r="M216" s="154">
        <f>IF(Input!M$174&gt;0, M24+M56+M88, 0)</f>
        <v>0</v>
      </c>
      <c r="N216" s="154">
        <f>IF(Input!N$174&gt;0, N24+N56+N88, 0)</f>
        <v>0</v>
      </c>
      <c r="O216" s="154">
        <f>IF(Input!O$174&gt;0, O24+O56+O88, 0)</f>
        <v>0</v>
      </c>
      <c r="P216" s="154">
        <f>IF(Input!P$174&gt;0, P24+P56+P88, 0)</f>
        <v>0</v>
      </c>
      <c r="Q216" s="154">
        <f>IF(Input!Q$174&gt;0, Q24+Q56+Q88, 0)</f>
        <v>0</v>
      </c>
      <c r="R216" s="99"/>
      <c r="S216" s="99"/>
      <c r="T216" s="99"/>
      <c r="U216" s="99"/>
      <c r="V216" s="99"/>
      <c r="W216" s="99"/>
      <c r="X216" s="99"/>
      <c r="Y216" s="99"/>
      <c r="Z216" s="99"/>
      <c r="AA216" s="99"/>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14"/>
      <c r="BL216" s="214"/>
    </row>
    <row r="217" spans="1:64" ht="12.75" hidden="1" customHeight="1" outlineLevel="1">
      <c r="A217" s="9"/>
      <c r="B217" s="11"/>
      <c r="C217" s="44"/>
      <c r="D217" s="128" t="str">
        <f>Asset19</f>
        <v>Motor vehicles</v>
      </c>
      <c r="E217" s="11"/>
      <c r="F217" s="11"/>
      <c r="G217" s="191">
        <f t="shared" si="8"/>
        <v>91.050915161738018</v>
      </c>
      <c r="H217" s="191">
        <f t="shared" si="9"/>
        <v>105.44431320433179</v>
      </c>
      <c r="I217" s="154">
        <f t="shared" si="11"/>
        <v>120.35497157409276</v>
      </c>
      <c r="J217" s="154">
        <f t="shared" si="11"/>
        <v>135.81893233907178</v>
      </c>
      <c r="K217" s="154">
        <f t="shared" si="11"/>
        <v>129.74762932029066</v>
      </c>
      <c r="L217" s="154">
        <f t="shared" si="11"/>
        <v>118.15423805650553</v>
      </c>
      <c r="M217" s="154">
        <f>IF(Input!M$174&gt;0, M25+M57+M89, 0)</f>
        <v>0</v>
      </c>
      <c r="N217" s="154">
        <f>IF(Input!N$174&gt;0, N25+N57+N89, 0)</f>
        <v>0</v>
      </c>
      <c r="O217" s="154">
        <f>IF(Input!O$174&gt;0, O25+O57+O89, 0)</f>
        <v>0</v>
      </c>
      <c r="P217" s="154">
        <f>IF(Input!P$174&gt;0, P25+P57+P89, 0)</f>
        <v>0</v>
      </c>
      <c r="Q217" s="154">
        <f>IF(Input!Q$174&gt;0, Q25+Q57+Q89, 0)</f>
        <v>0</v>
      </c>
      <c r="R217" s="99"/>
      <c r="S217" s="99"/>
      <c r="T217" s="99"/>
      <c r="U217" s="99"/>
      <c r="V217" s="99"/>
      <c r="W217" s="99"/>
      <c r="X217" s="99"/>
      <c r="Y217" s="99"/>
      <c r="Z217" s="99"/>
      <c r="AA217" s="99"/>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14"/>
      <c r="BL217" s="214"/>
    </row>
    <row r="218" spans="1:64" ht="15.75" hidden="1" customHeight="1" outlineLevel="1">
      <c r="A218" s="9"/>
      <c r="B218" s="11"/>
      <c r="C218" s="44"/>
      <c r="D218" s="128" t="str">
        <f>Asset20</f>
        <v>Buildings</v>
      </c>
      <c r="E218" s="11"/>
      <c r="F218" s="11"/>
      <c r="G218" s="191">
        <f t="shared" si="8"/>
        <v>124.2967032107457</v>
      </c>
      <c r="H218" s="191">
        <f t="shared" si="9"/>
        <v>188.26931210716614</v>
      </c>
      <c r="I218" s="154">
        <f t="shared" si="11"/>
        <v>231.25287868519163</v>
      </c>
      <c r="J218" s="154">
        <f t="shared" si="11"/>
        <v>262.92542589190612</v>
      </c>
      <c r="K218" s="154">
        <f t="shared" si="11"/>
        <v>277.88669928501963</v>
      </c>
      <c r="L218" s="154">
        <f t="shared" si="11"/>
        <v>236.66602235833165</v>
      </c>
      <c r="M218" s="154">
        <f>IF(Input!M$174&gt;0, M26+M58+M90, 0)</f>
        <v>0</v>
      </c>
      <c r="N218" s="154">
        <f>IF(Input!N$174&gt;0, N26+N58+N90, 0)</f>
        <v>0</v>
      </c>
      <c r="O218" s="154">
        <f>IF(Input!O$174&gt;0, O26+O58+O90, 0)</f>
        <v>0</v>
      </c>
      <c r="P218" s="154">
        <f>IF(Input!P$174&gt;0, P26+P58+P90, 0)</f>
        <v>0</v>
      </c>
      <c r="Q218" s="154">
        <f>IF(Input!Q$174&gt;0, Q26+Q58+Q90, 0)</f>
        <v>0</v>
      </c>
      <c r="R218" s="99"/>
      <c r="S218" s="99"/>
      <c r="T218" s="99"/>
      <c r="U218" s="99"/>
      <c r="V218" s="99"/>
      <c r="W218" s="99"/>
      <c r="X218" s="99"/>
      <c r="Y218" s="99"/>
      <c r="Z218" s="99"/>
      <c r="AA218" s="99"/>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14"/>
      <c r="BL218" s="214"/>
    </row>
    <row r="219" spans="1:64" ht="14.25" hidden="1" customHeight="1" outlineLevel="1">
      <c r="A219" s="9"/>
      <c r="B219" s="11"/>
      <c r="C219" s="44"/>
      <c r="D219" s="128" t="str">
        <f>Asset21</f>
        <v>Equity raising costs</v>
      </c>
      <c r="E219" s="11"/>
      <c r="F219" s="11"/>
      <c r="G219" s="191">
        <f t="shared" ref="G219:G228" si="12">G27+G59+G91+G123+G155+G187</f>
        <v>0</v>
      </c>
      <c r="H219" s="154">
        <f t="shared" si="9"/>
        <v>26.994350537996358</v>
      </c>
      <c r="I219" s="154">
        <f t="shared" ref="I219:L226" si="13">I27+I59+I91</f>
        <v>27.182878312810391</v>
      </c>
      <c r="J219" s="154">
        <f t="shared" si="13"/>
        <v>27.508187208372213</v>
      </c>
      <c r="K219" s="154">
        <f t="shared" si="13"/>
        <v>27.376884092769291</v>
      </c>
      <c r="L219" s="154">
        <f t="shared" si="13"/>
        <v>27.420512822989309</v>
      </c>
      <c r="M219" s="154">
        <f>IF(Input!M$174&gt;0, M27+M59+M91, 0)</f>
        <v>0</v>
      </c>
      <c r="N219" s="154">
        <f>IF(Input!N$174&gt;0, N27+N59+N91, 0)</f>
        <v>0</v>
      </c>
      <c r="O219" s="154">
        <f>IF(Input!O$174&gt;0, O27+O59+O91, 0)</f>
        <v>0</v>
      </c>
      <c r="P219" s="154">
        <f>IF(Input!P$174&gt;0, P27+P59+P91, 0)</f>
        <v>0</v>
      </c>
      <c r="Q219" s="154">
        <f>IF(Input!Q$174&gt;0, Q27+Q59+Q91, 0)</f>
        <v>0</v>
      </c>
      <c r="R219" s="99"/>
      <c r="S219" s="99"/>
      <c r="T219" s="99"/>
      <c r="U219" s="99"/>
      <c r="V219" s="99"/>
      <c r="W219" s="99"/>
      <c r="X219" s="99"/>
      <c r="Y219" s="99"/>
      <c r="Z219" s="99"/>
      <c r="AA219" s="99"/>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14"/>
      <c r="BL219" s="214"/>
    </row>
    <row r="220" spans="1:64" ht="16.5" hidden="1" customHeight="1" outlineLevel="1">
      <c r="A220" s="9"/>
      <c r="B220" s="11"/>
      <c r="C220" s="44"/>
      <c r="D220" s="128" t="s">
        <v>151</v>
      </c>
      <c r="E220" s="11"/>
      <c r="F220" s="11"/>
      <c r="G220" s="191">
        <f t="shared" si="12"/>
        <v>268.13907093446142</v>
      </c>
      <c r="H220" s="154">
        <f t="shared" si="9"/>
        <v>0</v>
      </c>
      <c r="I220" s="154">
        <f t="shared" si="13"/>
        <v>0</v>
      </c>
      <c r="J220" s="154">
        <f t="shared" si="13"/>
        <v>0</v>
      </c>
      <c r="K220" s="154">
        <f t="shared" si="13"/>
        <v>0</v>
      </c>
      <c r="L220" s="154">
        <f t="shared" si="13"/>
        <v>0</v>
      </c>
      <c r="M220" s="154">
        <f>IF(Input!M$174&gt;0, M28+M60+M92, 0)</f>
        <v>0</v>
      </c>
      <c r="N220" s="154">
        <f>IF(Input!N$174&gt;0, N28+N60+N92, 0)</f>
        <v>0</v>
      </c>
      <c r="O220" s="154">
        <f>IF(Input!O$174&gt;0, O28+O60+O92, 0)</f>
        <v>0</v>
      </c>
      <c r="P220" s="154">
        <f>IF(Input!P$174&gt;0, P28+P60+P92, 0)</f>
        <v>0</v>
      </c>
      <c r="Q220" s="154">
        <f>IF(Input!Q$174&gt;0, Q28+Q60+Q92, 0)</f>
        <v>0</v>
      </c>
      <c r="R220" s="99"/>
      <c r="S220" s="99"/>
      <c r="T220" s="99"/>
      <c r="U220" s="99"/>
      <c r="V220" s="99"/>
      <c r="W220" s="99"/>
      <c r="X220" s="99"/>
      <c r="Y220" s="99"/>
      <c r="Z220" s="99"/>
      <c r="AA220" s="99"/>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14"/>
      <c r="BL220" s="214"/>
    </row>
    <row r="221" spans="1:64" ht="4.5" hidden="1" customHeight="1" outlineLevel="1">
      <c r="A221" s="9"/>
      <c r="B221" s="11"/>
      <c r="C221" s="44"/>
      <c r="D221" s="128">
        <f>Asset23</f>
        <v>0</v>
      </c>
      <c r="E221" s="11"/>
      <c r="F221" s="11"/>
      <c r="G221" s="191">
        <f t="shared" si="12"/>
        <v>0</v>
      </c>
      <c r="H221" s="154">
        <f t="shared" si="9"/>
        <v>0</v>
      </c>
      <c r="I221" s="154">
        <f t="shared" si="13"/>
        <v>0</v>
      </c>
      <c r="J221" s="154">
        <f t="shared" si="13"/>
        <v>0</v>
      </c>
      <c r="K221" s="154">
        <f t="shared" si="13"/>
        <v>0</v>
      </c>
      <c r="L221" s="154">
        <f t="shared" si="13"/>
        <v>0</v>
      </c>
      <c r="M221" s="154">
        <f>IF(Input!M$174&gt;0, M29+M61+M93, 0)</f>
        <v>0</v>
      </c>
      <c r="N221" s="154">
        <f>IF(Input!N$174&gt;0, N29+N61+N93, 0)</f>
        <v>0</v>
      </c>
      <c r="O221" s="154">
        <f>IF(Input!O$174&gt;0, O29+O61+O93, 0)</f>
        <v>0</v>
      </c>
      <c r="P221" s="154">
        <f>IF(Input!P$174&gt;0, P29+P61+P93, 0)</f>
        <v>0</v>
      </c>
      <c r="Q221" s="154">
        <f>IF(Input!Q$174&gt;0, Q29+Q61+Q93, 0)</f>
        <v>0</v>
      </c>
      <c r="R221" s="99"/>
      <c r="S221" s="99"/>
      <c r="T221" s="99"/>
      <c r="U221" s="99"/>
      <c r="V221" s="99"/>
      <c r="W221" s="99"/>
      <c r="X221" s="99"/>
      <c r="Y221" s="99"/>
      <c r="Z221" s="99"/>
      <c r="AA221" s="99"/>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14"/>
      <c r="BL221" s="214"/>
    </row>
    <row r="222" spans="1:64" ht="4.5" hidden="1" customHeight="1" outlineLevel="1">
      <c r="A222" s="9"/>
      <c r="B222" s="11"/>
      <c r="C222" s="44"/>
      <c r="D222" s="128">
        <f>Asset24</f>
        <v>0</v>
      </c>
      <c r="E222" s="11"/>
      <c r="F222" s="11"/>
      <c r="G222" s="191">
        <f t="shared" si="12"/>
        <v>0</v>
      </c>
      <c r="H222" s="154">
        <f t="shared" si="9"/>
        <v>0</v>
      </c>
      <c r="I222" s="154">
        <f t="shared" si="13"/>
        <v>0</v>
      </c>
      <c r="J222" s="154">
        <f t="shared" si="13"/>
        <v>0</v>
      </c>
      <c r="K222" s="154">
        <f t="shared" si="13"/>
        <v>0</v>
      </c>
      <c r="L222" s="154">
        <f t="shared" si="13"/>
        <v>0</v>
      </c>
      <c r="M222" s="154">
        <f>IF(Input!M$174&gt;0, M30+M62+M94, 0)</f>
        <v>0</v>
      </c>
      <c r="N222" s="154">
        <f>IF(Input!N$174&gt;0, N30+N62+N94, 0)</f>
        <v>0</v>
      </c>
      <c r="O222" s="154">
        <f>IF(Input!O$174&gt;0, O30+O62+O94, 0)</f>
        <v>0</v>
      </c>
      <c r="P222" s="154">
        <f>IF(Input!P$174&gt;0, P30+P62+P94, 0)</f>
        <v>0</v>
      </c>
      <c r="Q222" s="154">
        <f>IF(Input!Q$174&gt;0, Q30+Q62+Q94, 0)</f>
        <v>0</v>
      </c>
      <c r="R222" s="99"/>
      <c r="S222" s="99"/>
      <c r="T222" s="99"/>
      <c r="U222" s="99"/>
      <c r="V222" s="99"/>
      <c r="W222" s="99"/>
      <c r="X222" s="99"/>
      <c r="Y222" s="99"/>
      <c r="Z222" s="99"/>
      <c r="AA222" s="99"/>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14"/>
      <c r="BL222" s="214"/>
    </row>
    <row r="223" spans="1:64" ht="4.5" hidden="1" customHeight="1" outlineLevel="1">
      <c r="A223" s="9"/>
      <c r="B223" s="11"/>
      <c r="C223" s="44"/>
      <c r="D223" s="128">
        <f>Asset25</f>
        <v>0</v>
      </c>
      <c r="E223" s="11"/>
      <c r="F223" s="11"/>
      <c r="G223" s="191">
        <f t="shared" si="12"/>
        <v>0</v>
      </c>
      <c r="H223" s="154">
        <f t="shared" si="9"/>
        <v>0</v>
      </c>
      <c r="I223" s="154">
        <f t="shared" si="13"/>
        <v>0</v>
      </c>
      <c r="J223" s="154">
        <f t="shared" si="13"/>
        <v>0</v>
      </c>
      <c r="K223" s="154">
        <f t="shared" si="13"/>
        <v>0</v>
      </c>
      <c r="L223" s="154">
        <f t="shared" si="13"/>
        <v>0</v>
      </c>
      <c r="M223" s="154">
        <f>IF(Input!M$174&gt;0, M31+M63+M95, 0)</f>
        <v>0</v>
      </c>
      <c r="N223" s="154">
        <f>IF(Input!N$174&gt;0, N31+N63+N95, 0)</f>
        <v>0</v>
      </c>
      <c r="O223" s="154">
        <f>IF(Input!O$174&gt;0, O31+O63+O95, 0)</f>
        <v>0</v>
      </c>
      <c r="P223" s="154">
        <f>IF(Input!P$174&gt;0, P31+P63+P95, 0)</f>
        <v>0</v>
      </c>
      <c r="Q223" s="154">
        <f>IF(Input!Q$174&gt;0, Q31+Q63+Q95, 0)</f>
        <v>0</v>
      </c>
      <c r="R223" s="99"/>
      <c r="S223" s="99"/>
      <c r="T223" s="99"/>
      <c r="U223" s="99"/>
      <c r="V223" s="99"/>
      <c r="W223" s="99"/>
      <c r="X223" s="99"/>
      <c r="Y223" s="99"/>
      <c r="Z223" s="99"/>
      <c r="AA223" s="99"/>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14"/>
      <c r="BL223" s="214"/>
    </row>
    <row r="224" spans="1:64" ht="4.5" hidden="1" customHeight="1" outlineLevel="1">
      <c r="A224" s="9"/>
      <c r="B224" s="11"/>
      <c r="C224" s="44"/>
      <c r="D224" s="128">
        <f>Asset26</f>
        <v>0</v>
      </c>
      <c r="E224" s="11"/>
      <c r="F224" s="11"/>
      <c r="G224" s="191">
        <f t="shared" si="12"/>
        <v>0</v>
      </c>
      <c r="H224" s="154">
        <f t="shared" si="9"/>
        <v>0</v>
      </c>
      <c r="I224" s="154">
        <f t="shared" si="13"/>
        <v>0</v>
      </c>
      <c r="J224" s="154">
        <f t="shared" si="13"/>
        <v>0</v>
      </c>
      <c r="K224" s="154">
        <f t="shared" si="13"/>
        <v>0</v>
      </c>
      <c r="L224" s="154">
        <f t="shared" si="13"/>
        <v>0</v>
      </c>
      <c r="M224" s="154">
        <f>IF(Input!M$174&gt;0, M32+M64+M96, 0)</f>
        <v>0</v>
      </c>
      <c r="N224" s="154">
        <f>IF(Input!N$174&gt;0, N32+N64+N96, 0)</f>
        <v>0</v>
      </c>
      <c r="O224" s="154">
        <f>IF(Input!O$174&gt;0, O32+O64+O96, 0)</f>
        <v>0</v>
      </c>
      <c r="P224" s="154">
        <f>IF(Input!P$174&gt;0, P32+P64+P96, 0)</f>
        <v>0</v>
      </c>
      <c r="Q224" s="154">
        <f>IF(Input!Q$174&gt;0, Q32+Q64+Q96, 0)</f>
        <v>0</v>
      </c>
      <c r="R224" s="99"/>
      <c r="S224" s="99"/>
      <c r="T224" s="99"/>
      <c r="U224" s="99"/>
      <c r="V224" s="99"/>
      <c r="W224" s="99"/>
      <c r="X224" s="99"/>
      <c r="Y224" s="99"/>
      <c r="Z224" s="99"/>
      <c r="AA224" s="99"/>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14"/>
      <c r="BL224" s="214"/>
    </row>
    <row r="225" spans="1:64" ht="4.5" hidden="1" customHeight="1" outlineLevel="1">
      <c r="A225" s="9"/>
      <c r="B225" s="11"/>
      <c r="C225" s="44"/>
      <c r="D225" s="128">
        <f>Asset27</f>
        <v>0</v>
      </c>
      <c r="E225" s="11"/>
      <c r="F225" s="11"/>
      <c r="G225" s="191">
        <f t="shared" si="12"/>
        <v>0</v>
      </c>
      <c r="H225" s="154">
        <f t="shared" si="9"/>
        <v>0</v>
      </c>
      <c r="I225" s="154">
        <f t="shared" si="13"/>
        <v>0</v>
      </c>
      <c r="J225" s="154">
        <f t="shared" si="13"/>
        <v>0</v>
      </c>
      <c r="K225" s="154">
        <f t="shared" si="13"/>
        <v>0</v>
      </c>
      <c r="L225" s="154">
        <f t="shared" si="13"/>
        <v>0</v>
      </c>
      <c r="M225" s="154">
        <f>IF(Input!M$174&gt;0, M33+M65+M97, 0)</f>
        <v>0</v>
      </c>
      <c r="N225" s="154">
        <f>IF(Input!N$174&gt;0, N33+N65+N97, 0)</f>
        <v>0</v>
      </c>
      <c r="O225" s="154">
        <f>IF(Input!O$174&gt;0, O33+O65+O97, 0)</f>
        <v>0</v>
      </c>
      <c r="P225" s="154">
        <f>IF(Input!P$174&gt;0, P33+P65+P97, 0)</f>
        <v>0</v>
      </c>
      <c r="Q225" s="154">
        <f>IF(Input!Q$174&gt;0, Q33+Q65+Q97, 0)</f>
        <v>0</v>
      </c>
      <c r="R225" s="99"/>
      <c r="S225" s="99"/>
      <c r="T225" s="99"/>
      <c r="U225" s="99"/>
      <c r="V225" s="99"/>
      <c r="W225" s="99"/>
      <c r="X225" s="99"/>
      <c r="Y225" s="99"/>
      <c r="Z225" s="99"/>
      <c r="AA225" s="99"/>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14"/>
      <c r="BL225" s="214"/>
    </row>
    <row r="226" spans="1:64" ht="4.5" hidden="1" customHeight="1" outlineLevel="1">
      <c r="A226" s="9"/>
      <c r="B226" s="11"/>
      <c r="C226" s="44"/>
      <c r="D226" s="128">
        <f>Asset28</f>
        <v>0</v>
      </c>
      <c r="E226" s="11"/>
      <c r="F226" s="11"/>
      <c r="G226" s="191">
        <f t="shared" si="12"/>
        <v>0</v>
      </c>
      <c r="H226" s="154">
        <f t="shared" si="9"/>
        <v>0</v>
      </c>
      <c r="I226" s="154">
        <f t="shared" si="13"/>
        <v>0</v>
      </c>
      <c r="J226" s="154">
        <f t="shared" si="13"/>
        <v>0</v>
      </c>
      <c r="K226" s="154">
        <f t="shared" si="13"/>
        <v>0</v>
      </c>
      <c r="L226" s="154">
        <f t="shared" si="13"/>
        <v>0</v>
      </c>
      <c r="M226" s="154">
        <f>IF(Input!M$174&gt;0, M34+M66+M98, 0)</f>
        <v>0</v>
      </c>
      <c r="N226" s="154">
        <f>IF(Input!N$174&gt;0, N34+N66+N98, 0)</f>
        <v>0</v>
      </c>
      <c r="O226" s="154">
        <f>IF(Input!O$174&gt;0, O34+O66+O98, 0)</f>
        <v>0</v>
      </c>
      <c r="P226" s="154">
        <f>IF(Input!P$174&gt;0, P34+P66+P98, 0)</f>
        <v>0</v>
      </c>
      <c r="Q226" s="154">
        <f>IF(Input!Q$174&gt;0, Q34+Q66+Q98, 0)</f>
        <v>0</v>
      </c>
      <c r="R226" s="99"/>
      <c r="S226" s="99"/>
      <c r="T226" s="99"/>
      <c r="U226" s="99"/>
      <c r="V226" s="99"/>
      <c r="W226" s="99"/>
      <c r="X226" s="99"/>
      <c r="Y226" s="99"/>
      <c r="Z226" s="99"/>
      <c r="AA226" s="99"/>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14"/>
      <c r="BL226" s="214"/>
    </row>
    <row r="227" spans="1:64" ht="14.25" hidden="1" customHeight="1" outlineLevel="1">
      <c r="A227" s="9"/>
      <c r="B227" s="11"/>
      <c r="C227" s="44"/>
      <c r="D227" s="128">
        <f>Asset29</f>
        <v>0</v>
      </c>
      <c r="E227" s="11"/>
      <c r="F227" s="11"/>
      <c r="G227" s="191">
        <f t="shared" si="12"/>
        <v>0</v>
      </c>
      <c r="H227" s="154">
        <f t="shared" si="9"/>
        <v>0</v>
      </c>
      <c r="I227" s="154">
        <f t="shared" ref="I227:L228" si="14">I35+I67+I99</f>
        <v>0</v>
      </c>
      <c r="J227" s="154">
        <f t="shared" si="14"/>
        <v>0</v>
      </c>
      <c r="K227" s="154">
        <f t="shared" si="14"/>
        <v>0</v>
      </c>
      <c r="L227" s="154">
        <f t="shared" si="14"/>
        <v>0</v>
      </c>
      <c r="M227" s="154">
        <f>IF(Input!M$174&gt;0, M35+M67+M99, 0)</f>
        <v>0</v>
      </c>
      <c r="N227" s="154">
        <f>IF(Input!N$174&gt;0, N35+N67+N99, 0)</f>
        <v>0</v>
      </c>
      <c r="O227" s="154">
        <f>IF(Input!O$174&gt;0, O35+O67+O99, 0)</f>
        <v>0</v>
      </c>
      <c r="P227" s="154">
        <f>IF(Input!P$174&gt;0, P35+P67+P99, 0)</f>
        <v>0</v>
      </c>
      <c r="Q227" s="154">
        <f>IF(Input!Q$174&gt;0, Q35+Q67+Q99, 0)</f>
        <v>0</v>
      </c>
      <c r="R227" s="99"/>
      <c r="S227" s="99"/>
      <c r="T227" s="99"/>
      <c r="U227" s="99"/>
      <c r="V227" s="99"/>
      <c r="W227" s="99"/>
      <c r="X227" s="99"/>
      <c r="Y227" s="99"/>
      <c r="Z227" s="99"/>
      <c r="AA227" s="99"/>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14"/>
      <c r="BL227" s="214"/>
    </row>
    <row r="228" spans="1:64" ht="19.5" hidden="1" customHeight="1" outlineLevel="1">
      <c r="A228" s="9"/>
      <c r="B228" s="11"/>
      <c r="C228" s="44"/>
      <c r="D228" s="128">
        <f>Asset30</f>
        <v>0</v>
      </c>
      <c r="E228" s="11"/>
      <c r="F228" s="11"/>
      <c r="G228" s="191">
        <f t="shared" si="12"/>
        <v>0</v>
      </c>
      <c r="H228" s="154">
        <f t="shared" si="9"/>
        <v>0</v>
      </c>
      <c r="I228" s="154">
        <f t="shared" si="14"/>
        <v>0</v>
      </c>
      <c r="J228" s="154">
        <f t="shared" si="14"/>
        <v>0</v>
      </c>
      <c r="K228" s="154">
        <f t="shared" si="14"/>
        <v>0</v>
      </c>
      <c r="L228" s="154">
        <f t="shared" si="14"/>
        <v>0</v>
      </c>
      <c r="M228" s="154">
        <f>IF(Input!M$174&gt;0, M36+M68+M100, 0)</f>
        <v>0</v>
      </c>
      <c r="N228" s="154">
        <f>IF(Input!N$174&gt;0, N36+N68+N100, 0)</f>
        <v>0</v>
      </c>
      <c r="O228" s="154">
        <f>IF(Input!O$174&gt;0, O36+O68+O100, 0)</f>
        <v>0</v>
      </c>
      <c r="P228" s="154">
        <f>IF(Input!P$174&gt;0, P36+P68+P100, 0)</f>
        <v>0</v>
      </c>
      <c r="Q228" s="154">
        <f>IF(Input!Q$174&gt;0, Q36+Q68+Q100, 0)</f>
        <v>0</v>
      </c>
      <c r="R228" s="99"/>
      <c r="S228" s="99"/>
      <c r="T228" s="99"/>
      <c r="U228" s="99"/>
      <c r="V228" s="99"/>
      <c r="W228" s="99"/>
      <c r="X228" s="99"/>
      <c r="Y228" s="99"/>
      <c r="Z228" s="99"/>
      <c r="AA228" s="99"/>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14"/>
      <c r="BL228" s="214"/>
    </row>
    <row r="229" spans="1:64" collapsed="1">
      <c r="A229" s="9"/>
      <c r="B229" s="11"/>
      <c r="C229" s="88"/>
      <c r="D229" s="112"/>
      <c r="E229" s="11"/>
      <c r="F229" s="11"/>
      <c r="G229" s="153"/>
      <c r="H229" s="141"/>
      <c r="I229" s="141"/>
      <c r="J229" s="141"/>
      <c r="K229" s="141"/>
      <c r="L229" s="141"/>
      <c r="M229" s="141"/>
      <c r="N229" s="99"/>
      <c r="O229" s="99"/>
      <c r="P229" s="99"/>
      <c r="Q229" s="99"/>
      <c r="R229" s="99"/>
      <c r="S229" s="99"/>
      <c r="T229" s="99"/>
      <c r="U229" s="99"/>
      <c r="V229" s="99"/>
      <c r="W229" s="99"/>
      <c r="X229" s="99"/>
      <c r="Y229" s="99"/>
      <c r="Z229" s="99"/>
      <c r="AA229" s="99"/>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14"/>
      <c r="BL229" s="214"/>
    </row>
    <row r="230" spans="1:64" s="9" customFormat="1">
      <c r="B230" s="11"/>
      <c r="C230" s="88" t="s">
        <v>38</v>
      </c>
      <c r="D230" s="11"/>
      <c r="E230" s="11"/>
      <c r="F230" s="11"/>
      <c r="G230" s="113"/>
      <c r="H230" s="115"/>
      <c r="I230" s="115"/>
      <c r="J230" s="115"/>
      <c r="K230" s="115"/>
      <c r="L230" s="115">
        <f t="shared" ref="L230:Q230" si="15">SUM(L231:L260)</f>
        <v>239.11010394855921</v>
      </c>
      <c r="M230" s="115">
        <f t="shared" si="15"/>
        <v>0</v>
      </c>
      <c r="N230" s="115">
        <f t="shared" si="15"/>
        <v>0</v>
      </c>
      <c r="O230" s="115">
        <f t="shared" si="15"/>
        <v>0</v>
      </c>
      <c r="P230" s="115">
        <f t="shared" si="15"/>
        <v>0</v>
      </c>
      <c r="Q230" s="115">
        <f t="shared" si="15"/>
        <v>0</v>
      </c>
      <c r="R230" s="105"/>
      <c r="S230" s="406"/>
      <c r="T230" s="105"/>
      <c r="U230" s="105"/>
      <c r="V230" s="105"/>
      <c r="W230" s="105"/>
      <c r="X230" s="105"/>
      <c r="Y230" s="105"/>
      <c r="Z230" s="105"/>
      <c r="AA230" s="105"/>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14"/>
      <c r="BL230" s="214"/>
    </row>
    <row r="231" spans="1:64" ht="12.75" hidden="1" customHeight="1" outlineLevel="1">
      <c r="A231" s="9"/>
      <c r="B231" s="9"/>
      <c r="C231" s="9"/>
      <c r="D231" s="128" t="str">
        <f>Asset1</f>
        <v>Sub-transmission lines and cables</v>
      </c>
      <c r="E231" s="9"/>
      <c r="F231" s="9"/>
      <c r="G231" s="9"/>
      <c r="H231" s="109"/>
      <c r="I231" s="109"/>
      <c r="J231" s="109"/>
      <c r="K231" s="109"/>
      <c r="L231" s="109">
        <f>IF(L$198&gt;0, IF(M$198=0, 'Adjustment for previous period'!$G76, 0), 0)</f>
        <v>168.48465173113019</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406"/>
      <c r="T231" s="11"/>
      <c r="U231" s="11"/>
      <c r="V231" s="11"/>
      <c r="W231" s="11"/>
      <c r="X231" s="11"/>
      <c r="Y231" s="11"/>
      <c r="Z231" s="11"/>
      <c r="AA231" s="1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row>
    <row r="232" spans="1:64" ht="12.75" hidden="1" customHeight="1" outlineLevel="1">
      <c r="A232" s="9"/>
      <c r="B232" s="9"/>
      <c r="C232" s="9"/>
      <c r="D232" s="128" t="str">
        <f>Asset2</f>
        <v>Cable tunnel (dx)</v>
      </c>
      <c r="E232" s="9"/>
      <c r="F232" s="9"/>
      <c r="G232" s="9"/>
      <c r="H232" s="109"/>
      <c r="I232" s="109"/>
      <c r="J232" s="109"/>
      <c r="K232" s="109"/>
      <c r="L232" s="109">
        <f>IF(L$198&gt;0, IF(M$198=0, 'Adjustment for previous period'!$G77, 0), 0)</f>
        <v>-29.58704874813581</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406"/>
      <c r="T232" s="11"/>
      <c r="U232" s="11"/>
      <c r="V232" s="11"/>
      <c r="W232" s="11"/>
      <c r="X232" s="11"/>
      <c r="Y232" s="11"/>
      <c r="Z232" s="11"/>
      <c r="AA232" s="1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row>
    <row r="233" spans="1:64" ht="12.75" hidden="1" customHeight="1" outlineLevel="1">
      <c r="A233" s="9"/>
      <c r="B233" s="9"/>
      <c r="C233" s="9"/>
      <c r="D233" s="128" t="str">
        <f>Asset3</f>
        <v>Distribution lines and cables</v>
      </c>
      <c r="E233" s="9"/>
      <c r="F233" s="9"/>
      <c r="G233" s="9"/>
      <c r="H233" s="109"/>
      <c r="I233" s="109"/>
      <c r="J233" s="109"/>
      <c r="K233" s="109"/>
      <c r="L233" s="109">
        <f>IF(L$198&gt;0, IF(M$198=0, 'Adjustment for previous period'!$G78, 0), 0)</f>
        <v>-7.8008018429679851</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406"/>
      <c r="T233" s="11"/>
      <c r="U233" s="11"/>
      <c r="V233" s="11"/>
      <c r="W233" s="11"/>
      <c r="X233" s="11"/>
      <c r="Y233" s="11"/>
      <c r="Z233" s="11"/>
      <c r="AA233" s="1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row>
    <row r="234" spans="1:64" ht="12.75" hidden="1" customHeight="1" outlineLevel="1">
      <c r="A234" s="9"/>
      <c r="B234" s="9"/>
      <c r="C234" s="9"/>
      <c r="D234" s="128" t="str">
        <f>Asset4</f>
        <v>Substations</v>
      </c>
      <c r="E234" s="9"/>
      <c r="F234" s="9"/>
      <c r="G234" s="9"/>
      <c r="H234" s="109"/>
      <c r="I234" s="109"/>
      <c r="J234" s="109"/>
      <c r="K234" s="109"/>
      <c r="L234" s="109">
        <f>IF(L$198&gt;0, IF(M$198=0, 'Adjustment for previous period'!$G79, 0), 0)</f>
        <v>-36.737924999808229</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406"/>
      <c r="T234" s="11"/>
      <c r="U234" s="11"/>
      <c r="V234" s="11"/>
      <c r="W234" s="11"/>
      <c r="X234" s="11"/>
      <c r="Y234" s="11"/>
      <c r="Z234" s="11"/>
      <c r="AA234" s="1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row>
    <row r="235" spans="1:64" ht="12.75" hidden="1" customHeight="1" outlineLevel="1">
      <c r="A235" s="9"/>
      <c r="B235" s="9"/>
      <c r="C235" s="9"/>
      <c r="D235" s="128" t="str">
        <f>Asset5</f>
        <v>Transformers</v>
      </c>
      <c r="E235" s="9"/>
      <c r="F235" s="9"/>
      <c r="G235" s="9"/>
      <c r="H235" s="109"/>
      <c r="I235" s="109"/>
      <c r="J235" s="109"/>
      <c r="K235" s="109"/>
      <c r="L235" s="109">
        <f>IF(L$198&gt;0, IF(M$198=0, 'Adjustment for previous period'!$G80, 0), 0)</f>
        <v>-6.7010179834055705</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406"/>
      <c r="T235" s="11"/>
      <c r="U235" s="11"/>
      <c r="V235" s="11"/>
      <c r="W235" s="11"/>
      <c r="X235" s="11"/>
      <c r="Y235" s="11"/>
      <c r="Z235" s="11"/>
      <c r="AA235" s="1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row>
    <row r="236" spans="1:64" ht="12.75" hidden="1" customHeight="1" outlineLevel="1">
      <c r="A236" s="9"/>
      <c r="B236" s="9"/>
      <c r="C236" s="9"/>
      <c r="D236" s="128" t="str">
        <f>Asset6</f>
        <v>Low Voltage Lines and Cables</v>
      </c>
      <c r="E236" s="9"/>
      <c r="F236" s="9"/>
      <c r="G236" s="9"/>
      <c r="H236" s="109"/>
      <c r="I236" s="109"/>
      <c r="J236" s="109"/>
      <c r="K236" s="109"/>
      <c r="L236" s="109">
        <f>IF(L$198&gt;0, IF(M$198=0, 'Adjustment for previous period'!$G81, 0), 0)</f>
        <v>71.683093013033428</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406"/>
      <c r="T236" s="11"/>
      <c r="U236" s="11"/>
      <c r="V236" s="11"/>
      <c r="W236" s="11"/>
      <c r="X236" s="11"/>
      <c r="Y236" s="11"/>
      <c r="Z236" s="11"/>
      <c r="AA236" s="1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row>
    <row r="237" spans="1:64" ht="12.75" hidden="1" customHeight="1" outlineLevel="1">
      <c r="A237" s="9"/>
      <c r="B237" s="9"/>
      <c r="C237" s="9"/>
      <c r="D237" s="128" t="str">
        <f>Asset7</f>
        <v>Customer Metering and Load Control</v>
      </c>
      <c r="E237" s="9"/>
      <c r="F237" s="9"/>
      <c r="G237" s="9"/>
      <c r="H237" s="109"/>
      <c r="I237" s="109"/>
      <c r="J237" s="109"/>
      <c r="K237" s="109"/>
      <c r="L237" s="109">
        <f>IF(L$198&gt;0, IF(M$198=0, 'Adjustment for previous period'!$G82, 0), 0)</f>
        <v>-20.482076660385328</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406"/>
      <c r="T237" s="11"/>
      <c r="U237" s="11"/>
      <c r="V237" s="11"/>
      <c r="W237" s="11"/>
      <c r="X237" s="11"/>
      <c r="Y237" s="11"/>
      <c r="Z237" s="11"/>
      <c r="AA237" s="1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row>
    <row r="238" spans="1:64" ht="12.75" hidden="1" customHeight="1" outlineLevel="1">
      <c r="A238" s="9"/>
      <c r="B238" s="9"/>
      <c r="C238" s="9"/>
      <c r="D238" s="128" t="str">
        <f>Asset8</f>
        <v>Customer Metering (digital)</v>
      </c>
      <c r="E238" s="9"/>
      <c r="F238" s="9"/>
      <c r="G238" s="9"/>
      <c r="H238" s="109"/>
      <c r="I238" s="109"/>
      <c r="J238" s="109"/>
      <c r="K238" s="109"/>
      <c r="L238" s="109">
        <f>IF(L$198&gt;0, IF(M$198=0, 'Adjustment for previous period'!$G83, 0), 0)</f>
        <v>0</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406"/>
      <c r="T238" s="11"/>
      <c r="U238" s="11"/>
      <c r="V238" s="11"/>
      <c r="W238" s="11"/>
      <c r="X238" s="11"/>
      <c r="Y238" s="11"/>
      <c r="Z238" s="11"/>
      <c r="AA238" s="11"/>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row>
    <row r="239" spans="1:64" ht="12.75" hidden="1" customHeight="1" outlineLevel="1">
      <c r="A239" s="9"/>
      <c r="B239" s="9"/>
      <c r="C239" s="9"/>
      <c r="D239" s="128" t="str">
        <f>Asset9</f>
        <v>Communications (digital) - dx</v>
      </c>
      <c r="E239" s="9"/>
      <c r="F239" s="9"/>
      <c r="G239" s="9"/>
      <c r="H239" s="109"/>
      <c r="I239" s="109"/>
      <c r="J239" s="109"/>
      <c r="K239" s="109"/>
      <c r="L239" s="109">
        <f>IF(L$198&gt;0, IF(M$198=0, 'Adjustment for previous period'!$G84, 0), 0)</f>
        <v>0</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406"/>
      <c r="T239" s="11"/>
      <c r="U239" s="11"/>
      <c r="V239" s="11"/>
      <c r="W239" s="11"/>
      <c r="X239" s="11"/>
      <c r="Y239" s="11"/>
      <c r="Z239" s="11"/>
      <c r="AA239" s="1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row>
    <row r="240" spans="1:64" ht="12.75" hidden="1" customHeight="1" outlineLevel="1">
      <c r="A240" s="9"/>
      <c r="B240" s="9"/>
      <c r="C240" s="9"/>
      <c r="D240" s="128" t="str">
        <f>Asset10</f>
        <v>Total Communications</v>
      </c>
      <c r="E240" s="9"/>
      <c r="F240" s="9"/>
      <c r="G240" s="9"/>
      <c r="H240" s="109"/>
      <c r="I240" s="109"/>
      <c r="J240" s="109"/>
      <c r="K240" s="109"/>
      <c r="L240" s="109">
        <f>IF(L$198&gt;0, IF(M$198=0, 'Adjustment for previous period'!$G85, 0), 0)</f>
        <v>15.926347755884546</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406"/>
      <c r="T240" s="11"/>
      <c r="U240" s="11"/>
      <c r="V240" s="11"/>
      <c r="W240" s="11"/>
      <c r="X240" s="11"/>
      <c r="Y240" s="11"/>
      <c r="Z240" s="11"/>
      <c r="AA240" s="1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row>
    <row r="241" spans="1:64" ht="12.75" hidden="1" customHeight="1" outlineLevel="1">
      <c r="A241" s="9"/>
      <c r="B241" s="9"/>
      <c r="C241" s="9"/>
      <c r="D241" s="128" t="str">
        <f>Asset11</f>
        <v>System IT (dx)</v>
      </c>
      <c r="E241" s="9"/>
      <c r="F241" s="9"/>
      <c r="G241" s="9"/>
      <c r="H241" s="109"/>
      <c r="I241" s="109"/>
      <c r="J241" s="109"/>
      <c r="K241" s="109"/>
      <c r="L241" s="109">
        <f>IF(L$198&gt;0, IF(M$198=0, 'Adjustment for previous period'!$G86, 0), 0)</f>
        <v>0</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406"/>
      <c r="T241" s="11"/>
      <c r="U241" s="11"/>
      <c r="V241" s="11"/>
      <c r="W241" s="11"/>
      <c r="X241" s="11"/>
      <c r="Y241" s="11"/>
      <c r="Z241" s="11"/>
      <c r="AA241" s="1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row>
    <row r="242" spans="1:64" ht="12.75" hidden="1" customHeight="1" outlineLevel="1">
      <c r="A242" s="9"/>
      <c r="B242" s="9"/>
      <c r="C242" s="9"/>
      <c r="D242" s="128" t="str">
        <f>Asset12</f>
        <v>Ancillary substation equipment (dx)</v>
      </c>
      <c r="E242" s="9"/>
      <c r="F242" s="9"/>
      <c r="G242" s="9"/>
      <c r="H242" s="109"/>
      <c r="I242" s="109"/>
      <c r="J242" s="109"/>
      <c r="K242" s="109"/>
      <c r="L242" s="109">
        <f>IF(L$198&gt;0, IF(M$198=0, 'Adjustment for previous period'!$G87, 0), 0)</f>
        <v>0</v>
      </c>
      <c r="M242" s="109">
        <f>IF(M$198&gt;0, IF(N$198=0, 'Adjustment for previous period'!$G87, 0), 0)</f>
        <v>0</v>
      </c>
      <c r="N242" s="109">
        <f>IF(N$198&gt;0, IF(O$198=0, 'Adjustment for previous period'!$G87, 0), 0)</f>
        <v>0</v>
      </c>
      <c r="O242" s="109">
        <f>IF(O$198&gt;0, IF(P$198=0, 'Adjustment for previous period'!$G87, 0), 0)</f>
        <v>0</v>
      </c>
      <c r="P242" s="109">
        <f>IF(P$198&gt;0, IF(Q$198=0, 'Adjustment for previous period'!$G87, 0), 0)</f>
        <v>0</v>
      </c>
      <c r="Q242" s="109">
        <f>IF(Q$198&gt;0, IF(R$198=0, 'Adjustment for previous period'!$G87, 0), 0)</f>
        <v>0</v>
      </c>
      <c r="R242" s="9"/>
      <c r="S242" s="406"/>
      <c r="T242" s="11"/>
      <c r="U242" s="11"/>
      <c r="V242" s="11"/>
      <c r="W242" s="11"/>
      <c r="X242" s="11"/>
      <c r="Y242" s="11"/>
      <c r="Z242" s="11"/>
      <c r="AA242" s="1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row>
    <row r="243" spans="1:64" ht="12.75" hidden="1" customHeight="1" outlineLevel="1">
      <c r="A243" s="9"/>
      <c r="B243" s="9"/>
      <c r="C243" s="9"/>
      <c r="D243" s="128" t="str">
        <f>Asset13</f>
        <v>Land and Easements</v>
      </c>
      <c r="E243" s="9"/>
      <c r="F243" s="9"/>
      <c r="G243" s="9"/>
      <c r="H243" s="109"/>
      <c r="I243" s="109"/>
      <c r="J243" s="109"/>
      <c r="K243" s="109"/>
      <c r="L243" s="109">
        <f>IF(L$198&gt;0, IF(M$198=0, 'Adjustment for previous period'!$G88, 0), 0)</f>
        <v>68.67788879398563</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406"/>
      <c r="T243" s="11"/>
      <c r="U243" s="11"/>
      <c r="V243" s="11"/>
      <c r="W243" s="11"/>
      <c r="X243" s="11"/>
      <c r="Y243" s="11"/>
      <c r="Z243" s="11"/>
      <c r="AA243" s="1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row>
    <row r="244" spans="1:64" ht="12.75" hidden="1" customHeight="1" outlineLevel="1">
      <c r="A244" s="9"/>
      <c r="B244" s="9"/>
      <c r="C244" s="9"/>
      <c r="D244" s="128" t="str">
        <f>Asset14</f>
        <v>Emergency Spares (Major Plant, Excludes Inventory)</v>
      </c>
      <c r="E244" s="9"/>
      <c r="F244" s="9"/>
      <c r="G244" s="9"/>
      <c r="H244" s="109"/>
      <c r="I244" s="109"/>
      <c r="J244" s="109"/>
      <c r="K244" s="109"/>
      <c r="L244" s="109">
        <f>IF(L$198&gt;0, IF(M$198=0, 'Adjustment for previous period'!$G89, 0), 0)</f>
        <v>0</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406"/>
      <c r="T244" s="11"/>
      <c r="U244" s="11"/>
      <c r="V244" s="11"/>
      <c r="W244" s="11"/>
      <c r="X244" s="11"/>
      <c r="Y244" s="11"/>
      <c r="Z244" s="11"/>
      <c r="AA244" s="1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row>
    <row r="245" spans="1:64" ht="12.75" hidden="1" customHeight="1" outlineLevel="1">
      <c r="A245" s="9"/>
      <c r="B245" s="9"/>
      <c r="C245" s="9"/>
      <c r="D245" s="128" t="str">
        <f>Asset15</f>
        <v>Furniture, fittings, plant and equipment</v>
      </c>
      <c r="E245" s="9"/>
      <c r="F245" s="9"/>
      <c r="G245" s="9"/>
      <c r="H245" s="109"/>
      <c r="I245" s="109"/>
      <c r="J245" s="109"/>
      <c r="K245" s="109"/>
      <c r="L245" s="109">
        <f>IF(L$198&gt;0, IF(M$198=0, 'Adjustment for previous period'!$G90, 0), 0)</f>
        <v>-4.8474668821938849E-2</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406"/>
      <c r="T245" s="11"/>
      <c r="U245" s="11"/>
      <c r="V245" s="11"/>
      <c r="W245" s="11"/>
      <c r="X245" s="11"/>
      <c r="Y245" s="11"/>
      <c r="Z245" s="11"/>
      <c r="AA245" s="1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row>
    <row r="246" spans="1:64" ht="12.75" hidden="1" customHeight="1" outlineLevel="1">
      <c r="A246" s="9"/>
      <c r="B246" s="9"/>
      <c r="C246" s="9"/>
      <c r="D246" s="128" t="str">
        <f>Asset16</f>
        <v>Land (non-system)</v>
      </c>
      <c r="E246" s="9"/>
      <c r="F246" s="9"/>
      <c r="G246" s="9"/>
      <c r="H246" s="109"/>
      <c r="I246" s="109"/>
      <c r="J246" s="109"/>
      <c r="K246" s="109"/>
      <c r="L246" s="109">
        <f>IF(L$198&gt;0, IF(M$198=0, 'Adjustment for previous period'!$G91, 0), 0)</f>
        <v>-13.034530300293511</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406"/>
      <c r="T246" s="11"/>
      <c r="U246" s="11"/>
      <c r="V246" s="11"/>
      <c r="W246" s="11"/>
      <c r="X246" s="11"/>
      <c r="Y246" s="11"/>
      <c r="Z246" s="11"/>
      <c r="AA246" s="1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row>
    <row r="247" spans="1:64" ht="12.75" hidden="1" customHeight="1" outlineLevel="1">
      <c r="A247" s="9"/>
      <c r="B247" s="9"/>
      <c r="C247" s="9"/>
      <c r="D247" s="128" t="str">
        <f>Asset17</f>
        <v>Other non system assets</v>
      </c>
      <c r="E247" s="9"/>
      <c r="F247" s="9"/>
      <c r="G247" s="9"/>
      <c r="H247" s="109"/>
      <c r="I247" s="109"/>
      <c r="J247" s="109"/>
      <c r="K247" s="109"/>
      <c r="L247" s="109">
        <f>IF(L$198&gt;0, IF(M$198=0, 'Adjustment for previous period'!$G92, 0), 0)</f>
        <v>0.72535598395886169</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406"/>
      <c r="T247" s="11"/>
      <c r="U247" s="11"/>
      <c r="V247" s="11"/>
      <c r="W247" s="11"/>
      <c r="X247" s="11"/>
      <c r="Y247" s="11"/>
      <c r="Z247" s="11"/>
      <c r="AA247" s="1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row>
    <row r="248" spans="1:64" ht="12.75" hidden="1" customHeight="1" outlineLevel="1">
      <c r="A248" s="9"/>
      <c r="B248" s="9"/>
      <c r="C248" s="9"/>
      <c r="D248" s="128" t="str">
        <f>Asset18</f>
        <v>IT systems</v>
      </c>
      <c r="E248" s="9"/>
      <c r="F248" s="9"/>
      <c r="G248" s="9"/>
      <c r="H248" s="109"/>
      <c r="I248" s="109"/>
      <c r="J248" s="109"/>
      <c r="K248" s="109"/>
      <c r="L248" s="109">
        <f>IF(L$198&gt;0, IF(M$198=0, 'Adjustment for previous period'!$G93, 0), 0)</f>
        <v>26.84520294300593</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406"/>
      <c r="T248" s="11"/>
      <c r="U248" s="11"/>
      <c r="V248" s="11"/>
      <c r="W248" s="11"/>
      <c r="X248" s="11"/>
      <c r="Y248" s="11"/>
      <c r="Z248" s="11"/>
      <c r="AA248" s="1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row>
    <row r="249" spans="1:64" ht="12.75" hidden="1" customHeight="1" outlineLevel="1">
      <c r="A249" s="9"/>
      <c r="B249" s="9"/>
      <c r="C249" s="9"/>
      <c r="D249" s="128" t="str">
        <f>Asset19</f>
        <v>Motor vehicles</v>
      </c>
      <c r="E249" s="9"/>
      <c r="F249" s="9"/>
      <c r="G249" s="9"/>
      <c r="H249" s="109"/>
      <c r="I249" s="109"/>
      <c r="J249" s="109"/>
      <c r="K249" s="109"/>
      <c r="L249" s="109">
        <f>IF(L$198&gt;0, IF(M$198=0, 'Adjustment for previous period'!$G94, 0), 0)</f>
        <v>1.0682603888355047</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406"/>
      <c r="T249" s="11"/>
      <c r="U249" s="11"/>
      <c r="V249" s="11"/>
      <c r="W249" s="11"/>
      <c r="X249" s="11"/>
      <c r="Y249" s="11"/>
      <c r="Z249" s="11"/>
      <c r="AA249" s="1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row>
    <row r="250" spans="1:64" ht="12.75" hidden="1" customHeight="1" outlineLevel="1">
      <c r="A250" s="9"/>
      <c r="B250" s="9"/>
      <c r="C250" s="9"/>
      <c r="D250" s="128" t="str">
        <f>Asset20</f>
        <v>Buildings</v>
      </c>
      <c r="E250" s="9"/>
      <c r="F250" s="9"/>
      <c r="G250" s="9"/>
      <c r="H250" s="109"/>
      <c r="I250" s="109"/>
      <c r="J250" s="109"/>
      <c r="K250" s="109"/>
      <c r="L250" s="109">
        <f>IF(L$198&gt;0, IF(M$198=0, 'Adjustment for previous period'!$G95, 0), 0)</f>
        <v>9.1178542543495666E-2</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406"/>
      <c r="T250" s="11"/>
      <c r="U250" s="11"/>
      <c r="V250" s="11"/>
      <c r="W250" s="11"/>
      <c r="X250" s="11"/>
      <c r="Y250" s="11"/>
      <c r="Z250" s="11"/>
      <c r="AA250" s="1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row>
    <row r="251" spans="1:64" ht="19.5" hidden="1" customHeight="1" outlineLevel="1">
      <c r="A251" s="9"/>
      <c r="B251" s="9"/>
      <c r="C251" s="9"/>
      <c r="D251" s="128" t="str">
        <f>Asset21</f>
        <v>Equity raising costs</v>
      </c>
      <c r="E251" s="9"/>
      <c r="F251" s="9"/>
      <c r="G251" s="9"/>
      <c r="H251" s="109"/>
      <c r="I251" s="109"/>
      <c r="J251" s="109"/>
      <c r="K251" s="109"/>
      <c r="L251" s="109">
        <f>IF(L$198&gt;0, IF(M$198=0, 'Adjustment for previous period'!$G96, 0), 0)</f>
        <v>0</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19"/>
      <c r="T251" s="11"/>
      <c r="U251" s="11"/>
      <c r="V251" s="11"/>
      <c r="W251" s="11"/>
      <c r="X251" s="11"/>
      <c r="Y251" s="11"/>
      <c r="Z251" s="11"/>
      <c r="AA251" s="11"/>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row>
    <row r="252" spans="1:64" ht="4.5" hidden="1" customHeight="1" outlineLevel="1">
      <c r="A252" s="9"/>
      <c r="B252" s="9"/>
      <c r="C252" s="9"/>
      <c r="D252" s="128">
        <f>Asset22</f>
        <v>0</v>
      </c>
      <c r="E252" s="9"/>
      <c r="F252" s="9"/>
      <c r="G252" s="9"/>
      <c r="H252" s="109"/>
      <c r="I252" s="109"/>
      <c r="J252" s="109"/>
      <c r="K252" s="109"/>
      <c r="L252" s="109">
        <f>IF(L$198&gt;0, IF(M$198=0, 'Adjustment for previous period'!$G97, 0), 0)</f>
        <v>0</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19"/>
      <c r="T252" s="11"/>
      <c r="U252" s="11"/>
      <c r="V252" s="11"/>
      <c r="W252" s="11"/>
      <c r="X252" s="11"/>
      <c r="Y252" s="11"/>
      <c r="Z252" s="11"/>
      <c r="AA252" s="1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row>
    <row r="253" spans="1:64" ht="4.5" hidden="1" customHeight="1" outlineLevel="1">
      <c r="A253" s="9"/>
      <c r="B253" s="9"/>
      <c r="C253" s="9"/>
      <c r="D253" s="128">
        <f>Asset23</f>
        <v>0</v>
      </c>
      <c r="E253" s="9"/>
      <c r="F253" s="9"/>
      <c r="G253" s="9"/>
      <c r="H253" s="109"/>
      <c r="I253" s="109"/>
      <c r="J253" s="109"/>
      <c r="K253" s="109"/>
      <c r="L253" s="109">
        <f>IF(L$198&gt;0, IF(M$198=0, 'Adjustment for previous period'!$G98, 0), 0)</f>
        <v>0</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19"/>
      <c r="T253" s="11"/>
      <c r="U253" s="11"/>
      <c r="V253" s="11"/>
      <c r="W253" s="11"/>
      <c r="X253" s="11"/>
      <c r="Y253" s="11"/>
      <c r="Z253" s="11"/>
      <c r="AA253" s="1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row>
    <row r="254" spans="1:64" ht="4.5" hidden="1" customHeight="1" outlineLevel="1">
      <c r="A254" s="9"/>
      <c r="B254" s="9"/>
      <c r="C254" s="9"/>
      <c r="D254" s="128">
        <f>Asset24</f>
        <v>0</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1"/>
      <c r="T254" s="11"/>
      <c r="U254" s="11"/>
      <c r="V254" s="11"/>
      <c r="W254" s="11"/>
      <c r="X254" s="11"/>
      <c r="Y254" s="11"/>
      <c r="Z254" s="11"/>
      <c r="AA254" s="1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row>
    <row r="255" spans="1:64" ht="4.5" hidden="1"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1"/>
      <c r="T255" s="11"/>
      <c r="U255" s="11"/>
      <c r="V255" s="11"/>
      <c r="W255" s="11"/>
      <c r="X255" s="11"/>
      <c r="Y255" s="11"/>
      <c r="Z255" s="11"/>
      <c r="AA255" s="1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row>
    <row r="256" spans="1:64" ht="4.5" hidden="1"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1"/>
      <c r="T256" s="11"/>
      <c r="U256" s="11"/>
      <c r="V256" s="11"/>
      <c r="W256" s="11"/>
      <c r="X256" s="11"/>
      <c r="Y256" s="11"/>
      <c r="Z256" s="11"/>
      <c r="AA256" s="1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row>
    <row r="257" spans="1:64" ht="4.5" hidden="1"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1"/>
      <c r="T257" s="11"/>
      <c r="U257" s="11"/>
      <c r="V257" s="11"/>
      <c r="W257" s="11"/>
      <c r="X257" s="11"/>
      <c r="Y257" s="11"/>
      <c r="Z257" s="11"/>
      <c r="AA257" s="1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row>
    <row r="258" spans="1:64" ht="4.5" hidden="1"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1"/>
      <c r="T258" s="11"/>
      <c r="U258" s="11"/>
      <c r="V258" s="11"/>
      <c r="W258" s="11"/>
      <c r="X258" s="11"/>
      <c r="Y258" s="11"/>
      <c r="Z258" s="11"/>
      <c r="AA258" s="1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row>
    <row r="259" spans="1:64" ht="4.5" hidden="1"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1"/>
      <c r="T259" s="11"/>
      <c r="U259" s="11"/>
      <c r="V259" s="11"/>
      <c r="W259" s="11"/>
      <c r="X259" s="11"/>
      <c r="Y259" s="11"/>
      <c r="Z259" s="11"/>
      <c r="AA259" s="1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row>
    <row r="260" spans="1:64" ht="4.5" hidden="1"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1"/>
      <c r="T260" s="11"/>
      <c r="U260" s="11"/>
      <c r="V260" s="11"/>
      <c r="W260" s="11"/>
      <c r="X260" s="11"/>
      <c r="Y260" s="11"/>
      <c r="Z260" s="11"/>
      <c r="AA260" s="1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row>
    <row r="261" spans="1:64" ht="12" customHeight="1" collapsed="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row>
    <row r="262" spans="1:64" ht="12" customHeight="1">
      <c r="A262" s="9"/>
      <c r="B262" s="11"/>
      <c r="C262" s="88" t="s">
        <v>56</v>
      </c>
      <c r="D262" s="11"/>
      <c r="E262" s="11"/>
      <c r="F262" s="11"/>
      <c r="G262" s="113"/>
      <c r="H262" s="119"/>
      <c r="I262" s="119"/>
      <c r="J262" s="119"/>
      <c r="K262" s="119"/>
      <c r="L262" s="119">
        <f t="shared" ref="L262:Q262" si="16">SUM(L263:L292)</f>
        <v>145.91685116483953</v>
      </c>
      <c r="M262" s="119">
        <f t="shared" si="16"/>
        <v>0</v>
      </c>
      <c r="N262" s="119">
        <f t="shared" si="16"/>
        <v>0</v>
      </c>
      <c r="O262" s="119">
        <f t="shared" si="16"/>
        <v>0</v>
      </c>
      <c r="P262" s="119">
        <f t="shared" si="16"/>
        <v>0</v>
      </c>
      <c r="Q262" s="119">
        <f t="shared" si="16"/>
        <v>0</v>
      </c>
      <c r="R262" s="9"/>
      <c r="S262" s="11"/>
      <c r="T262" s="11"/>
      <c r="U262" s="11"/>
      <c r="V262" s="11"/>
      <c r="W262" s="11"/>
      <c r="X262" s="11"/>
      <c r="Y262" s="11"/>
      <c r="Z262" s="11"/>
      <c r="AA262" s="1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row>
    <row r="263" spans="1:64" ht="12.75" hidden="1" customHeight="1" outlineLevel="1">
      <c r="A263" s="9"/>
      <c r="B263" s="9"/>
      <c r="C263" s="9"/>
      <c r="D263" s="128" t="str">
        <f>Asset1</f>
        <v>Sub-transmission lines and cables</v>
      </c>
      <c r="E263" s="9"/>
      <c r="F263" s="9"/>
      <c r="G263" s="9"/>
      <c r="H263" s="109"/>
      <c r="I263" s="109"/>
      <c r="J263" s="109"/>
      <c r="K263" s="109"/>
      <c r="L263" s="109">
        <f>IF(M$198=0, 'Adjustment for previous period'!L109, 0)</f>
        <v>102.81769546426264</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1"/>
      <c r="T263" s="11"/>
      <c r="U263" s="11"/>
      <c r="V263" s="11"/>
      <c r="W263" s="11"/>
      <c r="X263" s="11"/>
      <c r="Y263" s="11"/>
      <c r="Z263" s="11"/>
      <c r="AA263" s="1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row>
    <row r="264" spans="1:64" ht="12.75" hidden="1" customHeight="1" outlineLevel="1">
      <c r="A264" s="9"/>
      <c r="B264" s="9"/>
      <c r="C264" s="9"/>
      <c r="D264" s="128" t="str">
        <f>Asset2</f>
        <v>Cable tunnel (dx)</v>
      </c>
      <c r="E264" s="9"/>
      <c r="F264" s="9"/>
      <c r="G264" s="9"/>
      <c r="H264" s="109"/>
      <c r="I264" s="109"/>
      <c r="J264" s="109"/>
      <c r="K264" s="109"/>
      <c r="L264" s="109">
        <f>IF(M$198=0, 'Adjustment for previous period'!L111, 0)</f>
        <v>-18.0554853906022</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28"/>
      <c r="S264" s="99"/>
      <c r="T264" s="99"/>
      <c r="U264" s="99"/>
      <c r="V264" s="99"/>
      <c r="W264" s="99"/>
      <c r="X264" s="99"/>
      <c r="Y264" s="99"/>
      <c r="Z264" s="99"/>
      <c r="AA264" s="99"/>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14"/>
      <c r="BL264" s="214"/>
    </row>
    <row r="265" spans="1:64" ht="12.75" hidden="1" customHeight="1" outlineLevel="1">
      <c r="A265" s="9"/>
      <c r="B265" s="9"/>
      <c r="C265" s="9"/>
      <c r="D265" s="128" t="str">
        <f>Asset3</f>
        <v>Distribution lines and cables</v>
      </c>
      <c r="E265" s="9"/>
      <c r="F265" s="9"/>
      <c r="G265" s="9"/>
      <c r="H265" s="109"/>
      <c r="I265" s="109"/>
      <c r="J265" s="109"/>
      <c r="K265" s="109"/>
      <c r="L265" s="109">
        <f>IF(M$198=0, 'Adjustment for previous period'!L113, 0)</f>
        <v>-4.7604363959945672</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1"/>
      <c r="T265" s="11"/>
      <c r="U265" s="11"/>
      <c r="V265" s="11"/>
      <c r="W265" s="11"/>
      <c r="X265" s="11"/>
      <c r="Y265" s="11"/>
      <c r="Z265" s="11"/>
      <c r="AA265" s="1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row>
    <row r="266" spans="1:64" ht="12.75" hidden="1" customHeight="1" outlineLevel="1">
      <c r="A266" s="9"/>
      <c r="B266" s="9"/>
      <c r="C266" s="9"/>
      <c r="D266" s="128" t="str">
        <f>Asset4</f>
        <v>Substations</v>
      </c>
      <c r="E266" s="9"/>
      <c r="F266" s="9"/>
      <c r="G266" s="9"/>
      <c r="H266" s="109"/>
      <c r="I266" s="109"/>
      <c r="J266" s="109"/>
      <c r="K266" s="109"/>
      <c r="L266" s="109">
        <f>IF(M$198=0, 'Adjustment for previous period'!L115, 0)</f>
        <v>-22.419304938512013</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1"/>
      <c r="T266" s="11"/>
      <c r="U266" s="11"/>
      <c r="V266" s="11"/>
      <c r="W266" s="11"/>
      <c r="X266" s="11"/>
      <c r="Y266" s="11"/>
      <c r="Z266" s="11"/>
      <c r="AA266" s="1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row>
    <row r="267" spans="1:64" ht="12.75" hidden="1" customHeight="1" outlineLevel="1">
      <c r="A267" s="9"/>
      <c r="B267" s="9"/>
      <c r="C267" s="9"/>
      <c r="D267" s="128" t="str">
        <f>Asset5</f>
        <v>Transformers</v>
      </c>
      <c r="E267" s="9"/>
      <c r="F267" s="9"/>
      <c r="G267" s="9"/>
      <c r="H267" s="109"/>
      <c r="I267" s="109"/>
      <c r="J267" s="109"/>
      <c r="K267" s="109"/>
      <c r="L267" s="109">
        <f>IF(M$198=0, 'Adjustment for previous period'!L117, 0)</f>
        <v>-4.0892937085915033</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1"/>
      <c r="T267" s="11"/>
      <c r="U267" s="11"/>
      <c r="V267" s="11"/>
      <c r="W267" s="11"/>
      <c r="X267" s="11"/>
      <c r="Y267" s="11"/>
      <c r="Z267" s="11"/>
      <c r="AA267" s="1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row>
    <row r="268" spans="1:64" ht="12.75" hidden="1" customHeight="1" outlineLevel="1">
      <c r="A268" s="9"/>
      <c r="B268" s="9"/>
      <c r="C268" s="9"/>
      <c r="D268" s="128" t="str">
        <f>Asset6</f>
        <v>Low Voltage Lines and Cables</v>
      </c>
      <c r="E268" s="9"/>
      <c r="F268" s="9"/>
      <c r="G268" s="9"/>
      <c r="H268" s="109"/>
      <c r="I268" s="109"/>
      <c r="J268" s="109"/>
      <c r="K268" s="109"/>
      <c r="L268" s="109">
        <f>IF(M$198=0, 'Adjustment for previous period'!L119, 0)</f>
        <v>43.744580599021461</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1"/>
      <c r="T268" s="11"/>
      <c r="U268" s="11"/>
      <c r="V268" s="11"/>
      <c r="W268" s="11"/>
      <c r="X268" s="11"/>
      <c r="Y268" s="11"/>
      <c r="Z268" s="11"/>
      <c r="AA268" s="1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row>
    <row r="269" spans="1:64" ht="12.75" hidden="1" customHeight="1" outlineLevel="1">
      <c r="A269" s="9"/>
      <c r="B269" s="9"/>
      <c r="C269" s="9"/>
      <c r="D269" s="128" t="str">
        <f>Asset7</f>
        <v>Customer Metering and Load Control</v>
      </c>
      <c r="E269" s="9"/>
      <c r="F269" s="9"/>
      <c r="G269" s="9"/>
      <c r="H269" s="109"/>
      <c r="I269" s="109"/>
      <c r="J269" s="109"/>
      <c r="K269" s="109"/>
      <c r="L269" s="109">
        <f>IF(M$198=0, 'Adjustment for previous period'!L121, 0)</f>
        <v>-12.499179592357365</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row>
    <row r="270" spans="1:64" ht="12.75" hidden="1" customHeight="1" outlineLevel="1">
      <c r="A270" s="9"/>
      <c r="B270" s="9"/>
      <c r="C270" s="9"/>
      <c r="D270" s="128" t="str">
        <f>Asset8</f>
        <v>Customer Metering (digital)</v>
      </c>
      <c r="E270" s="9"/>
      <c r="F270" s="9"/>
      <c r="G270" s="9"/>
      <c r="H270" s="109"/>
      <c r="I270" s="109"/>
      <c r="J270" s="109"/>
      <c r="K270" s="109"/>
      <c r="L270" s="109">
        <f>IF(M$198=0, 'Adjustment for previous period'!L123, 0)</f>
        <v>0</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row>
    <row r="271" spans="1:64" ht="12.75" hidden="1" customHeight="1" outlineLevel="1">
      <c r="A271" s="9"/>
      <c r="B271" s="9"/>
      <c r="C271" s="9"/>
      <c r="D271" s="128" t="str">
        <f>Asset9</f>
        <v>Communications (digital) - dx</v>
      </c>
      <c r="E271" s="9"/>
      <c r="F271" s="9"/>
      <c r="G271" s="9"/>
      <c r="H271" s="109"/>
      <c r="I271" s="109"/>
      <c r="J271" s="109"/>
      <c r="K271" s="109"/>
      <c r="L271" s="109">
        <f>IF(M$198=0, 'Adjustment for previous period'!L125, 0)</f>
        <v>0</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row>
    <row r="272" spans="1:64" ht="12.75" hidden="1" customHeight="1" outlineLevel="1">
      <c r="A272" s="9"/>
      <c r="B272" s="9"/>
      <c r="C272" s="9"/>
      <c r="D272" s="128" t="str">
        <f>Asset10</f>
        <v>Total Communications</v>
      </c>
      <c r="E272" s="9"/>
      <c r="F272" s="9"/>
      <c r="G272" s="9"/>
      <c r="H272" s="109"/>
      <c r="I272" s="109"/>
      <c r="J272" s="109"/>
      <c r="K272" s="109"/>
      <c r="L272" s="109">
        <f>IF(M$198=0, 'Adjustment for previous period'!L127, 0)</f>
        <v>9.7190477387556857</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row>
    <row r="273" spans="1:64" ht="12.75" hidden="1" customHeight="1" outlineLevel="1">
      <c r="A273" s="9"/>
      <c r="B273" s="9"/>
      <c r="C273" s="9"/>
      <c r="D273" s="128" t="str">
        <f>Asset11</f>
        <v>System IT (dx)</v>
      </c>
      <c r="E273" s="9"/>
      <c r="F273" s="9"/>
      <c r="G273" s="9"/>
      <c r="H273" s="109"/>
      <c r="I273" s="109"/>
      <c r="J273" s="109"/>
      <c r="K273" s="109"/>
      <c r="L273" s="109">
        <f>IF(M$198=0, 'Adjustment for previous period'!L129, 0)</f>
        <v>0</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row>
    <row r="274" spans="1:64" ht="12.75" hidden="1" customHeight="1" outlineLevel="1">
      <c r="A274" s="9"/>
      <c r="B274" s="9"/>
      <c r="C274" s="9"/>
      <c r="D274" s="128" t="str">
        <f>Asset12</f>
        <v>Ancillary substation equipment (dx)</v>
      </c>
      <c r="E274" s="9"/>
      <c r="F274" s="9"/>
      <c r="G274" s="9"/>
      <c r="H274" s="109"/>
      <c r="I274" s="109"/>
      <c r="J274" s="109"/>
      <c r="K274" s="109"/>
      <c r="L274" s="109">
        <f>IF(M$198=0, 'Adjustment for previous period'!L131, 0)</f>
        <v>0</v>
      </c>
      <c r="M274" s="109">
        <f>IF(N$198=0, 'Adjustment for previous period'!M131, 0)</f>
        <v>0</v>
      </c>
      <c r="N274" s="109">
        <f>IF(O$198=0, 'Adjustment for previous period'!N131, 0)</f>
        <v>0</v>
      </c>
      <c r="O274" s="109">
        <f>IF(P$198=0, 'Adjustment for previous period'!O131, 0)</f>
        <v>0</v>
      </c>
      <c r="P274" s="109">
        <f>IF(Q$198=0, 'Adjustment for previous period'!P131, 0)</f>
        <v>0</v>
      </c>
      <c r="Q274" s="109">
        <f>IF(R$198=0, 'Adjustment for previous period'!Q131, 0)</f>
        <v>0</v>
      </c>
      <c r="R274" s="9"/>
      <c r="S274" s="9"/>
      <c r="T274" s="9"/>
      <c r="U274" s="9"/>
      <c r="V274" s="9"/>
      <c r="W274" s="9"/>
      <c r="X274" s="9"/>
      <c r="Y274" s="9"/>
      <c r="Z274" s="9"/>
      <c r="AA274" s="9"/>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row>
    <row r="275" spans="1:64" ht="12.75" hidden="1" customHeight="1" outlineLevel="1">
      <c r="A275" s="9"/>
      <c r="B275" s="9"/>
      <c r="C275" s="9"/>
      <c r="D275" s="128" t="str">
        <f>Asset13</f>
        <v>Land and Easements</v>
      </c>
      <c r="E275" s="9"/>
      <c r="F275" s="9"/>
      <c r="G275" s="9"/>
      <c r="H275" s="109"/>
      <c r="I275" s="109"/>
      <c r="J275" s="109"/>
      <c r="K275" s="109"/>
      <c r="L275" s="109">
        <f>IF(M$198=0, 'Adjustment for previous period'!L133, 0)</f>
        <v>41.910655852599689</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row>
    <row r="276" spans="1:64" ht="12.75" hidden="1" customHeight="1" outlineLevel="1">
      <c r="A276" s="9"/>
      <c r="B276" s="9"/>
      <c r="C276" s="9"/>
      <c r="D276" s="128" t="str">
        <f>Asset14</f>
        <v>Emergency Spares (Major Plant, Excludes Inventory)</v>
      </c>
      <c r="E276" s="9"/>
      <c r="F276" s="9"/>
      <c r="G276" s="9"/>
      <c r="H276" s="109"/>
      <c r="I276" s="109"/>
      <c r="J276" s="109"/>
      <c r="K276" s="109"/>
      <c r="L276" s="109">
        <f>IF(M$198=0, 'Adjustment for previous period'!L135, 0)</f>
        <v>0</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row>
    <row r="277" spans="1:64" ht="12.75" hidden="1" customHeight="1" outlineLevel="1">
      <c r="A277" s="9"/>
      <c r="B277" s="9"/>
      <c r="C277" s="9"/>
      <c r="D277" s="128" t="str">
        <f>Asset15</f>
        <v>Furniture, fittings, plant and equipment</v>
      </c>
      <c r="E277" s="9"/>
      <c r="F277" s="9"/>
      <c r="G277" s="9"/>
      <c r="H277" s="109"/>
      <c r="I277" s="109"/>
      <c r="J277" s="109"/>
      <c r="K277" s="109"/>
      <c r="L277" s="109">
        <f>IF(M$198=0, 'Adjustment for previous period'!L137, 0)</f>
        <v>-2.9581648449608974E-2</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row>
    <row r="278" spans="1:64" ht="12.75" hidden="1" customHeight="1" outlineLevel="1">
      <c r="A278" s="9"/>
      <c r="B278" s="9"/>
      <c r="C278" s="9"/>
      <c r="D278" s="128" t="str">
        <f>Asset16</f>
        <v>Land (non-system)</v>
      </c>
      <c r="E278" s="9"/>
      <c r="F278" s="9"/>
      <c r="G278" s="9"/>
      <c r="H278" s="109"/>
      <c r="I278" s="109"/>
      <c r="J278" s="109"/>
      <c r="K278" s="109"/>
      <c r="L278" s="109">
        <f>IF(M$198=0, 'Adjustment for previous period'!L139, 0)</f>
        <v>-7.9543172221642946</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row>
    <row r="279" spans="1:64" ht="12.75" hidden="1" customHeight="1" outlineLevel="1">
      <c r="A279" s="9"/>
      <c r="B279" s="9"/>
      <c r="C279" s="9"/>
      <c r="D279" s="128" t="str">
        <f>Asset17</f>
        <v>Other non system assets</v>
      </c>
      <c r="E279" s="9"/>
      <c r="F279" s="9"/>
      <c r="G279" s="9"/>
      <c r="H279" s="109"/>
      <c r="I279" s="109"/>
      <c r="J279" s="109"/>
      <c r="K279" s="109"/>
      <c r="L279" s="109">
        <f>IF(M$198=0, 'Adjustment for previous period'!L141, 0)</f>
        <v>0.44264821688848882</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row>
    <row r="280" spans="1:64" ht="12.75" hidden="1" customHeight="1" outlineLevel="1">
      <c r="A280" s="9"/>
      <c r="B280" s="9"/>
      <c r="C280" s="9"/>
      <c r="D280" s="128" t="str">
        <f>Asset18</f>
        <v>IT systems</v>
      </c>
      <c r="E280" s="9"/>
      <c r="F280" s="9"/>
      <c r="G280" s="9"/>
      <c r="H280" s="109"/>
      <c r="I280" s="109"/>
      <c r="J280" s="109"/>
      <c r="K280" s="109"/>
      <c r="L280" s="109">
        <f>IF(M$198=0, 'Adjustment for previous period'!L143, 0)</f>
        <v>16.38227501740046</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row>
    <row r="281" spans="1:64" ht="12.75" hidden="1" customHeight="1" outlineLevel="1">
      <c r="A281" s="9"/>
      <c r="B281" s="9"/>
      <c r="C281" s="9"/>
      <c r="D281" s="128" t="str">
        <f>Asset19</f>
        <v>Motor vehicles</v>
      </c>
      <c r="E281" s="9"/>
      <c r="F281" s="9"/>
      <c r="G281" s="9"/>
      <c r="H281" s="109"/>
      <c r="I281" s="109"/>
      <c r="J281" s="109"/>
      <c r="K281" s="109"/>
      <c r="L281" s="109">
        <f>IF(M$198=0, 'Adjustment for previous period'!L145, 0)</f>
        <v>0.6519055012269096</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row>
    <row r="282" spans="1:64" ht="12.75" hidden="1" customHeight="1" outlineLevel="1">
      <c r="A282" s="9"/>
      <c r="B282" s="9"/>
      <c r="C282" s="9"/>
      <c r="D282" s="128" t="str">
        <f>Asset20</f>
        <v>Buildings</v>
      </c>
      <c r="E282" s="9"/>
      <c r="F282" s="9"/>
      <c r="G282" s="9"/>
      <c r="H282" s="109"/>
      <c r="I282" s="109"/>
      <c r="J282" s="109"/>
      <c r="K282" s="109"/>
      <c r="L282" s="109">
        <f>IF(M$198=0, 'Adjustment for previous period'!L147, 0)</f>
        <v>5.5641671355755408E-2</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row>
    <row r="283" spans="1:64" ht="12.75" hidden="1" customHeight="1" outlineLevel="1">
      <c r="A283" s="9"/>
      <c r="B283" s="9"/>
      <c r="C283" s="9"/>
      <c r="D283" s="128" t="str">
        <f>Asset21</f>
        <v>Equity raising costs</v>
      </c>
      <c r="E283" s="9"/>
      <c r="F283" s="9"/>
      <c r="G283" s="9"/>
      <c r="H283" s="109"/>
      <c r="I283" s="109"/>
      <c r="J283" s="109"/>
      <c r="K283" s="109"/>
      <c r="L283" s="109">
        <f>IF(M$198=0, 'Adjustment for previous period'!L149, 0)</f>
        <v>0</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row>
    <row r="284" spans="1:64" ht="4.5" hidden="1" customHeight="1" outlineLevel="1">
      <c r="A284" s="9"/>
      <c r="B284" s="9"/>
      <c r="C284" s="9"/>
      <c r="D284" s="128">
        <f>Asset22</f>
        <v>0</v>
      </c>
      <c r="E284" s="9"/>
      <c r="F284" s="9"/>
      <c r="G284" s="9"/>
      <c r="H284" s="109"/>
      <c r="I284" s="109"/>
      <c r="J284" s="109"/>
      <c r="K284" s="109"/>
      <c r="L284" s="109">
        <f>IF(M$198=0, 'Adjustment for previous period'!L151, 0)</f>
        <v>0</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row>
    <row r="285" spans="1:64" ht="4.5" hidden="1" customHeight="1" outlineLevel="1">
      <c r="A285" s="9"/>
      <c r="B285" s="9"/>
      <c r="C285" s="9"/>
      <c r="D285" s="128">
        <f>Asset23</f>
        <v>0</v>
      </c>
      <c r="E285" s="9"/>
      <c r="F285" s="9"/>
      <c r="G285" s="9"/>
      <c r="H285" s="109"/>
      <c r="I285" s="109"/>
      <c r="J285" s="109"/>
      <c r="K285" s="109"/>
      <c r="L285" s="109">
        <f>IF(M$198=0, 'Adjustment for previous period'!L153, 0)</f>
        <v>0</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row>
    <row r="286" spans="1:64" ht="4.5" hidden="1" customHeight="1" outlineLevel="1">
      <c r="A286" s="9"/>
      <c r="B286" s="9"/>
      <c r="C286" s="9"/>
      <c r="D286" s="128">
        <f>Asset24</f>
        <v>0</v>
      </c>
      <c r="E286" s="9"/>
      <c r="F286" s="9"/>
      <c r="G286" s="9"/>
      <c r="H286" s="109"/>
      <c r="I286" s="109"/>
      <c r="J286" s="109"/>
      <c r="K286" s="109"/>
      <c r="L286" s="109">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row>
    <row r="287" spans="1:64" ht="4.5" hidden="1" customHeight="1" outlineLevel="1">
      <c r="A287" s="9"/>
      <c r="B287" s="9"/>
      <c r="C287" s="9"/>
      <c r="D287" s="128">
        <f>Asset25</f>
        <v>0</v>
      </c>
      <c r="E287" s="9"/>
      <c r="F287" s="9"/>
      <c r="G287" s="9"/>
      <c r="H287" s="109"/>
      <c r="I287" s="109"/>
      <c r="J287" s="109"/>
      <c r="K287" s="109"/>
      <c r="L287" s="109">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row>
    <row r="288" spans="1:64" ht="4.5" hidden="1" customHeight="1" outlineLevel="1">
      <c r="A288" s="9"/>
      <c r="B288" s="9"/>
      <c r="C288" s="9"/>
      <c r="D288" s="128">
        <f>Asset26</f>
        <v>0</v>
      </c>
      <c r="E288" s="9"/>
      <c r="F288" s="9"/>
      <c r="G288" s="9"/>
      <c r="H288" s="109"/>
      <c r="I288" s="109"/>
      <c r="J288" s="109"/>
      <c r="K288" s="109"/>
      <c r="L288" s="109">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row>
    <row r="289" spans="1:64" ht="4.5" hidden="1" customHeight="1" outlineLevel="1">
      <c r="A289" s="9"/>
      <c r="B289" s="9"/>
      <c r="C289" s="9"/>
      <c r="D289" s="128">
        <f>Asset27</f>
        <v>0</v>
      </c>
      <c r="E289" s="9"/>
      <c r="F289" s="9"/>
      <c r="G289" s="9"/>
      <c r="H289" s="109"/>
      <c r="I289" s="109"/>
      <c r="J289" s="109"/>
      <c r="K289" s="109"/>
      <c r="L289" s="109">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row>
    <row r="290" spans="1:64" ht="4.5" hidden="1" customHeight="1" outlineLevel="1">
      <c r="A290" s="9"/>
      <c r="B290" s="9"/>
      <c r="C290" s="9"/>
      <c r="D290" s="128">
        <f>Asset28</f>
        <v>0</v>
      </c>
      <c r="E290" s="9"/>
      <c r="F290" s="9"/>
      <c r="G290" s="9"/>
      <c r="H290" s="109"/>
      <c r="I290" s="109"/>
      <c r="J290" s="109"/>
      <c r="K290" s="109"/>
      <c r="L290" s="109">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row>
    <row r="291" spans="1:64" ht="4.5" hidden="1" customHeight="1" outlineLevel="1">
      <c r="A291" s="9"/>
      <c r="B291" s="9"/>
      <c r="C291" s="9"/>
      <c r="D291" s="128">
        <f>Asset29</f>
        <v>0</v>
      </c>
      <c r="E291" s="9"/>
      <c r="F291" s="9"/>
      <c r="G291" s="9"/>
      <c r="H291" s="109"/>
      <c r="I291" s="109"/>
      <c r="J291" s="109"/>
      <c r="K291" s="109"/>
      <c r="L291" s="109">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row>
    <row r="292" spans="1:64" ht="4.5" hidden="1" customHeight="1" outlineLevel="1">
      <c r="A292" s="9"/>
      <c r="B292" s="9"/>
      <c r="C292" s="9"/>
      <c r="D292" s="128">
        <f>Asset30</f>
        <v>0</v>
      </c>
      <c r="E292" s="9"/>
      <c r="F292" s="9"/>
      <c r="G292" s="9"/>
      <c r="H292" s="109"/>
      <c r="I292" s="109"/>
      <c r="J292" s="109"/>
      <c r="K292" s="109"/>
      <c r="L292" s="109">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row>
    <row r="294" spans="1:64">
      <c r="A294" s="9"/>
      <c r="B294" s="9"/>
      <c r="C294" s="9" t="s">
        <v>55</v>
      </c>
      <c r="D294" s="9"/>
      <c r="E294" s="9"/>
      <c r="F294" s="9"/>
      <c r="G294" s="9"/>
      <c r="H294" s="9"/>
      <c r="I294" s="9"/>
      <c r="J294" s="9"/>
      <c r="K294" s="9"/>
      <c r="L294" s="36">
        <f t="shared" ref="L294:Q294" si="17">SUM(L295:L323)</f>
        <v>0</v>
      </c>
      <c r="M294" s="36">
        <f t="shared" si="17"/>
        <v>0</v>
      </c>
      <c r="N294" s="36">
        <f t="shared" si="17"/>
        <v>0</v>
      </c>
      <c r="O294" s="36">
        <f t="shared" si="17"/>
        <v>0</v>
      </c>
      <c r="P294" s="36">
        <f t="shared" si="17"/>
        <v>0</v>
      </c>
      <c r="Q294" s="36">
        <f t="shared" si="17"/>
        <v>0</v>
      </c>
      <c r="R294" s="9"/>
      <c r="S294" s="9"/>
      <c r="T294" s="9"/>
      <c r="U294" s="9"/>
      <c r="V294" s="9"/>
      <c r="W294" s="9"/>
      <c r="X294" s="9"/>
      <c r="Y294" s="9"/>
      <c r="Z294" s="9"/>
      <c r="AA294" s="9"/>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row>
    <row r="295" spans="1:64" ht="12.75" hidden="1" customHeight="1" outlineLevel="1">
      <c r="A295" s="9"/>
      <c r="B295" s="9"/>
      <c r="C295" s="9"/>
      <c r="D295" s="128" t="str">
        <f>Asset1</f>
        <v>Sub-transmission lines and cables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row>
    <row r="296" spans="1:64" ht="12.75" hidden="1" customHeight="1" outlineLevel="1">
      <c r="A296" s="9"/>
      <c r="B296" s="9"/>
      <c r="C296" s="9"/>
      <c r="D296" s="128" t="str">
        <f>Asset2</f>
        <v>Cable tunnel (dx)</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row>
    <row r="297" spans="1:64" ht="12.75" hidden="1" customHeight="1" outlineLevel="1">
      <c r="A297" s="9"/>
      <c r="B297" s="9"/>
      <c r="C297" s="9"/>
      <c r="D297" s="128" t="str">
        <f>Asset3</f>
        <v>Distribution lines and cables</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row>
    <row r="298" spans="1:64" ht="12.75" hidden="1" customHeight="1" outlineLevel="1">
      <c r="A298" s="9"/>
      <c r="B298" s="9"/>
      <c r="C298" s="9"/>
      <c r="D298" s="128" t="str">
        <f>Asset4</f>
        <v>Substations</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row>
    <row r="299" spans="1:64" ht="12.75" hidden="1" customHeight="1" outlineLevel="1">
      <c r="A299" s="9"/>
      <c r="B299" s="9"/>
      <c r="C299" s="9"/>
      <c r="D299" s="128" t="str">
        <f>Asset5</f>
        <v>Transformers</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row>
    <row r="300" spans="1:64" ht="12.75" hidden="1" customHeight="1" outlineLevel="1">
      <c r="A300" s="9"/>
      <c r="B300" s="9"/>
      <c r="C300" s="9"/>
      <c r="D300" s="128" t="str">
        <f>Asset6</f>
        <v>Low Voltage Lines and Cables</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row>
    <row r="301" spans="1:64" ht="12.75" hidden="1" customHeight="1" outlineLevel="1">
      <c r="A301" s="9"/>
      <c r="B301" s="9"/>
      <c r="C301" s="9"/>
      <c r="D301" s="128" t="str">
        <f>Asset7</f>
        <v>Customer Metering and Load Control</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row>
    <row r="302" spans="1:64" ht="12.75" hidden="1" customHeight="1" outlineLevel="1">
      <c r="A302" s="9"/>
      <c r="B302" s="9"/>
      <c r="C302" s="9"/>
      <c r="D302" s="128" t="str">
        <f>Asset8</f>
        <v>Customer Metering (digital)</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row>
    <row r="303" spans="1:64" ht="12.75" hidden="1" customHeight="1" outlineLevel="1">
      <c r="A303" s="9"/>
      <c r="B303" s="9"/>
      <c r="C303" s="9"/>
      <c r="D303" s="128" t="str">
        <f>Asset9</f>
        <v>Communications (digital) - dx</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row>
    <row r="304" spans="1:64" ht="12.75" hidden="1" customHeight="1" outlineLevel="1">
      <c r="A304" s="9"/>
      <c r="B304" s="9"/>
      <c r="C304" s="9"/>
      <c r="D304" s="128" t="str">
        <f>Asset10</f>
        <v>Total Communications</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row>
    <row r="305" spans="1:64" ht="12.75" hidden="1" customHeight="1" outlineLevel="1">
      <c r="A305" s="9"/>
      <c r="B305" s="9"/>
      <c r="C305" s="9"/>
      <c r="D305" s="128" t="str">
        <f>Asset11</f>
        <v>System IT (dx)</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row>
    <row r="306" spans="1:64" ht="12.75" hidden="1" customHeight="1" outlineLevel="1">
      <c r="A306" s="9"/>
      <c r="B306" s="9"/>
      <c r="C306" s="9"/>
      <c r="D306" s="128" t="str">
        <f>Asset12</f>
        <v>Ancillary substation equipment (dx)</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row>
    <row r="307" spans="1:64" ht="12.75" hidden="1" customHeight="1" outlineLevel="1">
      <c r="A307" s="9"/>
      <c r="B307" s="9"/>
      <c r="C307" s="9"/>
      <c r="D307" s="128" t="str">
        <f>Asset13</f>
        <v>Land and Easements</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row>
    <row r="308" spans="1:64" ht="12.75" hidden="1" customHeight="1" outlineLevel="1">
      <c r="A308" s="9"/>
      <c r="B308" s="9"/>
      <c r="C308" s="9"/>
      <c r="D308" s="128" t="str">
        <f>Asset14</f>
        <v>Emergency Spares (Major Plant, Excludes Inventory)</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row>
    <row r="309" spans="1:64" ht="12.75" hidden="1" customHeight="1" outlineLevel="1">
      <c r="A309" s="9"/>
      <c r="B309" s="9"/>
      <c r="C309" s="9"/>
      <c r="D309" s="128" t="str">
        <f>Asset15</f>
        <v>Furniture, fittings, plant and equipment</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row>
    <row r="310" spans="1:64" ht="12.75" hidden="1" customHeight="1" outlineLevel="1">
      <c r="A310" s="9"/>
      <c r="B310" s="9"/>
      <c r="C310" s="9"/>
      <c r="D310" s="128" t="str">
        <f>Asset16</f>
        <v>Land (non-system)</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row>
    <row r="311" spans="1:64" ht="12.75" hidden="1" customHeight="1" outlineLevel="1">
      <c r="A311" s="9"/>
      <c r="B311" s="9"/>
      <c r="C311" s="9"/>
      <c r="D311" s="128" t="str">
        <f>Asset17</f>
        <v>Other non system assets</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row>
    <row r="312" spans="1:64" ht="12.75" hidden="1" customHeight="1" outlineLevel="1">
      <c r="A312" s="9"/>
      <c r="B312" s="9"/>
      <c r="C312" s="9"/>
      <c r="D312" s="128" t="str">
        <f>Asset18</f>
        <v>IT systems</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row>
    <row r="313" spans="1:64" ht="12.75" hidden="1" customHeight="1" outlineLevel="1">
      <c r="A313" s="9"/>
      <c r="B313" s="9"/>
      <c r="C313" s="9"/>
      <c r="D313" s="128" t="str">
        <f>Asset19</f>
        <v>Motor vehicles</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row>
    <row r="314" spans="1:64" ht="12.75" hidden="1" customHeight="1" outlineLevel="1">
      <c r="A314" s="9"/>
      <c r="B314" s="9"/>
      <c r="C314" s="9"/>
      <c r="D314" s="128" t="str">
        <f>Asset20</f>
        <v>Buildings</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46">
        <f>IF(Q$198&gt;0, IF(R$198=0, 'Adjustment for previous period'!$G256, 0), 0)</f>
        <v>0</v>
      </c>
      <c r="R314" s="9"/>
      <c r="S314" s="9"/>
      <c r="T314" s="9"/>
      <c r="U314" s="9"/>
      <c r="V314" s="9"/>
      <c r="W314" s="9"/>
      <c r="X314" s="9"/>
      <c r="Y314" s="9"/>
      <c r="Z314" s="9"/>
      <c r="AA314" s="9"/>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row>
    <row r="315" spans="1:64" ht="4.5" hidden="1" customHeight="1" outlineLevel="1">
      <c r="A315" s="9"/>
      <c r="B315" s="9"/>
      <c r="C315" s="9"/>
      <c r="D315" s="128" t="str">
        <f>Asset21</f>
        <v>Equity raising costs</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46">
        <f>IF(Q$198&gt;0, IF(R$198=0, 'Adjustment for previous period'!$G257, 0), 0)</f>
        <v>0</v>
      </c>
      <c r="R315" s="9"/>
      <c r="S315" s="9"/>
      <c r="T315" s="9"/>
      <c r="U315" s="9"/>
      <c r="V315" s="9"/>
      <c r="W315" s="9"/>
      <c r="X315" s="9"/>
      <c r="Y315" s="9"/>
      <c r="Z315" s="9"/>
      <c r="AA315" s="9"/>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row>
    <row r="316" spans="1:64" ht="4.5" hidden="1" customHeight="1" outlineLevel="1">
      <c r="A316" s="9"/>
      <c r="B316" s="9"/>
      <c r="C316" s="9"/>
      <c r="D316" s="128">
        <f>Asset22</f>
        <v>0</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46">
        <f>IF(Q$198&gt;0, IF(R$198=0, 'Adjustment for previous period'!$G258, 0), 0)</f>
        <v>0</v>
      </c>
      <c r="R316" s="9"/>
      <c r="S316" s="9"/>
      <c r="T316" s="9"/>
      <c r="U316" s="9"/>
      <c r="V316" s="9"/>
      <c r="W316" s="9"/>
      <c r="X316" s="9"/>
      <c r="Y316" s="9"/>
      <c r="Z316" s="9"/>
      <c r="AA316" s="9"/>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row>
    <row r="317" spans="1:64" ht="4.5" hidden="1" customHeight="1" outlineLevel="1">
      <c r="A317" s="9"/>
      <c r="B317" s="9"/>
      <c r="C317" s="9"/>
      <c r="D317" s="128">
        <f>Asset23</f>
        <v>0</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46">
        <f>IF(Q$198&gt;0, IF(R$198=0, 'Adjustment for previous period'!$G259, 0), 0)</f>
        <v>0</v>
      </c>
      <c r="R317" s="9"/>
      <c r="S317" s="9"/>
      <c r="T317" s="9"/>
      <c r="U317" s="9"/>
      <c r="V317" s="9"/>
      <c r="W317" s="9"/>
      <c r="X317" s="9"/>
      <c r="Y317" s="9"/>
      <c r="Z317" s="9"/>
      <c r="AA317" s="9"/>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row>
    <row r="318" spans="1:64" ht="4.5" hidden="1" customHeight="1" outlineLevel="1">
      <c r="A318" s="9"/>
      <c r="B318" s="9"/>
      <c r="C318" s="9"/>
      <c r="D318" s="128">
        <f>Asset24</f>
        <v>0</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46">
        <f>IF(Q$198&gt;0, IF(R$198=0, 'Adjustment for previous period'!$G260, 0), 0)</f>
        <v>0</v>
      </c>
      <c r="R318" s="9"/>
      <c r="S318" s="9"/>
      <c r="T318" s="9"/>
      <c r="U318" s="9"/>
      <c r="V318" s="9"/>
      <c r="W318" s="9"/>
      <c r="X318" s="9"/>
      <c r="Y318" s="9"/>
      <c r="Z318" s="9"/>
      <c r="AA318" s="9"/>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row>
    <row r="319" spans="1:64" ht="4.5" hidden="1" customHeight="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46">
        <f>IF(Q$198&gt;0, IF(R$198=0, 'Adjustment for previous period'!$G261, 0), 0)</f>
        <v>0</v>
      </c>
      <c r="R319" s="9"/>
      <c r="S319" s="9"/>
      <c r="T319" s="9"/>
      <c r="U319" s="9"/>
      <c r="V319" s="9"/>
      <c r="W319" s="9"/>
      <c r="X319" s="9"/>
      <c r="Y319" s="9"/>
      <c r="Z319" s="9"/>
      <c r="AA319" s="9"/>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row>
    <row r="320" spans="1:64" ht="4.5" hidden="1" customHeight="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46">
        <f>IF(Q$198&gt;0, IF(R$198=0, 'Adjustment for previous period'!$G262, 0), 0)</f>
        <v>0</v>
      </c>
      <c r="R320" s="9"/>
      <c r="S320" s="9"/>
      <c r="T320" s="9"/>
      <c r="U320" s="9"/>
      <c r="V320" s="9"/>
      <c r="W320" s="9"/>
      <c r="X320" s="9"/>
      <c r="Y320" s="9"/>
      <c r="Z320" s="9"/>
      <c r="AA320" s="9"/>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row>
    <row r="321" spans="1:64" ht="4.5" hidden="1" customHeight="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46">
        <f>IF(Q$198&gt;0, IF(R$198=0, 'Adjustment for previous period'!$G263, 0), 0)</f>
        <v>0</v>
      </c>
      <c r="R321" s="9"/>
      <c r="S321" s="9"/>
      <c r="T321" s="9"/>
      <c r="U321" s="9"/>
      <c r="V321" s="9"/>
      <c r="W321" s="9"/>
      <c r="X321" s="9"/>
      <c r="Y321" s="9"/>
      <c r="Z321" s="9"/>
      <c r="AA321" s="9"/>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row>
    <row r="322" spans="1:64" ht="4.5" hidden="1" customHeight="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46">
        <f>IF(Q$198&gt;0, IF(R$198=0, 'Adjustment for previous period'!$G264, 0), 0)</f>
        <v>0</v>
      </c>
      <c r="R322" s="9"/>
      <c r="S322" s="9"/>
      <c r="T322" s="9"/>
      <c r="U322" s="9"/>
      <c r="V322" s="9"/>
      <c r="W322" s="9"/>
      <c r="X322" s="9"/>
      <c r="Y322" s="9"/>
      <c r="Z322" s="9"/>
      <c r="AA322" s="9"/>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row>
    <row r="323" spans="1:64" ht="4.5" hidden="1" customHeight="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46">
        <f>IF(Q$198&gt;0, IF(R$198=0, 'Adjustment for previous period'!$G265, 0), 0)</f>
        <v>0</v>
      </c>
      <c r="R323" s="9"/>
      <c r="S323" s="9"/>
      <c r="T323" s="9"/>
      <c r="U323" s="9"/>
      <c r="V323" s="9"/>
      <c r="W323" s="9"/>
      <c r="X323" s="9"/>
      <c r="Y323" s="9"/>
      <c r="Z323" s="9"/>
      <c r="AA323" s="9"/>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row>
    <row r="324" spans="1:64" ht="4.5" hidden="1" customHeight="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46">
        <f>IF(Q$198&gt;0, IF(R$198=0, 'Adjustment for previous period'!$G266, 0), 0)</f>
        <v>0</v>
      </c>
      <c r="R324" s="9"/>
      <c r="S324" s="9"/>
      <c r="T324" s="9"/>
      <c r="U324" s="9"/>
      <c r="V324" s="9"/>
      <c r="W324" s="9"/>
      <c r="X324" s="9"/>
      <c r="Y324" s="9"/>
      <c r="Z324" s="9"/>
      <c r="AA324" s="9"/>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row>
    <row r="325" spans="1:64" collapsed="1">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row>
    <row r="326" spans="1:64">
      <c r="A326" s="9"/>
      <c r="B326" s="9"/>
      <c r="C326" s="9" t="s">
        <v>57</v>
      </c>
      <c r="D326" s="9"/>
      <c r="E326" s="9"/>
      <c r="F326" s="9"/>
      <c r="G326" s="9"/>
      <c r="H326" s="9"/>
      <c r="I326" s="9"/>
      <c r="J326" s="9"/>
      <c r="K326" s="9"/>
      <c r="L326" s="36">
        <f t="shared" ref="L326:Q326" si="18">SUM(L327:L356)</f>
        <v>0</v>
      </c>
      <c r="M326" s="36">
        <f t="shared" si="18"/>
        <v>0</v>
      </c>
      <c r="N326" s="36">
        <f t="shared" si="18"/>
        <v>0</v>
      </c>
      <c r="O326" s="36">
        <f t="shared" si="18"/>
        <v>0</v>
      </c>
      <c r="P326" s="36">
        <f t="shared" si="18"/>
        <v>0</v>
      </c>
      <c r="Q326" s="36">
        <f t="shared" si="18"/>
        <v>0</v>
      </c>
      <c r="R326" s="9"/>
      <c r="S326" s="9"/>
      <c r="T326" s="9"/>
      <c r="U326" s="9"/>
      <c r="V326" s="9"/>
      <c r="W326" s="9"/>
      <c r="X326" s="9"/>
      <c r="Y326" s="9"/>
      <c r="Z326" s="9"/>
      <c r="AA326" s="9"/>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row>
    <row r="327" spans="1:64" ht="12.75" hidden="1" customHeight="1" outlineLevel="1">
      <c r="A327" s="9"/>
      <c r="B327" s="9"/>
      <c r="C327" s="9"/>
      <c r="D327" s="128" t="str">
        <f>Asset1</f>
        <v>Sub-transmission lines and cables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row>
    <row r="328" spans="1:64" ht="12.75" hidden="1" customHeight="1" outlineLevel="1">
      <c r="A328" s="9"/>
      <c r="B328" s="9"/>
      <c r="C328" s="9"/>
      <c r="D328" s="128" t="str">
        <f>Asset2</f>
        <v>Cable tunnel (dx)</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row>
    <row r="329" spans="1:64" ht="12.75" hidden="1" customHeight="1" outlineLevel="1">
      <c r="A329" s="9"/>
      <c r="B329" s="9"/>
      <c r="C329" s="9"/>
      <c r="D329" s="128" t="str">
        <f>Asset3</f>
        <v>Distribution lines and cables</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row>
    <row r="330" spans="1:64" ht="12.75" hidden="1" customHeight="1" outlineLevel="1">
      <c r="A330" s="9"/>
      <c r="B330" s="9"/>
      <c r="C330" s="9"/>
      <c r="D330" s="128" t="str">
        <f>Asset4</f>
        <v>Substations</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row>
    <row r="331" spans="1:64" ht="12.75" hidden="1" customHeight="1" outlineLevel="1">
      <c r="A331" s="9"/>
      <c r="B331" s="9"/>
      <c r="C331" s="9"/>
      <c r="D331" s="128" t="str">
        <f>Asset5</f>
        <v>Transformers</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row>
    <row r="332" spans="1:64" ht="12.75" hidden="1" customHeight="1" outlineLevel="1">
      <c r="A332" s="9"/>
      <c r="B332" s="9"/>
      <c r="C332" s="9"/>
      <c r="D332" s="128" t="str">
        <f>Asset6</f>
        <v>Low Voltage Lines and Cables</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row>
    <row r="333" spans="1:64" ht="12.75" hidden="1" customHeight="1" outlineLevel="1">
      <c r="A333" s="9"/>
      <c r="B333" s="9"/>
      <c r="C333" s="9"/>
      <c r="D333" s="128" t="str">
        <f>Asset7</f>
        <v>Customer Metering and Load Control</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row>
    <row r="334" spans="1:64" ht="12.75" hidden="1" customHeight="1" outlineLevel="1">
      <c r="A334" s="9"/>
      <c r="B334" s="9"/>
      <c r="C334" s="9"/>
      <c r="D334" s="128" t="str">
        <f>Asset8</f>
        <v>Customer Metering (digital)</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row>
    <row r="335" spans="1:64" ht="12.75" hidden="1" customHeight="1" outlineLevel="1">
      <c r="A335" s="9"/>
      <c r="B335" s="9"/>
      <c r="C335" s="9"/>
      <c r="D335" s="128" t="str">
        <f>Asset9</f>
        <v>Communications (digital) - dx</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row>
    <row r="336" spans="1:64" ht="12.75" hidden="1" customHeight="1" outlineLevel="1">
      <c r="A336" s="9"/>
      <c r="B336" s="9"/>
      <c r="C336" s="9"/>
      <c r="D336" s="128" t="str">
        <f>Asset10</f>
        <v>Total Communications</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row>
    <row r="337" spans="1:64" ht="12.75" hidden="1" customHeight="1" outlineLevel="1">
      <c r="A337" s="9"/>
      <c r="B337" s="9"/>
      <c r="C337" s="9"/>
      <c r="D337" s="128" t="str">
        <f>Asset11</f>
        <v>System IT (dx)</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row>
    <row r="338" spans="1:64" ht="12.75" hidden="1" customHeight="1" outlineLevel="1">
      <c r="A338" s="9"/>
      <c r="B338" s="9"/>
      <c r="C338" s="9"/>
      <c r="D338" s="128" t="str">
        <f>Asset12</f>
        <v>Ancillary substation equipment (dx)</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row>
    <row r="339" spans="1:64" ht="12.75" hidden="1" customHeight="1" outlineLevel="1">
      <c r="A339" s="9"/>
      <c r="B339" s="9"/>
      <c r="C339" s="9"/>
      <c r="D339" s="128" t="str">
        <f>Asset13</f>
        <v>Land and Easements</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row>
    <row r="340" spans="1:64" ht="12.75" hidden="1" customHeight="1" outlineLevel="1">
      <c r="A340" s="9"/>
      <c r="B340" s="9"/>
      <c r="C340" s="9"/>
      <c r="D340" s="128" t="str">
        <f>Asset14</f>
        <v>Emergency Spares (Major Plant, Excludes Inventory)</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row>
    <row r="341" spans="1:64" ht="12.75" hidden="1" customHeight="1" outlineLevel="1">
      <c r="A341" s="9"/>
      <c r="B341" s="9"/>
      <c r="C341" s="9"/>
      <c r="D341" s="128" t="str">
        <f>Asset15</f>
        <v>Furniture, fittings, plant and equipment</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row>
    <row r="342" spans="1:64" ht="12.75" hidden="1" customHeight="1" outlineLevel="1">
      <c r="A342" s="9"/>
      <c r="B342" s="9"/>
      <c r="C342" s="9"/>
      <c r="D342" s="128" t="str">
        <f>Asset16</f>
        <v>Land (non-system)</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row>
    <row r="343" spans="1:64" ht="12.75" hidden="1" customHeight="1" outlineLevel="1">
      <c r="A343" s="9"/>
      <c r="B343" s="9"/>
      <c r="C343" s="9"/>
      <c r="D343" s="128" t="str">
        <f>Asset17</f>
        <v>Other non system assets</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row>
    <row r="344" spans="1:64" ht="12.75" hidden="1" customHeight="1" outlineLevel="1">
      <c r="A344" s="9"/>
      <c r="B344" s="9"/>
      <c r="C344" s="9"/>
      <c r="D344" s="128" t="str">
        <f>Asset18</f>
        <v>IT systems</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row>
    <row r="345" spans="1:64" ht="12.75" hidden="1" customHeight="1" outlineLevel="1">
      <c r="A345" s="9"/>
      <c r="B345" s="9"/>
      <c r="C345" s="9"/>
      <c r="D345" s="128" t="str">
        <f>Asset19</f>
        <v>Motor vehicles</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row>
    <row r="346" spans="1:64" ht="12.75" hidden="1" customHeight="1" outlineLevel="1">
      <c r="A346" s="9"/>
      <c r="B346" s="9"/>
      <c r="C346" s="9"/>
      <c r="D346" s="128" t="str">
        <f>Asset20</f>
        <v>Buildings</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row>
    <row r="347" spans="1:64" ht="17.25" hidden="1" customHeight="1" outlineLevel="1">
      <c r="A347" s="9"/>
      <c r="B347" s="9"/>
      <c r="C347" s="9"/>
      <c r="D347" s="128" t="str">
        <f>Asset21</f>
        <v>Equity raising costs</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row>
    <row r="348" spans="1:64" ht="4.5" hidden="1" customHeight="1" outlineLevel="1">
      <c r="A348" s="9"/>
      <c r="B348" s="9"/>
      <c r="C348" s="9"/>
      <c r="D348" s="128">
        <f>Asset22</f>
        <v>0</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row>
    <row r="349" spans="1:64" ht="4.5" hidden="1" customHeight="1" outlineLevel="1">
      <c r="A349" s="9"/>
      <c r="B349" s="9"/>
      <c r="C349" s="9"/>
      <c r="D349" s="128">
        <f>Asset23</f>
        <v>0</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row>
    <row r="350" spans="1:64" ht="4.5" hidden="1" customHeight="1" outlineLevel="1">
      <c r="A350" s="9"/>
      <c r="B350" s="9"/>
      <c r="C350" s="9"/>
      <c r="D350" s="128">
        <f>Asset24</f>
        <v>0</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row>
    <row r="351" spans="1:64" ht="4.5" hidden="1" customHeight="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row>
    <row r="352" spans="1:64" ht="4.5" hidden="1" customHeight="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row>
    <row r="353" spans="1:64" ht="4.5" hidden="1" customHeight="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row>
    <row r="354" spans="1:64" ht="4.5" hidden="1" customHeight="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row>
    <row r="355" spans="1:64" ht="16.5" hidden="1" customHeight="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row>
    <row r="356" spans="1:64" ht="26.25" hidden="1" customHeight="1"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row>
    <row r="357" spans="1:64" collapsed="1">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row>
    <row r="358" spans="1:64">
      <c r="A358" s="72"/>
      <c r="B358" s="72"/>
      <c r="C358" s="79" t="s">
        <v>48</v>
      </c>
      <c r="D358" s="72"/>
      <c r="E358" s="72"/>
      <c r="F358" s="72"/>
      <c r="G358" s="72"/>
      <c r="H358" s="72"/>
      <c r="I358" s="72"/>
      <c r="J358" s="72"/>
      <c r="K358" s="72"/>
      <c r="L358" s="155">
        <f t="shared" ref="L358:Q358" si="19">SUM(L359:L388)</f>
        <v>12509.685086086745</v>
      </c>
      <c r="M358" s="155">
        <f t="shared" si="19"/>
        <v>0</v>
      </c>
      <c r="N358" s="155">
        <f t="shared" si="19"/>
        <v>0</v>
      </c>
      <c r="O358" s="155">
        <f t="shared" si="19"/>
        <v>0</v>
      </c>
      <c r="P358" s="155">
        <f t="shared" si="19"/>
        <v>0</v>
      </c>
      <c r="Q358" s="155">
        <f t="shared" si="19"/>
        <v>0</v>
      </c>
      <c r="R358" s="155"/>
      <c r="S358" s="9"/>
      <c r="T358" s="9"/>
      <c r="U358" s="9"/>
      <c r="V358" s="9"/>
      <c r="W358" s="9"/>
      <c r="X358" s="9"/>
      <c r="Y358" s="9"/>
      <c r="Z358" s="9"/>
      <c r="AA358" s="9"/>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row>
    <row r="359" spans="1:64" ht="12.75" hidden="1" customHeight="1" outlineLevel="1">
      <c r="B359" s="9"/>
      <c r="C359" s="9"/>
      <c r="D359" s="128" t="str">
        <f>Asset1</f>
        <v>Sub-transmission lines and cables</v>
      </c>
      <c r="E359" s="9"/>
      <c r="F359" s="9"/>
      <c r="G359" s="9"/>
      <c r="H359" s="9"/>
      <c r="I359" s="9"/>
      <c r="J359" s="9"/>
      <c r="K359" s="9"/>
      <c r="L359" s="36">
        <f t="shared" ref="L359:Q359" si="20">IF(M$198=0, L199+L231+L263+L295+L327, 0)</f>
        <v>1385.0559569859579</v>
      </c>
      <c r="M359" s="36">
        <f t="shared" si="20"/>
        <v>0</v>
      </c>
      <c r="N359" s="36">
        <f t="shared" si="20"/>
        <v>0</v>
      </c>
      <c r="O359" s="36">
        <f t="shared" si="20"/>
        <v>0</v>
      </c>
      <c r="P359" s="36">
        <f t="shared" si="20"/>
        <v>0</v>
      </c>
      <c r="Q359" s="36">
        <f t="shared" si="20"/>
        <v>0</v>
      </c>
      <c r="R359" s="9"/>
      <c r="S359" s="36"/>
      <c r="T359" s="36"/>
      <c r="U359" s="9"/>
      <c r="V359" s="9"/>
      <c r="W359" s="9"/>
      <c r="X359" s="9"/>
      <c r="Y359" s="9"/>
      <c r="Z359" s="9"/>
      <c r="AA359" s="9"/>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row>
    <row r="360" spans="1:64" ht="12.75" hidden="1" customHeight="1" outlineLevel="1">
      <c r="B360" s="9"/>
      <c r="C360" s="9"/>
      <c r="D360" s="128" t="str">
        <f>Asset2</f>
        <v>Cable tunnel (dx)</v>
      </c>
      <c r="E360" s="9"/>
      <c r="F360" s="9"/>
      <c r="G360" s="9"/>
      <c r="H360" s="9"/>
      <c r="I360" s="9"/>
      <c r="J360" s="9"/>
      <c r="K360" s="9"/>
      <c r="L360" s="36">
        <f t="shared" ref="L360:Q369" si="21">IF(M$198=0, L200+L232+L264+L296+L328, 0)</f>
        <v>131.30293169499129</v>
      </c>
      <c r="M360" s="36">
        <f t="shared" si="21"/>
        <v>0</v>
      </c>
      <c r="N360" s="36">
        <f t="shared" si="21"/>
        <v>0</v>
      </c>
      <c r="O360" s="36">
        <f t="shared" si="21"/>
        <v>0</v>
      </c>
      <c r="P360" s="36">
        <f t="shared" si="21"/>
        <v>0</v>
      </c>
      <c r="Q360" s="36">
        <f t="shared" si="21"/>
        <v>0</v>
      </c>
      <c r="R360" s="9"/>
      <c r="S360" s="36"/>
      <c r="T360" s="36"/>
      <c r="U360" s="9"/>
      <c r="V360" s="9"/>
      <c r="W360" s="9"/>
      <c r="X360" s="9"/>
      <c r="Y360" s="9"/>
      <c r="Z360" s="9"/>
      <c r="AA360" s="9"/>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row>
    <row r="361" spans="1:64" ht="12.75" hidden="1" customHeight="1" outlineLevel="1">
      <c r="B361" s="9"/>
      <c r="C361" s="9"/>
      <c r="D361" s="128" t="str">
        <f>Asset3</f>
        <v>Distribution lines and cables</v>
      </c>
      <c r="E361" s="9"/>
      <c r="F361" s="9"/>
      <c r="G361" s="9"/>
      <c r="H361" s="9"/>
      <c r="I361" s="9"/>
      <c r="J361" s="9"/>
      <c r="K361" s="9"/>
      <c r="L361" s="36">
        <f t="shared" si="21"/>
        <v>3176.4250551856212</v>
      </c>
      <c r="M361" s="36">
        <f>IF(N$198=0, M201+M233+M265+M297+M329, 0)</f>
        <v>0</v>
      </c>
      <c r="N361" s="36">
        <f t="shared" si="21"/>
        <v>0</v>
      </c>
      <c r="O361" s="36">
        <f t="shared" si="21"/>
        <v>0</v>
      </c>
      <c r="P361" s="36">
        <f t="shared" si="21"/>
        <v>0</v>
      </c>
      <c r="Q361" s="36">
        <f t="shared" si="21"/>
        <v>0</v>
      </c>
      <c r="R361" s="9"/>
      <c r="S361" s="36"/>
      <c r="T361" s="36"/>
      <c r="U361" s="9"/>
      <c r="V361" s="9"/>
      <c r="W361" s="9"/>
      <c r="X361" s="9"/>
      <c r="Y361" s="9"/>
      <c r="Z361" s="9"/>
      <c r="AA361" s="9"/>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row>
    <row r="362" spans="1:64" ht="12.75" hidden="1" customHeight="1" outlineLevel="1">
      <c r="B362" s="9"/>
      <c r="C362" s="9"/>
      <c r="D362" s="128" t="str">
        <f>Asset4</f>
        <v>Substations</v>
      </c>
      <c r="E362" s="9"/>
      <c r="F362" s="9"/>
      <c r="G362" s="9"/>
      <c r="H362" s="9"/>
      <c r="I362" s="9"/>
      <c r="J362" s="9"/>
      <c r="K362" s="9"/>
      <c r="L362" s="36">
        <f t="shared" si="21"/>
        <v>3438.8353397324781</v>
      </c>
      <c r="M362" s="36">
        <f t="shared" si="21"/>
        <v>0</v>
      </c>
      <c r="N362" s="36">
        <f t="shared" si="21"/>
        <v>0</v>
      </c>
      <c r="O362" s="36">
        <f t="shared" si="21"/>
        <v>0</v>
      </c>
      <c r="P362" s="36">
        <f t="shared" si="21"/>
        <v>0</v>
      </c>
      <c r="Q362" s="36">
        <f t="shared" si="21"/>
        <v>0</v>
      </c>
      <c r="R362" s="9"/>
      <c r="S362" s="36"/>
      <c r="T362" s="36"/>
      <c r="U362" s="9"/>
      <c r="V362" s="9"/>
      <c r="W362" s="9"/>
      <c r="X362" s="9"/>
      <c r="Y362" s="9"/>
      <c r="Z362" s="9"/>
      <c r="AA362" s="9"/>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row>
    <row r="363" spans="1:64" ht="12.75" hidden="1" customHeight="1" outlineLevel="1">
      <c r="B363" s="9"/>
      <c r="C363" s="9"/>
      <c r="D363" s="128" t="str">
        <f>Asset5</f>
        <v>Transformers</v>
      </c>
      <c r="E363" s="9"/>
      <c r="F363" s="9"/>
      <c r="G363" s="9"/>
      <c r="H363" s="9"/>
      <c r="I363" s="9"/>
      <c r="J363" s="9"/>
      <c r="K363" s="9"/>
      <c r="L363" s="36">
        <f t="shared" si="21"/>
        <v>690.37459553116366</v>
      </c>
      <c r="M363" s="36">
        <f t="shared" si="21"/>
        <v>0</v>
      </c>
      <c r="N363" s="36">
        <f t="shared" si="21"/>
        <v>0</v>
      </c>
      <c r="O363" s="36">
        <f t="shared" si="21"/>
        <v>0</v>
      </c>
      <c r="P363" s="36">
        <f t="shared" si="21"/>
        <v>0</v>
      </c>
      <c r="Q363" s="36">
        <f t="shared" si="21"/>
        <v>0</v>
      </c>
      <c r="R363" s="9"/>
      <c r="S363" s="36"/>
      <c r="T363" s="36"/>
      <c r="U363" s="9"/>
      <c r="V363" s="9"/>
      <c r="W363" s="9"/>
      <c r="X363" s="9"/>
      <c r="Y363" s="9"/>
      <c r="Z363" s="9"/>
      <c r="AA363" s="9"/>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row>
    <row r="364" spans="1:64" ht="12.75" hidden="1" customHeight="1" outlineLevel="1">
      <c r="B364" s="9"/>
      <c r="C364" s="9"/>
      <c r="D364" s="128" t="str">
        <f>Asset6</f>
        <v>Low Voltage Lines and Cables</v>
      </c>
      <c r="E364" s="9"/>
      <c r="F364" s="9"/>
      <c r="G364" s="9"/>
      <c r="H364" s="9"/>
      <c r="I364" s="9"/>
      <c r="J364" s="9"/>
      <c r="K364" s="9"/>
      <c r="L364" s="36">
        <f t="shared" si="21"/>
        <v>1604.0144280526883</v>
      </c>
      <c r="M364" s="36">
        <f t="shared" si="21"/>
        <v>0</v>
      </c>
      <c r="N364" s="36">
        <f t="shared" si="21"/>
        <v>0</v>
      </c>
      <c r="O364" s="36">
        <f t="shared" si="21"/>
        <v>0</v>
      </c>
      <c r="P364" s="36">
        <f t="shared" si="21"/>
        <v>0</v>
      </c>
      <c r="Q364" s="36">
        <f t="shared" si="21"/>
        <v>0</v>
      </c>
      <c r="R364" s="9"/>
      <c r="S364" s="36"/>
      <c r="T364" s="36"/>
      <c r="U364" s="9"/>
      <c r="V364" s="9"/>
      <c r="W364" s="9"/>
      <c r="X364" s="9"/>
      <c r="Y364" s="9"/>
      <c r="Z364" s="9"/>
      <c r="AA364" s="9"/>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row>
    <row r="365" spans="1:64" ht="12.75" hidden="1" customHeight="1" outlineLevel="1">
      <c r="B365" s="9"/>
      <c r="C365" s="9"/>
      <c r="D365" s="128" t="str">
        <f>Asset7</f>
        <v>Customer Metering and Load Control</v>
      </c>
      <c r="E365" s="9"/>
      <c r="F365" s="9"/>
      <c r="G365" s="9"/>
      <c r="H365" s="9"/>
      <c r="I365" s="9"/>
      <c r="J365" s="9"/>
      <c r="K365" s="9"/>
      <c r="L365" s="36">
        <f t="shared" si="21"/>
        <v>163.7651248161701</v>
      </c>
      <c r="M365" s="36">
        <f t="shared" si="21"/>
        <v>0</v>
      </c>
      <c r="N365" s="36">
        <f t="shared" si="21"/>
        <v>0</v>
      </c>
      <c r="O365" s="36">
        <f t="shared" si="21"/>
        <v>0</v>
      </c>
      <c r="P365" s="36">
        <f t="shared" si="21"/>
        <v>0</v>
      </c>
      <c r="Q365" s="36">
        <f t="shared" si="21"/>
        <v>0</v>
      </c>
      <c r="R365" s="9"/>
      <c r="S365" s="36"/>
      <c r="T365" s="36"/>
      <c r="U365" s="9"/>
      <c r="V365" s="9"/>
      <c r="W365" s="9"/>
      <c r="X365" s="9"/>
      <c r="Y365" s="9"/>
      <c r="Z365" s="9"/>
      <c r="AA365" s="9"/>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row>
    <row r="366" spans="1:64" ht="12.75" hidden="1" customHeight="1" outlineLevel="1">
      <c r="B366" s="9"/>
      <c r="C366" s="9"/>
      <c r="D366" s="128" t="str">
        <f>Asset8</f>
        <v>Customer Metering (digital)</v>
      </c>
      <c r="E366" s="9"/>
      <c r="F366" s="9"/>
      <c r="G366" s="9"/>
      <c r="H366" s="9"/>
      <c r="I366" s="9"/>
      <c r="J366" s="9"/>
      <c r="K366" s="9"/>
      <c r="L366" s="36">
        <f t="shared" si="21"/>
        <v>100.86131177148374</v>
      </c>
      <c r="M366" s="36">
        <f t="shared" si="21"/>
        <v>0</v>
      </c>
      <c r="N366" s="36">
        <f t="shared" si="21"/>
        <v>0</v>
      </c>
      <c r="O366" s="36">
        <f t="shared" si="21"/>
        <v>0</v>
      </c>
      <c r="P366" s="36">
        <f t="shared" si="21"/>
        <v>0</v>
      </c>
      <c r="Q366" s="36">
        <f t="shared" si="21"/>
        <v>0</v>
      </c>
      <c r="R366" s="9"/>
      <c r="S366" s="36"/>
      <c r="T366" s="36"/>
      <c r="U366" s="9"/>
      <c r="V366" s="9"/>
      <c r="W366" s="9"/>
      <c r="X366" s="9"/>
      <c r="Y366" s="9"/>
      <c r="Z366" s="9"/>
      <c r="AA366" s="9"/>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row>
    <row r="367" spans="1:64" ht="12.75" hidden="1" customHeight="1" outlineLevel="1">
      <c r="B367" s="9"/>
      <c r="C367" s="9"/>
      <c r="D367" s="128" t="str">
        <f>Asset9</f>
        <v>Communications (digital) - dx</v>
      </c>
      <c r="E367" s="9"/>
      <c r="F367" s="9"/>
      <c r="G367" s="9"/>
      <c r="H367" s="9"/>
      <c r="I367" s="9"/>
      <c r="J367" s="9"/>
      <c r="K367" s="9"/>
      <c r="L367" s="36">
        <f t="shared" si="21"/>
        <v>13.996097547074466</v>
      </c>
      <c r="M367" s="36">
        <f t="shared" si="21"/>
        <v>0</v>
      </c>
      <c r="N367" s="36">
        <f t="shared" si="21"/>
        <v>0</v>
      </c>
      <c r="O367" s="36">
        <f t="shared" si="21"/>
        <v>0</v>
      </c>
      <c r="P367" s="36">
        <f t="shared" si="21"/>
        <v>0</v>
      </c>
      <c r="Q367" s="36">
        <f t="shared" si="21"/>
        <v>0</v>
      </c>
      <c r="R367" s="9"/>
      <c r="S367" s="36"/>
      <c r="T367" s="36"/>
      <c r="U367" s="9"/>
      <c r="V367" s="9"/>
      <c r="W367" s="9"/>
      <c r="X367" s="9"/>
      <c r="Y367" s="9"/>
      <c r="Z367" s="9"/>
      <c r="AA367" s="9"/>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row>
    <row r="368" spans="1:64" ht="12.75" hidden="1" customHeight="1" outlineLevel="1">
      <c r="B368" s="9"/>
      <c r="C368" s="9"/>
      <c r="D368" s="128" t="str">
        <f>Asset10</f>
        <v>Total Communications</v>
      </c>
      <c r="E368" s="9"/>
      <c r="F368" s="9"/>
      <c r="G368" s="9"/>
      <c r="H368" s="9"/>
      <c r="I368" s="9"/>
      <c r="J368" s="9"/>
      <c r="K368" s="9"/>
      <c r="L368" s="36">
        <f t="shared" si="21"/>
        <v>80.756354356741085</v>
      </c>
      <c r="M368" s="36">
        <f t="shared" si="21"/>
        <v>0</v>
      </c>
      <c r="N368" s="36">
        <f t="shared" si="21"/>
        <v>0</v>
      </c>
      <c r="O368" s="36">
        <f t="shared" si="21"/>
        <v>0</v>
      </c>
      <c r="P368" s="36">
        <f t="shared" si="21"/>
        <v>0</v>
      </c>
      <c r="Q368" s="36">
        <f t="shared" si="21"/>
        <v>0</v>
      </c>
      <c r="R368" s="9"/>
      <c r="S368" s="36"/>
      <c r="T368" s="36"/>
      <c r="U368" s="9"/>
      <c r="V368" s="9"/>
      <c r="W368" s="9"/>
      <c r="X368" s="9"/>
      <c r="Y368" s="9"/>
      <c r="Z368" s="9"/>
      <c r="AA368" s="9"/>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row>
    <row r="369" spans="2:64" ht="12.75" hidden="1" customHeight="1" outlineLevel="1">
      <c r="B369" s="9"/>
      <c r="C369" s="9"/>
      <c r="D369" s="128" t="str">
        <f>Asset11</f>
        <v>System IT (dx)</v>
      </c>
      <c r="E369" s="9"/>
      <c r="F369" s="9"/>
      <c r="G369" s="9"/>
      <c r="H369" s="9"/>
      <c r="I369" s="9"/>
      <c r="J369" s="9"/>
      <c r="K369" s="9"/>
      <c r="L369" s="36">
        <f t="shared" si="21"/>
        <v>209.19746549808724</v>
      </c>
      <c r="M369" s="36">
        <f t="shared" si="21"/>
        <v>0</v>
      </c>
      <c r="N369" s="36">
        <f t="shared" si="21"/>
        <v>0</v>
      </c>
      <c r="O369" s="36">
        <f t="shared" si="21"/>
        <v>0</v>
      </c>
      <c r="P369" s="36">
        <f t="shared" si="21"/>
        <v>0</v>
      </c>
      <c r="Q369" s="36">
        <f t="shared" si="21"/>
        <v>0</v>
      </c>
      <c r="R369" s="9"/>
      <c r="S369" s="36"/>
      <c r="T369" s="36"/>
      <c r="U369" s="9"/>
      <c r="V369" s="9"/>
      <c r="W369" s="9"/>
      <c r="X369" s="9"/>
      <c r="Y369" s="9"/>
      <c r="Z369" s="9"/>
      <c r="AA369" s="9"/>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row>
    <row r="370" spans="2:64" ht="12.75" hidden="1" customHeight="1" outlineLevel="1">
      <c r="B370" s="9"/>
      <c r="C370" s="9"/>
      <c r="D370" s="128" t="str">
        <f>Asset12</f>
        <v>Ancillary substation equipment (dx)</v>
      </c>
      <c r="E370" s="9"/>
      <c r="F370" s="9"/>
      <c r="G370" s="9"/>
      <c r="H370" s="9"/>
      <c r="I370" s="9"/>
      <c r="J370" s="9"/>
      <c r="K370" s="9"/>
      <c r="L370" s="36">
        <f t="shared" ref="L370:Q379" si="22">IF(M$198=0, L210+L242+L274+L306+L338, 0)</f>
        <v>57.411430576440907</v>
      </c>
      <c r="M370" s="36">
        <f t="shared" si="22"/>
        <v>0</v>
      </c>
      <c r="N370" s="36">
        <f t="shared" si="22"/>
        <v>0</v>
      </c>
      <c r="O370" s="36">
        <f t="shared" si="22"/>
        <v>0</v>
      </c>
      <c r="P370" s="36">
        <f t="shared" si="22"/>
        <v>0</v>
      </c>
      <c r="Q370" s="36">
        <f t="shared" si="22"/>
        <v>0</v>
      </c>
      <c r="R370" s="9"/>
      <c r="S370" s="36"/>
      <c r="T370" s="36"/>
      <c r="U370" s="9"/>
      <c r="V370" s="9"/>
      <c r="W370" s="9"/>
      <c r="X370" s="9"/>
      <c r="Y370" s="9"/>
      <c r="Z370" s="9"/>
      <c r="AA370" s="9"/>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row>
    <row r="371" spans="2:64" ht="12.75" hidden="1" customHeight="1" outlineLevel="1">
      <c r="B371" s="9"/>
      <c r="C371" s="9"/>
      <c r="D371" s="128" t="str">
        <f>Asset13</f>
        <v>Land and Easements</v>
      </c>
      <c r="E371" s="9"/>
      <c r="F371" s="9"/>
      <c r="G371" s="9"/>
      <c r="H371" s="9"/>
      <c r="I371" s="9"/>
      <c r="J371" s="9"/>
      <c r="K371" s="9"/>
      <c r="L371" s="36">
        <f t="shared" si="22"/>
        <v>753.43446536062095</v>
      </c>
      <c r="M371" s="36">
        <f t="shared" si="22"/>
        <v>0</v>
      </c>
      <c r="N371" s="36">
        <f t="shared" si="22"/>
        <v>0</v>
      </c>
      <c r="O371" s="36">
        <f t="shared" si="22"/>
        <v>0</v>
      </c>
      <c r="P371" s="36">
        <f t="shared" si="22"/>
        <v>0</v>
      </c>
      <c r="Q371" s="36">
        <f t="shared" si="22"/>
        <v>0</v>
      </c>
      <c r="R371" s="9"/>
      <c r="S371" s="36"/>
      <c r="T371" s="36"/>
      <c r="U371" s="9"/>
      <c r="V371" s="9"/>
      <c r="W371" s="9"/>
      <c r="X371" s="9"/>
      <c r="Y371" s="9"/>
      <c r="Z371" s="9"/>
      <c r="AA371" s="9"/>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row>
    <row r="372" spans="2:64" ht="12.75" hidden="1" customHeight="1" outlineLevel="1">
      <c r="B372" s="9"/>
      <c r="C372" s="9"/>
      <c r="D372" s="128" t="str">
        <f>Asset14</f>
        <v>Emergency Spares (Major Plant, Excludes Inventory)</v>
      </c>
      <c r="E372" s="9"/>
      <c r="F372" s="9"/>
      <c r="G372" s="9"/>
      <c r="H372" s="9"/>
      <c r="I372" s="9"/>
      <c r="J372" s="9"/>
      <c r="K372" s="9"/>
      <c r="L372" s="36">
        <f t="shared" si="22"/>
        <v>44.456604530502268</v>
      </c>
      <c r="M372" s="36">
        <f t="shared" si="22"/>
        <v>0</v>
      </c>
      <c r="N372" s="36">
        <f t="shared" si="22"/>
        <v>0</v>
      </c>
      <c r="O372" s="36">
        <f t="shared" si="22"/>
        <v>0</v>
      </c>
      <c r="P372" s="36">
        <f t="shared" si="22"/>
        <v>0</v>
      </c>
      <c r="Q372" s="36">
        <f t="shared" si="22"/>
        <v>0</v>
      </c>
      <c r="R372" s="9"/>
      <c r="S372" s="36"/>
      <c r="T372" s="36"/>
      <c r="U372" s="9"/>
      <c r="V372" s="9"/>
      <c r="W372" s="9"/>
      <c r="X372" s="9"/>
      <c r="Y372" s="9"/>
      <c r="Z372" s="9"/>
      <c r="AA372" s="9"/>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row>
    <row r="373" spans="2:64" ht="12.75" hidden="1" customHeight="1" outlineLevel="1">
      <c r="B373" s="9"/>
      <c r="C373" s="9"/>
      <c r="D373" s="128" t="str">
        <f>Asset15</f>
        <v>Furniture, fittings, plant and equipment</v>
      </c>
      <c r="E373" s="9"/>
      <c r="F373" s="9"/>
      <c r="G373" s="9"/>
      <c r="H373" s="9"/>
      <c r="I373" s="9"/>
      <c r="J373" s="9"/>
      <c r="K373" s="9"/>
      <c r="L373" s="36">
        <f t="shared" si="22"/>
        <v>47.262646503549881</v>
      </c>
      <c r="M373" s="36">
        <f t="shared" si="22"/>
        <v>0</v>
      </c>
      <c r="N373" s="36">
        <f t="shared" si="22"/>
        <v>0</v>
      </c>
      <c r="O373" s="36">
        <f t="shared" si="22"/>
        <v>0</v>
      </c>
      <c r="P373" s="36">
        <f t="shared" si="22"/>
        <v>0</v>
      </c>
      <c r="Q373" s="36">
        <f t="shared" si="22"/>
        <v>0</v>
      </c>
      <c r="R373" s="9"/>
      <c r="S373" s="36"/>
      <c r="T373" s="36"/>
      <c r="U373" s="9"/>
      <c r="V373" s="9"/>
      <c r="W373" s="9"/>
      <c r="X373" s="9"/>
      <c r="Y373" s="9"/>
      <c r="Z373" s="9"/>
      <c r="AA373" s="9"/>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row>
    <row r="374" spans="2:64" ht="12.75" hidden="1" customHeight="1" outlineLevel="1">
      <c r="B374" s="9"/>
      <c r="C374" s="9"/>
      <c r="D374" s="128" t="str">
        <f>Asset16</f>
        <v>Land (non-system)</v>
      </c>
      <c r="E374" s="9"/>
      <c r="F374" s="9"/>
      <c r="G374" s="9"/>
      <c r="H374" s="9"/>
      <c r="I374" s="9"/>
      <c r="J374" s="9"/>
      <c r="K374" s="9"/>
      <c r="L374" s="36">
        <f t="shared" si="22"/>
        <v>12.592706218679798</v>
      </c>
      <c r="M374" s="36">
        <f t="shared" si="22"/>
        <v>0</v>
      </c>
      <c r="N374" s="36">
        <f t="shared" si="22"/>
        <v>0</v>
      </c>
      <c r="O374" s="36">
        <f t="shared" si="22"/>
        <v>0</v>
      </c>
      <c r="P374" s="36">
        <f t="shared" si="22"/>
        <v>0</v>
      </c>
      <c r="Q374" s="36">
        <f t="shared" si="22"/>
        <v>0</v>
      </c>
      <c r="R374" s="9"/>
      <c r="S374" s="36"/>
      <c r="T374" s="36"/>
      <c r="U374" s="9"/>
      <c r="V374" s="9"/>
      <c r="W374" s="9"/>
      <c r="X374" s="9"/>
      <c r="Y374" s="9"/>
      <c r="Z374" s="9"/>
      <c r="AA374" s="9"/>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row>
    <row r="375" spans="2:64" ht="12.75" hidden="1" customHeight="1" outlineLevel="1">
      <c r="B375" s="9"/>
      <c r="C375" s="9"/>
      <c r="D375" s="128" t="str">
        <f>Asset17</f>
        <v>Other non system assets</v>
      </c>
      <c r="E375" s="9"/>
      <c r="F375" s="9"/>
      <c r="G375" s="9"/>
      <c r="H375" s="9"/>
      <c r="I375" s="9"/>
      <c r="J375" s="9"/>
      <c r="K375" s="9"/>
      <c r="L375" s="36">
        <f t="shared" si="22"/>
        <v>73.347431615577264</v>
      </c>
      <c r="M375" s="36">
        <f t="shared" si="22"/>
        <v>0</v>
      </c>
      <c r="N375" s="36">
        <f t="shared" si="22"/>
        <v>0</v>
      </c>
      <c r="O375" s="36">
        <f t="shared" si="22"/>
        <v>0</v>
      </c>
      <c r="P375" s="36">
        <f t="shared" si="22"/>
        <v>0</v>
      </c>
      <c r="Q375" s="36">
        <f t="shared" si="22"/>
        <v>0</v>
      </c>
      <c r="R375" s="9"/>
      <c r="S375" s="36"/>
      <c r="T375" s="36"/>
      <c r="U375" s="9"/>
      <c r="V375" s="9"/>
      <c r="W375" s="9"/>
      <c r="X375" s="9"/>
      <c r="Y375" s="9"/>
      <c r="Z375" s="9"/>
      <c r="AA375" s="9"/>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row>
    <row r="376" spans="2:64" ht="12.75" hidden="1" customHeight="1" outlineLevel="1">
      <c r="B376" s="9"/>
      <c r="C376" s="9"/>
      <c r="D376" s="128" t="str">
        <f>Asset18</f>
        <v>IT systems</v>
      </c>
      <c r="E376" s="9"/>
      <c r="F376" s="9"/>
      <c r="G376" s="9"/>
      <c r="H376" s="9"/>
      <c r="I376" s="9"/>
      <c r="J376" s="9"/>
      <c r="K376" s="9"/>
      <c r="L376" s="36">
        <f t="shared" si="22"/>
        <v>142.48738076712783</v>
      </c>
      <c r="M376" s="36">
        <f t="shared" si="22"/>
        <v>0</v>
      </c>
      <c r="N376" s="36">
        <f t="shared" si="22"/>
        <v>0</v>
      </c>
      <c r="O376" s="36">
        <f t="shared" si="22"/>
        <v>0</v>
      </c>
      <c r="P376" s="36">
        <f t="shared" si="22"/>
        <v>0</v>
      </c>
      <c r="Q376" s="36">
        <f t="shared" si="22"/>
        <v>0</v>
      </c>
      <c r="R376" s="9"/>
      <c r="S376" s="36"/>
      <c r="T376" s="36"/>
      <c r="U376" s="9"/>
      <c r="V376" s="9"/>
      <c r="W376" s="9"/>
      <c r="X376" s="9"/>
      <c r="Y376" s="9"/>
      <c r="Z376" s="9"/>
      <c r="AA376" s="9"/>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row>
    <row r="377" spans="2:64" ht="12.75" hidden="1" customHeight="1" outlineLevel="1">
      <c r="B377" s="9"/>
      <c r="C377" s="9"/>
      <c r="D377" s="128" t="str">
        <f>Asset19</f>
        <v>Motor vehicles</v>
      </c>
      <c r="E377" s="9"/>
      <c r="F377" s="9"/>
      <c r="G377" s="9"/>
      <c r="H377" s="9"/>
      <c r="I377" s="9"/>
      <c r="J377" s="9"/>
      <c r="K377" s="9"/>
      <c r="L377" s="36">
        <f t="shared" si="22"/>
        <v>119.87440394656795</v>
      </c>
      <c r="M377" s="36">
        <f t="shared" si="22"/>
        <v>0</v>
      </c>
      <c r="N377" s="36">
        <f t="shared" si="22"/>
        <v>0</v>
      </c>
      <c r="O377" s="36">
        <f t="shared" si="22"/>
        <v>0</v>
      </c>
      <c r="P377" s="36">
        <f t="shared" si="22"/>
        <v>0</v>
      </c>
      <c r="Q377" s="36">
        <f t="shared" si="22"/>
        <v>0</v>
      </c>
      <c r="R377" s="9"/>
      <c r="S377" s="36"/>
      <c r="T377" s="36"/>
      <c r="U377" s="9"/>
      <c r="V377" s="9"/>
      <c r="W377" s="9"/>
      <c r="X377" s="9"/>
      <c r="Y377" s="9"/>
      <c r="Z377" s="9"/>
      <c r="AA377" s="9"/>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row>
    <row r="378" spans="2:64" ht="12.75" hidden="1" customHeight="1" outlineLevel="1">
      <c r="B378" s="9"/>
      <c r="C378" s="9"/>
      <c r="D378" s="128" t="str">
        <f>Asset20</f>
        <v>Buildings</v>
      </c>
      <c r="E378" s="9"/>
      <c r="F378" s="9"/>
      <c r="G378" s="9"/>
      <c r="H378" s="9"/>
      <c r="I378" s="9"/>
      <c r="J378" s="9"/>
      <c r="K378" s="9"/>
      <c r="L378" s="36">
        <f t="shared" si="22"/>
        <v>236.81284257223089</v>
      </c>
      <c r="M378" s="36">
        <f t="shared" si="22"/>
        <v>0</v>
      </c>
      <c r="N378" s="36">
        <f t="shared" si="22"/>
        <v>0</v>
      </c>
      <c r="O378" s="36">
        <f t="shared" si="22"/>
        <v>0</v>
      </c>
      <c r="P378" s="36">
        <f t="shared" si="22"/>
        <v>0</v>
      </c>
      <c r="Q378" s="36">
        <f t="shared" si="22"/>
        <v>0</v>
      </c>
      <c r="R378" s="9"/>
      <c r="S378" s="36"/>
      <c r="T378" s="36"/>
      <c r="U378" s="9"/>
      <c r="V378" s="9"/>
      <c r="W378" s="9"/>
      <c r="X378" s="9"/>
      <c r="Y378" s="9"/>
      <c r="Z378" s="9"/>
      <c r="AA378" s="9"/>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row>
    <row r="379" spans="2:64" ht="12.75" hidden="1" customHeight="1" outlineLevel="1">
      <c r="B379" s="9"/>
      <c r="C379" s="9"/>
      <c r="D379" s="128" t="str">
        <f>Asset21</f>
        <v>Equity raising costs</v>
      </c>
      <c r="E379" s="9"/>
      <c r="F379" s="9"/>
      <c r="G379" s="9"/>
      <c r="H379" s="9"/>
      <c r="I379" s="9"/>
      <c r="J379" s="9"/>
      <c r="K379" s="9"/>
      <c r="L379" s="36">
        <f t="shared" si="22"/>
        <v>27.420512822989309</v>
      </c>
      <c r="M379" s="36">
        <f t="shared" si="22"/>
        <v>0</v>
      </c>
      <c r="N379" s="36">
        <f t="shared" si="22"/>
        <v>0</v>
      </c>
      <c r="O379" s="36">
        <f t="shared" si="22"/>
        <v>0</v>
      </c>
      <c r="P379" s="36">
        <f t="shared" si="22"/>
        <v>0</v>
      </c>
      <c r="Q379" s="36">
        <f t="shared" si="22"/>
        <v>0</v>
      </c>
      <c r="R379" s="9"/>
      <c r="S379" s="9"/>
      <c r="T379" s="9"/>
      <c r="U379" s="9"/>
      <c r="V379" s="9"/>
      <c r="W379" s="9"/>
      <c r="X379" s="9"/>
      <c r="Y379" s="9"/>
      <c r="Z379" s="9"/>
      <c r="AA379" s="9"/>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row>
    <row r="380" spans="2:64" ht="12.75" hidden="1" customHeight="1" outlineLevel="1">
      <c r="B380" s="9"/>
      <c r="C380" s="9"/>
      <c r="D380" s="128">
        <f>Asset22</f>
        <v>0</v>
      </c>
      <c r="E380" s="9"/>
      <c r="F380" s="9"/>
      <c r="G380" s="9"/>
      <c r="H380" s="9"/>
      <c r="I380" s="9"/>
      <c r="J380" s="9"/>
      <c r="K380" s="9"/>
      <c r="L380" s="36">
        <f t="shared" ref="L380:Q386" si="23">IF(M$198=0, L220+L252+L284+L316+L348, 0)</f>
        <v>0</v>
      </c>
      <c r="M380" s="36">
        <f t="shared" si="23"/>
        <v>0</v>
      </c>
      <c r="N380" s="36">
        <f t="shared" si="23"/>
        <v>0</v>
      </c>
      <c r="O380" s="36">
        <f t="shared" si="23"/>
        <v>0</v>
      </c>
      <c r="P380" s="36">
        <f t="shared" si="23"/>
        <v>0</v>
      </c>
      <c r="Q380" s="36">
        <f t="shared" si="23"/>
        <v>0</v>
      </c>
      <c r="R380" s="9"/>
      <c r="S380" s="9"/>
      <c r="T380" s="9"/>
      <c r="U380" s="9"/>
      <c r="V380" s="9"/>
      <c r="W380" s="9"/>
      <c r="X380" s="9"/>
      <c r="Y380" s="9"/>
      <c r="Z380" s="9"/>
      <c r="AA380" s="9"/>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row>
    <row r="381" spans="2:64" ht="12.75" hidden="1" customHeight="1" outlineLevel="1">
      <c r="B381" s="9"/>
      <c r="C381" s="9"/>
      <c r="D381" s="128">
        <f>Asset23</f>
        <v>0</v>
      </c>
      <c r="E381" s="9"/>
      <c r="F381" s="9"/>
      <c r="G381" s="9"/>
      <c r="H381" s="9"/>
      <c r="I381" s="9"/>
      <c r="J381" s="9"/>
      <c r="K381" s="9"/>
      <c r="L381" s="36">
        <f t="shared" si="23"/>
        <v>0</v>
      </c>
      <c r="M381" s="36">
        <f t="shared" si="23"/>
        <v>0</v>
      </c>
      <c r="N381" s="36">
        <f t="shared" si="23"/>
        <v>0</v>
      </c>
      <c r="O381" s="36">
        <f t="shared" si="23"/>
        <v>0</v>
      </c>
      <c r="P381" s="36">
        <f t="shared" si="23"/>
        <v>0</v>
      </c>
      <c r="Q381" s="36">
        <f t="shared" si="23"/>
        <v>0</v>
      </c>
      <c r="R381" s="9"/>
      <c r="S381" s="9"/>
      <c r="T381" s="9"/>
      <c r="U381" s="9"/>
      <c r="V381" s="9"/>
      <c r="W381" s="9"/>
      <c r="X381" s="9"/>
      <c r="Y381" s="9"/>
      <c r="Z381" s="9"/>
      <c r="AA381" s="9"/>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row>
    <row r="382" spans="2:64" ht="12.75" hidden="1" customHeight="1" outlineLevel="1">
      <c r="B382" s="9"/>
      <c r="C382" s="9"/>
      <c r="D382" s="128">
        <f>Asset24</f>
        <v>0</v>
      </c>
      <c r="E382" s="9"/>
      <c r="F382" s="9"/>
      <c r="G382" s="9"/>
      <c r="H382" s="9"/>
      <c r="I382" s="9"/>
      <c r="J382" s="9"/>
      <c r="K382" s="9"/>
      <c r="L382" s="36">
        <f t="shared" si="23"/>
        <v>0</v>
      </c>
      <c r="M382" s="36">
        <f t="shared" si="23"/>
        <v>0</v>
      </c>
      <c r="N382" s="36">
        <f t="shared" si="23"/>
        <v>0</v>
      </c>
      <c r="O382" s="36">
        <f t="shared" si="23"/>
        <v>0</v>
      </c>
      <c r="P382" s="36">
        <f t="shared" si="23"/>
        <v>0</v>
      </c>
      <c r="Q382" s="36">
        <f t="shared" si="23"/>
        <v>0</v>
      </c>
      <c r="R382" s="9"/>
      <c r="S382" s="9"/>
      <c r="T382" s="9"/>
      <c r="U382" s="9"/>
      <c r="V382" s="9"/>
      <c r="W382" s="9"/>
      <c r="X382" s="9"/>
      <c r="Y382" s="9"/>
      <c r="Z382" s="9"/>
      <c r="AA382" s="9"/>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row>
    <row r="383" spans="2:64" ht="12.75" hidden="1" customHeight="1" outlineLevel="1">
      <c r="B383" s="9"/>
      <c r="C383" s="9"/>
      <c r="D383" s="128">
        <f>Asset25</f>
        <v>0</v>
      </c>
      <c r="E383" s="9"/>
      <c r="F383" s="9"/>
      <c r="G383" s="9"/>
      <c r="H383" s="9"/>
      <c r="I383" s="9"/>
      <c r="J383" s="9"/>
      <c r="K383" s="9"/>
      <c r="L383" s="36">
        <f t="shared" si="23"/>
        <v>0</v>
      </c>
      <c r="M383" s="36">
        <f t="shared" si="23"/>
        <v>0</v>
      </c>
      <c r="N383" s="36">
        <f t="shared" si="23"/>
        <v>0</v>
      </c>
      <c r="O383" s="36">
        <f t="shared" si="23"/>
        <v>0</v>
      </c>
      <c r="P383" s="36">
        <f t="shared" si="23"/>
        <v>0</v>
      </c>
      <c r="Q383" s="36">
        <f t="shared" si="23"/>
        <v>0</v>
      </c>
      <c r="R383" s="9"/>
      <c r="S383" s="9"/>
      <c r="T383" s="9"/>
      <c r="U383" s="9"/>
      <c r="V383" s="9"/>
      <c r="W383" s="9"/>
      <c r="X383" s="9"/>
      <c r="Y383" s="9"/>
      <c r="Z383" s="9"/>
      <c r="AA383" s="9"/>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row>
    <row r="384" spans="2:64" ht="12.75" hidden="1" customHeight="1" outlineLevel="1">
      <c r="B384" s="9"/>
      <c r="C384" s="9"/>
      <c r="D384" s="128">
        <f>Asset26</f>
        <v>0</v>
      </c>
      <c r="E384" s="9"/>
      <c r="F384" s="9"/>
      <c r="G384" s="9"/>
      <c r="H384" s="9"/>
      <c r="I384" s="9"/>
      <c r="J384" s="9"/>
      <c r="K384" s="9"/>
      <c r="L384" s="36">
        <f t="shared" si="23"/>
        <v>0</v>
      </c>
      <c r="M384" s="36">
        <f t="shared" si="23"/>
        <v>0</v>
      </c>
      <c r="N384" s="36">
        <f t="shared" si="23"/>
        <v>0</v>
      </c>
      <c r="O384" s="36">
        <f t="shared" si="23"/>
        <v>0</v>
      </c>
      <c r="P384" s="36">
        <f t="shared" si="23"/>
        <v>0</v>
      </c>
      <c r="Q384" s="36">
        <f t="shared" si="23"/>
        <v>0</v>
      </c>
      <c r="R384" s="9"/>
      <c r="S384" s="9"/>
      <c r="T384" s="9"/>
      <c r="U384" s="9"/>
      <c r="V384" s="9"/>
      <c r="W384" s="9"/>
      <c r="X384" s="9"/>
      <c r="Y384" s="9"/>
      <c r="Z384" s="9"/>
      <c r="AA384" s="9"/>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row>
    <row r="385" spans="1:64" ht="12.75" hidden="1" customHeight="1" outlineLevel="1">
      <c r="B385" s="9"/>
      <c r="C385" s="9"/>
      <c r="D385" s="128">
        <f>Asset27</f>
        <v>0</v>
      </c>
      <c r="E385" s="9"/>
      <c r="F385" s="9"/>
      <c r="G385" s="9"/>
      <c r="H385" s="9"/>
      <c r="I385" s="9"/>
      <c r="J385" s="9"/>
      <c r="K385" s="9"/>
      <c r="L385" s="36">
        <f t="shared" si="23"/>
        <v>0</v>
      </c>
      <c r="M385" s="36">
        <f t="shared" si="23"/>
        <v>0</v>
      </c>
      <c r="N385" s="36">
        <f t="shared" si="23"/>
        <v>0</v>
      </c>
      <c r="O385" s="36">
        <f t="shared" si="23"/>
        <v>0</v>
      </c>
      <c r="P385" s="36">
        <f t="shared" si="23"/>
        <v>0</v>
      </c>
      <c r="Q385" s="36">
        <f t="shared" si="23"/>
        <v>0</v>
      </c>
      <c r="R385" s="9"/>
      <c r="S385" s="9"/>
      <c r="T385" s="9"/>
      <c r="U385" s="9"/>
      <c r="V385" s="9"/>
      <c r="W385" s="9"/>
      <c r="X385" s="9"/>
      <c r="Y385" s="9"/>
      <c r="Z385" s="9"/>
      <c r="AA385" s="9"/>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row>
    <row r="386" spans="1:64" ht="12.75" hidden="1" customHeight="1" outlineLevel="1">
      <c r="B386" s="9"/>
      <c r="C386" s="9"/>
      <c r="D386" s="128">
        <f>Asset28</f>
        <v>0</v>
      </c>
      <c r="E386" s="9"/>
      <c r="F386" s="9"/>
      <c r="G386" s="9"/>
      <c r="H386" s="9"/>
      <c r="I386" s="9"/>
      <c r="J386" s="9"/>
      <c r="K386" s="9"/>
      <c r="L386" s="36">
        <f t="shared" si="23"/>
        <v>0</v>
      </c>
      <c r="M386" s="36">
        <f t="shared" si="23"/>
        <v>0</v>
      </c>
      <c r="N386" s="36">
        <f t="shared" si="23"/>
        <v>0</v>
      </c>
      <c r="O386" s="36">
        <f t="shared" si="23"/>
        <v>0</v>
      </c>
      <c r="P386" s="36">
        <f t="shared" si="23"/>
        <v>0</v>
      </c>
      <c r="Q386" s="36">
        <f t="shared" si="23"/>
        <v>0</v>
      </c>
      <c r="R386" s="9"/>
      <c r="S386" s="9"/>
      <c r="T386" s="9"/>
      <c r="U386" s="9"/>
      <c r="V386" s="9"/>
      <c r="W386" s="9"/>
      <c r="X386" s="9"/>
      <c r="Y386" s="9"/>
      <c r="Z386" s="9"/>
      <c r="AA386" s="9"/>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row>
    <row r="387" spans="1:64" ht="12.75" hidden="1" customHeight="1" outlineLevel="1">
      <c r="B387" s="9"/>
      <c r="C387" s="9"/>
      <c r="D387" s="128">
        <f>Asset29</f>
        <v>0</v>
      </c>
      <c r="E387" s="9"/>
      <c r="F387" s="9"/>
      <c r="G387" s="9"/>
      <c r="H387" s="9"/>
      <c r="I387" s="9"/>
      <c r="J387" s="9"/>
      <c r="K387" s="9"/>
      <c r="L387" s="36">
        <f t="shared" ref="L387:Q387" si="24">IF(M$198=0, L227+L259+L291+L323+L355, 0)</f>
        <v>0</v>
      </c>
      <c r="M387" s="36">
        <f t="shared" si="24"/>
        <v>0</v>
      </c>
      <c r="N387" s="36">
        <f t="shared" si="24"/>
        <v>0</v>
      </c>
      <c r="O387" s="36">
        <f t="shared" si="24"/>
        <v>0</v>
      </c>
      <c r="P387" s="36">
        <f t="shared" si="24"/>
        <v>0</v>
      </c>
      <c r="Q387" s="36">
        <f t="shared" si="24"/>
        <v>0</v>
      </c>
      <c r="R387" s="9"/>
      <c r="S387" s="9"/>
      <c r="T387" s="9"/>
      <c r="U387" s="9"/>
      <c r="V387" s="9"/>
      <c r="W387" s="9"/>
      <c r="X387" s="9"/>
      <c r="Y387" s="9"/>
      <c r="Z387" s="9"/>
      <c r="AA387" s="9"/>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row>
    <row r="388" spans="1:64" ht="12.75" hidden="1" customHeight="1" outlineLevel="1">
      <c r="B388" s="9"/>
      <c r="C388" s="9"/>
      <c r="D388" s="128">
        <f>Asset30</f>
        <v>0</v>
      </c>
      <c r="E388" s="9"/>
      <c r="F388" s="9"/>
      <c r="G388" s="9"/>
      <c r="H388" s="9"/>
      <c r="I388" s="9"/>
      <c r="J388" s="9"/>
      <c r="K388" s="9"/>
      <c r="L388" s="36">
        <f t="shared" ref="L388:Q388" si="25">IF(M$198=0, L228+L260+L292+L324+L356, 0)</f>
        <v>0</v>
      </c>
      <c r="M388" s="36">
        <f t="shared" si="25"/>
        <v>0</v>
      </c>
      <c r="N388" s="36">
        <f t="shared" si="25"/>
        <v>0</v>
      </c>
      <c r="O388" s="36">
        <f t="shared" si="25"/>
        <v>0</v>
      </c>
      <c r="P388" s="36">
        <f t="shared" si="25"/>
        <v>0</v>
      </c>
      <c r="Q388" s="36">
        <f t="shared" si="25"/>
        <v>0</v>
      </c>
      <c r="R388" s="9"/>
      <c r="S388" s="9"/>
      <c r="T388" s="9"/>
      <c r="U388" s="9"/>
      <c r="V388" s="9"/>
      <c r="W388" s="9"/>
      <c r="X388" s="9"/>
      <c r="Y388" s="9"/>
      <c r="Z388" s="9"/>
      <c r="AA388" s="9"/>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row>
    <row r="389" spans="1:64" collapsed="1">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c r="A390" s="335"/>
      <c r="B390" s="332"/>
      <c r="C390" s="333" t="s">
        <v>146</v>
      </c>
      <c r="D390" s="332"/>
      <c r="E390" s="332"/>
      <c r="F390" s="332"/>
      <c r="G390" s="332"/>
      <c r="H390" s="332"/>
      <c r="I390" s="332"/>
      <c r="J390" s="332"/>
      <c r="K390" s="332"/>
      <c r="L390" s="334">
        <f>SUM(L391:L411)</f>
        <v>51.334121537909333</v>
      </c>
      <c r="M390" s="404"/>
      <c r="N390" s="9"/>
      <c r="O390" s="9"/>
      <c r="P390" s="9"/>
      <c r="Q390" s="9"/>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hidden="1" outlineLevel="1">
      <c r="A391" s="9"/>
      <c r="B391" s="328"/>
      <c r="C391" s="328"/>
      <c r="D391" s="329" t="str">
        <f>Asset1</f>
        <v>Sub-transmission lines and cables</v>
      </c>
      <c r="E391" s="328"/>
      <c r="F391" s="328"/>
      <c r="G391" s="328"/>
      <c r="H391" s="328"/>
      <c r="I391" s="328"/>
      <c r="J391" s="328"/>
      <c r="K391" s="328"/>
      <c r="L391" s="456">
        <v>51.334121537909333</v>
      </c>
      <c r="M391" s="405"/>
      <c r="N391" s="9"/>
      <c r="O391" s="9"/>
      <c r="P391" s="9"/>
      <c r="Q391" s="9"/>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hidden="1" outlineLevel="1">
      <c r="A392" s="9"/>
      <c r="B392" s="328"/>
      <c r="C392" s="328"/>
      <c r="D392" s="329" t="str">
        <f>Asset2</f>
        <v>Cable tunnel (dx)</v>
      </c>
      <c r="E392" s="328"/>
      <c r="F392" s="328"/>
      <c r="G392" s="328"/>
      <c r="H392" s="328"/>
      <c r="I392" s="328"/>
      <c r="J392" s="328"/>
      <c r="K392" s="328"/>
      <c r="L392" s="323">
        <v>0</v>
      </c>
      <c r="M392" s="404"/>
      <c r="N392" s="9"/>
      <c r="O392" s="9"/>
      <c r="P392" s="9"/>
      <c r="Q392" s="9"/>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hidden="1" outlineLevel="1">
      <c r="A393" s="9"/>
      <c r="B393" s="328"/>
      <c r="C393" s="328"/>
      <c r="D393" s="329" t="str">
        <f>Asset3</f>
        <v>Distribution lines and cables</v>
      </c>
      <c r="E393" s="328"/>
      <c r="F393" s="328"/>
      <c r="G393" s="328"/>
      <c r="H393" s="328"/>
      <c r="I393" s="328"/>
      <c r="J393" s="328"/>
      <c r="K393" s="328"/>
      <c r="L393" s="323">
        <v>0</v>
      </c>
      <c r="M393" s="404"/>
      <c r="N393" s="9"/>
      <c r="O393" s="9"/>
      <c r="P393" s="9"/>
      <c r="Q393" s="9"/>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hidden="1" outlineLevel="1">
      <c r="A394" s="9"/>
      <c r="B394" s="328"/>
      <c r="C394" s="328"/>
      <c r="D394" s="329" t="str">
        <f>Asset4</f>
        <v>Substations</v>
      </c>
      <c r="E394" s="328"/>
      <c r="F394" s="328"/>
      <c r="G394" s="328"/>
      <c r="H394" s="328"/>
      <c r="I394" s="328"/>
      <c r="J394" s="328"/>
      <c r="K394" s="328"/>
      <c r="L394" s="323">
        <v>0</v>
      </c>
      <c r="M394" s="404"/>
      <c r="N394" s="9"/>
      <c r="O394" s="9"/>
      <c r="P394" s="9"/>
      <c r="Q394" s="9"/>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hidden="1" outlineLevel="1">
      <c r="A395" s="9"/>
      <c r="B395" s="328"/>
      <c r="C395" s="328"/>
      <c r="D395" s="329" t="str">
        <f>Asset5</f>
        <v>Transformers</v>
      </c>
      <c r="E395" s="328"/>
      <c r="F395" s="328"/>
      <c r="G395" s="328"/>
      <c r="H395" s="328"/>
      <c r="I395" s="328"/>
      <c r="J395" s="328"/>
      <c r="K395" s="328"/>
      <c r="L395" s="323">
        <v>0</v>
      </c>
      <c r="M395" s="404"/>
      <c r="N395" s="9"/>
      <c r="O395" s="9"/>
      <c r="P395" s="9"/>
      <c r="Q395" s="9"/>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hidden="1" outlineLevel="1">
      <c r="A396" s="9"/>
      <c r="B396" s="328"/>
      <c r="C396" s="328"/>
      <c r="D396" s="329" t="str">
        <f>Asset6</f>
        <v>Low Voltage Lines and Cables</v>
      </c>
      <c r="E396" s="328"/>
      <c r="F396" s="328"/>
      <c r="G396" s="328"/>
      <c r="H396" s="328"/>
      <c r="I396" s="328"/>
      <c r="J396" s="328"/>
      <c r="K396" s="328"/>
      <c r="L396" s="323">
        <v>0</v>
      </c>
      <c r="M396" s="404"/>
      <c r="N396" s="9"/>
      <c r="O396" s="9"/>
      <c r="P396" s="9"/>
      <c r="Q396" s="9"/>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hidden="1" outlineLevel="1">
      <c r="A397" s="9"/>
      <c r="B397" s="328"/>
      <c r="C397" s="328"/>
      <c r="D397" s="329" t="str">
        <f>Asset7</f>
        <v>Customer Metering and Load Control</v>
      </c>
      <c r="E397" s="328"/>
      <c r="F397" s="328"/>
      <c r="G397" s="328"/>
      <c r="H397" s="328"/>
      <c r="I397" s="328"/>
      <c r="J397" s="328"/>
      <c r="K397" s="328"/>
      <c r="L397" s="323">
        <v>0</v>
      </c>
      <c r="M397" s="404"/>
      <c r="N397" s="9"/>
      <c r="O397" s="9"/>
      <c r="P397" s="9"/>
      <c r="Q397" s="9"/>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hidden="1" outlineLevel="1">
      <c r="A398" s="9"/>
      <c r="B398" s="328"/>
      <c r="C398" s="328"/>
      <c r="D398" s="329" t="str">
        <f>Asset8</f>
        <v>Customer Metering (digital)</v>
      </c>
      <c r="E398" s="328"/>
      <c r="F398" s="328"/>
      <c r="G398" s="328"/>
      <c r="H398" s="328"/>
      <c r="I398" s="328"/>
      <c r="J398" s="328"/>
      <c r="K398" s="328"/>
      <c r="L398" s="323">
        <v>0</v>
      </c>
      <c r="M398" s="404"/>
      <c r="N398" s="9"/>
      <c r="O398" s="9"/>
      <c r="P398" s="9"/>
      <c r="Q398" s="9"/>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hidden="1" outlineLevel="1">
      <c r="A399" s="9"/>
      <c r="B399" s="328"/>
      <c r="C399" s="328"/>
      <c r="D399" s="329" t="str">
        <f>Asset9</f>
        <v>Communications (digital) - dx</v>
      </c>
      <c r="E399" s="328"/>
      <c r="F399" s="328"/>
      <c r="G399" s="328"/>
      <c r="H399" s="328"/>
      <c r="I399" s="328"/>
      <c r="J399" s="328"/>
      <c r="K399" s="328"/>
      <c r="L399" s="323">
        <v>0</v>
      </c>
      <c r="M399" s="404"/>
      <c r="N399" s="9"/>
      <c r="O399" s="9"/>
      <c r="P399" s="9"/>
      <c r="Q399" s="9"/>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hidden="1" outlineLevel="1">
      <c r="A400" s="9"/>
      <c r="B400" s="328"/>
      <c r="C400" s="328"/>
      <c r="D400" s="329" t="str">
        <f>Asset10</f>
        <v>Total Communications</v>
      </c>
      <c r="E400" s="328"/>
      <c r="F400" s="328"/>
      <c r="G400" s="328"/>
      <c r="H400" s="328"/>
      <c r="I400" s="328"/>
      <c r="J400" s="328"/>
      <c r="K400" s="328"/>
      <c r="L400" s="323">
        <v>0</v>
      </c>
      <c r="M400" s="404"/>
      <c r="N400" s="9"/>
      <c r="O400" s="9"/>
      <c r="P400" s="9"/>
      <c r="Q400" s="9"/>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hidden="1" outlineLevel="1">
      <c r="A401" s="9"/>
      <c r="B401" s="328"/>
      <c r="C401" s="328"/>
      <c r="D401" s="329" t="str">
        <f>Asset11</f>
        <v>System IT (dx)</v>
      </c>
      <c r="E401" s="328"/>
      <c r="F401" s="328"/>
      <c r="G401" s="328"/>
      <c r="H401" s="328"/>
      <c r="I401" s="328"/>
      <c r="J401" s="328"/>
      <c r="K401" s="328"/>
      <c r="L401" s="323">
        <v>0</v>
      </c>
      <c r="M401" s="404"/>
      <c r="N401" s="9"/>
      <c r="O401" s="9"/>
      <c r="P401" s="9"/>
      <c r="Q401" s="9"/>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hidden="1" outlineLevel="1">
      <c r="A402" s="9"/>
      <c r="B402" s="328"/>
      <c r="C402" s="328"/>
      <c r="D402" s="329" t="str">
        <f>Asset12</f>
        <v>Ancillary substation equipment (dx)</v>
      </c>
      <c r="E402" s="328"/>
      <c r="F402" s="328"/>
      <c r="G402" s="328"/>
      <c r="H402" s="328"/>
      <c r="I402" s="328"/>
      <c r="J402" s="328"/>
      <c r="K402" s="328"/>
      <c r="L402" s="323">
        <v>0</v>
      </c>
      <c r="M402" s="404"/>
      <c r="N402" s="9"/>
      <c r="O402" s="9"/>
      <c r="P402" s="9"/>
      <c r="Q402" s="9"/>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hidden="1" outlineLevel="1">
      <c r="A403" s="9"/>
      <c r="B403" s="328"/>
      <c r="C403" s="328"/>
      <c r="D403" s="329" t="str">
        <f>Asset13</f>
        <v>Land and Easements</v>
      </c>
      <c r="E403" s="328"/>
      <c r="F403" s="328"/>
      <c r="G403" s="328"/>
      <c r="H403" s="328"/>
      <c r="I403" s="328"/>
      <c r="J403" s="328"/>
      <c r="K403" s="328"/>
      <c r="L403" s="323">
        <v>0</v>
      </c>
      <c r="M403" s="404"/>
      <c r="O403" s="9"/>
      <c r="P403" s="9"/>
      <c r="Q403" s="9"/>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hidden="1" outlineLevel="1">
      <c r="A404" s="9"/>
      <c r="B404" s="328"/>
      <c r="C404" s="328"/>
      <c r="D404" s="329" t="str">
        <f>Asset14</f>
        <v>Emergency Spares (Major Plant, Excludes Inventory)</v>
      </c>
      <c r="E404" s="328"/>
      <c r="F404" s="328"/>
      <c r="G404" s="328"/>
      <c r="H404" s="328"/>
      <c r="I404" s="328"/>
      <c r="J404" s="328"/>
      <c r="K404" s="328"/>
      <c r="L404" s="323">
        <v>0</v>
      </c>
      <c r="M404" s="404"/>
      <c r="N404" s="9"/>
      <c r="O404" s="9"/>
      <c r="P404" s="9"/>
      <c r="Q404" s="9"/>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hidden="1" outlineLevel="1">
      <c r="A405" s="9"/>
      <c r="B405" s="328"/>
      <c r="C405" s="328"/>
      <c r="D405" s="329" t="str">
        <f>Asset15</f>
        <v>Furniture, fittings, plant and equipment</v>
      </c>
      <c r="E405" s="328"/>
      <c r="F405" s="328"/>
      <c r="G405" s="328"/>
      <c r="H405" s="328"/>
      <c r="I405" s="328"/>
      <c r="J405" s="328"/>
      <c r="K405" s="328"/>
      <c r="L405" s="323">
        <v>0</v>
      </c>
      <c r="M405" s="404"/>
      <c r="N405" s="9"/>
      <c r="O405" s="9"/>
      <c r="P405" s="9"/>
      <c r="Q405" s="9"/>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hidden="1" outlineLevel="1">
      <c r="A406" s="9"/>
      <c r="B406" s="328"/>
      <c r="C406" s="328"/>
      <c r="D406" s="329" t="str">
        <f>Asset16</f>
        <v>Land (non-system)</v>
      </c>
      <c r="E406" s="328"/>
      <c r="F406" s="328"/>
      <c r="G406" s="328"/>
      <c r="H406" s="328"/>
      <c r="I406" s="328"/>
      <c r="J406" s="328"/>
      <c r="K406" s="328"/>
      <c r="L406" s="323">
        <v>0</v>
      </c>
      <c r="M406" s="404"/>
      <c r="N406" s="9"/>
      <c r="O406" s="9"/>
      <c r="P406" s="9"/>
      <c r="Q406" s="9"/>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hidden="1" outlineLevel="1">
      <c r="A407" s="9"/>
      <c r="B407" s="328"/>
      <c r="C407" s="328"/>
      <c r="D407" s="329" t="str">
        <f>Asset17</f>
        <v>Other non system assets</v>
      </c>
      <c r="E407" s="328"/>
      <c r="F407" s="328"/>
      <c r="G407" s="328"/>
      <c r="H407" s="328"/>
      <c r="I407" s="328"/>
      <c r="J407" s="328"/>
      <c r="K407" s="328"/>
      <c r="L407" s="323">
        <v>0</v>
      </c>
      <c r="M407" s="404"/>
      <c r="N407" s="9"/>
      <c r="O407" s="9"/>
      <c r="P407" s="9"/>
      <c r="Q407" s="9"/>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hidden="1" outlineLevel="1">
      <c r="A408" s="9"/>
      <c r="B408" s="328"/>
      <c r="C408" s="328"/>
      <c r="D408" s="329" t="str">
        <f>Asset18</f>
        <v>IT systems</v>
      </c>
      <c r="E408" s="328"/>
      <c r="F408" s="328"/>
      <c r="G408" s="328"/>
      <c r="H408" s="328"/>
      <c r="I408" s="328"/>
      <c r="J408" s="328"/>
      <c r="K408" s="328"/>
      <c r="L408" s="323">
        <v>0</v>
      </c>
      <c r="M408" s="404"/>
      <c r="N408" s="9"/>
      <c r="O408" s="9"/>
      <c r="P408" s="9"/>
      <c r="Q408" s="9"/>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hidden="1" outlineLevel="1">
      <c r="A409" s="9"/>
      <c r="B409" s="328"/>
      <c r="C409" s="328"/>
      <c r="D409" s="329" t="str">
        <f>Asset19</f>
        <v>Motor vehicles</v>
      </c>
      <c r="E409" s="328"/>
      <c r="F409" s="328"/>
      <c r="G409" s="328"/>
      <c r="H409" s="328"/>
      <c r="I409" s="328"/>
      <c r="J409" s="328"/>
      <c r="K409" s="328"/>
      <c r="L409" s="323">
        <v>0</v>
      </c>
      <c r="M409" s="404"/>
      <c r="N409" s="9"/>
      <c r="O409" s="9"/>
      <c r="P409" s="9"/>
      <c r="Q409" s="9"/>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hidden="1" outlineLevel="1">
      <c r="A410" s="9"/>
      <c r="B410" s="328"/>
      <c r="C410" s="328"/>
      <c r="D410" s="329" t="str">
        <f>Asset20</f>
        <v>Buildings</v>
      </c>
      <c r="E410" s="328"/>
      <c r="F410" s="328"/>
      <c r="G410" s="328"/>
      <c r="H410" s="328"/>
      <c r="I410" s="328"/>
      <c r="J410" s="328"/>
      <c r="K410" s="328"/>
      <c r="L410" s="323">
        <v>0</v>
      </c>
      <c r="M410" s="404"/>
      <c r="N410" s="9"/>
      <c r="O410" s="9"/>
      <c r="P410" s="9"/>
      <c r="Q410" s="9"/>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hidden="1" outlineLevel="1">
      <c r="A411" s="9"/>
      <c r="B411" s="328"/>
      <c r="C411" s="328"/>
      <c r="D411" s="329" t="str">
        <f>Asset21</f>
        <v>Equity raising costs</v>
      </c>
      <c r="E411" s="328"/>
      <c r="F411" s="328"/>
      <c r="G411" s="328"/>
      <c r="H411" s="328"/>
      <c r="I411" s="328"/>
      <c r="J411" s="328"/>
      <c r="K411" s="328"/>
      <c r="L411" s="323">
        <v>0</v>
      </c>
      <c r="M411" s="404"/>
      <c r="N411" s="9"/>
      <c r="O411" s="9"/>
      <c r="P411" s="9"/>
      <c r="Q411" s="9"/>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collapsed="1">
      <c r="A412" s="9"/>
      <c r="B412" s="328"/>
      <c r="C412" s="328"/>
      <c r="D412" s="329"/>
      <c r="E412" s="328"/>
      <c r="F412" s="328"/>
      <c r="G412" s="328"/>
      <c r="H412" s="328"/>
      <c r="I412" s="328"/>
      <c r="J412" s="328"/>
      <c r="K412" s="328"/>
      <c r="L412" s="328"/>
      <c r="M412" s="404"/>
      <c r="N412" s="9"/>
      <c r="O412" s="9"/>
      <c r="P412" s="9"/>
      <c r="Q412" s="9"/>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c r="A413" s="332"/>
      <c r="B413" s="332"/>
      <c r="C413" s="333" t="s">
        <v>147</v>
      </c>
      <c r="D413" s="332"/>
      <c r="E413" s="332"/>
      <c r="F413" s="332"/>
      <c r="G413" s="332"/>
      <c r="H413" s="332"/>
      <c r="I413" s="332"/>
      <c r="J413" s="332"/>
      <c r="K413" s="332"/>
      <c r="L413" s="334">
        <f>SUM(L414:L434)</f>
        <v>60.569473343801491</v>
      </c>
      <c r="M413" s="404"/>
      <c r="N413" s="9"/>
      <c r="O413" s="9"/>
      <c r="P413" s="9"/>
      <c r="Q413" s="9"/>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hidden="1" outlineLevel="1">
      <c r="A414" s="9"/>
      <c r="B414" s="328"/>
      <c r="C414" s="328"/>
      <c r="D414" s="329" t="str">
        <f>Asset1</f>
        <v>Sub-transmission lines and cables</v>
      </c>
      <c r="E414" s="328"/>
      <c r="F414" s="328"/>
      <c r="G414" s="328"/>
      <c r="H414" s="328"/>
      <c r="I414" s="328"/>
      <c r="J414" s="328"/>
      <c r="K414" s="328"/>
      <c r="L414" s="456">
        <v>60.569473343801491</v>
      </c>
      <c r="M414" s="405"/>
      <c r="N414" s="9"/>
      <c r="O414" s="9"/>
      <c r="P414" s="9"/>
      <c r="Q414" s="9"/>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hidden="1" outlineLevel="1">
      <c r="A415" s="9"/>
      <c r="B415" s="328"/>
      <c r="C415" s="328"/>
      <c r="D415" s="329" t="str">
        <f>Asset2</f>
        <v>Cable tunnel (dx)</v>
      </c>
      <c r="E415" s="328"/>
      <c r="F415" s="328"/>
      <c r="G415" s="328"/>
      <c r="H415" s="328"/>
      <c r="I415" s="328"/>
      <c r="J415" s="328"/>
      <c r="K415" s="328"/>
      <c r="L415" s="323">
        <v>0</v>
      </c>
      <c r="M415" s="9"/>
      <c r="N415" s="9"/>
      <c r="O415" s="9"/>
      <c r="P415" s="9"/>
      <c r="Q415" s="9"/>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hidden="1" outlineLevel="1">
      <c r="A416" s="9"/>
      <c r="B416" s="328"/>
      <c r="C416" s="328"/>
      <c r="D416" s="329" t="str">
        <f>Asset3</f>
        <v>Distribution lines and cables</v>
      </c>
      <c r="E416" s="328"/>
      <c r="F416" s="328"/>
      <c r="G416" s="328"/>
      <c r="H416" s="328"/>
      <c r="I416" s="328"/>
      <c r="J416" s="328"/>
      <c r="K416" s="328"/>
      <c r="L416" s="323">
        <v>0</v>
      </c>
      <c r="M416" s="9"/>
      <c r="N416" s="9"/>
      <c r="O416" s="9"/>
      <c r="P416" s="9"/>
      <c r="Q416" s="9"/>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hidden="1" outlineLevel="1">
      <c r="A417" s="9"/>
      <c r="B417" s="328"/>
      <c r="C417" s="328"/>
      <c r="D417" s="329" t="str">
        <f>Asset4</f>
        <v>Substations</v>
      </c>
      <c r="E417" s="328"/>
      <c r="F417" s="328"/>
      <c r="G417" s="328"/>
      <c r="H417" s="328"/>
      <c r="I417" s="328"/>
      <c r="J417" s="328"/>
      <c r="K417" s="328"/>
      <c r="L417" s="323">
        <v>0</v>
      </c>
      <c r="M417" s="9"/>
      <c r="N417" s="9"/>
      <c r="O417" s="9"/>
      <c r="P417" s="9"/>
      <c r="Q417" s="9"/>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hidden="1" outlineLevel="1">
      <c r="A418" s="9"/>
      <c r="B418" s="328"/>
      <c r="C418" s="328"/>
      <c r="D418" s="329" t="str">
        <f>Asset5</f>
        <v>Transformers</v>
      </c>
      <c r="E418" s="328"/>
      <c r="F418" s="328"/>
      <c r="G418" s="328"/>
      <c r="H418" s="328"/>
      <c r="I418" s="328"/>
      <c r="J418" s="328"/>
      <c r="K418" s="328"/>
      <c r="L418" s="323">
        <v>0</v>
      </c>
      <c r="M418" s="9"/>
      <c r="N418" s="9"/>
      <c r="O418" s="9"/>
      <c r="P418" s="9"/>
      <c r="Q418" s="9"/>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hidden="1" outlineLevel="1">
      <c r="A419" s="9"/>
      <c r="B419" s="328"/>
      <c r="C419" s="328"/>
      <c r="D419" s="329" t="str">
        <f>Asset6</f>
        <v>Low Voltage Lines and Cables</v>
      </c>
      <c r="E419" s="328"/>
      <c r="F419" s="328"/>
      <c r="G419" s="328"/>
      <c r="H419" s="328"/>
      <c r="I419" s="328"/>
      <c r="J419" s="328"/>
      <c r="K419" s="328"/>
      <c r="L419" s="323">
        <v>0</v>
      </c>
      <c r="M419" s="9"/>
      <c r="O419" s="9"/>
      <c r="P419" s="9"/>
      <c r="Q419" s="9"/>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hidden="1" outlineLevel="1">
      <c r="A420" s="9"/>
      <c r="B420" s="328"/>
      <c r="C420" s="328"/>
      <c r="D420" s="329" t="str">
        <f>Asset7</f>
        <v>Customer Metering and Load Control</v>
      </c>
      <c r="E420" s="328"/>
      <c r="F420" s="328"/>
      <c r="G420" s="328"/>
      <c r="H420" s="328"/>
      <c r="I420" s="328"/>
      <c r="J420" s="328"/>
      <c r="K420" s="328"/>
      <c r="L420" s="323">
        <v>0</v>
      </c>
      <c r="M420" s="9"/>
      <c r="N420" s="9"/>
      <c r="O420" s="9"/>
      <c r="P420" s="9"/>
      <c r="Q420" s="9"/>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hidden="1" outlineLevel="1">
      <c r="A421" s="9"/>
      <c r="B421" s="328"/>
      <c r="C421" s="328"/>
      <c r="D421" s="329" t="str">
        <f>Asset8</f>
        <v>Customer Metering (digital)</v>
      </c>
      <c r="E421" s="328"/>
      <c r="F421" s="328"/>
      <c r="G421" s="328"/>
      <c r="H421" s="328"/>
      <c r="I421" s="328"/>
      <c r="J421" s="328"/>
      <c r="K421" s="328"/>
      <c r="L421" s="323">
        <v>0</v>
      </c>
      <c r="M421" s="9"/>
      <c r="N421" s="9"/>
      <c r="O421" s="9"/>
      <c r="P421" s="9"/>
      <c r="Q421" s="9"/>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hidden="1" outlineLevel="1">
      <c r="A422" s="9"/>
      <c r="B422" s="328"/>
      <c r="C422" s="328"/>
      <c r="D422" s="329" t="str">
        <f>Asset9</f>
        <v>Communications (digital) - dx</v>
      </c>
      <c r="E422" s="328"/>
      <c r="F422" s="328"/>
      <c r="G422" s="328"/>
      <c r="H422" s="328"/>
      <c r="I422" s="328"/>
      <c r="J422" s="328"/>
      <c r="K422" s="328"/>
      <c r="L422" s="323">
        <v>0</v>
      </c>
      <c r="M422" s="9"/>
      <c r="N422" s="9"/>
      <c r="O422" s="9"/>
      <c r="P422" s="9"/>
      <c r="Q422" s="9"/>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hidden="1" outlineLevel="1">
      <c r="A423" s="9"/>
      <c r="B423" s="328"/>
      <c r="C423" s="328"/>
      <c r="D423" s="329" t="str">
        <f>Asset10</f>
        <v>Total Communications</v>
      </c>
      <c r="E423" s="328"/>
      <c r="F423" s="328"/>
      <c r="G423" s="328"/>
      <c r="H423" s="328"/>
      <c r="I423" s="328"/>
      <c r="J423" s="328"/>
      <c r="K423" s="328"/>
      <c r="L423" s="323">
        <v>0</v>
      </c>
      <c r="M423" s="9"/>
      <c r="N423" s="9"/>
      <c r="O423" s="9"/>
      <c r="P423" s="9"/>
      <c r="Q423" s="9"/>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hidden="1" outlineLevel="1">
      <c r="A424" s="9"/>
      <c r="B424" s="328"/>
      <c r="C424" s="328"/>
      <c r="D424" s="329" t="str">
        <f>Asset11</f>
        <v>System IT (dx)</v>
      </c>
      <c r="E424" s="328"/>
      <c r="F424" s="328"/>
      <c r="G424" s="328"/>
      <c r="H424" s="328"/>
      <c r="I424" s="328"/>
      <c r="J424" s="328"/>
      <c r="K424" s="328"/>
      <c r="L424" s="323">
        <v>0</v>
      </c>
      <c r="M424" s="9"/>
      <c r="N424" s="9"/>
      <c r="O424" s="9"/>
      <c r="P424" s="9"/>
      <c r="Q424" s="9"/>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hidden="1" outlineLevel="1">
      <c r="A425" s="9"/>
      <c r="B425" s="328"/>
      <c r="C425" s="328"/>
      <c r="D425" s="329" t="str">
        <f>Asset12</f>
        <v>Ancillary substation equipment (dx)</v>
      </c>
      <c r="E425" s="328"/>
      <c r="F425" s="328"/>
      <c r="G425" s="328"/>
      <c r="H425" s="328"/>
      <c r="I425" s="328"/>
      <c r="J425" s="328"/>
      <c r="K425" s="328"/>
      <c r="L425" s="323">
        <v>0</v>
      </c>
      <c r="M425" s="9"/>
      <c r="N425" s="9"/>
      <c r="O425" s="9"/>
      <c r="P425" s="9"/>
      <c r="Q425" s="9"/>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hidden="1" outlineLevel="1">
      <c r="A426" s="9"/>
      <c r="B426" s="328"/>
      <c r="C426" s="328"/>
      <c r="D426" s="329" t="str">
        <f>Asset13</f>
        <v>Land and Easements</v>
      </c>
      <c r="E426" s="328"/>
      <c r="F426" s="328"/>
      <c r="G426" s="328"/>
      <c r="H426" s="328"/>
      <c r="I426" s="328"/>
      <c r="J426" s="328"/>
      <c r="K426" s="328"/>
      <c r="L426" s="323">
        <v>0</v>
      </c>
      <c r="M426" s="9"/>
      <c r="N426" s="9"/>
      <c r="O426" s="9"/>
      <c r="P426" s="9"/>
      <c r="Q426" s="9"/>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hidden="1" outlineLevel="1">
      <c r="A427" s="9"/>
      <c r="B427" s="328"/>
      <c r="C427" s="328"/>
      <c r="D427" s="329" t="str">
        <f>Asset14</f>
        <v>Emergency Spares (Major Plant, Excludes Inventory)</v>
      </c>
      <c r="E427" s="328"/>
      <c r="F427" s="328"/>
      <c r="G427" s="328"/>
      <c r="H427" s="328"/>
      <c r="I427" s="328"/>
      <c r="J427" s="328"/>
      <c r="K427" s="328"/>
      <c r="L427" s="323">
        <v>0</v>
      </c>
      <c r="M427" s="9"/>
      <c r="N427" s="9"/>
      <c r="O427" s="9"/>
      <c r="P427" s="9"/>
      <c r="Q427" s="9"/>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hidden="1" outlineLevel="1">
      <c r="A428" s="9"/>
      <c r="B428" s="328"/>
      <c r="C428" s="328"/>
      <c r="D428" s="329" t="str">
        <f>Asset15</f>
        <v>Furniture, fittings, plant and equipment</v>
      </c>
      <c r="E428" s="328"/>
      <c r="F428" s="328"/>
      <c r="G428" s="328"/>
      <c r="H428" s="328"/>
      <c r="I428" s="328"/>
      <c r="J428" s="328"/>
      <c r="K428" s="328"/>
      <c r="L428" s="323">
        <v>0</v>
      </c>
      <c r="M428" s="9"/>
      <c r="N428" s="9"/>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hidden="1" outlineLevel="1">
      <c r="A429" s="9"/>
      <c r="B429" s="328"/>
      <c r="C429" s="328"/>
      <c r="D429" s="329" t="str">
        <f>Asset16</f>
        <v>Land (non-system)</v>
      </c>
      <c r="E429" s="328"/>
      <c r="F429" s="328"/>
      <c r="G429" s="328"/>
      <c r="H429" s="328"/>
      <c r="I429" s="328"/>
      <c r="J429" s="328"/>
      <c r="K429" s="328"/>
      <c r="L429" s="323">
        <v>0</v>
      </c>
      <c r="M429" s="9"/>
      <c r="N429" s="9"/>
      <c r="O429" s="9"/>
      <c r="P429" s="9"/>
      <c r="Q429" s="9"/>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hidden="1" outlineLevel="1">
      <c r="A430" s="9"/>
      <c r="B430" s="328"/>
      <c r="C430" s="328"/>
      <c r="D430" s="329" t="str">
        <f>Asset17</f>
        <v>Other non system assets</v>
      </c>
      <c r="E430" s="328"/>
      <c r="F430" s="328"/>
      <c r="G430" s="328"/>
      <c r="H430" s="328"/>
      <c r="I430" s="328"/>
      <c r="J430" s="328"/>
      <c r="K430" s="328"/>
      <c r="L430" s="323">
        <v>0</v>
      </c>
      <c r="M430" s="9"/>
      <c r="N430" s="9"/>
      <c r="O430" s="9"/>
      <c r="P430" s="9"/>
      <c r="Q430" s="9"/>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hidden="1" outlineLevel="1">
      <c r="A431" s="9"/>
      <c r="B431" s="328"/>
      <c r="C431" s="328"/>
      <c r="D431" s="329" t="str">
        <f>Asset18</f>
        <v>IT systems</v>
      </c>
      <c r="E431" s="328"/>
      <c r="F431" s="328"/>
      <c r="G431" s="328"/>
      <c r="H431" s="328"/>
      <c r="I431" s="328"/>
      <c r="J431" s="328"/>
      <c r="K431" s="328"/>
      <c r="L431" s="323">
        <v>0</v>
      </c>
      <c r="M431" s="9"/>
      <c r="N431" s="9"/>
      <c r="O431" s="9"/>
      <c r="P431" s="9"/>
      <c r="Q431" s="9"/>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hidden="1" outlineLevel="1">
      <c r="A432" s="9"/>
      <c r="B432" s="328"/>
      <c r="C432" s="328"/>
      <c r="D432" s="329" t="str">
        <f>Asset19</f>
        <v>Motor vehicles</v>
      </c>
      <c r="E432" s="328"/>
      <c r="F432" s="328"/>
      <c r="G432" s="328"/>
      <c r="H432" s="328"/>
      <c r="I432" s="328"/>
      <c r="J432" s="328"/>
      <c r="K432" s="328"/>
      <c r="L432" s="323">
        <v>0</v>
      </c>
      <c r="M432" s="9"/>
      <c r="N432" s="9"/>
      <c r="O432" s="9"/>
      <c r="P432" s="9"/>
      <c r="Q432" s="9"/>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hidden="1" outlineLevel="1">
      <c r="A433" s="9"/>
      <c r="B433" s="328"/>
      <c r="C433" s="328"/>
      <c r="D433" s="329" t="str">
        <f>Asset20</f>
        <v>Buildings</v>
      </c>
      <c r="E433" s="328"/>
      <c r="F433" s="328"/>
      <c r="G433" s="328"/>
      <c r="H433" s="328"/>
      <c r="I433" s="328"/>
      <c r="J433" s="328"/>
      <c r="K433" s="328"/>
      <c r="L433" s="323">
        <v>0</v>
      </c>
      <c r="M433" s="9"/>
      <c r="N433" s="9"/>
      <c r="O433" s="9"/>
      <c r="P433" s="9"/>
      <c r="Q433" s="9"/>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hidden="1" outlineLevel="1">
      <c r="A434" s="9"/>
      <c r="B434" s="328"/>
      <c r="C434" s="328"/>
      <c r="D434" s="329" t="str">
        <f>Asset21</f>
        <v>Equity raising costs</v>
      </c>
      <c r="E434" s="328"/>
      <c r="F434" s="328"/>
      <c r="G434" s="328"/>
      <c r="H434" s="328"/>
      <c r="I434" s="328"/>
      <c r="J434" s="328"/>
      <c r="K434" s="328"/>
      <c r="L434" s="323">
        <v>0</v>
      </c>
      <c r="M434" s="9"/>
      <c r="N434" s="9"/>
      <c r="O434" s="9"/>
      <c r="P434" s="9"/>
      <c r="Q434" s="9"/>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collapsed="1">
      <c r="A435" s="9"/>
      <c r="B435" s="328"/>
      <c r="C435" s="328"/>
      <c r="D435" s="329"/>
      <c r="E435" s="328"/>
      <c r="F435" s="328"/>
      <c r="G435" s="328"/>
      <c r="H435" s="328"/>
      <c r="I435" s="328"/>
      <c r="J435" s="328"/>
      <c r="K435" s="328"/>
      <c r="L435" s="330"/>
      <c r="M435" s="9"/>
      <c r="N435" s="9"/>
      <c r="O435" s="9"/>
      <c r="P435" s="9"/>
      <c r="Q435" s="9"/>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c r="A436" s="332"/>
      <c r="B436" s="332"/>
      <c r="C436" s="333" t="s">
        <v>145</v>
      </c>
      <c r="D436" s="332"/>
      <c r="E436" s="332"/>
      <c r="F436" s="332"/>
      <c r="G436" s="332"/>
      <c r="H436" s="332"/>
      <c r="I436" s="332"/>
      <c r="J436" s="332"/>
      <c r="K436" s="332"/>
      <c r="L436" s="334">
        <f>SUM(L437:L457)</f>
        <v>12518.920437892637</v>
      </c>
      <c r="M436" s="9"/>
      <c r="N436" s="352"/>
      <c r="O436" s="341"/>
      <c r="P436" s="341"/>
      <c r="Q436" s="341"/>
      <c r="R436" s="341"/>
      <c r="S436" s="341"/>
      <c r="T436" s="341"/>
      <c r="U436" s="341"/>
      <c r="V436" s="341"/>
      <c r="W436" s="341"/>
      <c r="X436" s="341"/>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hidden="1" outlineLevel="2">
      <c r="A437" s="9"/>
      <c r="B437" s="328"/>
      <c r="C437" s="328"/>
      <c r="D437" s="329" t="str">
        <f>Asset1</f>
        <v>Sub-transmission lines and cables</v>
      </c>
      <c r="E437" s="328"/>
      <c r="F437" s="328"/>
      <c r="G437" s="328"/>
      <c r="H437" s="328"/>
      <c r="I437" s="328"/>
      <c r="J437" s="328"/>
      <c r="K437" s="328"/>
      <c r="L437" s="331">
        <f>L359-L391+L414</f>
        <v>1394.29130879185</v>
      </c>
      <c r="M437" s="9"/>
      <c r="N437" s="341"/>
      <c r="O437" s="341"/>
      <c r="P437" s="341"/>
      <c r="Q437" s="341"/>
      <c r="R437" s="341"/>
      <c r="S437" s="341"/>
      <c r="T437" s="341"/>
      <c r="U437" s="341"/>
      <c r="V437" s="341"/>
      <c r="W437" s="341"/>
      <c r="X437" s="341"/>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hidden="1" outlineLevel="2">
      <c r="A438" s="9"/>
      <c r="B438" s="328"/>
      <c r="C438" s="328"/>
      <c r="D438" s="329" t="str">
        <f>Asset2</f>
        <v>Cable tunnel (dx)</v>
      </c>
      <c r="E438" s="328"/>
      <c r="F438" s="328"/>
      <c r="G438" s="328"/>
      <c r="H438" s="328"/>
      <c r="I438" s="328"/>
      <c r="J438" s="328"/>
      <c r="K438" s="328"/>
      <c r="L438" s="331">
        <f t="shared" ref="L438:L457" si="26">L360-L392+L415</f>
        <v>131.30293169499129</v>
      </c>
      <c r="M438" s="9"/>
      <c r="N438" s="341"/>
      <c r="O438" s="341"/>
      <c r="P438" s="341"/>
      <c r="Q438" s="341"/>
      <c r="R438" s="341"/>
      <c r="S438" s="341"/>
      <c r="T438" s="341"/>
      <c r="U438" s="341"/>
      <c r="V438" s="341"/>
      <c r="W438" s="341"/>
      <c r="X438" s="341"/>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hidden="1" outlineLevel="2">
      <c r="A439" s="9"/>
      <c r="B439" s="328"/>
      <c r="C439" s="328"/>
      <c r="D439" s="329" t="str">
        <f>Asset3</f>
        <v>Distribution lines and cables</v>
      </c>
      <c r="E439" s="328"/>
      <c r="F439" s="328"/>
      <c r="G439" s="328"/>
      <c r="H439" s="328"/>
      <c r="I439" s="328"/>
      <c r="J439" s="328"/>
      <c r="K439" s="328"/>
      <c r="L439" s="331">
        <f t="shared" si="26"/>
        <v>3176.4250551856212</v>
      </c>
      <c r="M439" s="9"/>
      <c r="N439" s="341"/>
      <c r="O439" s="341"/>
      <c r="P439" s="341"/>
      <c r="Q439" s="341"/>
      <c r="R439" s="341"/>
      <c r="S439" s="341"/>
      <c r="T439" s="341"/>
      <c r="U439" s="341"/>
      <c r="V439" s="341"/>
      <c r="W439" s="341"/>
      <c r="X439" s="341"/>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hidden="1" outlineLevel="2">
      <c r="A440" s="9"/>
      <c r="B440" s="328"/>
      <c r="C440" s="328"/>
      <c r="D440" s="329" t="str">
        <f>Asset4</f>
        <v>Substations</v>
      </c>
      <c r="E440" s="328"/>
      <c r="F440" s="328"/>
      <c r="G440" s="328"/>
      <c r="H440" s="328"/>
      <c r="I440" s="328"/>
      <c r="J440" s="328"/>
      <c r="K440" s="328"/>
      <c r="L440" s="331">
        <f t="shared" si="26"/>
        <v>3438.8353397324781</v>
      </c>
      <c r="M440" s="9"/>
      <c r="N440" s="375"/>
      <c r="O440" s="341"/>
      <c r="P440" s="341"/>
      <c r="Q440" s="341"/>
      <c r="R440" s="341"/>
      <c r="S440" s="341"/>
      <c r="T440" s="341"/>
      <c r="U440" s="341"/>
      <c r="V440" s="341"/>
      <c r="W440" s="341"/>
      <c r="X440" s="341"/>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hidden="1" outlineLevel="2">
      <c r="A441" s="9"/>
      <c r="B441" s="328"/>
      <c r="C441" s="328"/>
      <c r="D441" s="329" t="str">
        <f>Asset5</f>
        <v>Transformers</v>
      </c>
      <c r="E441" s="328"/>
      <c r="F441" s="328"/>
      <c r="G441" s="328"/>
      <c r="H441" s="328"/>
      <c r="I441" s="328"/>
      <c r="J441" s="328"/>
      <c r="K441" s="328"/>
      <c r="L441" s="331">
        <f t="shared" si="26"/>
        <v>690.37459553116366</v>
      </c>
      <c r="M441" s="9"/>
      <c r="N441" s="341"/>
      <c r="O441" s="341"/>
      <c r="P441" s="341"/>
      <c r="Q441" s="341"/>
      <c r="R441" s="341"/>
      <c r="S441" s="341"/>
      <c r="T441" s="341"/>
      <c r="U441" s="341"/>
      <c r="V441" s="341"/>
      <c r="W441" s="341"/>
      <c r="X441" s="341"/>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hidden="1" outlineLevel="2">
      <c r="A442" s="9"/>
      <c r="B442" s="328"/>
      <c r="C442" s="328"/>
      <c r="D442" s="329" t="str">
        <f>Asset6</f>
        <v>Low Voltage Lines and Cables</v>
      </c>
      <c r="E442" s="328"/>
      <c r="F442" s="328"/>
      <c r="G442" s="328"/>
      <c r="H442" s="328"/>
      <c r="I442" s="328"/>
      <c r="J442" s="328"/>
      <c r="K442" s="328"/>
      <c r="L442" s="331">
        <f t="shared" si="26"/>
        <v>1604.0144280526883</v>
      </c>
      <c r="M442" s="9"/>
      <c r="N442" s="376"/>
      <c r="O442" s="341"/>
      <c r="P442" s="341"/>
      <c r="Q442" s="341"/>
      <c r="R442" s="376"/>
      <c r="S442" s="377"/>
      <c r="T442" s="341"/>
      <c r="U442" s="376"/>
      <c r="V442" s="341"/>
      <c r="W442" s="341"/>
      <c r="X442" s="341"/>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hidden="1" outlineLevel="2">
      <c r="A443" s="9"/>
      <c r="B443" s="328"/>
      <c r="C443" s="328"/>
      <c r="D443" s="329" t="str">
        <f>Asset7</f>
        <v>Customer Metering and Load Control</v>
      </c>
      <c r="E443" s="328"/>
      <c r="F443" s="328"/>
      <c r="G443" s="328"/>
      <c r="H443" s="328"/>
      <c r="I443" s="328"/>
      <c r="J443" s="328"/>
      <c r="K443" s="328"/>
      <c r="L443" s="331">
        <f t="shared" si="26"/>
        <v>163.7651248161701</v>
      </c>
      <c r="M443" s="9"/>
      <c r="N443" s="378"/>
      <c r="O443" s="378"/>
      <c r="P443" s="379"/>
      <c r="Q443" s="341"/>
      <c r="R443" s="380"/>
      <c r="S443" s="380"/>
      <c r="T443" s="341"/>
      <c r="U443" s="341"/>
      <c r="V443" s="341"/>
      <c r="W443" s="341"/>
      <c r="X443" s="341"/>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hidden="1" outlineLevel="2">
      <c r="A444" s="9"/>
      <c r="B444" s="328"/>
      <c r="C444" s="328"/>
      <c r="D444" s="329" t="str">
        <f>Asset8</f>
        <v>Customer Metering (digital)</v>
      </c>
      <c r="E444" s="328"/>
      <c r="F444" s="328"/>
      <c r="G444" s="328"/>
      <c r="H444" s="328"/>
      <c r="I444" s="328"/>
      <c r="J444" s="328"/>
      <c r="K444" s="328"/>
      <c r="L444" s="331">
        <f t="shared" si="26"/>
        <v>100.86131177148374</v>
      </c>
      <c r="M444" s="9"/>
      <c r="N444" s="378"/>
      <c r="O444" s="341"/>
      <c r="P444" s="379"/>
      <c r="Q444" s="341"/>
      <c r="R444" s="341"/>
      <c r="S444" s="380"/>
      <c r="T444" s="341"/>
      <c r="U444" s="380"/>
      <c r="V444" s="341"/>
      <c r="W444" s="341"/>
      <c r="X444" s="341"/>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hidden="1" outlineLevel="2">
      <c r="A445" s="9"/>
      <c r="B445" s="328"/>
      <c r="C445" s="328"/>
      <c r="D445" s="329" t="str">
        <f>Asset9</f>
        <v>Communications (digital) - dx</v>
      </c>
      <c r="E445" s="328"/>
      <c r="F445" s="328"/>
      <c r="G445" s="328"/>
      <c r="H445" s="328"/>
      <c r="I445" s="328"/>
      <c r="J445" s="328"/>
      <c r="K445" s="328"/>
      <c r="L445" s="331">
        <f t="shared" si="26"/>
        <v>13.996097547074466</v>
      </c>
      <c r="M445" s="9"/>
      <c r="N445" s="378"/>
      <c r="O445" s="341"/>
      <c r="P445" s="341"/>
      <c r="Q445" s="341"/>
      <c r="R445" s="341"/>
      <c r="S445" s="341"/>
      <c r="T445" s="341"/>
      <c r="U445" s="341"/>
      <c r="V445" s="341"/>
      <c r="W445" s="341"/>
      <c r="X445" s="341"/>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hidden="1" outlineLevel="2">
      <c r="A446" s="9"/>
      <c r="B446" s="328"/>
      <c r="C446" s="328"/>
      <c r="D446" s="329" t="str">
        <f>Asset10</f>
        <v>Total Communications</v>
      </c>
      <c r="E446" s="328"/>
      <c r="F446" s="328"/>
      <c r="G446" s="328"/>
      <c r="H446" s="328"/>
      <c r="I446" s="328"/>
      <c r="J446" s="328"/>
      <c r="K446" s="328"/>
      <c r="L446" s="331">
        <f t="shared" si="26"/>
        <v>80.756354356741085</v>
      </c>
      <c r="M446" s="9"/>
      <c r="N446" s="9"/>
      <c r="O446" s="9"/>
      <c r="P446" s="9"/>
      <c r="Q446" s="9"/>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hidden="1" outlineLevel="2">
      <c r="A447" s="9"/>
      <c r="B447" s="328"/>
      <c r="C447" s="328"/>
      <c r="D447" s="329" t="str">
        <f>Asset11</f>
        <v>System IT (dx)</v>
      </c>
      <c r="E447" s="328"/>
      <c r="F447" s="328"/>
      <c r="G447" s="328"/>
      <c r="H447" s="328"/>
      <c r="I447" s="328"/>
      <c r="J447" s="328"/>
      <c r="K447" s="328"/>
      <c r="L447" s="331">
        <f t="shared" si="26"/>
        <v>209.19746549808724</v>
      </c>
      <c r="M447" s="9"/>
      <c r="N447" s="9"/>
      <c r="O447" s="9"/>
      <c r="P447" s="9"/>
      <c r="Q447" s="9"/>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hidden="1" outlineLevel="2">
      <c r="A448" s="9"/>
      <c r="B448" s="328"/>
      <c r="C448" s="328"/>
      <c r="D448" s="329" t="str">
        <f>Asset12</f>
        <v>Ancillary substation equipment (dx)</v>
      </c>
      <c r="E448" s="328"/>
      <c r="F448" s="328"/>
      <c r="G448" s="328"/>
      <c r="H448" s="328"/>
      <c r="I448" s="328"/>
      <c r="J448" s="328"/>
      <c r="K448" s="328"/>
      <c r="L448" s="331">
        <f t="shared" si="26"/>
        <v>57.411430576440907</v>
      </c>
      <c r="M448" s="9"/>
      <c r="N448" s="9"/>
      <c r="O448" s="9"/>
      <c r="P448" s="9"/>
      <c r="Q448" s="9"/>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4" hidden="1" outlineLevel="2">
      <c r="A449" s="9"/>
      <c r="B449" s="328"/>
      <c r="C449" s="328"/>
      <c r="D449" s="329" t="str">
        <f>Asset13</f>
        <v>Land and Easements</v>
      </c>
      <c r="E449" s="328"/>
      <c r="F449" s="328"/>
      <c r="G449" s="328"/>
      <c r="H449" s="328"/>
      <c r="I449" s="328"/>
      <c r="J449" s="328"/>
      <c r="K449" s="328"/>
      <c r="L449" s="331">
        <f t="shared" si="26"/>
        <v>753.43446536062095</v>
      </c>
      <c r="M449" s="9"/>
      <c r="N449" s="9"/>
      <c r="O449" s="9"/>
      <c r="P449" s="9"/>
      <c r="Q449" s="9"/>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4" hidden="1" outlineLevel="2">
      <c r="A450" s="9"/>
      <c r="B450" s="328"/>
      <c r="C450" s="328"/>
      <c r="D450" s="329" t="str">
        <f>Asset14</f>
        <v>Emergency Spares (Major Plant, Excludes Inventory)</v>
      </c>
      <c r="E450" s="328"/>
      <c r="F450" s="328"/>
      <c r="G450" s="328"/>
      <c r="H450" s="328"/>
      <c r="I450" s="328"/>
      <c r="J450" s="328"/>
      <c r="K450" s="328"/>
      <c r="L450" s="331">
        <f t="shared" si="26"/>
        <v>44.456604530502268</v>
      </c>
      <c r="M450" s="9"/>
      <c r="N450" s="9"/>
      <c r="O450" s="9"/>
      <c r="P450" s="9"/>
      <c r="Q450" s="9"/>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4" hidden="1" outlineLevel="2">
      <c r="A451" s="9"/>
      <c r="B451" s="328"/>
      <c r="C451" s="328"/>
      <c r="D451" s="329" t="str">
        <f>Asset15</f>
        <v>Furniture, fittings, plant and equipment</v>
      </c>
      <c r="E451" s="328"/>
      <c r="F451" s="328"/>
      <c r="G451" s="328"/>
      <c r="H451" s="328"/>
      <c r="I451" s="328"/>
      <c r="J451" s="328"/>
      <c r="K451" s="328"/>
      <c r="L451" s="331">
        <f t="shared" si="26"/>
        <v>47.262646503549881</v>
      </c>
      <c r="M451" s="9"/>
      <c r="N451" s="9"/>
      <c r="O451" s="9"/>
      <c r="P451" s="9"/>
      <c r="Q451" s="9"/>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4" hidden="1" outlineLevel="2">
      <c r="A452" s="9"/>
      <c r="B452" s="328"/>
      <c r="C452" s="328"/>
      <c r="D452" s="329" t="str">
        <f>Asset16</f>
        <v>Land (non-system)</v>
      </c>
      <c r="E452" s="328"/>
      <c r="F452" s="328"/>
      <c r="G452" s="328"/>
      <c r="H452" s="328"/>
      <c r="I452" s="328"/>
      <c r="J452" s="328"/>
      <c r="K452" s="328"/>
      <c r="L452" s="331">
        <f t="shared" si="26"/>
        <v>12.592706218679798</v>
      </c>
      <c r="M452" s="9"/>
      <c r="N452" s="9"/>
      <c r="O452" s="9"/>
      <c r="P452" s="9"/>
      <c r="Q452" s="9"/>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4" hidden="1" outlineLevel="2">
      <c r="A453" s="9"/>
      <c r="B453" s="328"/>
      <c r="C453" s="328"/>
      <c r="D453" s="329" t="str">
        <f>Asset17</f>
        <v>Other non system assets</v>
      </c>
      <c r="E453" s="328"/>
      <c r="F453" s="328"/>
      <c r="G453" s="328"/>
      <c r="H453" s="328"/>
      <c r="I453" s="328"/>
      <c r="J453" s="328"/>
      <c r="K453" s="328"/>
      <c r="L453" s="331">
        <f t="shared" si="26"/>
        <v>73.347431615577264</v>
      </c>
      <c r="M453" s="9"/>
      <c r="N453" s="9"/>
      <c r="O453" s="9"/>
      <c r="P453" s="9"/>
      <c r="Q453" s="9"/>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4" hidden="1" outlineLevel="2">
      <c r="A454" s="9"/>
      <c r="B454" s="328"/>
      <c r="C454" s="328"/>
      <c r="D454" s="329" t="str">
        <f>Asset18</f>
        <v>IT systems</v>
      </c>
      <c r="E454" s="328"/>
      <c r="F454" s="328"/>
      <c r="G454" s="328"/>
      <c r="H454" s="328"/>
      <c r="I454" s="328"/>
      <c r="J454" s="328"/>
      <c r="K454" s="328"/>
      <c r="L454" s="331">
        <f t="shared" si="26"/>
        <v>142.48738076712783</v>
      </c>
      <c r="M454" s="9"/>
      <c r="N454" s="9"/>
      <c r="O454" s="9"/>
      <c r="P454" s="9"/>
      <c r="Q454" s="9"/>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4" hidden="1" outlineLevel="2">
      <c r="A455" s="9"/>
      <c r="B455" s="328"/>
      <c r="C455" s="328"/>
      <c r="D455" s="329" t="str">
        <f>Asset19</f>
        <v>Motor vehicles</v>
      </c>
      <c r="E455" s="328"/>
      <c r="F455" s="328"/>
      <c r="G455" s="328"/>
      <c r="H455" s="328"/>
      <c r="I455" s="328"/>
      <c r="J455" s="328"/>
      <c r="K455" s="328"/>
      <c r="L455" s="331">
        <f t="shared" si="26"/>
        <v>119.87440394656795</v>
      </c>
      <c r="M455" s="9"/>
      <c r="N455" s="9"/>
      <c r="O455" s="9"/>
      <c r="P455" s="9"/>
      <c r="Q455" s="9"/>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4" hidden="1" outlineLevel="2">
      <c r="A456" s="9"/>
      <c r="B456" s="328"/>
      <c r="C456" s="328"/>
      <c r="D456" s="329" t="str">
        <f>Asset20</f>
        <v>Buildings</v>
      </c>
      <c r="E456" s="328"/>
      <c r="F456" s="328"/>
      <c r="G456" s="328"/>
      <c r="H456" s="328"/>
      <c r="I456" s="328"/>
      <c r="J456" s="328"/>
      <c r="K456" s="328"/>
      <c r="L456" s="331">
        <f t="shared" si="26"/>
        <v>236.81284257223089</v>
      </c>
      <c r="M456" s="9"/>
      <c r="N456" s="9"/>
      <c r="O456" s="9"/>
      <c r="P456" s="9"/>
      <c r="Q456" s="9"/>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4" hidden="1" outlineLevel="2">
      <c r="A457" s="9"/>
      <c r="B457" s="328"/>
      <c r="C457" s="328"/>
      <c r="D457" s="329" t="str">
        <f>Asset21</f>
        <v>Equity raising costs</v>
      </c>
      <c r="E457" s="328"/>
      <c r="F457" s="328"/>
      <c r="G457" s="328"/>
      <c r="H457" s="328"/>
      <c r="I457" s="328"/>
      <c r="J457" s="328"/>
      <c r="K457" s="328"/>
      <c r="L457" s="331">
        <f t="shared" si="26"/>
        <v>27.420512822989309</v>
      </c>
      <c r="M457" s="9"/>
      <c r="N457" s="9"/>
      <c r="O457" s="9"/>
      <c r="P457" s="9"/>
      <c r="Q457" s="9"/>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4" collapsed="1">
      <c r="A458" s="9"/>
      <c r="B458" s="328"/>
      <c r="C458" s="328"/>
      <c r="D458" s="329"/>
      <c r="E458" s="328"/>
      <c r="F458" s="328"/>
      <c r="G458" s="328"/>
      <c r="H458" s="328"/>
      <c r="I458" s="328"/>
      <c r="J458" s="328"/>
      <c r="K458" s="328"/>
      <c r="L458" s="330"/>
      <c r="M458" s="9"/>
      <c r="N458" s="9"/>
      <c r="O458" s="9"/>
      <c r="P458" s="9"/>
      <c r="Q458" s="9"/>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4">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4">
      <c r="A460" s="9"/>
      <c r="B460" s="9"/>
      <c r="C460" s="9"/>
      <c r="D460" s="9"/>
      <c r="E460" s="9"/>
      <c r="F460" s="9"/>
      <c r="G460" s="9"/>
      <c r="H460" s="9"/>
      <c r="I460" s="9"/>
      <c r="J460" s="9"/>
      <c r="K460" s="9"/>
      <c r="L460" s="9"/>
      <c r="M460" s="366"/>
      <c r="N460" s="9"/>
      <c r="O460" s="9"/>
      <c r="P460" s="9"/>
      <c r="Q460" s="9"/>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4">
      <c r="A461" s="332"/>
      <c r="B461" s="332"/>
      <c r="C461" s="333" t="s">
        <v>201</v>
      </c>
      <c r="D461" s="332"/>
      <c r="E461" s="332"/>
      <c r="F461" s="332"/>
      <c r="G461" s="332"/>
      <c r="H461" s="332"/>
      <c r="I461" s="332"/>
      <c r="J461" s="332"/>
      <c r="K461" s="332"/>
      <c r="L461" s="334">
        <f>SUM(L462:L482)</f>
        <v>12518.920437892639</v>
      </c>
      <c r="M461" s="9"/>
      <c r="N461" s="352"/>
      <c r="O461" s="341"/>
      <c r="P461" s="341"/>
      <c r="Q461" s="341"/>
      <c r="R461" s="341"/>
      <c r="S461" s="341"/>
      <c r="T461" s="341"/>
      <c r="U461" s="341"/>
      <c r="V461" s="341"/>
      <c r="W461" s="341"/>
      <c r="X461" s="341"/>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4" hidden="1" outlineLevel="2">
      <c r="A462" s="9"/>
      <c r="B462" s="328"/>
      <c r="C462" s="328"/>
      <c r="D462" s="329" t="str">
        <f>Asset1</f>
        <v>Sub-transmission lines and cables</v>
      </c>
      <c r="E462" s="328"/>
      <c r="F462" s="328"/>
      <c r="G462" s="328"/>
      <c r="H462" s="328"/>
      <c r="I462" s="328"/>
      <c r="J462" s="328"/>
      <c r="K462" s="328"/>
      <c r="L462" s="331">
        <f>L437</f>
        <v>1394.29130879185</v>
      </c>
      <c r="M462" s="9"/>
      <c r="N462" s="341"/>
      <c r="O462" s="341"/>
      <c r="P462" s="341"/>
      <c r="Q462" s="341"/>
      <c r="R462" s="341"/>
      <c r="S462" s="341"/>
      <c r="T462" s="341"/>
      <c r="U462" s="341"/>
      <c r="V462" s="341"/>
      <c r="W462" s="341"/>
      <c r="X462" s="341"/>
      <c r="Y462" s="9"/>
      <c r="Z462" s="9"/>
      <c r="AA462" s="9"/>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row>
    <row r="463" spans="1:64" hidden="1" outlineLevel="2">
      <c r="A463" s="9"/>
      <c r="B463" s="328"/>
      <c r="C463" s="328"/>
      <c r="D463" s="329" t="str">
        <f>Asset2</f>
        <v>Cable tunnel (dx)</v>
      </c>
      <c r="E463" s="328"/>
      <c r="F463" s="328"/>
      <c r="G463" s="328"/>
      <c r="H463" s="328"/>
      <c r="I463" s="328"/>
      <c r="J463" s="328"/>
      <c r="K463" s="328"/>
      <c r="L463" s="331">
        <f t="shared" ref="L463:L482" si="27">L438</f>
        <v>131.30293169499129</v>
      </c>
      <c r="M463" s="9"/>
      <c r="N463" s="341"/>
      <c r="O463" s="341"/>
      <c r="P463" s="341"/>
      <c r="Q463" s="341"/>
      <c r="R463" s="341"/>
      <c r="S463" s="341"/>
      <c r="T463" s="341"/>
      <c r="U463" s="341"/>
      <c r="V463" s="341"/>
      <c r="W463" s="341"/>
      <c r="X463" s="341"/>
      <c r="Y463" s="9"/>
      <c r="Z463" s="9"/>
      <c r="AA463" s="9"/>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row>
    <row r="464" spans="1:64" hidden="1" outlineLevel="2">
      <c r="A464" s="9"/>
      <c r="B464" s="328"/>
      <c r="C464" s="328"/>
      <c r="D464" s="329" t="str">
        <f>Asset3</f>
        <v>Distribution lines and cables</v>
      </c>
      <c r="E464" s="328"/>
      <c r="F464" s="328"/>
      <c r="G464" s="328"/>
      <c r="H464" s="328"/>
      <c r="I464" s="328"/>
      <c r="J464" s="328"/>
      <c r="K464" s="328"/>
      <c r="L464" s="331">
        <f t="shared" si="27"/>
        <v>3176.4250551856212</v>
      </c>
      <c r="M464" s="9"/>
      <c r="N464" s="341"/>
      <c r="O464" s="341"/>
      <c r="P464" s="341"/>
      <c r="Q464" s="341"/>
      <c r="R464" s="341"/>
      <c r="S464" s="341"/>
      <c r="T464" s="341"/>
      <c r="U464" s="341"/>
      <c r="V464" s="341"/>
      <c r="W464" s="341"/>
      <c r="X464" s="341"/>
      <c r="Y464" s="9"/>
      <c r="Z464" s="9"/>
      <c r="AA464" s="9"/>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row>
    <row r="465" spans="1:64" hidden="1" outlineLevel="2">
      <c r="A465" s="9"/>
      <c r="B465" s="328"/>
      <c r="C465" s="328"/>
      <c r="D465" s="329" t="str">
        <f>Asset4</f>
        <v>Substations</v>
      </c>
      <c r="E465" s="328"/>
      <c r="F465" s="328"/>
      <c r="G465" s="328"/>
      <c r="H465" s="328"/>
      <c r="I465" s="328"/>
      <c r="J465" s="328"/>
      <c r="K465" s="328"/>
      <c r="L465" s="331">
        <f>L440+L450</f>
        <v>3483.2919442629805</v>
      </c>
      <c r="M465" s="9"/>
      <c r="N465" s="375"/>
      <c r="O465" s="341"/>
      <c r="P465" s="341"/>
      <c r="Q465" s="341"/>
      <c r="R465" s="341"/>
      <c r="S465" s="341"/>
      <c r="T465" s="341"/>
      <c r="U465" s="341"/>
      <c r="V465" s="341"/>
      <c r="W465" s="341"/>
      <c r="X465" s="341"/>
      <c r="Y465" s="9"/>
      <c r="Z465" s="9"/>
      <c r="AA465" s="9"/>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row>
    <row r="466" spans="1:64" hidden="1" outlineLevel="2">
      <c r="A466" s="9"/>
      <c r="B466" s="328"/>
      <c r="C466" s="328"/>
      <c r="D466" s="329" t="str">
        <f>Asset5</f>
        <v>Transformers</v>
      </c>
      <c r="E466" s="328"/>
      <c r="F466" s="328"/>
      <c r="G466" s="328"/>
      <c r="H466" s="328"/>
      <c r="I466" s="328"/>
      <c r="J466" s="328"/>
      <c r="K466" s="328"/>
      <c r="L466" s="331">
        <f t="shared" si="27"/>
        <v>690.37459553116366</v>
      </c>
      <c r="M466" s="9"/>
      <c r="N466" s="341"/>
      <c r="O466" s="341"/>
      <c r="P466" s="341"/>
      <c r="Q466" s="341"/>
      <c r="R466" s="341"/>
      <c r="S466" s="341"/>
      <c r="T466" s="341"/>
      <c r="U466" s="341"/>
      <c r="V466" s="341"/>
      <c r="W466" s="341"/>
      <c r="X466" s="341"/>
      <c r="Y466" s="9"/>
      <c r="Z466" s="9"/>
      <c r="AA466" s="9"/>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row>
    <row r="467" spans="1:64" hidden="1" outlineLevel="2">
      <c r="A467" s="9"/>
      <c r="B467" s="328"/>
      <c r="C467" s="328"/>
      <c r="D467" s="329" t="str">
        <f>Asset6</f>
        <v>Low Voltage Lines and Cables</v>
      </c>
      <c r="E467" s="328"/>
      <c r="F467" s="328"/>
      <c r="G467" s="328"/>
      <c r="H467" s="328"/>
      <c r="I467" s="328"/>
      <c r="J467" s="328"/>
      <c r="K467" s="328"/>
      <c r="L467" s="331">
        <f t="shared" si="27"/>
        <v>1604.0144280526883</v>
      </c>
      <c r="M467" s="9"/>
      <c r="N467" s="376"/>
      <c r="O467" s="341"/>
      <c r="P467" s="341"/>
      <c r="Q467" s="341"/>
      <c r="R467" s="376"/>
      <c r="S467" s="377"/>
      <c r="T467" s="341"/>
      <c r="U467" s="376"/>
      <c r="V467" s="341"/>
      <c r="W467" s="341"/>
      <c r="X467" s="341"/>
      <c r="Y467" s="9"/>
      <c r="Z467" s="9"/>
      <c r="AA467" s="9"/>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row>
    <row r="468" spans="1:64" hidden="1" outlineLevel="2">
      <c r="A468" s="9"/>
      <c r="B468" s="328"/>
      <c r="C468" s="328"/>
      <c r="D468" s="329" t="str">
        <f>Asset7</f>
        <v>Customer Metering and Load Control</v>
      </c>
      <c r="E468" s="328"/>
      <c r="F468" s="328"/>
      <c r="G468" s="328"/>
      <c r="H468" s="328"/>
      <c r="I468" s="328"/>
      <c r="J468" s="328"/>
      <c r="K468" s="328"/>
      <c r="L468" s="331">
        <f t="shared" si="27"/>
        <v>163.7651248161701</v>
      </c>
      <c r="M468" s="9"/>
      <c r="N468" s="378"/>
      <c r="O468" s="378"/>
      <c r="P468" s="379"/>
      <c r="Q468" s="341"/>
      <c r="R468" s="380"/>
      <c r="S468" s="380"/>
      <c r="T468" s="341"/>
      <c r="U468" s="341"/>
      <c r="V468" s="341"/>
      <c r="W468" s="341"/>
      <c r="X468" s="341"/>
      <c r="Y468" s="9"/>
      <c r="Z468" s="9"/>
      <c r="AA468" s="9"/>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row>
    <row r="469" spans="1:64" hidden="1" outlineLevel="2">
      <c r="A469" s="9"/>
      <c r="B469" s="328"/>
      <c r="C469" s="328"/>
      <c r="D469" s="329" t="str">
        <f>Asset8</f>
        <v>Customer Metering (digital)</v>
      </c>
      <c r="E469" s="328"/>
      <c r="F469" s="328"/>
      <c r="G469" s="328"/>
      <c r="H469" s="328"/>
      <c r="I469" s="328"/>
      <c r="J469" s="328"/>
      <c r="K469" s="328"/>
      <c r="L469" s="331">
        <f t="shared" si="27"/>
        <v>100.86131177148374</v>
      </c>
      <c r="M469" s="9"/>
      <c r="N469" s="378"/>
      <c r="O469" s="341"/>
      <c r="P469" s="379"/>
      <c r="Q469" s="341"/>
      <c r="R469" s="341"/>
      <c r="S469" s="380"/>
      <c r="T469" s="341"/>
      <c r="U469" s="380"/>
      <c r="V469" s="341"/>
      <c r="W469" s="341"/>
      <c r="X469" s="341"/>
      <c r="Y469" s="9"/>
      <c r="Z469" s="9"/>
      <c r="AA469" s="9"/>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row>
    <row r="470" spans="1:64" hidden="1" outlineLevel="2">
      <c r="A470" s="9"/>
      <c r="B470" s="328"/>
      <c r="C470" s="328"/>
      <c r="D470" s="329" t="str">
        <f>Asset9</f>
        <v>Communications (digital) - dx</v>
      </c>
      <c r="E470" s="328"/>
      <c r="F470" s="328"/>
      <c r="G470" s="328"/>
      <c r="H470" s="328"/>
      <c r="I470" s="328"/>
      <c r="J470" s="328"/>
      <c r="K470" s="328"/>
      <c r="L470" s="331">
        <f t="shared" si="27"/>
        <v>13.996097547074466</v>
      </c>
      <c r="M470" s="9"/>
      <c r="N470" s="378"/>
      <c r="O470" s="341"/>
      <c r="P470" s="341"/>
      <c r="Q470" s="341"/>
      <c r="R470" s="341"/>
      <c r="S470" s="341"/>
      <c r="T470" s="341"/>
      <c r="U470" s="341"/>
      <c r="V470" s="341"/>
      <c r="W470" s="341"/>
      <c r="X470" s="341"/>
      <c r="Y470" s="9"/>
      <c r="Z470" s="9"/>
      <c r="AA470" s="9"/>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row>
    <row r="471" spans="1:64" hidden="1" outlineLevel="2">
      <c r="A471" s="9"/>
      <c r="B471" s="328"/>
      <c r="C471" s="328"/>
      <c r="D471" s="329" t="str">
        <f>Asset10</f>
        <v>Total Communications</v>
      </c>
      <c r="E471" s="328"/>
      <c r="F471" s="328"/>
      <c r="G471" s="328"/>
      <c r="H471" s="328"/>
      <c r="I471" s="328"/>
      <c r="J471" s="328"/>
      <c r="K471" s="328"/>
      <c r="L471" s="331">
        <f t="shared" si="27"/>
        <v>80.756354356741085</v>
      </c>
      <c r="M471" s="9"/>
      <c r="N471" s="9"/>
      <c r="O471" s="9"/>
      <c r="P471" s="9"/>
      <c r="Q471" s="9"/>
      <c r="R471" s="9"/>
      <c r="S471" s="9"/>
      <c r="T471" s="9"/>
      <c r="U471" s="9"/>
      <c r="V471" s="9"/>
      <c r="W471" s="9"/>
      <c r="X471" s="9"/>
      <c r="Y471" s="9"/>
      <c r="Z471" s="9"/>
      <c r="AA471" s="9"/>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row>
    <row r="472" spans="1:64" hidden="1" outlineLevel="2">
      <c r="A472" s="9"/>
      <c r="B472" s="328"/>
      <c r="C472" s="328"/>
      <c r="D472" s="329" t="str">
        <f>Asset11</f>
        <v>System IT (dx)</v>
      </c>
      <c r="E472" s="328"/>
      <c r="F472" s="328"/>
      <c r="G472" s="328"/>
      <c r="H472" s="328"/>
      <c r="I472" s="328"/>
      <c r="J472" s="328"/>
      <c r="K472" s="328"/>
      <c r="L472" s="331">
        <f t="shared" si="27"/>
        <v>209.19746549808724</v>
      </c>
      <c r="M472" s="9"/>
      <c r="N472" s="9"/>
      <c r="O472" s="9"/>
      <c r="P472" s="9"/>
      <c r="Q472" s="9"/>
      <c r="R472" s="9"/>
      <c r="S472" s="9"/>
      <c r="T472" s="9"/>
      <c r="U472" s="9"/>
      <c r="V472" s="9"/>
      <c r="W472" s="9"/>
      <c r="X472" s="9"/>
      <c r="Y472" s="9"/>
      <c r="Z472" s="9"/>
      <c r="AA472" s="9"/>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row>
    <row r="473" spans="1:64" hidden="1" outlineLevel="2">
      <c r="A473" s="9"/>
      <c r="B473" s="328"/>
      <c r="C473" s="328"/>
      <c r="D473" s="329" t="str">
        <f>Asset12</f>
        <v>Ancillary substation equipment (dx)</v>
      </c>
      <c r="E473" s="328"/>
      <c r="F473" s="328"/>
      <c r="G473" s="328"/>
      <c r="H473" s="328"/>
      <c r="I473" s="328"/>
      <c r="J473" s="328"/>
      <c r="K473" s="328"/>
      <c r="L473" s="331">
        <f t="shared" si="27"/>
        <v>57.411430576440907</v>
      </c>
      <c r="M473" s="9"/>
      <c r="N473" s="9"/>
      <c r="O473" s="9"/>
      <c r="P473" s="9"/>
      <c r="Q473" s="9"/>
      <c r="R473" s="9"/>
      <c r="S473" s="9"/>
      <c r="T473" s="9"/>
      <c r="U473" s="9"/>
      <c r="V473" s="9"/>
      <c r="W473" s="9"/>
      <c r="X473" s="9"/>
      <c r="Y473" s="9"/>
      <c r="Z473" s="9"/>
      <c r="AA473" s="9"/>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row>
    <row r="474" spans="1:64" hidden="1" outlineLevel="2">
      <c r="A474" s="9"/>
      <c r="B474" s="328"/>
      <c r="C474" s="328"/>
      <c r="D474" s="329" t="str">
        <f>Asset13</f>
        <v>Land and Easements</v>
      </c>
      <c r="E474" s="328"/>
      <c r="F474" s="328"/>
      <c r="G474" s="328"/>
      <c r="H474" s="328"/>
      <c r="I474" s="328"/>
      <c r="J474" s="328"/>
      <c r="K474" s="328"/>
      <c r="L474" s="331">
        <f t="shared" si="27"/>
        <v>753.43446536062095</v>
      </c>
      <c r="M474" s="9"/>
      <c r="N474" s="9"/>
      <c r="O474" s="9"/>
      <c r="P474" s="9"/>
      <c r="Q474" s="9"/>
      <c r="R474" s="9"/>
      <c r="S474" s="9"/>
      <c r="T474" s="9"/>
      <c r="U474" s="9"/>
      <c r="V474" s="9"/>
      <c r="W474" s="9"/>
      <c r="X474" s="9"/>
      <c r="Y474" s="9"/>
      <c r="Z474" s="9"/>
      <c r="AA474" s="9"/>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row>
    <row r="475" spans="1:64" hidden="1" outlineLevel="2">
      <c r="A475" s="9"/>
      <c r="B475" s="328"/>
      <c r="C475" s="328"/>
      <c r="D475" s="329" t="str">
        <f>Asset14</f>
        <v>Emergency Spares (Major Plant, Excludes Inventory)</v>
      </c>
      <c r="E475" s="328"/>
      <c r="F475" s="328"/>
      <c r="G475" s="328"/>
      <c r="H475" s="328"/>
      <c r="I475" s="328"/>
      <c r="J475" s="328"/>
      <c r="K475" s="328"/>
      <c r="L475" s="331">
        <f>0</f>
        <v>0</v>
      </c>
      <c r="M475" s="9"/>
      <c r="N475" s="9"/>
      <c r="O475" s="9"/>
      <c r="P475" s="9"/>
      <c r="Q475" s="9"/>
      <c r="R475" s="9"/>
      <c r="S475" s="9"/>
      <c r="T475" s="9"/>
      <c r="U475" s="9"/>
      <c r="V475" s="9"/>
      <c r="W475" s="9"/>
      <c r="X475" s="9"/>
      <c r="Y475" s="9"/>
      <c r="Z475" s="9"/>
      <c r="AA475" s="9"/>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row>
    <row r="476" spans="1:64" hidden="1" outlineLevel="2">
      <c r="A476" s="9"/>
      <c r="B476" s="328"/>
      <c r="C476" s="328"/>
      <c r="D476" s="329" t="str">
        <f>Asset15</f>
        <v>Furniture, fittings, plant and equipment</v>
      </c>
      <c r="E476" s="328"/>
      <c r="F476" s="328"/>
      <c r="G476" s="328"/>
      <c r="H476" s="328"/>
      <c r="I476" s="328"/>
      <c r="J476" s="328"/>
      <c r="K476" s="328"/>
      <c r="L476" s="331">
        <f t="shared" si="27"/>
        <v>47.262646503549881</v>
      </c>
      <c r="M476" s="9"/>
      <c r="N476" s="9"/>
      <c r="O476" s="9"/>
      <c r="P476" s="9"/>
      <c r="Q476" s="9"/>
      <c r="R476" s="9"/>
      <c r="S476" s="9"/>
      <c r="T476" s="9"/>
      <c r="U476" s="9"/>
      <c r="V476" s="9"/>
      <c r="W476" s="9"/>
      <c r="X476" s="9"/>
      <c r="Y476" s="9"/>
      <c r="Z476" s="9"/>
      <c r="AA476" s="9"/>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row>
    <row r="477" spans="1:64" hidden="1" outlineLevel="2">
      <c r="A477" s="9"/>
      <c r="B477" s="328"/>
      <c r="C477" s="328"/>
      <c r="D477" s="329" t="str">
        <f>Asset16</f>
        <v>Land (non-system)</v>
      </c>
      <c r="E477" s="328"/>
      <c r="F477" s="328"/>
      <c r="G477" s="328"/>
      <c r="H477" s="328"/>
      <c r="I477" s="328"/>
      <c r="J477" s="328"/>
      <c r="K477" s="328"/>
      <c r="L477" s="331">
        <f t="shared" si="27"/>
        <v>12.592706218679798</v>
      </c>
      <c r="M477" s="9"/>
      <c r="N477" s="9"/>
      <c r="O477" s="9"/>
      <c r="P477" s="9"/>
      <c r="Q477" s="9"/>
      <c r="R477" s="9"/>
      <c r="S477" s="9"/>
      <c r="T477" s="9"/>
      <c r="U477" s="9"/>
      <c r="V477" s="9"/>
      <c r="W477" s="9"/>
      <c r="X477" s="9"/>
      <c r="Y477" s="9"/>
      <c r="Z477" s="9"/>
      <c r="AA477" s="9"/>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row>
    <row r="478" spans="1:64" hidden="1" outlineLevel="2">
      <c r="A478" s="9"/>
      <c r="B478" s="328"/>
      <c r="C478" s="328"/>
      <c r="D478" s="329" t="str">
        <f>Asset17</f>
        <v>Other non system assets</v>
      </c>
      <c r="E478" s="328"/>
      <c r="F478" s="328"/>
      <c r="G478" s="328"/>
      <c r="H478" s="328"/>
      <c r="I478" s="328"/>
      <c r="J478" s="328"/>
      <c r="K478" s="328"/>
      <c r="L478" s="331">
        <f t="shared" si="27"/>
        <v>73.347431615577264</v>
      </c>
      <c r="M478" s="9"/>
      <c r="N478" s="9"/>
      <c r="O478" s="9"/>
      <c r="P478" s="9"/>
      <c r="Q478" s="9"/>
      <c r="R478" s="9"/>
      <c r="S478" s="9"/>
      <c r="T478" s="9"/>
      <c r="U478" s="9"/>
      <c r="V478" s="9"/>
      <c r="W478" s="9"/>
      <c r="X478" s="9"/>
      <c r="Y478" s="9"/>
      <c r="Z478" s="9"/>
      <c r="AA478" s="9"/>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row>
    <row r="479" spans="1:64" hidden="1" outlineLevel="2">
      <c r="A479" s="9"/>
      <c r="B479" s="328"/>
      <c r="C479" s="328"/>
      <c r="D479" s="329" t="str">
        <f>Asset18</f>
        <v>IT systems</v>
      </c>
      <c r="E479" s="328"/>
      <c r="F479" s="328"/>
      <c r="G479" s="328"/>
      <c r="H479" s="328"/>
      <c r="I479" s="328"/>
      <c r="J479" s="328"/>
      <c r="K479" s="328"/>
      <c r="L479" s="331">
        <f t="shared" si="27"/>
        <v>142.48738076712783</v>
      </c>
      <c r="M479" s="9"/>
      <c r="N479" s="9"/>
      <c r="O479" s="9"/>
      <c r="P479" s="9"/>
      <c r="Q479" s="9"/>
      <c r="R479" s="9"/>
      <c r="S479" s="9"/>
      <c r="T479" s="9"/>
      <c r="U479" s="9"/>
      <c r="V479" s="9"/>
      <c r="W479" s="9"/>
      <c r="X479" s="9"/>
      <c r="Y479" s="9"/>
      <c r="Z479" s="9"/>
      <c r="AA479" s="9"/>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row>
    <row r="480" spans="1:64" hidden="1" outlineLevel="2">
      <c r="A480" s="9"/>
      <c r="B480" s="328"/>
      <c r="C480" s="328"/>
      <c r="D480" s="329" t="str">
        <f>Asset19</f>
        <v>Motor vehicles</v>
      </c>
      <c r="E480" s="328"/>
      <c r="F480" s="328"/>
      <c r="G480" s="328"/>
      <c r="H480" s="328"/>
      <c r="I480" s="328"/>
      <c r="J480" s="328"/>
      <c r="K480" s="328"/>
      <c r="L480" s="331">
        <f t="shared" si="27"/>
        <v>119.87440394656795</v>
      </c>
      <c r="M480" s="9"/>
      <c r="N480" s="9"/>
      <c r="O480" s="9"/>
      <c r="P480" s="9"/>
      <c r="Q480" s="9"/>
      <c r="R480" s="9"/>
      <c r="S480" s="9"/>
      <c r="T480" s="9"/>
      <c r="U480" s="9"/>
      <c r="V480" s="9"/>
      <c r="W480" s="9"/>
      <c r="X480" s="9"/>
      <c r="Y480" s="9"/>
      <c r="Z480" s="9"/>
      <c r="AA480" s="9"/>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row>
    <row r="481" spans="1:66" hidden="1" outlineLevel="2">
      <c r="A481" s="9"/>
      <c r="B481" s="328"/>
      <c r="C481" s="328"/>
      <c r="D481" s="329" t="str">
        <f>Asset20</f>
        <v>Buildings</v>
      </c>
      <c r="E481" s="328"/>
      <c r="F481" s="328"/>
      <c r="G481" s="328"/>
      <c r="H481" s="328"/>
      <c r="I481" s="328"/>
      <c r="J481" s="328"/>
      <c r="K481" s="328"/>
      <c r="L481" s="331">
        <f t="shared" si="27"/>
        <v>236.81284257223089</v>
      </c>
      <c r="M481" s="9"/>
      <c r="N481" s="9"/>
      <c r="O481" s="9"/>
      <c r="P481" s="9"/>
      <c r="Q481" s="9"/>
      <c r="R481" s="9"/>
      <c r="S481" s="9"/>
      <c r="T481" s="9"/>
      <c r="U481" s="9"/>
      <c r="V481" s="9"/>
      <c r="W481" s="9"/>
      <c r="X481" s="9"/>
      <c r="Y481" s="9"/>
      <c r="Z481" s="9"/>
      <c r="AA481" s="9"/>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row>
    <row r="482" spans="1:66" hidden="1" outlineLevel="2">
      <c r="A482" s="9"/>
      <c r="B482" s="328"/>
      <c r="C482" s="328"/>
      <c r="D482" s="329" t="str">
        <f>Asset21</f>
        <v>Equity raising costs</v>
      </c>
      <c r="E482" s="328"/>
      <c r="F482" s="328"/>
      <c r="G482" s="328"/>
      <c r="H482" s="328"/>
      <c r="I482" s="328"/>
      <c r="J482" s="328"/>
      <c r="K482" s="328"/>
      <c r="L482" s="331">
        <f t="shared" si="27"/>
        <v>27.420512822989309</v>
      </c>
      <c r="M482" s="9"/>
      <c r="N482" s="9"/>
      <c r="O482" s="9"/>
      <c r="P482" s="9"/>
      <c r="Q482" s="9"/>
      <c r="R482" s="9"/>
      <c r="S482" s="9"/>
      <c r="T482" s="9"/>
      <c r="U482" s="9"/>
      <c r="V482" s="9"/>
      <c r="W482" s="9"/>
      <c r="X482" s="9"/>
      <c r="Y482" s="9"/>
      <c r="Z482" s="9"/>
      <c r="AA482" s="9"/>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row>
    <row r="483" spans="1:66" collapsed="1">
      <c r="A483" s="9"/>
      <c r="B483" s="328"/>
      <c r="C483" s="328"/>
      <c r="D483" s="329"/>
      <c r="E483" s="328"/>
      <c r="F483" s="328"/>
      <c r="G483" s="328"/>
      <c r="H483" s="328"/>
      <c r="I483" s="328"/>
      <c r="J483" s="328"/>
      <c r="K483" s="328"/>
      <c r="L483" s="330"/>
      <c r="M483" s="9"/>
      <c r="N483" s="9"/>
      <c r="O483" s="9"/>
      <c r="P483" s="9"/>
      <c r="Q483" s="9"/>
      <c r="R483" s="9"/>
      <c r="S483" s="9"/>
      <c r="T483" s="9"/>
      <c r="U483" s="9"/>
      <c r="V483" s="9"/>
      <c r="W483" s="9"/>
      <c r="X483" s="9"/>
      <c r="Y483" s="9"/>
      <c r="Z483" s="9"/>
      <c r="AA483" s="9"/>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row>
    <row r="484" spans="1:66">
      <c r="D484" s="462"/>
    </row>
    <row r="485" spans="1:66">
      <c r="D485" s="462"/>
      <c r="M485" s="214"/>
      <c r="N485" s="214"/>
      <c r="O485" s="214"/>
      <c r="P485" s="214"/>
      <c r="Q485" s="214"/>
      <c r="R485" s="214"/>
    </row>
    <row r="486" spans="1:66">
      <c r="A486" s="332"/>
      <c r="B486" s="333" t="s">
        <v>163</v>
      </c>
      <c r="C486" s="333"/>
      <c r="D486" s="332"/>
      <c r="E486" s="332"/>
      <c r="F486" s="332"/>
      <c r="G486" s="332"/>
      <c r="H486" s="332"/>
      <c r="I486" s="332"/>
      <c r="J486" s="332"/>
      <c r="K486" s="332"/>
      <c r="L486" s="334">
        <f>SUM(L487:L507)</f>
        <v>267.23646201690121</v>
      </c>
      <c r="M486" s="495"/>
      <c r="N486" s="496"/>
      <c r="O486" s="497"/>
      <c r="P486" s="498"/>
      <c r="Q486" s="498"/>
      <c r="R486" s="214"/>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row>
    <row r="487" spans="1:66">
      <c r="B487" s="185"/>
      <c r="C487" s="328"/>
      <c r="D487" s="329" t="str">
        <f>Asset1</f>
        <v>Sub-transmission lines and cables</v>
      </c>
      <c r="E487" s="328"/>
      <c r="F487" s="328"/>
      <c r="G487" s="328"/>
      <c r="H487" s="328"/>
      <c r="I487" s="328"/>
      <c r="J487" s="328"/>
      <c r="K487" s="328"/>
      <c r="L487" s="331"/>
      <c r="M487" s="495"/>
      <c r="N487" s="499"/>
      <c r="O487" s="500"/>
      <c r="P487" s="498"/>
      <c r="Q487" s="499"/>
      <c r="R487" s="214"/>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row>
    <row r="488" spans="1:66">
      <c r="B488" s="185"/>
      <c r="C488" s="328"/>
      <c r="D488" s="329" t="str">
        <f>Asset2</f>
        <v>Cable tunnel (dx)</v>
      </c>
      <c r="E488" s="328"/>
      <c r="F488" s="328"/>
      <c r="G488" s="328"/>
      <c r="H488" s="328"/>
      <c r="I488" s="328"/>
      <c r="J488" s="328"/>
      <c r="K488" s="328"/>
      <c r="L488" s="331"/>
      <c r="M488" s="495"/>
      <c r="N488" s="499"/>
      <c r="O488" s="500"/>
      <c r="P488" s="498"/>
      <c r="Q488" s="499"/>
      <c r="R488" s="214"/>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row>
    <row r="489" spans="1:66">
      <c r="B489" s="185"/>
      <c r="C489" s="328"/>
      <c r="D489" s="329" t="str">
        <f>Asset3</f>
        <v>Distribution lines and cables</v>
      </c>
      <c r="E489" s="328"/>
      <c r="F489" s="328"/>
      <c r="G489" s="328"/>
      <c r="H489" s="328"/>
      <c r="I489" s="328"/>
      <c r="J489" s="328"/>
      <c r="K489" s="328"/>
      <c r="L489" s="331"/>
      <c r="M489" s="495"/>
      <c r="N489" s="499"/>
      <c r="O489" s="500"/>
      <c r="P489" s="498"/>
      <c r="Q489" s="499"/>
      <c r="R489" s="214"/>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row>
    <row r="490" spans="1:66">
      <c r="B490" s="185"/>
      <c r="C490" s="328"/>
      <c r="D490" s="329" t="str">
        <f>Asset4</f>
        <v>Substations</v>
      </c>
      <c r="E490" s="328"/>
      <c r="F490" s="328"/>
      <c r="G490" s="328"/>
      <c r="H490" s="328"/>
      <c r="I490" s="328"/>
      <c r="J490" s="328"/>
      <c r="K490" s="328"/>
      <c r="L490" s="331"/>
      <c r="M490" s="495"/>
      <c r="N490" s="499"/>
      <c r="O490" s="500"/>
      <c r="P490" s="498"/>
      <c r="Q490" s="499"/>
      <c r="R490" s="214"/>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row>
    <row r="491" spans="1:66">
      <c r="B491" s="185"/>
      <c r="C491" s="328"/>
      <c r="D491" s="329" t="str">
        <f>Asset5</f>
        <v>Transformers</v>
      </c>
      <c r="E491" s="328"/>
      <c r="F491" s="328"/>
      <c r="G491" s="328"/>
      <c r="H491" s="328"/>
      <c r="I491" s="328"/>
      <c r="J491" s="328"/>
      <c r="K491" s="328"/>
      <c r="L491" s="331"/>
      <c r="M491" s="495"/>
      <c r="N491" s="499"/>
      <c r="O491" s="500"/>
      <c r="P491" s="498"/>
      <c r="Q491" s="499"/>
      <c r="R491" s="214"/>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row>
    <row r="492" spans="1:66">
      <c r="B492" s="185"/>
      <c r="C492" s="328"/>
      <c r="D492" s="329" t="str">
        <f>Asset6</f>
        <v>Low Voltage Lines and Cables</v>
      </c>
      <c r="E492" s="328"/>
      <c r="F492" s="328"/>
      <c r="G492" s="328"/>
      <c r="H492" s="328"/>
      <c r="I492" s="328"/>
      <c r="J492" s="328"/>
      <c r="K492" s="328"/>
      <c r="L492" s="331"/>
      <c r="M492" s="495"/>
      <c r="N492" s="499"/>
      <c r="O492" s="500"/>
      <c r="P492" s="498"/>
      <c r="Q492" s="499"/>
      <c r="R492" s="214"/>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c r="BM492" s="185"/>
      <c r="BN492" s="185"/>
    </row>
    <row r="493" spans="1:66">
      <c r="B493" s="185"/>
      <c r="C493" s="328"/>
      <c r="D493" s="329" t="str">
        <f>Asset7</f>
        <v>Customer Metering and Load Control</v>
      </c>
      <c r="E493" s="328"/>
      <c r="F493" s="328"/>
      <c r="G493" s="328"/>
      <c r="H493" s="328"/>
      <c r="I493" s="328"/>
      <c r="J493" s="328"/>
      <c r="K493" s="328"/>
      <c r="L493" s="331">
        <v>125.99053839568172</v>
      </c>
      <c r="M493" s="495"/>
      <c r="N493" s="499"/>
      <c r="O493" s="500"/>
      <c r="P493" s="499"/>
      <c r="Q493" s="499"/>
      <c r="R493" s="214"/>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row>
    <row r="494" spans="1:66">
      <c r="B494" s="185"/>
      <c r="C494" s="328"/>
      <c r="D494" s="329" t="str">
        <f>Asset8</f>
        <v>Customer Metering (digital)</v>
      </c>
      <c r="E494" s="328"/>
      <c r="F494" s="328"/>
      <c r="G494" s="328"/>
      <c r="H494" s="328"/>
      <c r="I494" s="328"/>
      <c r="J494" s="328"/>
      <c r="K494" s="328"/>
      <c r="L494" s="331">
        <v>100.86131177148374</v>
      </c>
      <c r="M494" s="495"/>
      <c r="N494" s="499"/>
      <c r="O494" s="500"/>
      <c r="P494" s="499"/>
      <c r="Q494" s="499"/>
      <c r="R494" s="214"/>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c r="BM494" s="185"/>
      <c r="BN494" s="185"/>
    </row>
    <row r="495" spans="1:66">
      <c r="B495" s="185"/>
      <c r="C495" s="328"/>
      <c r="D495" s="329" t="str">
        <f>Asset9</f>
        <v>Communications (digital) - dx</v>
      </c>
      <c r="E495" s="328"/>
      <c r="F495" s="328"/>
      <c r="G495" s="328"/>
      <c r="H495" s="328"/>
      <c r="I495" s="328"/>
      <c r="J495" s="328"/>
      <c r="K495" s="328"/>
      <c r="L495" s="331"/>
      <c r="M495" s="495"/>
      <c r="N495" s="499"/>
      <c r="O495" s="500"/>
      <c r="P495" s="498"/>
      <c r="Q495" s="499"/>
      <c r="R495" s="214"/>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row>
    <row r="496" spans="1:66">
      <c r="C496" s="328"/>
      <c r="D496" s="329" t="str">
        <f>Asset10</f>
        <v>Total Communications</v>
      </c>
      <c r="E496" s="328"/>
      <c r="F496" s="328"/>
      <c r="G496" s="328"/>
      <c r="H496" s="328"/>
      <c r="I496" s="328"/>
      <c r="J496" s="328"/>
      <c r="K496" s="328"/>
      <c r="L496" s="331"/>
      <c r="M496" s="495"/>
      <c r="N496" s="499"/>
      <c r="O496" s="500"/>
      <c r="P496" s="498"/>
      <c r="Q496" s="499"/>
      <c r="R496" s="214"/>
    </row>
    <row r="497" spans="1:23">
      <c r="C497" s="328"/>
      <c r="D497" s="329" t="str">
        <f>Asset11</f>
        <v>System IT (dx)</v>
      </c>
      <c r="E497" s="328"/>
      <c r="F497" s="328"/>
      <c r="G497" s="328"/>
      <c r="H497" s="328"/>
      <c r="I497" s="328"/>
      <c r="J497" s="328"/>
      <c r="K497" s="328"/>
      <c r="L497" s="331"/>
      <c r="M497" s="495"/>
      <c r="N497" s="499"/>
      <c r="O497" s="500"/>
      <c r="P497" s="498"/>
      <c r="Q497" s="499"/>
      <c r="R497" s="214"/>
    </row>
    <row r="498" spans="1:23">
      <c r="C498" s="328"/>
      <c r="D498" s="329" t="str">
        <f>Asset12</f>
        <v>Ancillary substation equipment (dx)</v>
      </c>
      <c r="E498" s="328"/>
      <c r="F498" s="328"/>
      <c r="G498" s="328"/>
      <c r="H498" s="328"/>
      <c r="I498" s="328"/>
      <c r="J498" s="328"/>
      <c r="K498" s="328"/>
      <c r="L498" s="331"/>
      <c r="M498" s="495"/>
      <c r="N498" s="499"/>
      <c r="O498" s="500"/>
      <c r="P498" s="498"/>
      <c r="Q498" s="499"/>
      <c r="R498" s="214"/>
    </row>
    <row r="499" spans="1:23">
      <c r="C499" s="328"/>
      <c r="D499" s="329" t="str">
        <f>Asset13</f>
        <v>Land and Easements</v>
      </c>
      <c r="E499" s="328"/>
      <c r="F499" s="328"/>
      <c r="G499" s="328"/>
      <c r="H499" s="328"/>
      <c r="I499" s="328"/>
      <c r="J499" s="328"/>
      <c r="K499" s="328"/>
      <c r="L499" s="331"/>
      <c r="M499" s="495"/>
      <c r="N499" s="499"/>
      <c r="O499" s="500"/>
      <c r="P499" s="498"/>
      <c r="Q499" s="499"/>
      <c r="R499" s="214"/>
    </row>
    <row r="500" spans="1:23">
      <c r="C500" s="328"/>
      <c r="D500" s="329" t="str">
        <f>Asset14</f>
        <v>Emergency Spares (Major Plant, Excludes Inventory)</v>
      </c>
      <c r="E500" s="328"/>
      <c r="F500" s="328"/>
      <c r="G500" s="328"/>
      <c r="H500" s="328"/>
      <c r="I500" s="328"/>
      <c r="J500" s="328"/>
      <c r="K500" s="328"/>
      <c r="L500" s="331"/>
      <c r="M500" s="495"/>
      <c r="N500" s="499"/>
      <c r="O500" s="500"/>
      <c r="P500" s="498"/>
      <c r="Q500" s="499"/>
      <c r="R500" s="214"/>
    </row>
    <row r="501" spans="1:23">
      <c r="C501" s="328"/>
      <c r="D501" s="329" t="str">
        <f>Asset15</f>
        <v>Furniture, fittings, plant and equipment</v>
      </c>
      <c r="E501" s="328"/>
      <c r="F501" s="328"/>
      <c r="G501" s="328"/>
      <c r="H501" s="328"/>
      <c r="I501" s="328"/>
      <c r="J501" s="328"/>
      <c r="K501" s="328"/>
      <c r="L501" s="331">
        <v>1.0088970929892476</v>
      </c>
      <c r="M501" s="501"/>
      <c r="N501" s="499"/>
      <c r="O501" s="500"/>
      <c r="P501" s="498"/>
      <c r="Q501" s="499"/>
      <c r="R501" s="214"/>
    </row>
    <row r="502" spans="1:23">
      <c r="C502" s="328"/>
      <c r="D502" s="329" t="str">
        <f>Asset16</f>
        <v>Land (non-system)</v>
      </c>
      <c r="E502" s="328"/>
      <c r="F502" s="328"/>
      <c r="G502" s="328"/>
      <c r="H502" s="328"/>
      <c r="I502" s="328"/>
      <c r="J502" s="328"/>
      <c r="K502" s="328"/>
      <c r="L502" s="331">
        <v>0.26881153800685736</v>
      </c>
      <c r="M502" s="501"/>
      <c r="N502" s="499"/>
      <c r="O502" s="500"/>
      <c r="P502" s="498"/>
      <c r="Q502" s="499"/>
      <c r="R502" s="214"/>
    </row>
    <row r="503" spans="1:23">
      <c r="C503" s="328"/>
      <c r="D503" s="329" t="str">
        <f>Asset17</f>
        <v>Other non system assets</v>
      </c>
      <c r="E503" s="328"/>
      <c r="F503" s="328"/>
      <c r="G503" s="328"/>
      <c r="H503" s="328"/>
      <c r="I503" s="328"/>
      <c r="J503" s="328"/>
      <c r="K503" s="328"/>
      <c r="L503" s="331">
        <v>1.5657187231279022</v>
      </c>
      <c r="M503" s="501"/>
      <c r="N503" s="499"/>
      <c r="O503" s="500"/>
      <c r="P503" s="498"/>
      <c r="Q503" s="499"/>
      <c r="R503" s="214"/>
    </row>
    <row r="504" spans="1:23">
      <c r="C504" s="328"/>
      <c r="D504" s="329" t="str">
        <f>Asset18</f>
        <v>IT systems</v>
      </c>
      <c r="E504" s="328"/>
      <c r="F504" s="328"/>
      <c r="G504" s="328"/>
      <c r="H504" s="328"/>
      <c r="I504" s="328"/>
      <c r="J504" s="328"/>
      <c r="K504" s="328"/>
      <c r="L504" s="331">
        <v>29.341787498970067</v>
      </c>
      <c r="M504" s="501"/>
      <c r="N504" s="499"/>
      <c r="O504" s="500"/>
      <c r="P504" s="498"/>
      <c r="Q504" s="499"/>
      <c r="R504" s="214"/>
    </row>
    <row r="505" spans="1:23">
      <c r="C505" s="328"/>
      <c r="D505" s="329" t="str">
        <f>Asset19</f>
        <v>Motor vehicles</v>
      </c>
      <c r="E505" s="328"/>
      <c r="F505" s="328"/>
      <c r="G505" s="328"/>
      <c r="H505" s="328"/>
      <c r="I505" s="328"/>
      <c r="J505" s="328"/>
      <c r="K505" s="328"/>
      <c r="L505" s="331">
        <v>2.5589116694179905</v>
      </c>
      <c r="M505" s="501"/>
      <c r="N505" s="499"/>
      <c r="O505" s="500"/>
      <c r="P505" s="498"/>
      <c r="Q505" s="499"/>
      <c r="R505" s="214"/>
    </row>
    <row r="506" spans="1:23">
      <c r="C506" s="328"/>
      <c r="D506" s="329" t="str">
        <f>Asset20</f>
        <v>Buildings</v>
      </c>
      <c r="E506" s="328"/>
      <c r="F506" s="328"/>
      <c r="G506" s="328"/>
      <c r="H506" s="328"/>
      <c r="I506" s="328"/>
      <c r="J506" s="328"/>
      <c r="K506" s="328"/>
      <c r="L506" s="331">
        <v>5.0551504439282482</v>
      </c>
      <c r="M506" s="501"/>
      <c r="N506" s="499"/>
      <c r="O506" s="500"/>
      <c r="P506" s="498"/>
      <c r="Q506" s="499"/>
      <c r="R506" s="214"/>
    </row>
    <row r="507" spans="1:23">
      <c r="C507" s="328"/>
      <c r="D507" s="329" t="str">
        <f>Asset21</f>
        <v>Equity raising costs</v>
      </c>
      <c r="E507" s="328"/>
      <c r="F507" s="328"/>
      <c r="G507" s="328"/>
      <c r="H507" s="328"/>
      <c r="I507" s="328"/>
      <c r="J507" s="328"/>
      <c r="K507" s="328"/>
      <c r="L507" s="331">
        <v>0.58533488329542505</v>
      </c>
      <c r="M507" s="501"/>
      <c r="N507" s="499"/>
      <c r="O507" s="500"/>
      <c r="P507" s="498"/>
      <c r="Q507" s="499"/>
      <c r="R507" s="214"/>
    </row>
    <row r="508" spans="1:23">
      <c r="C508" s="328"/>
      <c r="D508" s="329"/>
      <c r="E508" s="328"/>
      <c r="F508" s="328"/>
      <c r="G508" s="328"/>
      <c r="H508" s="328"/>
      <c r="I508" s="328"/>
      <c r="J508" s="328"/>
      <c r="K508" s="328"/>
      <c r="L508" s="330"/>
      <c r="M508" s="214"/>
      <c r="N508" s="214"/>
      <c r="O508" s="214"/>
      <c r="P508" s="214"/>
      <c r="Q508" s="214"/>
      <c r="R508" s="214"/>
    </row>
    <row r="509" spans="1:23">
      <c r="M509" s="214"/>
      <c r="N509" s="214"/>
      <c r="O509" s="214"/>
      <c r="P509" s="214"/>
      <c r="Q509" s="214"/>
      <c r="R509" s="214"/>
    </row>
    <row r="510" spans="1:23" ht="29.25" customHeight="1">
      <c r="A510" s="332"/>
      <c r="B510" s="333" t="s">
        <v>164</v>
      </c>
      <c r="C510" s="333"/>
      <c r="D510" s="332"/>
      <c r="E510" s="332"/>
      <c r="F510" s="332"/>
      <c r="G510" s="332"/>
      <c r="H510" s="332"/>
      <c r="I510" s="332"/>
      <c r="J510" s="332"/>
      <c r="K510" s="332"/>
      <c r="L510" s="334">
        <f>SUM(L511:L531)</f>
        <v>12251.683975875734</v>
      </c>
      <c r="M510" s="214"/>
      <c r="N510" s="502"/>
      <c r="O510" s="214"/>
      <c r="P510" s="414"/>
      <c r="Q510" s="214"/>
      <c r="R510" s="502"/>
      <c r="S510" s="373"/>
      <c r="T510" s="374"/>
      <c r="U510" s="374"/>
      <c r="V510" s="185"/>
      <c r="W510" s="185"/>
    </row>
    <row r="511" spans="1:23">
      <c r="C511" s="328"/>
      <c r="D511" s="329" t="s">
        <v>115</v>
      </c>
      <c r="E511" s="328"/>
      <c r="F511" s="328"/>
      <c r="G511" s="328"/>
      <c r="H511" s="328"/>
      <c r="I511" s="328"/>
      <c r="J511" s="328"/>
      <c r="K511" s="328"/>
      <c r="L511" s="331">
        <f t="shared" ref="L511:L531" si="28">L437-L487</f>
        <v>1394.29130879185</v>
      </c>
      <c r="M511" s="214"/>
      <c r="N511" s="399"/>
      <c r="O511" s="399"/>
      <c r="P511" s="399"/>
      <c r="Q511" s="399"/>
      <c r="R511" s="402"/>
      <c r="S511" s="399"/>
      <c r="T511" s="367"/>
      <c r="U511" s="249"/>
      <c r="V511" s="249"/>
      <c r="W511" s="249"/>
    </row>
    <row r="512" spans="1:23">
      <c r="C512" s="328"/>
      <c r="D512" s="329" t="s">
        <v>112</v>
      </c>
      <c r="E512" s="328"/>
      <c r="F512" s="328"/>
      <c r="G512" s="328"/>
      <c r="H512" s="328"/>
      <c r="I512" s="328"/>
      <c r="J512" s="328"/>
      <c r="K512" s="328"/>
      <c r="L512" s="331">
        <f t="shared" si="28"/>
        <v>131.30293169499129</v>
      </c>
      <c r="M512" s="214"/>
      <c r="N512" s="399"/>
      <c r="O512" s="399"/>
      <c r="P512" s="399"/>
      <c r="Q512" s="399"/>
      <c r="R512" s="402"/>
      <c r="S512" s="399"/>
      <c r="T512" s="367"/>
      <c r="U512" s="249"/>
      <c r="V512" s="249"/>
      <c r="W512" s="249"/>
    </row>
    <row r="513" spans="3:23">
      <c r="C513" s="328"/>
      <c r="D513" s="329" t="s">
        <v>117</v>
      </c>
      <c r="E513" s="328"/>
      <c r="F513" s="328"/>
      <c r="G513" s="328"/>
      <c r="H513" s="328"/>
      <c r="I513" s="328"/>
      <c r="J513" s="328"/>
      <c r="K513" s="328"/>
      <c r="L513" s="331">
        <f t="shared" si="28"/>
        <v>3176.4250551856212</v>
      </c>
      <c r="M513" s="214"/>
      <c r="N513" s="399"/>
      <c r="O513" s="399"/>
      <c r="P513" s="399"/>
      <c r="Q513" s="399"/>
      <c r="R513" s="402"/>
      <c r="S513" s="399"/>
      <c r="T513" s="367"/>
      <c r="U513" s="249"/>
      <c r="V513" s="249"/>
      <c r="W513" s="249"/>
    </row>
    <row r="514" spans="3:23">
      <c r="C514" s="328"/>
      <c r="D514" s="329" t="s">
        <v>118</v>
      </c>
      <c r="E514" s="328"/>
      <c r="F514" s="328"/>
      <c r="G514" s="328"/>
      <c r="H514" s="328"/>
      <c r="I514" s="328"/>
      <c r="J514" s="328"/>
      <c r="K514" s="328"/>
      <c r="L514" s="331">
        <f t="shared" si="28"/>
        <v>3438.8353397324781</v>
      </c>
      <c r="M514" s="214"/>
      <c r="N514" s="399"/>
      <c r="O514" s="399"/>
      <c r="P514" s="399"/>
      <c r="Q514" s="399"/>
      <c r="R514" s="402"/>
      <c r="S514" s="399"/>
      <c r="T514" s="367"/>
      <c r="U514" s="249"/>
      <c r="V514" s="249"/>
      <c r="W514" s="249"/>
    </row>
    <row r="515" spans="3:23">
      <c r="C515" s="328"/>
      <c r="D515" s="329" t="s">
        <v>119</v>
      </c>
      <c r="E515" s="328"/>
      <c r="F515" s="328"/>
      <c r="G515" s="328"/>
      <c r="H515" s="328"/>
      <c r="I515" s="328"/>
      <c r="J515" s="328"/>
      <c r="K515" s="328"/>
      <c r="L515" s="331">
        <f t="shared" si="28"/>
        <v>690.37459553116366</v>
      </c>
      <c r="M515" s="214"/>
      <c r="N515" s="399"/>
      <c r="O515" s="399"/>
      <c r="P515" s="399"/>
      <c r="Q515" s="399"/>
      <c r="R515" s="402"/>
      <c r="S515" s="399"/>
      <c r="T515" s="367"/>
      <c r="U515" s="249"/>
      <c r="V515" s="249"/>
      <c r="W515" s="249"/>
    </row>
    <row r="516" spans="3:23">
      <c r="C516" s="328"/>
      <c r="D516" s="329" t="s">
        <v>120</v>
      </c>
      <c r="E516" s="328"/>
      <c r="F516" s="328"/>
      <c r="G516" s="328"/>
      <c r="H516" s="328"/>
      <c r="I516" s="328"/>
      <c r="J516" s="328"/>
      <c r="K516" s="328"/>
      <c r="L516" s="331">
        <f t="shared" si="28"/>
        <v>1604.0144280526883</v>
      </c>
      <c r="M516" s="214"/>
      <c r="N516" s="399"/>
      <c r="O516" s="399"/>
      <c r="P516" s="399"/>
      <c r="Q516" s="399"/>
      <c r="R516" s="402"/>
      <c r="S516" s="399"/>
      <c r="T516" s="367"/>
      <c r="U516" s="249"/>
      <c r="V516" s="249"/>
      <c r="W516" s="249"/>
    </row>
    <row r="517" spans="3:23">
      <c r="C517" s="328"/>
      <c r="D517" s="329" t="s">
        <v>121</v>
      </c>
      <c r="E517" s="328"/>
      <c r="F517" s="328"/>
      <c r="G517" s="328"/>
      <c r="H517" s="328"/>
      <c r="I517" s="328"/>
      <c r="J517" s="328"/>
      <c r="K517" s="328"/>
      <c r="L517" s="331">
        <f t="shared" si="28"/>
        <v>37.774586420488376</v>
      </c>
      <c r="M517" s="214"/>
      <c r="N517" s="399"/>
      <c r="O517" s="399"/>
      <c r="P517" s="399"/>
      <c r="Q517" s="399"/>
      <c r="R517" s="402"/>
      <c r="S517" s="399"/>
      <c r="T517" s="367"/>
      <c r="U517" s="249"/>
      <c r="V517" s="249"/>
      <c r="W517" s="249"/>
    </row>
    <row r="518" spans="3:23">
      <c r="C518" s="328"/>
      <c r="D518" s="329" t="s">
        <v>122</v>
      </c>
      <c r="E518" s="328"/>
      <c r="F518" s="328"/>
      <c r="G518" s="328"/>
      <c r="H518" s="328"/>
      <c r="I518" s="328"/>
      <c r="J518" s="328"/>
      <c r="K518" s="328"/>
      <c r="L518" s="331">
        <f t="shared" si="28"/>
        <v>0</v>
      </c>
      <c r="M518" s="214"/>
      <c r="N518" s="399"/>
      <c r="O518" s="399"/>
      <c r="P518" s="399"/>
      <c r="Q518" s="399"/>
      <c r="R518" s="402"/>
      <c r="S518" s="399"/>
      <c r="T518" s="367"/>
      <c r="U518" s="249"/>
      <c r="V518" s="249"/>
      <c r="W518" s="249"/>
    </row>
    <row r="519" spans="3:23">
      <c r="C519" s="328"/>
      <c r="D519" s="329" t="s">
        <v>116</v>
      </c>
      <c r="E519" s="328"/>
      <c r="F519" s="328"/>
      <c r="G519" s="328"/>
      <c r="H519" s="328"/>
      <c r="I519" s="328"/>
      <c r="J519" s="328"/>
      <c r="K519" s="328"/>
      <c r="L519" s="331">
        <f t="shared" si="28"/>
        <v>13.996097547074466</v>
      </c>
      <c r="M519" s="214"/>
      <c r="N519" s="399"/>
      <c r="O519" s="399"/>
      <c r="P519" s="399"/>
      <c r="Q519" s="399"/>
      <c r="R519" s="402"/>
      <c r="S519" s="399"/>
      <c r="T519" s="367"/>
      <c r="U519" s="249"/>
      <c r="V519" s="249"/>
      <c r="W519" s="249"/>
    </row>
    <row r="520" spans="3:23">
      <c r="C520" s="328"/>
      <c r="D520" s="329" t="s">
        <v>123</v>
      </c>
      <c r="E520" s="328"/>
      <c r="F520" s="328"/>
      <c r="G520" s="328"/>
      <c r="H520" s="328"/>
      <c r="I520" s="328"/>
      <c r="J520" s="328"/>
      <c r="K520" s="328"/>
      <c r="L520" s="331">
        <f t="shared" si="28"/>
        <v>80.756354356741085</v>
      </c>
      <c r="M520" s="214"/>
      <c r="N520" s="399"/>
      <c r="O520" s="399"/>
      <c r="P520" s="399"/>
      <c r="Q520" s="399"/>
      <c r="R520" s="402"/>
      <c r="S520" s="399"/>
      <c r="T520" s="367"/>
      <c r="U520" s="249"/>
      <c r="V520" s="249"/>
      <c r="W520" s="249"/>
    </row>
    <row r="521" spans="3:23">
      <c r="C521" s="328"/>
      <c r="D521" s="329" t="s">
        <v>113</v>
      </c>
      <c r="E521" s="328"/>
      <c r="F521" s="328"/>
      <c r="G521" s="328"/>
      <c r="H521" s="328"/>
      <c r="I521" s="328"/>
      <c r="J521" s="328"/>
      <c r="K521" s="328"/>
      <c r="L521" s="331">
        <f t="shared" si="28"/>
        <v>209.19746549808724</v>
      </c>
      <c r="M521" s="214"/>
      <c r="N521" s="399"/>
      <c r="O521" s="399"/>
      <c r="P521" s="399"/>
      <c r="Q521" s="399"/>
      <c r="R521" s="402"/>
      <c r="S521" s="399"/>
      <c r="T521" s="367"/>
      <c r="U521" s="249"/>
      <c r="V521" s="249"/>
      <c r="W521" s="249"/>
    </row>
    <row r="522" spans="3:23">
      <c r="C522" s="328"/>
      <c r="D522" s="329" t="s">
        <v>114</v>
      </c>
      <c r="E522" s="328"/>
      <c r="F522" s="328"/>
      <c r="G522" s="328"/>
      <c r="H522" s="328"/>
      <c r="I522" s="328"/>
      <c r="J522" s="328"/>
      <c r="K522" s="328"/>
      <c r="L522" s="331">
        <f t="shared" si="28"/>
        <v>57.411430576440907</v>
      </c>
      <c r="M522" s="214"/>
      <c r="N522" s="399"/>
      <c r="O522" s="399"/>
      <c r="P522" s="399"/>
      <c r="Q522" s="399"/>
      <c r="R522" s="402"/>
      <c r="S522" s="399"/>
      <c r="T522" s="367"/>
      <c r="U522" s="249"/>
      <c r="V522" s="249"/>
      <c r="W522" s="249"/>
    </row>
    <row r="523" spans="3:23">
      <c r="C523" s="328"/>
      <c r="D523" s="329" t="s">
        <v>124</v>
      </c>
      <c r="E523" s="328"/>
      <c r="F523" s="328"/>
      <c r="G523" s="328"/>
      <c r="H523" s="328"/>
      <c r="I523" s="328"/>
      <c r="J523" s="328"/>
      <c r="K523" s="328"/>
      <c r="L523" s="331">
        <f t="shared" si="28"/>
        <v>753.43446536062095</v>
      </c>
      <c r="M523" s="214"/>
      <c r="N523" s="399"/>
      <c r="O523" s="503"/>
      <c r="P523" s="399"/>
      <c r="Q523" s="399"/>
      <c r="R523" s="402"/>
      <c r="S523" s="399"/>
      <c r="T523" s="367"/>
      <c r="U523" s="249"/>
      <c r="V523" s="249"/>
      <c r="W523" s="249"/>
    </row>
    <row r="524" spans="3:23">
      <c r="C524" s="328"/>
      <c r="D524" s="329" t="s">
        <v>125</v>
      </c>
      <c r="E524" s="328"/>
      <c r="F524" s="328"/>
      <c r="G524" s="328"/>
      <c r="H524" s="328"/>
      <c r="I524" s="328"/>
      <c r="J524" s="328"/>
      <c r="K524" s="328"/>
      <c r="L524" s="331">
        <f t="shared" si="28"/>
        <v>44.456604530502268</v>
      </c>
      <c r="M524" s="214"/>
      <c r="N524" s="399"/>
      <c r="O524" s="503"/>
      <c r="P524" s="399"/>
      <c r="Q524" s="399"/>
      <c r="R524" s="402"/>
      <c r="S524" s="399"/>
      <c r="T524" s="367"/>
      <c r="U524" s="249"/>
      <c r="V524" s="249"/>
      <c r="W524" s="249"/>
    </row>
    <row r="525" spans="3:23">
      <c r="C525" s="328"/>
      <c r="D525" s="329" t="s">
        <v>126</v>
      </c>
      <c r="E525" s="328"/>
      <c r="F525" s="328"/>
      <c r="G525" s="328"/>
      <c r="H525" s="328"/>
      <c r="I525" s="328"/>
      <c r="J525" s="328"/>
      <c r="K525" s="328"/>
      <c r="L525" s="331">
        <f t="shared" si="28"/>
        <v>46.25374941056063</v>
      </c>
      <c r="M525" s="214"/>
      <c r="N525" s="399"/>
      <c r="O525" s="503"/>
      <c r="P525" s="399"/>
      <c r="Q525" s="399"/>
      <c r="R525" s="402"/>
      <c r="S525" s="399"/>
      <c r="T525" s="367"/>
      <c r="U525" s="249"/>
      <c r="V525" s="249"/>
      <c r="W525" s="249"/>
    </row>
    <row r="526" spans="3:23">
      <c r="C526" s="328"/>
      <c r="D526" s="329" t="s">
        <v>127</v>
      </c>
      <c r="E526" s="328"/>
      <c r="F526" s="328"/>
      <c r="G526" s="328"/>
      <c r="H526" s="328"/>
      <c r="I526" s="328"/>
      <c r="J526" s="328"/>
      <c r="K526" s="328"/>
      <c r="L526" s="331">
        <f t="shared" si="28"/>
        <v>12.323894680672939</v>
      </c>
      <c r="M526" s="214"/>
      <c r="N526" s="399"/>
      <c r="O526" s="503"/>
      <c r="P526" s="399"/>
      <c r="Q526" s="399"/>
      <c r="R526" s="402"/>
      <c r="S526" s="399"/>
      <c r="T526" s="367"/>
      <c r="U526" s="249"/>
      <c r="V526" s="249"/>
      <c r="W526" s="249"/>
    </row>
    <row r="527" spans="3:23">
      <c r="C527" s="328"/>
      <c r="D527" s="329" t="s">
        <v>128</v>
      </c>
      <c r="E527" s="328"/>
      <c r="F527" s="328"/>
      <c r="G527" s="328"/>
      <c r="H527" s="328"/>
      <c r="I527" s="328"/>
      <c r="J527" s="328"/>
      <c r="K527" s="328"/>
      <c r="L527" s="331">
        <f t="shared" si="28"/>
        <v>71.781712892449363</v>
      </c>
      <c r="M527" s="214"/>
      <c r="N527" s="399"/>
      <c r="O527" s="399"/>
      <c r="P527" s="399"/>
      <c r="Q527" s="399"/>
      <c r="R527" s="402"/>
      <c r="S527" s="399"/>
      <c r="T527" s="367"/>
      <c r="U527" s="249"/>
      <c r="V527" s="249"/>
      <c r="W527" s="249"/>
    </row>
    <row r="528" spans="3:23">
      <c r="C528" s="328"/>
      <c r="D528" s="329" t="s">
        <v>129</v>
      </c>
      <c r="E528" s="328"/>
      <c r="F528" s="328"/>
      <c r="G528" s="328"/>
      <c r="H528" s="328"/>
      <c r="I528" s="328"/>
      <c r="J528" s="328"/>
      <c r="K528" s="328"/>
      <c r="L528" s="331">
        <f t="shared" si="28"/>
        <v>113.14559326815777</v>
      </c>
      <c r="M528" s="214"/>
      <c r="N528" s="399"/>
      <c r="O528" s="399"/>
      <c r="P528" s="399"/>
      <c r="Q528" s="399"/>
      <c r="R528" s="402"/>
      <c r="S528" s="399"/>
      <c r="T528" s="367"/>
      <c r="U528" s="249"/>
      <c r="V528" s="249"/>
      <c r="W528" s="249"/>
    </row>
    <row r="529" spans="1:23">
      <c r="C529" s="328"/>
      <c r="D529" s="329" t="s">
        <v>130</v>
      </c>
      <c r="E529" s="328"/>
      <c r="F529" s="328"/>
      <c r="G529" s="328"/>
      <c r="H529" s="328"/>
      <c r="I529" s="328"/>
      <c r="J529" s="328"/>
      <c r="K529" s="328"/>
      <c r="L529" s="331">
        <f t="shared" si="28"/>
        <v>117.31549227714996</v>
      </c>
      <c r="M529" s="214"/>
      <c r="N529" s="399"/>
      <c r="O529" s="399"/>
      <c r="P529" s="399"/>
      <c r="Q529" s="399"/>
      <c r="R529" s="402"/>
      <c r="S529" s="399"/>
      <c r="T529" s="367"/>
      <c r="U529" s="249"/>
      <c r="V529" s="249"/>
      <c r="W529" s="249"/>
    </row>
    <row r="530" spans="1:23">
      <c r="C530" s="328"/>
      <c r="D530" s="329" t="s">
        <v>131</v>
      </c>
      <c r="E530" s="328"/>
      <c r="F530" s="328"/>
      <c r="G530" s="328"/>
      <c r="H530" s="328"/>
      <c r="I530" s="328"/>
      <c r="J530" s="328"/>
      <c r="K530" s="328"/>
      <c r="L530" s="331">
        <f t="shared" si="28"/>
        <v>231.75769212830264</v>
      </c>
      <c r="M530" s="214"/>
      <c r="N530" s="399"/>
      <c r="O530" s="399"/>
      <c r="P530" s="399"/>
      <c r="Q530" s="399"/>
      <c r="R530" s="402"/>
      <c r="S530" s="399"/>
      <c r="T530" s="367"/>
      <c r="U530" s="249"/>
      <c r="V530" s="249"/>
      <c r="W530" s="249"/>
    </row>
    <row r="531" spans="1:23">
      <c r="C531" s="328"/>
      <c r="D531" s="329" t="s">
        <v>139</v>
      </c>
      <c r="E531" s="328"/>
      <c r="F531" s="328"/>
      <c r="G531" s="328"/>
      <c r="H531" s="328"/>
      <c r="I531" s="328"/>
      <c r="J531" s="328"/>
      <c r="K531" s="328"/>
      <c r="L531" s="331">
        <f t="shared" si="28"/>
        <v>26.835177939693885</v>
      </c>
      <c r="M531" s="214"/>
      <c r="N531" s="399"/>
      <c r="O531" s="399"/>
      <c r="P531" s="399"/>
      <c r="Q531" s="399"/>
      <c r="R531" s="402"/>
      <c r="S531" s="399"/>
      <c r="T531" s="367"/>
      <c r="U531" s="249"/>
      <c r="V531" s="249"/>
      <c r="W531" s="249"/>
    </row>
    <row r="532" spans="1:23">
      <c r="C532" s="328"/>
      <c r="D532" s="329"/>
      <c r="E532" s="328"/>
      <c r="F532" s="328"/>
      <c r="G532" s="328"/>
      <c r="H532" s="328"/>
      <c r="I532" s="328"/>
      <c r="J532" s="328"/>
      <c r="K532" s="328"/>
      <c r="L532" s="330"/>
      <c r="M532" s="206"/>
      <c r="N532" s="214"/>
      <c r="O532" s="206"/>
      <c r="P532" s="504"/>
      <c r="Q532" s="214"/>
      <c r="R532" s="214"/>
      <c r="S532" s="399"/>
      <c r="T532" s="222"/>
      <c r="U532" s="399"/>
      <c r="V532" s="399"/>
      <c r="W532" s="399"/>
    </row>
    <row r="533" spans="1:23">
      <c r="M533" s="214"/>
      <c r="N533" s="214"/>
      <c r="O533" s="214"/>
      <c r="P533" s="214"/>
      <c r="Q533" s="214"/>
      <c r="R533" s="214"/>
    </row>
    <row r="534" spans="1:23">
      <c r="N534" s="365"/>
      <c r="P534" s="267"/>
    </row>
    <row r="535" spans="1:23">
      <c r="A535" s="332"/>
      <c r="B535" s="333" t="s">
        <v>199</v>
      </c>
      <c r="C535" s="333"/>
      <c r="D535" s="332"/>
      <c r="E535" s="332"/>
      <c r="F535" s="332"/>
      <c r="G535" s="332"/>
      <c r="H535" s="332"/>
      <c r="I535" s="332"/>
      <c r="J535" s="332"/>
      <c r="K535" s="332"/>
      <c r="L535" s="334">
        <f>SUM(L536:L556)</f>
        <v>12251.683975875736</v>
      </c>
    </row>
    <row r="536" spans="1:23">
      <c r="C536" s="328"/>
      <c r="D536" s="329" t="s">
        <v>115</v>
      </c>
      <c r="E536" s="328"/>
      <c r="F536" s="328"/>
      <c r="G536" s="328"/>
      <c r="H536" s="328"/>
      <c r="I536" s="328"/>
      <c r="J536" s="328"/>
      <c r="K536" s="328"/>
      <c r="L536" s="331">
        <f>L511</f>
        <v>1394.29130879185</v>
      </c>
      <c r="N536" s="365"/>
      <c r="P536" s="267"/>
    </row>
    <row r="537" spans="1:23">
      <c r="C537" s="328"/>
      <c r="D537" s="329" t="s">
        <v>112</v>
      </c>
      <c r="E537" s="328"/>
      <c r="F537" s="328"/>
      <c r="G537" s="328"/>
      <c r="H537" s="328"/>
      <c r="I537" s="328"/>
      <c r="J537" s="328"/>
      <c r="K537" s="328"/>
      <c r="L537" s="331">
        <f t="shared" ref="L537:L556" si="29">L512</f>
        <v>131.30293169499129</v>
      </c>
    </row>
    <row r="538" spans="1:23">
      <c r="C538" s="328"/>
      <c r="D538" s="329" t="s">
        <v>117</v>
      </c>
      <c r="E538" s="328"/>
      <c r="F538" s="328"/>
      <c r="G538" s="328"/>
      <c r="H538" s="328"/>
      <c r="I538" s="328"/>
      <c r="J538" s="328"/>
      <c r="K538" s="328"/>
      <c r="L538" s="331">
        <f t="shared" si="29"/>
        <v>3176.4250551856212</v>
      </c>
    </row>
    <row r="539" spans="1:23">
      <c r="C539" s="328"/>
      <c r="D539" s="329" t="s">
        <v>118</v>
      </c>
      <c r="E539" s="328"/>
      <c r="F539" s="328"/>
      <c r="G539" s="328"/>
      <c r="H539" s="328"/>
      <c r="I539" s="328"/>
      <c r="J539" s="328"/>
      <c r="K539" s="328"/>
      <c r="L539" s="331">
        <f>L514+L524</f>
        <v>3483.2919442629805</v>
      </c>
    </row>
    <row r="540" spans="1:23">
      <c r="C540" s="328"/>
      <c r="D540" s="329" t="s">
        <v>119</v>
      </c>
      <c r="E540" s="328"/>
      <c r="F540" s="328"/>
      <c r="G540" s="328"/>
      <c r="H540" s="328"/>
      <c r="I540" s="328"/>
      <c r="J540" s="328"/>
      <c r="K540" s="328"/>
      <c r="L540" s="331">
        <f t="shared" si="29"/>
        <v>690.37459553116366</v>
      </c>
    </row>
    <row r="541" spans="1:23">
      <c r="C541" s="328"/>
      <c r="D541" s="329" t="s">
        <v>120</v>
      </c>
      <c r="E541" s="328"/>
      <c r="F541" s="328"/>
      <c r="G541" s="328"/>
      <c r="H541" s="328"/>
      <c r="I541" s="328"/>
      <c r="J541" s="328"/>
      <c r="K541" s="328"/>
      <c r="L541" s="331">
        <f t="shared" si="29"/>
        <v>1604.0144280526883</v>
      </c>
    </row>
    <row r="542" spans="1:23">
      <c r="C542" s="328"/>
      <c r="D542" s="329" t="s">
        <v>121</v>
      </c>
      <c r="E542" s="328"/>
      <c r="F542" s="328"/>
      <c r="G542" s="328"/>
      <c r="H542" s="328"/>
      <c r="I542" s="328"/>
      <c r="J542" s="328"/>
      <c r="K542" s="328"/>
      <c r="L542" s="331">
        <f t="shared" si="29"/>
        <v>37.774586420488376</v>
      </c>
    </row>
    <row r="543" spans="1:23">
      <c r="C543" s="328"/>
      <c r="D543" s="329" t="s">
        <v>122</v>
      </c>
      <c r="E543" s="328"/>
      <c r="F543" s="328"/>
      <c r="G543" s="328"/>
      <c r="H543" s="328"/>
      <c r="I543" s="328"/>
      <c r="J543" s="328"/>
      <c r="K543" s="328"/>
      <c r="L543" s="331">
        <f t="shared" si="29"/>
        <v>0</v>
      </c>
    </row>
    <row r="544" spans="1:23">
      <c r="C544" s="328"/>
      <c r="D544" s="329" t="s">
        <v>116</v>
      </c>
      <c r="E544" s="328"/>
      <c r="F544" s="328"/>
      <c r="G544" s="328"/>
      <c r="H544" s="328"/>
      <c r="I544" s="328"/>
      <c r="J544" s="328"/>
      <c r="K544" s="328"/>
      <c r="L544" s="331">
        <f t="shared" si="29"/>
        <v>13.996097547074466</v>
      </c>
    </row>
    <row r="545" spans="3:12">
      <c r="C545" s="328"/>
      <c r="D545" s="329" t="s">
        <v>123</v>
      </c>
      <c r="E545" s="328"/>
      <c r="F545" s="328"/>
      <c r="G545" s="328"/>
      <c r="H545" s="328"/>
      <c r="I545" s="328"/>
      <c r="J545" s="328"/>
      <c r="K545" s="328"/>
      <c r="L545" s="331">
        <f t="shared" si="29"/>
        <v>80.756354356741085</v>
      </c>
    </row>
    <row r="546" spans="3:12">
      <c r="C546" s="328"/>
      <c r="D546" s="329" t="s">
        <v>113</v>
      </c>
      <c r="E546" s="328"/>
      <c r="F546" s="328"/>
      <c r="G546" s="328"/>
      <c r="H546" s="328"/>
      <c r="I546" s="328"/>
      <c r="J546" s="328"/>
      <c r="K546" s="328"/>
      <c r="L546" s="331">
        <f t="shared" si="29"/>
        <v>209.19746549808724</v>
      </c>
    </row>
    <row r="547" spans="3:12">
      <c r="C547" s="328"/>
      <c r="D547" s="329" t="s">
        <v>114</v>
      </c>
      <c r="E547" s="328"/>
      <c r="F547" s="328"/>
      <c r="G547" s="328"/>
      <c r="H547" s="328"/>
      <c r="I547" s="328"/>
      <c r="J547" s="328"/>
      <c r="K547" s="328"/>
      <c r="L547" s="331">
        <f t="shared" si="29"/>
        <v>57.411430576440907</v>
      </c>
    </row>
    <row r="548" spans="3:12">
      <c r="C548" s="328"/>
      <c r="D548" s="329" t="s">
        <v>124</v>
      </c>
      <c r="E548" s="328"/>
      <c r="F548" s="328"/>
      <c r="G548" s="328"/>
      <c r="H548" s="328"/>
      <c r="I548" s="328"/>
      <c r="J548" s="328"/>
      <c r="K548" s="328"/>
      <c r="L548" s="331">
        <f t="shared" si="29"/>
        <v>753.43446536062095</v>
      </c>
    </row>
    <row r="549" spans="3:12">
      <c r="C549" s="328"/>
      <c r="D549" s="329" t="s">
        <v>125</v>
      </c>
      <c r="E549" s="328"/>
      <c r="F549" s="328"/>
      <c r="G549" s="328"/>
      <c r="H549" s="328"/>
      <c r="I549" s="328"/>
      <c r="J549" s="328"/>
      <c r="K549" s="328"/>
      <c r="L549" s="331">
        <v>0</v>
      </c>
    </row>
    <row r="550" spans="3:12">
      <c r="C550" s="328"/>
      <c r="D550" s="329" t="s">
        <v>126</v>
      </c>
      <c r="E550" s="328"/>
      <c r="F550" s="328"/>
      <c r="G550" s="328"/>
      <c r="H550" s="328"/>
      <c r="I550" s="328"/>
      <c r="J550" s="328"/>
      <c r="K550" s="328"/>
      <c r="L550" s="331">
        <f t="shared" si="29"/>
        <v>46.25374941056063</v>
      </c>
    </row>
    <row r="551" spans="3:12">
      <c r="C551" s="328"/>
      <c r="D551" s="329" t="s">
        <v>127</v>
      </c>
      <c r="E551" s="328"/>
      <c r="F551" s="328"/>
      <c r="G551" s="328"/>
      <c r="H551" s="328"/>
      <c r="I551" s="328"/>
      <c r="J551" s="328"/>
      <c r="K551" s="328"/>
      <c r="L551" s="331">
        <f t="shared" si="29"/>
        <v>12.323894680672939</v>
      </c>
    </row>
    <row r="552" spans="3:12">
      <c r="C552" s="328"/>
      <c r="D552" s="329" t="s">
        <v>128</v>
      </c>
      <c r="E552" s="328"/>
      <c r="F552" s="328"/>
      <c r="G552" s="328"/>
      <c r="H552" s="328"/>
      <c r="I552" s="328"/>
      <c r="J552" s="328"/>
      <c r="K552" s="328"/>
      <c r="L552" s="331">
        <f t="shared" si="29"/>
        <v>71.781712892449363</v>
      </c>
    </row>
    <row r="553" spans="3:12">
      <c r="C553" s="328"/>
      <c r="D553" s="329" t="s">
        <v>129</v>
      </c>
      <c r="E553" s="328"/>
      <c r="F553" s="328"/>
      <c r="G553" s="328"/>
      <c r="H553" s="328"/>
      <c r="I553" s="328"/>
      <c r="J553" s="328"/>
      <c r="K553" s="328"/>
      <c r="L553" s="331">
        <f t="shared" si="29"/>
        <v>113.14559326815777</v>
      </c>
    </row>
    <row r="554" spans="3:12">
      <c r="C554" s="328"/>
      <c r="D554" s="329" t="s">
        <v>130</v>
      </c>
      <c r="E554" s="328"/>
      <c r="F554" s="328"/>
      <c r="G554" s="328"/>
      <c r="H554" s="328"/>
      <c r="I554" s="328"/>
      <c r="J554" s="328"/>
      <c r="K554" s="328"/>
      <c r="L554" s="331">
        <f t="shared" si="29"/>
        <v>117.31549227714996</v>
      </c>
    </row>
    <row r="555" spans="3:12">
      <c r="C555" s="328"/>
      <c r="D555" s="329" t="s">
        <v>131</v>
      </c>
      <c r="E555" s="328"/>
      <c r="F555" s="328"/>
      <c r="G555" s="328"/>
      <c r="H555" s="328"/>
      <c r="I555" s="328"/>
      <c r="J555" s="328"/>
      <c r="K555" s="328"/>
      <c r="L555" s="331">
        <f t="shared" si="29"/>
        <v>231.75769212830264</v>
      </c>
    </row>
    <row r="556" spans="3:12">
      <c r="C556" s="328"/>
      <c r="D556" s="329" t="s">
        <v>139</v>
      </c>
      <c r="E556" s="328"/>
      <c r="F556" s="328"/>
      <c r="G556" s="328"/>
      <c r="H556" s="328"/>
      <c r="I556" s="328"/>
      <c r="J556" s="328"/>
      <c r="K556" s="328"/>
      <c r="L556" s="331">
        <f t="shared" si="29"/>
        <v>26.835177939693885</v>
      </c>
    </row>
    <row r="557" spans="3:12">
      <c r="C557" s="328"/>
      <c r="D557" s="329"/>
      <c r="E557" s="328"/>
      <c r="F557" s="328"/>
      <c r="G557" s="328"/>
      <c r="H557" s="328"/>
      <c r="I557" s="328"/>
      <c r="J557" s="328"/>
      <c r="K557" s="328"/>
      <c r="L557" s="330"/>
    </row>
    <row r="558" spans="3:12">
      <c r="L558" s="385">
        <f>L535-L510</f>
        <v>0</v>
      </c>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513"/>
  <sheetViews>
    <sheetView zoomScale="85" zoomScaleNormal="85" workbookViewId="0"/>
  </sheetViews>
  <sheetFormatPr defaultRowHeight="12.75" outlineLevelRow="1"/>
  <cols>
    <col min="1" max="1" width="4.140625" customWidth="1"/>
    <col min="2" max="2" width="25.42578125" customWidth="1"/>
    <col min="3" max="3" width="42.5703125" customWidth="1"/>
    <col min="4" max="4" width="5.42578125" customWidth="1"/>
    <col min="5" max="7" width="21.28515625" style="267" customWidth="1"/>
    <col min="8" max="8" width="13.85546875" style="268" customWidth="1"/>
    <col min="9" max="9" width="8.5703125" style="269" bestFit="1" customWidth="1"/>
    <col min="10" max="10" width="10.7109375" style="263" customWidth="1"/>
    <col min="11" max="11" width="16.140625" style="269" customWidth="1"/>
    <col min="12" max="12" width="24.5703125" style="263" customWidth="1"/>
    <col min="13" max="13" width="9.28515625" style="262" bestFit="1" customWidth="1"/>
    <col min="14" max="14" width="9.140625" style="298" customWidth="1"/>
    <col min="15" max="16" width="9.5703125" style="298" customWidth="1"/>
    <col min="17" max="17" width="11.5703125" style="298" customWidth="1"/>
    <col min="18" max="20" width="9.140625" customWidth="1"/>
  </cols>
  <sheetData>
    <row r="1" spans="1:28">
      <c r="A1" s="44"/>
      <c r="B1" s="44"/>
      <c r="C1" s="44"/>
      <c r="D1" s="44"/>
      <c r="E1" s="44"/>
      <c r="F1" s="44"/>
      <c r="G1" s="44"/>
      <c r="H1" s="44"/>
      <c r="I1" s="44"/>
      <c r="J1" s="44"/>
      <c r="K1" s="300"/>
      <c r="L1" s="300"/>
      <c r="M1" s="44"/>
      <c r="N1" s="294"/>
      <c r="O1" s="294"/>
      <c r="P1" s="294"/>
      <c r="Q1" s="294"/>
      <c r="R1" s="44"/>
      <c r="S1" s="44"/>
      <c r="T1" s="44"/>
      <c r="U1" s="44"/>
      <c r="V1" s="44"/>
      <c r="W1" s="44"/>
      <c r="X1" s="44"/>
      <c r="Y1" s="44"/>
      <c r="Z1" s="44"/>
      <c r="AA1" s="44"/>
      <c r="AB1" s="44"/>
    </row>
    <row r="2" spans="1:28" ht="15.75">
      <c r="A2" s="44"/>
      <c r="B2" s="55" t="s">
        <v>149</v>
      </c>
      <c r="C2" s="44"/>
      <c r="D2" s="44"/>
      <c r="E2" s="44"/>
      <c r="F2" s="44"/>
      <c r="G2" s="44"/>
      <c r="H2" s="44"/>
      <c r="I2" s="44"/>
      <c r="J2" s="44"/>
      <c r="K2" s="44"/>
      <c r="L2" s="300"/>
      <c r="M2" s="44"/>
      <c r="N2" s="294"/>
      <c r="O2" s="294"/>
      <c r="P2" s="294"/>
      <c r="Q2" s="294"/>
      <c r="R2" s="44"/>
      <c r="S2" s="44"/>
      <c r="T2" s="44"/>
      <c r="U2" s="44"/>
      <c r="V2" s="44"/>
      <c r="W2" s="44"/>
      <c r="X2" s="44"/>
      <c r="Y2" s="44"/>
      <c r="Z2" s="44"/>
      <c r="AA2" s="44"/>
      <c r="AB2" s="44"/>
    </row>
    <row r="3" spans="1:28">
      <c r="A3" s="44"/>
      <c r="B3" s="44"/>
      <c r="C3" s="44"/>
      <c r="D3" s="44"/>
      <c r="E3" s="44"/>
      <c r="F3" s="44"/>
      <c r="G3" s="44"/>
      <c r="H3" s="44"/>
      <c r="I3" s="44"/>
      <c r="J3" s="44"/>
      <c r="K3" s="44"/>
      <c r="L3" s="44"/>
      <c r="M3" s="44"/>
      <c r="N3" s="294"/>
      <c r="O3" s="294"/>
      <c r="P3" s="294"/>
      <c r="Q3" s="294"/>
      <c r="R3" s="44"/>
      <c r="S3" s="44"/>
      <c r="T3" s="44"/>
      <c r="U3" s="44"/>
      <c r="V3" s="44"/>
      <c r="W3" s="44"/>
      <c r="X3" s="44"/>
      <c r="Y3" s="44"/>
      <c r="Z3" s="44"/>
      <c r="AA3" s="44"/>
      <c r="AB3" s="44"/>
    </row>
    <row r="4" spans="1:28" ht="16.5" customHeight="1">
      <c r="A4" s="80"/>
      <c r="B4" s="81"/>
      <c r="C4" s="80"/>
      <c r="D4" s="80"/>
      <c r="E4" s="80"/>
      <c r="F4" s="80"/>
      <c r="G4" s="80"/>
      <c r="H4" s="144"/>
      <c r="I4" s="144"/>
      <c r="J4" s="144"/>
      <c r="K4" s="144"/>
      <c r="L4" s="144"/>
      <c r="M4" s="144"/>
      <c r="N4" s="295"/>
      <c r="O4" s="295"/>
      <c r="P4" s="295"/>
      <c r="Q4" s="295"/>
      <c r="R4" s="144"/>
      <c r="S4" s="144"/>
      <c r="T4" s="144"/>
      <c r="U4" s="44"/>
      <c r="V4" s="44"/>
      <c r="W4" s="44"/>
      <c r="X4" s="44"/>
      <c r="Y4" s="44"/>
      <c r="Z4" s="44"/>
      <c r="AA4" s="44"/>
      <c r="AB4" s="44"/>
    </row>
    <row r="5" spans="1:28">
      <c r="A5" s="72"/>
      <c r="B5" s="79" t="s">
        <v>132</v>
      </c>
      <c r="C5" s="72"/>
      <c r="D5" s="72"/>
      <c r="E5" s="251" t="s">
        <v>138</v>
      </c>
      <c r="F5" s="251" t="s">
        <v>136</v>
      </c>
      <c r="G5" s="251" t="s">
        <v>133</v>
      </c>
      <c r="H5" s="252"/>
      <c r="I5" s="251"/>
      <c r="J5" s="251"/>
      <c r="K5" s="251"/>
      <c r="L5" s="251"/>
      <c r="M5" s="72"/>
      <c r="N5" s="296"/>
      <c r="O5" s="296"/>
      <c r="P5" s="296"/>
      <c r="Q5" s="296"/>
      <c r="R5" s="72"/>
      <c r="S5" s="72"/>
      <c r="T5" s="72"/>
      <c r="U5" s="44"/>
      <c r="V5" s="44"/>
      <c r="W5" s="44"/>
      <c r="X5" s="44"/>
      <c r="Y5" s="44"/>
      <c r="Z5" s="44"/>
      <c r="AA5" s="44"/>
      <c r="AB5" s="44"/>
    </row>
    <row r="6" spans="1:28" s="185" customFormat="1" ht="12.75" customHeight="1">
      <c r="A6" s="11"/>
      <c r="B6" s="11"/>
      <c r="C6" s="11"/>
      <c r="D6" s="253"/>
      <c r="E6" s="254" t="s">
        <v>134</v>
      </c>
      <c r="F6" s="254" t="s">
        <v>134</v>
      </c>
      <c r="G6" s="254" t="s">
        <v>135</v>
      </c>
      <c r="H6" s="11"/>
      <c r="I6" s="44"/>
      <c r="J6" s="44"/>
      <c r="K6" s="44"/>
      <c r="L6" s="44"/>
      <c r="M6" s="44"/>
      <c r="N6" s="44"/>
      <c r="O6" s="44"/>
      <c r="P6" s="44"/>
      <c r="Q6" s="44"/>
      <c r="R6" s="44"/>
      <c r="S6" s="44"/>
      <c r="T6" s="44"/>
      <c r="U6" s="44"/>
      <c r="V6" s="44"/>
      <c r="W6" s="44"/>
      <c r="X6" s="44"/>
      <c r="Y6" s="44"/>
      <c r="Z6" s="44"/>
      <c r="AA6" s="44"/>
      <c r="AB6" s="44"/>
    </row>
    <row r="7" spans="1:28" s="185" customFormat="1" hidden="1" outlineLevel="1">
      <c r="A7" s="11"/>
      <c r="B7" s="255" t="str">
        <f>Asset1</f>
        <v>Sub-transmission lines and cables</v>
      </c>
      <c r="C7" s="11"/>
      <c r="D7" s="11"/>
      <c r="E7" s="254"/>
      <c r="F7" s="254"/>
      <c r="G7" s="254"/>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483" t="s">
        <v>28</v>
      </c>
      <c r="D8" s="484"/>
      <c r="E8" s="299">
        <f t="shared" ref="E8:E13" si="0">Q8</f>
        <v>0</v>
      </c>
      <c r="F8" s="270">
        <f ca="1">A1value-SUM('Actual RAB roll forward'!H44:OFFSET('Actual RAB roll forward'!H44,0,Input!$W$7-1))</f>
        <v>515.38278518451511</v>
      </c>
      <c r="G8" s="270">
        <f>IF(A1remlife="N/A","n/a",A1remlife-Input!$W$7)</f>
        <v>22.819250955324598</v>
      </c>
      <c r="H8" s="257"/>
      <c r="I8" s="44"/>
      <c r="J8" s="44"/>
      <c r="K8" s="44"/>
      <c r="L8" s="44"/>
      <c r="M8" s="44"/>
      <c r="N8" s="44"/>
      <c r="O8" s="44"/>
      <c r="P8" s="44"/>
      <c r="Q8" s="44"/>
      <c r="R8" s="44"/>
      <c r="S8" s="44"/>
      <c r="T8" s="44"/>
      <c r="U8" s="44"/>
      <c r="V8" s="44"/>
      <c r="W8" s="44"/>
      <c r="X8" s="44"/>
      <c r="Y8" s="44"/>
      <c r="Z8" s="44"/>
      <c r="AA8" s="44"/>
      <c r="AB8" s="44"/>
    </row>
    <row r="9" spans="1:28" hidden="1" outlineLevel="1">
      <c r="A9" s="9"/>
      <c r="B9" s="9"/>
      <c r="C9" s="485" t="s">
        <v>83</v>
      </c>
      <c r="D9" s="85">
        <v>1</v>
      </c>
      <c r="E9" s="299">
        <f t="shared" si="0"/>
        <v>0</v>
      </c>
      <c r="F9" s="270">
        <f ca="1">OFFSET('Actual RAB roll forward'!H$12,0,D9-1)-SUM('Actual RAB roll forward'!H46:OFFSET('Actual RAB roll forward'!H46,0,Input!$W$7-1))</f>
        <v>103.55540341874654</v>
      </c>
      <c r="G9" s="270">
        <f ca="1">IF(A1stdlife="N/A","n/a",IF(F9=0,0,A1stdlife+D9-Input!$W$7))</f>
        <v>42.298951338166589</v>
      </c>
      <c r="H9" s="257"/>
      <c r="I9" s="44"/>
      <c r="J9" s="44"/>
      <c r="K9" s="44"/>
      <c r="L9" s="44"/>
      <c r="M9" s="44"/>
      <c r="N9" s="44"/>
      <c r="O9" s="44"/>
      <c r="P9" s="44"/>
      <c r="Q9" s="44"/>
      <c r="R9" s="44"/>
      <c r="S9" s="44"/>
      <c r="T9" s="44"/>
      <c r="U9" s="44"/>
      <c r="V9" s="44"/>
      <c r="W9" s="44"/>
      <c r="X9" s="44"/>
      <c r="Y9" s="44"/>
      <c r="Z9" s="44"/>
      <c r="AA9" s="44"/>
      <c r="AB9" s="44"/>
    </row>
    <row r="10" spans="1:28" hidden="1" outlineLevel="1">
      <c r="A10" s="9"/>
      <c r="B10" s="9"/>
      <c r="C10" s="486"/>
      <c r="D10" s="85">
        <v>2</v>
      </c>
      <c r="E10" s="299">
        <f t="shared" si="0"/>
        <v>0</v>
      </c>
      <c r="F10" s="270">
        <f ca="1">OFFSET('Actual RAB roll forward'!H$12,0,D10-1)-SUM('Actual RAB roll forward'!H47:OFFSET('Actual RAB roll forward'!H47,0,Input!$W$7-1))</f>
        <v>109.29630955234914</v>
      </c>
      <c r="G10" s="270">
        <f ca="1">IF(A1stdlife="N/A","n/a",IF(F10=0,0,A1stdlife+D10-Input!$W$7))</f>
        <v>43.298951338166589</v>
      </c>
      <c r="H10" s="257"/>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486"/>
      <c r="D11" s="85">
        <v>3</v>
      </c>
      <c r="E11" s="299">
        <f t="shared" si="0"/>
        <v>0</v>
      </c>
      <c r="F11" s="270">
        <f ca="1">OFFSET('Actual RAB roll forward'!H$12,0,D11-1)-SUM('Actual RAB roll forward'!H48:OFFSET('Actual RAB roll forward'!H48,0,Input!$W$7-1))</f>
        <v>115.97322076332721</v>
      </c>
      <c r="G11" s="270">
        <f ca="1">IF(A1stdlife="N/A","n/a",IF(F11=0,0,A1stdlife+D11-Input!$W$7))</f>
        <v>44.298951338166589</v>
      </c>
      <c r="H11" s="257"/>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486"/>
      <c r="D12" s="85">
        <v>4</v>
      </c>
      <c r="E12" s="299">
        <f t="shared" si="0"/>
        <v>0</v>
      </c>
      <c r="F12" s="270">
        <f ca="1">OFFSET('Actual RAB roll forward'!H$12,0,D12-1)-SUM('Actual RAB roll forward'!H49:OFFSET('Actual RAB roll forward'!H49,0,Input!$W$7-1))</f>
        <v>87.050709765505047</v>
      </c>
      <c r="G12" s="270">
        <f ca="1">IF(A1stdlife="N/A","n/a",IF(F12=0,0,A1stdlife+D12-Input!$W$7))</f>
        <v>45.298951338166589</v>
      </c>
      <c r="H12" s="257"/>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486"/>
      <c r="D13" s="85">
        <v>5</v>
      </c>
      <c r="E13" s="299">
        <f t="shared" si="0"/>
        <v>0</v>
      </c>
      <c r="F13" s="270">
        <f ca="1">OFFSET('Actual RAB roll forward'!H$12,0,D13-1)-SUM('Actual RAB roll forward'!H50:OFFSET('Actual RAB roll forward'!H50,0,Input!$W$7-1))</f>
        <v>49.174797708133234</v>
      </c>
      <c r="G13" s="270">
        <f ca="1">IF(A1stdlife="N/A","n/a",IF(F13=0,0,A1stdlife+D13-Input!$W$7))</f>
        <v>46.298951338166589</v>
      </c>
      <c r="H13" s="257"/>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486"/>
      <c r="D14" s="85">
        <v>6</v>
      </c>
      <c r="E14" s="299"/>
      <c r="F14" s="270">
        <f ca="1">OFFSET('Actual RAB roll forward'!H$12,0,D14-1)-SUM('Actual RAB roll forward'!H51:OFFSET('Actual RAB roll forward'!H51,0,Input!$W$7-1))</f>
        <v>0</v>
      </c>
      <c r="G14" s="270">
        <f ca="1">IF(A1stdlife="N/A","n/a",IF(F14=0,0,A1stdlife+D14-Input!$W$7))</f>
        <v>0</v>
      </c>
      <c r="H14" s="257"/>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486"/>
      <c r="D15" s="85">
        <v>7</v>
      </c>
      <c r="E15" s="299"/>
      <c r="F15" s="270">
        <f ca="1">OFFSET('Actual RAB roll forward'!H$12,0,D15-1)-SUM('Actual RAB roll forward'!H52:OFFSET('Actual RAB roll forward'!H52,0,Input!$W$7-1))</f>
        <v>0</v>
      </c>
      <c r="G15" s="270">
        <f ca="1">IF(A1stdlife="N/A","n/a",IF(F15=0,0,A1stdlife+D15-Input!$W$7))</f>
        <v>0</v>
      </c>
      <c r="H15" s="257"/>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486"/>
      <c r="D16" s="85">
        <v>8</v>
      </c>
      <c r="E16" s="299"/>
      <c r="F16" s="270">
        <f ca="1">OFFSET('Actual RAB roll forward'!H$12,0,D16-1)-SUM('Actual RAB roll forward'!H53:OFFSET('Actual RAB roll forward'!H53,0,Input!$W$7-1))</f>
        <v>0</v>
      </c>
      <c r="G16" s="270">
        <f ca="1">IF(A1stdlife="N/A","n/a",IF(F16=0,0,A1stdlife+D16-Input!$W$7))</f>
        <v>0</v>
      </c>
      <c r="H16" s="257"/>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486"/>
      <c r="D17" s="85">
        <v>9</v>
      </c>
      <c r="E17" s="299"/>
      <c r="F17" s="270">
        <f ca="1">OFFSET('Actual RAB roll forward'!H$12,0,D17-1)-SUM('Actual RAB roll forward'!H54:OFFSET('Actual RAB roll forward'!H54,0,Input!$W$7-1))</f>
        <v>0</v>
      </c>
      <c r="G17" s="270">
        <f ca="1">IF(A1stdlife="N/A","n/a",IF(F17=0,0,A1stdlife+D17-Input!$W$7))</f>
        <v>0</v>
      </c>
      <c r="H17" s="257"/>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487"/>
      <c r="D18" s="86">
        <v>10</v>
      </c>
      <c r="E18" s="299"/>
      <c r="F18" s="270">
        <f ca="1">OFFSET('Actual RAB roll forward'!H$12,0,D18-1)-SUM('Actual RAB roll forward'!H55:OFFSET('Actual RAB roll forward'!H55,0,Input!$W$7-1))</f>
        <v>0</v>
      </c>
      <c r="G18" s="270">
        <f ca="1">IF(A1stdlife="N/A","n/a",IF(F18=0,0,A1stdlife+D18-Input!$W$7))</f>
        <v>0</v>
      </c>
      <c r="H18" s="257"/>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9" t="str">
        <f>B7</f>
        <v>Sub-transmission lines and cables</v>
      </c>
      <c r="D19" s="9"/>
      <c r="E19" s="299">
        <f>SUM(E8:E18)</f>
        <v>0</v>
      </c>
      <c r="F19" s="320">
        <f ca="1">SUM(F8:F18)</f>
        <v>980.43322639257633</v>
      </c>
      <c r="G19" s="320">
        <f ca="1">IF(F19=0,0,SUMPRODUCT(F8:F18,G8:G18)/F19)</f>
        <v>32.874129822620603</v>
      </c>
      <c r="H19" s="257"/>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58"/>
      <c r="C20" s="109"/>
      <c r="D20" s="9"/>
      <c r="E20" s="256"/>
      <c r="F20" s="320"/>
      <c r="G20" s="320"/>
      <c r="H20" s="257"/>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5" t="str">
        <f>Asset2</f>
        <v>Cable tunnel (dx)</v>
      </c>
      <c r="C21" s="259"/>
      <c r="D21" s="260"/>
      <c r="E21" s="261"/>
      <c r="F21" s="321"/>
      <c r="G21" s="320"/>
      <c r="H21" s="257"/>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1"/>
      <c r="C22" s="483" t="s">
        <v>28</v>
      </c>
      <c r="D22" s="484"/>
      <c r="E22" s="299">
        <f t="shared" ref="E22:E27" si="1">Q22</f>
        <v>0</v>
      </c>
      <c r="F22" s="320">
        <f ca="1">A2value-SUM('Actual RAB roll forward'!H57:OFFSET('Actual RAB roll forward'!H57,0,Input!$W$7-1))</f>
        <v>62.756037727135165</v>
      </c>
      <c r="G22" s="320">
        <f>IF(A2remlife="N/A","n/a",A2remlife-Input!$W$7)</f>
        <v>64.460592106097153</v>
      </c>
      <c r="H22" s="257"/>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485" t="s">
        <v>83</v>
      </c>
      <c r="D23" s="85">
        <v>1</v>
      </c>
      <c r="E23" s="299">
        <f t="shared" si="1"/>
        <v>0</v>
      </c>
      <c r="F23" s="320">
        <f ca="1">OFFSET('Actual RAB roll forward'!H$13,0,D23-1)-SUM('Actual RAB roll forward'!H59:OFFSET('Actual RAB roll forward'!H59,0,Input!$W$7-1))</f>
        <v>0.98134821461091126</v>
      </c>
      <c r="G23" s="320">
        <f ca="1">IF(A2stdlife="N/A","n/a",IF(F23=0,0,A2stdlife+D23-Input!$W$7))</f>
        <v>66</v>
      </c>
      <c r="H23" s="257"/>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486"/>
      <c r="D24" s="85">
        <v>2</v>
      </c>
      <c r="E24" s="299">
        <f t="shared" si="1"/>
        <v>0</v>
      </c>
      <c r="F24" s="320">
        <f ca="1">OFFSET('Actual RAB roll forward'!H$13,0,D24-1)-SUM('Actual RAB roll forward'!H60:OFFSET('Actual RAB roll forward'!H60,0,Input!$W$7-1))</f>
        <v>0.22558836772009627</v>
      </c>
      <c r="G24" s="320">
        <f ca="1">IF(A2stdlife="N/A","n/a",IF(F24=0,0,A2stdlife+D24-Input!$W$7))</f>
        <v>67</v>
      </c>
      <c r="H24" s="257"/>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486"/>
      <c r="D25" s="85">
        <v>3</v>
      </c>
      <c r="E25" s="299">
        <f t="shared" si="1"/>
        <v>0</v>
      </c>
      <c r="F25" s="320">
        <f ca="1">OFFSET('Actual RAB roll forward'!H$13,0,D25-1)-SUM('Actual RAB roll forward'!H61:OFFSET('Actual RAB roll forward'!H61,0,Input!$W$7-1))</f>
        <v>3.7281567743969436E-2</v>
      </c>
      <c r="G25" s="320">
        <f ca="1">IF(A2stdlife="N/A","n/a",IF(F25=0,0,A2stdlife+D25-Input!$W$7))</f>
        <v>68</v>
      </c>
      <c r="H25" s="257"/>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486"/>
      <c r="D26" s="85">
        <v>4</v>
      </c>
      <c r="E26" s="299">
        <f t="shared" si="1"/>
        <v>0</v>
      </c>
      <c r="F26" s="320">
        <f ca="1">OFFSET('Actual RAB roll forward'!H$13,0,D26-1)-SUM('Actual RAB roll forward'!H62:OFFSET('Actual RAB roll forward'!H62,0,Input!$W$7-1))</f>
        <v>51.908761869236947</v>
      </c>
      <c r="G26" s="320">
        <f ca="1">IF(A2stdlife="N/A","n/a",IF(F26=0,0,A2stdlife+D26-Input!$W$7))</f>
        <v>69</v>
      </c>
      <c r="H26" s="257"/>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486"/>
      <c r="D27" s="85">
        <v>5</v>
      </c>
      <c r="E27" s="299">
        <f t="shared" si="1"/>
        <v>0</v>
      </c>
      <c r="F27" s="320">
        <f ca="1">OFFSET('Actual RAB roll forward'!H$13,0,D27-1)-SUM('Actual RAB roll forward'!H63:OFFSET('Actual RAB roll forward'!H63,0,Input!$W$7-1))</f>
        <v>40.60805514259858</v>
      </c>
      <c r="G27" s="320">
        <f ca="1">IF(A2stdlife="N/A","n/a",IF(F27=0,0,A2stdlife+D27-Input!$W$7))</f>
        <v>70</v>
      </c>
      <c r="H27" s="257"/>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486"/>
      <c r="D28" s="85">
        <v>6</v>
      </c>
      <c r="E28" s="299"/>
      <c r="F28" s="320">
        <f ca="1">OFFSET('Actual RAB roll forward'!H$13,0,D28-1)-SUM('Actual RAB roll forward'!H64:OFFSET('Actual RAB roll forward'!H64,0,Input!$W$7-1))</f>
        <v>0</v>
      </c>
      <c r="G28" s="320">
        <f ca="1">IF(A2stdlife="N/A","n/a",IF(F28=0,0,A2stdlife+D28-Input!$W$7))</f>
        <v>0</v>
      </c>
      <c r="H28" s="257"/>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486"/>
      <c r="D29" s="85">
        <v>7</v>
      </c>
      <c r="E29" s="299"/>
      <c r="F29" s="320">
        <f ca="1">OFFSET('Actual RAB roll forward'!H$13,0,D29-1)-SUM('Actual RAB roll forward'!H65:OFFSET('Actual RAB roll forward'!H65,0,Input!$W$7-1))</f>
        <v>0</v>
      </c>
      <c r="G29" s="320">
        <f ca="1">IF(A2stdlife="N/A","n/a",IF(F29=0,0,A2stdlife+D29-Input!$W$7))</f>
        <v>0</v>
      </c>
      <c r="H29" s="257"/>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486"/>
      <c r="D30" s="85">
        <v>8</v>
      </c>
      <c r="E30" s="299"/>
      <c r="F30" s="320">
        <f ca="1">OFFSET('Actual RAB roll forward'!H$13,0,D30-1)-SUM('Actual RAB roll forward'!H66:OFFSET('Actual RAB roll forward'!H66,0,Input!$W$7-1))</f>
        <v>0</v>
      </c>
      <c r="G30" s="320">
        <f ca="1">IF(A2stdlife="N/A","n/a",IF(F30=0,0,A2stdlife+D30-Input!$W$7))</f>
        <v>0</v>
      </c>
      <c r="H30" s="257"/>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486"/>
      <c r="D31" s="85">
        <v>9</v>
      </c>
      <c r="E31" s="299"/>
      <c r="F31" s="320">
        <f ca="1">OFFSET('Actual RAB roll forward'!H$13,0,D31-1)-SUM('Actual RAB roll forward'!H67:OFFSET('Actual RAB roll forward'!H67,0,Input!$W$7-1))</f>
        <v>0</v>
      </c>
      <c r="G31" s="320">
        <f ca="1">IF(A2stdlife="N/A","n/a",IF(F31=0,0,A2stdlife+D31-Input!$W$7))</f>
        <v>0</v>
      </c>
      <c r="H31" s="257"/>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487"/>
      <c r="D32" s="86">
        <v>10</v>
      </c>
      <c r="E32" s="299"/>
      <c r="F32" s="320">
        <f ca="1">OFFSET('Actual RAB roll forward'!H$13,0,D32-1)-SUM('Actual RAB roll forward'!H68:OFFSET('Actual RAB roll forward'!H68,0,Input!$W$7-1))</f>
        <v>0</v>
      </c>
      <c r="G32" s="320">
        <f ca="1">IF(A2stdlife="N/A","n/a",IF(F32=0,0,A2stdlife+D32-Input!$W$7))</f>
        <v>0</v>
      </c>
      <c r="H32" s="257"/>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9" t="str">
        <f>B21</f>
        <v>Cable tunnel (dx)</v>
      </c>
      <c r="D33" s="9"/>
      <c r="E33" s="299">
        <f>SUM(E22:E32)</f>
        <v>0</v>
      </c>
      <c r="F33" s="320">
        <f ca="1">SUM(F22:F32)</f>
        <v>156.51707288904566</v>
      </c>
      <c r="G33" s="320">
        <f ca="1">IF(F33=0,0,SUMPRODUCT(F22:F32,G22:G32)/F33)</f>
        <v>67.417426953616527</v>
      </c>
      <c r="H33" s="257"/>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9"/>
      <c r="D34" s="9"/>
      <c r="E34" s="256"/>
      <c r="F34" s="320"/>
      <c r="G34" s="320"/>
      <c r="H34" s="257"/>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5" t="str">
        <f>Asset3</f>
        <v>Distribution lines and cables</v>
      </c>
      <c r="C35" s="265"/>
      <c r="D35" s="11"/>
      <c r="E35" s="261"/>
      <c r="F35" s="321"/>
      <c r="G35" s="320"/>
      <c r="H35" s="257"/>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483" t="s">
        <v>28</v>
      </c>
      <c r="D36" s="484"/>
      <c r="E36" s="299">
        <f t="shared" ref="E36:E41" si="2">Q36</f>
        <v>0</v>
      </c>
      <c r="F36" s="320">
        <f ca="1">A3value-SUM('Actual RAB roll forward'!H70:OFFSET('Actual RAB roll forward'!H70,0,Input!$W$7-1))</f>
        <v>1708.8979687005917</v>
      </c>
      <c r="G36" s="320">
        <f>IF(A3remlife="N/A","n/a",A3remlife-Input!$W$7)</f>
        <v>40.907178407431708</v>
      </c>
      <c r="H36" s="257"/>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485" t="s">
        <v>83</v>
      </c>
      <c r="D37" s="85">
        <v>1</v>
      </c>
      <c r="E37" s="299">
        <f t="shared" si="2"/>
        <v>0</v>
      </c>
      <c r="F37" s="320">
        <f ca="1">OFFSET('Actual RAB roll forward'!H$14,0,D37-1)-SUM('Actual RAB roll forward'!H72:OFFSET('Actual RAB roll forward'!H72,0,Input!$W$7-1))</f>
        <v>162.82223047602932</v>
      </c>
      <c r="G37" s="320">
        <f ca="1">IF(A3stdlife="N/A","n/a",IF(F37=0,0,A3stdlife+D37-Input!$W$7))</f>
        <v>54.033383369141177</v>
      </c>
      <c r="H37" s="257"/>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486"/>
      <c r="D38" s="85">
        <v>2</v>
      </c>
      <c r="E38" s="299">
        <f t="shared" si="2"/>
        <v>0</v>
      </c>
      <c r="F38" s="320">
        <f ca="1">OFFSET('Actual RAB roll forward'!H$14,0,D38-1)-SUM('Actual RAB roll forward'!H73:OFFSET('Actual RAB roll forward'!H73,0,Input!$W$7-1))</f>
        <v>260.64327158990119</v>
      </c>
      <c r="G38" s="320">
        <f ca="1">IF(A3stdlife="N/A","n/a",IF(F38=0,0,A3stdlife+D38-Input!$W$7))</f>
        <v>55.033383369141177</v>
      </c>
      <c r="H38" s="257"/>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486"/>
      <c r="D39" s="85">
        <v>3</v>
      </c>
      <c r="E39" s="299">
        <f t="shared" si="2"/>
        <v>0</v>
      </c>
      <c r="F39" s="320">
        <f ca="1">OFFSET('Actual RAB roll forward'!H$14,0,D39-1)-SUM('Actual RAB roll forward'!H74:OFFSET('Actual RAB roll forward'!H74,0,Input!$W$7-1))</f>
        <v>277.60651825852329</v>
      </c>
      <c r="G39" s="320">
        <f ca="1">IF(A3stdlife="N/A","n/a",IF(F39=0,0,A3stdlife+D39-Input!$W$7))</f>
        <v>56.033383369141177</v>
      </c>
      <c r="H39" s="257"/>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486"/>
      <c r="D40" s="85">
        <v>4</v>
      </c>
      <c r="E40" s="299">
        <f t="shared" si="2"/>
        <v>0</v>
      </c>
      <c r="F40" s="320">
        <f ca="1">OFFSET('Actual RAB roll forward'!H$14,0,D40-1)-SUM('Actual RAB roll forward'!H75:OFFSET('Actual RAB roll forward'!H75,0,Input!$W$7-1))</f>
        <v>239.32291345429954</v>
      </c>
      <c r="G40" s="320">
        <f ca="1">IF(A3stdlife="N/A","n/a",IF(F40=0,0,A3stdlife+D40-Input!$W$7))</f>
        <v>57.033383369141177</v>
      </c>
      <c r="H40" s="257"/>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486"/>
      <c r="D41" s="85">
        <v>5</v>
      </c>
      <c r="E41" s="299">
        <f t="shared" si="2"/>
        <v>0</v>
      </c>
      <c r="F41" s="320">
        <f ca="1">OFFSET('Actual RAB roll forward'!H$14,0,D41-1)-SUM('Actual RAB roll forward'!H76:OFFSET('Actual RAB roll forward'!H76,0,Input!$W$7-1))</f>
        <v>160.3692685424862</v>
      </c>
      <c r="G41" s="320">
        <f ca="1">IF(A3stdlife="N/A","n/a",IF(F41=0,0,A3stdlife+D41-Input!$W$7))</f>
        <v>58.033383369141177</v>
      </c>
      <c r="H41" s="257"/>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486"/>
      <c r="D42" s="85">
        <v>6</v>
      </c>
      <c r="E42" s="299"/>
      <c r="F42" s="320">
        <f ca="1">OFFSET('Actual RAB roll forward'!H$14,0,D42-1)-SUM('Actual RAB roll forward'!H77:OFFSET('Actual RAB roll forward'!H77,0,Input!$W$7-1))</f>
        <v>0</v>
      </c>
      <c r="G42" s="320">
        <f ca="1">IF(A3stdlife="N/A","n/a",IF(F42=0,0,A3stdlife+D42-Input!$W$7))</f>
        <v>0</v>
      </c>
      <c r="H42" s="257"/>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486"/>
      <c r="D43" s="85">
        <v>7</v>
      </c>
      <c r="E43" s="299"/>
      <c r="F43" s="320">
        <f ca="1">OFFSET('Actual RAB roll forward'!H$14,0,D43-1)-SUM('Actual RAB roll forward'!H78:OFFSET('Actual RAB roll forward'!H78,0,Input!$W$7-1))</f>
        <v>0</v>
      </c>
      <c r="G43" s="320">
        <f ca="1">IF(A3stdlife="N/A","n/a",IF(F43=0,0,A3stdlife+D43-Input!$W$7))</f>
        <v>0</v>
      </c>
      <c r="H43" s="257"/>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486"/>
      <c r="D44" s="85">
        <v>8</v>
      </c>
      <c r="E44" s="299"/>
      <c r="F44" s="320">
        <f ca="1">OFFSET('Actual RAB roll forward'!H$14,0,D44-1)-SUM('Actual RAB roll forward'!H79:OFFSET('Actual RAB roll forward'!H79,0,Input!$W$7-1))</f>
        <v>0</v>
      </c>
      <c r="G44" s="320">
        <f ca="1">IF(A3stdlife="N/A","n/a",IF(F44=0,0,A3stdlife+D44-Input!$W$7))</f>
        <v>0</v>
      </c>
      <c r="H44" s="257"/>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486"/>
      <c r="D45" s="85">
        <v>9</v>
      </c>
      <c r="E45" s="299"/>
      <c r="F45" s="320">
        <f ca="1">OFFSET('Actual RAB roll forward'!H$14,0,D45-1)-SUM('Actual RAB roll forward'!H80:OFFSET('Actual RAB roll forward'!H80,0,Input!$W$7-1))</f>
        <v>0</v>
      </c>
      <c r="G45" s="320">
        <f ca="1">IF(A3stdlife="N/A","n/a",IF(F45=0,0,A3stdlife+D45-Input!$W$7))</f>
        <v>0</v>
      </c>
      <c r="H45" s="257"/>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487"/>
      <c r="D46" s="86">
        <v>10</v>
      </c>
      <c r="E46" s="299"/>
      <c r="F46" s="320">
        <f ca="1">OFFSET('Actual RAB roll forward'!H$14,0,D46-1)-SUM('Actual RAB roll forward'!H81:OFFSET('Actual RAB roll forward'!H81,0,Input!$W$7-1))</f>
        <v>0</v>
      </c>
      <c r="G46" s="320">
        <f ca="1">IF(A3stdlife="N/A","n/a",IF(F46=0,0,A3stdlife+D46-Input!$W$7))</f>
        <v>0</v>
      </c>
      <c r="H46" s="257"/>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9" t="str">
        <f>B35</f>
        <v>Distribution lines and cables</v>
      </c>
      <c r="D47" s="9"/>
      <c r="E47" s="299">
        <f>SUM(E36:E46)</f>
        <v>0</v>
      </c>
      <c r="F47" s="320">
        <f ca="1">SUM(F36:F46)</f>
        <v>2809.6621710218315</v>
      </c>
      <c r="G47" s="320">
        <f ca="1">IF(F47=0,0,SUMPRODUCT(F36:F46,G36:G46)/F47)</f>
        <v>46.823960442040182</v>
      </c>
      <c r="H47" s="257"/>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9"/>
      <c r="D48" s="9"/>
      <c r="E48" s="256"/>
      <c r="F48" s="320"/>
      <c r="G48" s="320"/>
      <c r="H48" s="257"/>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5" t="str">
        <f>Asset4</f>
        <v>Substations</v>
      </c>
      <c r="C49" s="9"/>
      <c r="D49" s="9"/>
      <c r="E49" s="256"/>
      <c r="F49" s="320"/>
      <c r="G49" s="320"/>
      <c r="H49" s="257"/>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488" t="s">
        <v>28</v>
      </c>
      <c r="D50" s="489"/>
      <c r="E50" s="299">
        <f t="shared" ref="E50:E55" si="3">Q50</f>
        <v>0</v>
      </c>
      <c r="F50" s="320">
        <f ca="1">A4value-SUM('Actual RAB roll forward'!H83:OFFSET('Actual RAB roll forward'!H83,0,Input!$W$7-1))</f>
        <v>1730.6366449845393</v>
      </c>
      <c r="G50" s="320">
        <f>IF(A4remlife="N/A","n/a",A4remlife-Input!$W$7)</f>
        <v>27.202785885745534</v>
      </c>
      <c r="H50" s="257"/>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485" t="s">
        <v>83</v>
      </c>
      <c r="D51" s="85">
        <v>1</v>
      </c>
      <c r="E51" s="299">
        <f t="shared" si="3"/>
        <v>0</v>
      </c>
      <c r="F51" s="320">
        <f ca="1">OFFSET('Actual RAB roll forward'!H$15,0,D51-1)-SUM('Actual RAB roll forward'!H85:OFFSET('Actual RAB roll forward'!H85,0,Input!$W$7-1))</f>
        <v>272.46779172410299</v>
      </c>
      <c r="G51" s="320">
        <f ca="1">IF(A4stdlife="N/A","n/a",IF(F51=0,0,A4stdlife+D51-Input!$W$7))</f>
        <v>42.842831924321999</v>
      </c>
      <c r="H51" s="257"/>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486"/>
      <c r="D52" s="85">
        <v>2</v>
      </c>
      <c r="E52" s="299">
        <f t="shared" si="3"/>
        <v>0</v>
      </c>
      <c r="F52" s="320">
        <f ca="1">OFFSET('Actual RAB roll forward'!H$15,0,D52-1)-SUM('Actual RAB roll forward'!H86:OFFSET('Actual RAB roll forward'!H86,0,Input!$W$7-1))</f>
        <v>310.82545792563025</v>
      </c>
      <c r="G52" s="320">
        <f ca="1">IF(A4stdlife="N/A","n/a",IF(F52=0,0,A4stdlife+D52-Input!$W$7))</f>
        <v>43.842831924321999</v>
      </c>
      <c r="H52" s="257"/>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486"/>
      <c r="D53" s="85">
        <v>3</v>
      </c>
      <c r="E53" s="299">
        <f t="shared" si="3"/>
        <v>0</v>
      </c>
      <c r="F53" s="320">
        <f ca="1">OFFSET('Actual RAB roll forward'!H$15,0,D53-1)-SUM('Actual RAB roll forward'!H87:OFFSET('Actual RAB roll forward'!H87,0,Input!$W$7-1))</f>
        <v>380.51512687986917</v>
      </c>
      <c r="G53" s="320">
        <f ca="1">IF(A4stdlife="N/A","n/a",IF(F53=0,0,A4stdlife+D53-Input!$W$7))</f>
        <v>44.842831924321999</v>
      </c>
      <c r="H53" s="257"/>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486"/>
      <c r="D54" s="85">
        <v>4</v>
      </c>
      <c r="E54" s="299">
        <f t="shared" si="3"/>
        <v>0</v>
      </c>
      <c r="F54" s="320">
        <f ca="1">OFFSET('Actual RAB roll forward'!H$15,0,D54-1)-SUM('Actual RAB roll forward'!H88:OFFSET('Actual RAB roll forward'!H88,0,Input!$W$7-1))</f>
        <v>236.20218885100456</v>
      </c>
      <c r="G54" s="320">
        <f ca="1">IF(A4stdlife="N/A","n/a",IF(F54=0,0,A4stdlife+D54-Input!$W$7))</f>
        <v>45.842831924321999</v>
      </c>
      <c r="H54" s="257"/>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486"/>
      <c r="D55" s="85">
        <v>5</v>
      </c>
      <c r="E55" s="299">
        <f t="shared" si="3"/>
        <v>0</v>
      </c>
      <c r="F55" s="320">
        <f ca="1">OFFSET('Actual RAB roll forward'!H$15,0,D55-1)-SUM('Actual RAB roll forward'!H89:OFFSET('Actual RAB roll forward'!H89,0,Input!$W$7-1))</f>
        <v>150.64406907091325</v>
      </c>
      <c r="G55" s="320">
        <f ca="1">IF(A4stdlife="N/A","n/a",IF(F55=0,0,A4stdlife+D55-Input!$W$7))</f>
        <v>46.842831924321999</v>
      </c>
      <c r="H55" s="257"/>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486"/>
      <c r="D56" s="85">
        <v>6</v>
      </c>
      <c r="E56" s="299"/>
      <c r="F56" s="320">
        <f ca="1">OFFSET('Actual RAB roll forward'!H$15,0,D56-1)-SUM('Actual RAB roll forward'!H90:OFFSET('Actual RAB roll forward'!H90,0,Input!$W$7-1))</f>
        <v>0</v>
      </c>
      <c r="G56" s="320">
        <f ca="1">IF(A4stdlife="N/A","n/a",IF(F56=0,0,A4stdlife+D56-Input!$W$7))</f>
        <v>0</v>
      </c>
      <c r="H56" s="257"/>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486"/>
      <c r="D57" s="85">
        <v>7</v>
      </c>
      <c r="E57" s="299"/>
      <c r="F57" s="320">
        <f ca="1">OFFSET('Actual RAB roll forward'!H$15,0,D57-1)-SUM('Actual RAB roll forward'!H91:OFFSET('Actual RAB roll forward'!H91,0,Input!$W$7-1))</f>
        <v>0</v>
      </c>
      <c r="G57" s="320">
        <f ca="1">IF(A4stdlife="N/A","n/a",IF(F57=0,0,A4stdlife+D57-Input!$W$7))</f>
        <v>0</v>
      </c>
      <c r="H57" s="257"/>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486"/>
      <c r="D58" s="85">
        <v>8</v>
      </c>
      <c r="E58" s="299"/>
      <c r="F58" s="320">
        <f ca="1">OFFSET('Actual RAB roll forward'!H$15,0,D58-1)-SUM('Actual RAB roll forward'!H92:OFFSET('Actual RAB roll forward'!H92,0,Input!$W$7-1))</f>
        <v>0</v>
      </c>
      <c r="G58" s="320">
        <f ca="1">IF(A4stdlife="N/A","n/a",IF(F58=0,0,A4stdlife+D58-Input!$W$7))</f>
        <v>0</v>
      </c>
      <c r="H58" s="257"/>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486"/>
      <c r="D59" s="85">
        <v>9</v>
      </c>
      <c r="E59" s="299"/>
      <c r="F59" s="320">
        <f ca="1">OFFSET('Actual RAB roll forward'!H$15,0,D59-1)-SUM('Actual RAB roll forward'!H93:OFFSET('Actual RAB roll forward'!H93,0,Input!$W$7-1))</f>
        <v>0</v>
      </c>
      <c r="G59" s="320">
        <f ca="1">IF(A4stdlife="N/A","n/a",IF(F59=0,0,A4stdlife+D59-Input!$W$7))</f>
        <v>0</v>
      </c>
      <c r="H59" s="257"/>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487"/>
      <c r="D60" s="86">
        <v>10</v>
      </c>
      <c r="E60" s="299"/>
      <c r="F60" s="320">
        <f ca="1">OFFSET('Actual RAB roll forward'!H$15,0,D60-1)-SUM('Actual RAB roll forward'!H94:OFFSET('Actual RAB roll forward'!H94,0,Input!$W$7-1))</f>
        <v>0</v>
      </c>
      <c r="G60" s="320">
        <f ca="1">IF(A4stdlife="N/A","n/a",IF(F60=0,0,A4stdlife+D60-Input!$W$7))</f>
        <v>0</v>
      </c>
      <c r="H60" s="257"/>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9" t="str">
        <f>B49</f>
        <v>Substations</v>
      </c>
      <c r="D61" s="9"/>
      <c r="E61" s="299">
        <f>SUM(E50:E60)</f>
        <v>0</v>
      </c>
      <c r="F61" s="320">
        <f ca="1">SUM(F50:F60)</f>
        <v>3081.2912794360595</v>
      </c>
      <c r="G61" s="320">
        <f ca="1">IF(F61=0,0,SUMPRODUCT(F50:F60,G50:G60)/F61)</f>
        <v>34.83184042416061</v>
      </c>
      <c r="H61" s="257"/>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66"/>
      <c r="D62" s="9"/>
      <c r="E62" s="256"/>
      <c r="F62" s="320"/>
      <c r="G62" s="320"/>
      <c r="H62" s="257"/>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5" t="str">
        <f>Asset5</f>
        <v>Transformers</v>
      </c>
      <c r="C63" s="9"/>
      <c r="D63" s="9"/>
      <c r="E63" s="256"/>
      <c r="F63" s="320"/>
      <c r="G63" s="320"/>
      <c r="H63" s="257"/>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488" t="s">
        <v>28</v>
      </c>
      <c r="D64" s="489"/>
      <c r="E64" s="299">
        <f t="shared" ref="E64:E69" si="4">Q64</f>
        <v>0</v>
      </c>
      <c r="F64" s="320">
        <f ca="1">A5value-SUM('Actual RAB roll forward'!H96:OFFSET('Actual RAB roll forward'!H96,0,Input!$W$7-1))</f>
        <v>382.19660657940693</v>
      </c>
      <c r="G64" s="320">
        <f>IF(A5remlife="N/A","n/a",A5remlife-Input!$W$7)</f>
        <v>22.412957030264273</v>
      </c>
      <c r="H64" s="257"/>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485" t="s">
        <v>83</v>
      </c>
      <c r="D65" s="85">
        <v>1</v>
      </c>
      <c r="E65" s="299">
        <f t="shared" si="4"/>
        <v>0</v>
      </c>
      <c r="F65" s="320">
        <f ca="1">OFFSET('Actual RAB roll forward'!H$16,0,D65-1)-SUM('Actual RAB roll forward'!H98:OFFSET('Actual RAB roll forward'!H98,0,Input!$W$7-1))</f>
        <v>51.671028953520356</v>
      </c>
      <c r="G65" s="320">
        <f ca="1">IF(A5stdlife="N/A","n/a",IF(F65=0,0,A5stdlife+D65-Input!$W$7))</f>
        <v>41.887214388616371</v>
      </c>
      <c r="H65" s="257"/>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486"/>
      <c r="D66" s="85">
        <v>2</v>
      </c>
      <c r="E66" s="299">
        <f t="shared" si="4"/>
        <v>0</v>
      </c>
      <c r="F66" s="320">
        <f ca="1">OFFSET('Actual RAB roll forward'!H$16,0,D66-1)-SUM('Actual RAB roll forward'!H99:OFFSET('Actual RAB roll forward'!H99,0,Input!$W$7-1))</f>
        <v>71.778641412241129</v>
      </c>
      <c r="G66" s="320">
        <f ca="1">IF(A5stdlife="N/A","n/a",IF(F66=0,0,A5stdlife+D66-Input!$W$7))</f>
        <v>42.887214388616371</v>
      </c>
      <c r="H66" s="257"/>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486"/>
      <c r="D67" s="85">
        <v>3</v>
      </c>
      <c r="E67" s="299">
        <f t="shared" si="4"/>
        <v>0</v>
      </c>
      <c r="F67" s="320">
        <f ca="1">OFFSET('Actual RAB roll forward'!H$16,0,D67-1)-SUM('Actual RAB roll forward'!H100:OFFSET('Actual RAB roll forward'!H100,0,Input!$W$7-1))</f>
        <v>48.273247417787374</v>
      </c>
      <c r="G67" s="320">
        <f ca="1">IF(A5stdlife="N/A","n/a",IF(F67=0,0,A5stdlife+D67-Input!$W$7))</f>
        <v>43.887214388616371</v>
      </c>
      <c r="H67" s="257"/>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486"/>
      <c r="D68" s="85">
        <v>4</v>
      </c>
      <c r="E68" s="299">
        <f t="shared" si="4"/>
        <v>0</v>
      </c>
      <c r="F68" s="320">
        <f ca="1">OFFSET('Actual RAB roll forward'!H$16,0,D68-1)-SUM('Actual RAB roll forward'!H101:OFFSET('Actual RAB roll forward'!H101,0,Input!$W$7-1))</f>
        <v>36.51267002681108</v>
      </c>
      <c r="G68" s="320">
        <f ca="1">IF(A5stdlife="N/A","n/a",IF(F68=0,0,A5stdlife+D68-Input!$W$7))</f>
        <v>44.887214388616371</v>
      </c>
      <c r="H68" s="257"/>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486"/>
      <c r="D69" s="85">
        <v>5</v>
      </c>
      <c r="E69" s="299">
        <f t="shared" si="4"/>
        <v>0</v>
      </c>
      <c r="F69" s="320">
        <f ca="1">OFFSET('Actual RAB roll forward'!H$16,0,D69-1)-SUM('Actual RAB roll forward'!H102:OFFSET('Actual RAB roll forward'!H102,0,Input!$W$7-1))</f>
        <v>28.104925004406205</v>
      </c>
      <c r="G69" s="320">
        <f ca="1">IF(A5stdlife="N/A","n/a",IF(F69=0,0,A5stdlife+D69-Input!$W$7))</f>
        <v>45.887214388616371</v>
      </c>
      <c r="H69" s="257"/>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486"/>
      <c r="D70" s="85">
        <v>6</v>
      </c>
      <c r="E70" s="299"/>
      <c r="F70" s="320">
        <f ca="1">OFFSET('Actual RAB roll forward'!H$16,0,D70-1)-SUM('Actual RAB roll forward'!H103:OFFSET('Actual RAB roll forward'!H103,0,Input!$W$7-1))</f>
        <v>0</v>
      </c>
      <c r="G70" s="320">
        <f ca="1">IF(A5stdlife="N/A","n/a",IF(F70=0,0,A5stdlife+D70-Input!$W$7))</f>
        <v>0</v>
      </c>
      <c r="H70" s="257"/>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486"/>
      <c r="D71" s="85">
        <v>7</v>
      </c>
      <c r="E71" s="299"/>
      <c r="F71" s="320">
        <f ca="1">OFFSET('Actual RAB roll forward'!H$16,0,D71-1)-SUM('Actual RAB roll forward'!H104:OFFSET('Actual RAB roll forward'!H104,0,Input!$W$7-1))</f>
        <v>0</v>
      </c>
      <c r="G71" s="320">
        <f ca="1">IF(A5stdlife="N/A","n/a",IF(F71=0,0,A5stdlife+D71-Input!$W$7))</f>
        <v>0</v>
      </c>
      <c r="H71" s="257"/>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486"/>
      <c r="D72" s="85">
        <v>8</v>
      </c>
      <c r="E72" s="299"/>
      <c r="F72" s="320">
        <f ca="1">OFFSET('Actual RAB roll forward'!H$16,0,D72-1)-SUM('Actual RAB roll forward'!H105:OFFSET('Actual RAB roll forward'!H105,0,Input!$W$7-1))</f>
        <v>0</v>
      </c>
      <c r="G72" s="320">
        <f ca="1">IF(A5stdlife="N/A","n/a",IF(F72=0,0,A5stdlife+D72-Input!$W$7))</f>
        <v>0</v>
      </c>
      <c r="H72" s="257"/>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486"/>
      <c r="D73" s="85">
        <v>9</v>
      </c>
      <c r="E73" s="299"/>
      <c r="F73" s="320">
        <f ca="1">OFFSET('Actual RAB roll forward'!H$16,0,D73-1)-SUM('Actual RAB roll forward'!H106:OFFSET('Actual RAB roll forward'!H106,0,Input!$W$7-1))</f>
        <v>0</v>
      </c>
      <c r="G73" s="320">
        <f ca="1">IF(A5stdlife="N/A","n/a",IF(F73=0,0,A5stdlife+D73-Input!$W$7))</f>
        <v>0</v>
      </c>
      <c r="H73" s="257"/>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487"/>
      <c r="D74" s="86">
        <v>10</v>
      </c>
      <c r="E74" s="299"/>
      <c r="F74" s="320">
        <f ca="1">OFFSET('Actual RAB roll forward'!H$16,0,D74-1)-SUM('Actual RAB roll forward'!H107:OFFSET('Actual RAB roll forward'!H107,0,Input!$W$7-1))</f>
        <v>0</v>
      </c>
      <c r="G74" s="320">
        <f ca="1">IF(A5stdlife="N/A","n/a",IF(F74=0,0,A5stdlife+D74-Input!$W$7))</f>
        <v>0</v>
      </c>
      <c r="H74" s="257"/>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9" t="str">
        <f>B63</f>
        <v>Transformers</v>
      </c>
      <c r="D75" s="9"/>
      <c r="E75" s="299">
        <f>SUM(E64:E74)</f>
        <v>0</v>
      </c>
      <c r="F75" s="320">
        <f ca="1">SUM(F64:F74)</f>
        <v>618.53711939417315</v>
      </c>
      <c r="G75" s="320">
        <f ca="1">IF(F75=0,0,SUMPRODUCT(F64:F74,G64:G74)/F75)</f>
        <v>30.484968653424065</v>
      </c>
      <c r="H75" s="257"/>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66"/>
      <c r="D76" s="9"/>
      <c r="E76" s="256"/>
      <c r="F76" s="320"/>
      <c r="G76" s="320"/>
      <c r="H76" s="257"/>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5" t="str">
        <f>Asset6</f>
        <v>Low Voltage Lines and Cables</v>
      </c>
      <c r="C77" s="9"/>
      <c r="D77" s="9"/>
      <c r="E77" s="256"/>
      <c r="F77" s="320"/>
      <c r="G77" s="320"/>
      <c r="H77" s="257"/>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483" t="s">
        <v>28</v>
      </c>
      <c r="D78" s="484"/>
      <c r="E78" s="299">
        <f t="shared" ref="E78:E83" si="5">Q78</f>
        <v>0</v>
      </c>
      <c r="F78" s="320">
        <f ca="1">A6value-SUM('Actual RAB roll forward'!H109:OFFSET('Actual RAB roll forward'!H109,0,Input!$W$7-1))</f>
        <v>648.08843759203228</v>
      </c>
      <c r="G78" s="320">
        <f>IF(A6remlife="N/A","n/a",A6remlife-Input!$W$7)</f>
        <v>29.680890904277661</v>
      </c>
      <c r="H78" s="257"/>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485" t="s">
        <v>83</v>
      </c>
      <c r="D79" s="85">
        <v>1</v>
      </c>
      <c r="E79" s="299">
        <f t="shared" si="5"/>
        <v>0</v>
      </c>
      <c r="F79" s="320">
        <f ca="1">OFFSET('Actual RAB roll forward'!H$17,0,D79-1)-SUM('Actual RAB roll forward'!H111:OFFSET('Actual RAB roll forward'!H111,0,Input!$W$7-1))</f>
        <v>111.21882534178818</v>
      </c>
      <c r="G79" s="320">
        <f ca="1">IF(A6stdlife="N/A","n/a",IF(F79=0,0,A6stdlife+D79-Input!$W$7))</f>
        <v>48.073244732796169</v>
      </c>
      <c r="H79" s="257"/>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486"/>
      <c r="D80" s="85">
        <v>2</v>
      </c>
      <c r="E80" s="299">
        <f t="shared" si="5"/>
        <v>0</v>
      </c>
      <c r="F80" s="320">
        <f ca="1">OFFSET('Actual RAB roll forward'!H$17,0,D80-1)-SUM('Actual RAB roll forward'!H112:OFFSET('Actual RAB roll forward'!H112,0,Input!$W$7-1))</f>
        <v>137.80460778900235</v>
      </c>
      <c r="G80" s="320">
        <f ca="1">IF(A6stdlife="N/A","n/a",IF(F80=0,0,A6stdlife+D80-Input!$W$7))</f>
        <v>49.073244732796169</v>
      </c>
      <c r="H80" s="257"/>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486"/>
      <c r="D81" s="85">
        <v>3</v>
      </c>
      <c r="E81" s="299">
        <f t="shared" si="5"/>
        <v>0</v>
      </c>
      <c r="F81" s="320">
        <f ca="1">OFFSET('Actual RAB roll forward'!H$17,0,D81-1)-SUM('Actual RAB roll forward'!H113:OFFSET('Actual RAB roll forward'!H113,0,Input!$W$7-1))</f>
        <v>169.55292346328724</v>
      </c>
      <c r="G81" s="320">
        <f ca="1">IF(A6stdlife="N/A","n/a",IF(F81=0,0,A6stdlife+D81-Input!$W$7))</f>
        <v>50.073244732796169</v>
      </c>
      <c r="H81" s="257"/>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486"/>
      <c r="D82" s="85">
        <v>4</v>
      </c>
      <c r="E82" s="299">
        <f t="shared" si="5"/>
        <v>0</v>
      </c>
      <c r="F82" s="320">
        <f ca="1">OFFSET('Actual RAB roll forward'!H$17,0,D82-1)-SUM('Actual RAB roll forward'!H114:OFFSET('Actual RAB roll forward'!H114,0,Input!$W$7-1))</f>
        <v>130.46143981482015</v>
      </c>
      <c r="G82" s="320">
        <f ca="1">IF(A6stdlife="N/A","n/a",IF(F82=0,0,A6stdlife+D82-Input!$W$7))</f>
        <v>51.073244732796169</v>
      </c>
      <c r="H82" s="257"/>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486"/>
      <c r="D83" s="85">
        <v>5</v>
      </c>
      <c r="E83" s="299">
        <f t="shared" si="5"/>
        <v>0</v>
      </c>
      <c r="F83" s="320">
        <f ca="1">OFFSET('Actual RAB roll forward'!H$17,0,D83-1)-SUM('Actual RAB roll forward'!H115:OFFSET('Actual RAB roll forward'!H115,0,Input!$W$7-1))</f>
        <v>111.96180492367587</v>
      </c>
      <c r="G83" s="320">
        <f ca="1">IF(A6stdlife="N/A","n/a",IF(F83=0,0,A6stdlife+D83-Input!$W$7))</f>
        <v>52.073244732796169</v>
      </c>
      <c r="H83" s="257"/>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486"/>
      <c r="D84" s="85">
        <v>6</v>
      </c>
      <c r="E84" s="299"/>
      <c r="F84" s="320">
        <f ca="1">OFFSET('Actual RAB roll forward'!H$17,0,D84-1)-SUM('Actual RAB roll forward'!H116:OFFSET('Actual RAB roll forward'!H116,0,Input!$W$7-1))</f>
        <v>0</v>
      </c>
      <c r="G84" s="320">
        <f ca="1">IF(A6stdlife="N/A","n/a",IF(F84=0,0,A6stdlife+D84-Input!$W$7))</f>
        <v>0</v>
      </c>
      <c r="H84" s="257"/>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486"/>
      <c r="D85" s="85">
        <v>7</v>
      </c>
      <c r="E85" s="299"/>
      <c r="F85" s="320">
        <f ca="1">OFFSET('Actual RAB roll forward'!H$17,0,D85-1)-SUM('Actual RAB roll forward'!H117:OFFSET('Actual RAB roll forward'!H117,0,Input!$W$7-1))</f>
        <v>0</v>
      </c>
      <c r="G85" s="320">
        <f ca="1">IF(A6stdlife="N/A","n/a",IF(F85=0,0,A6stdlife+D85-Input!$W$7))</f>
        <v>0</v>
      </c>
      <c r="H85" s="257"/>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486"/>
      <c r="D86" s="85">
        <v>8</v>
      </c>
      <c r="E86" s="299"/>
      <c r="F86" s="320">
        <f ca="1">OFFSET('Actual RAB roll forward'!H$17,0,D86-1)-SUM('Actual RAB roll forward'!H118:OFFSET('Actual RAB roll forward'!H118,0,Input!$W$7-1))</f>
        <v>0</v>
      </c>
      <c r="G86" s="320">
        <f ca="1">IF(A6stdlife="N/A","n/a",IF(F86=0,0,A6stdlife+D86-Input!$W$7))</f>
        <v>0</v>
      </c>
      <c r="H86" s="257"/>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486"/>
      <c r="D87" s="85">
        <v>9</v>
      </c>
      <c r="E87" s="299"/>
      <c r="F87" s="320">
        <f ca="1">OFFSET('Actual RAB roll forward'!H$17,0,D87-1)-SUM('Actual RAB roll forward'!H119:OFFSET('Actual RAB roll forward'!H119,0,Input!$W$7-1))</f>
        <v>0</v>
      </c>
      <c r="G87" s="320">
        <f ca="1">IF(A6stdlife="N/A","n/a",IF(F87=0,0,A6stdlife+D87-Input!$W$7))</f>
        <v>0</v>
      </c>
      <c r="H87" s="257"/>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487"/>
      <c r="D88" s="86">
        <v>10</v>
      </c>
      <c r="E88" s="299"/>
      <c r="F88" s="320">
        <f ca="1">OFFSET('Actual RAB roll forward'!H$17,0,D88-1)-SUM('Actual RAB roll forward'!H120:OFFSET('Actual RAB roll forward'!H120,0,Input!$W$7-1))</f>
        <v>0</v>
      </c>
      <c r="G88" s="320">
        <f ca="1">IF(A6stdlife="N/A","n/a",IF(F88=0,0,A6stdlife+D88-Input!$W$7))</f>
        <v>0</v>
      </c>
      <c r="H88" s="257"/>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9" t="str">
        <f>B77</f>
        <v>Low Voltage Lines and Cables</v>
      </c>
      <c r="D89" s="9"/>
      <c r="E89" s="299">
        <f>SUM(E78:E88)</f>
        <v>0</v>
      </c>
      <c r="F89" s="320">
        <f ca="1">SUM(F78:F88)</f>
        <v>1309.0880389246061</v>
      </c>
      <c r="G89" s="320">
        <f ca="1">IF(F89=0,0,SUMPRODUCT(F78:F88,G78:G88)/F89)</f>
        <v>39.973155550696212</v>
      </c>
      <c r="H89" s="257"/>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66"/>
      <c r="D90" s="9"/>
      <c r="E90" s="256"/>
      <c r="F90" s="320"/>
      <c r="G90" s="320"/>
      <c r="H90" s="257"/>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5" t="str">
        <f>Asset7</f>
        <v>Customer Metering and Load Control</v>
      </c>
      <c r="C91" s="9"/>
      <c r="D91" s="11"/>
      <c r="E91" s="256"/>
      <c r="F91" s="320"/>
      <c r="G91" s="320"/>
      <c r="H91" s="257"/>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483" t="s">
        <v>28</v>
      </c>
      <c r="D92" s="484"/>
      <c r="E92" s="299">
        <f t="shared" ref="E92:E97" si="6">Q92</f>
        <v>0</v>
      </c>
      <c r="F92" s="320">
        <f ca="1">A7value-SUM('Actual RAB roll forward'!H122:OFFSET('Actual RAB roll forward'!H122,0,Input!$W$7-1))</f>
        <v>175.06097833706653</v>
      </c>
      <c r="G92" s="320">
        <f>IF(A7remlife="N/A","n/a",A7remlife-Input!$W$7)</f>
        <v>14.495918236295051</v>
      </c>
      <c r="H92" s="257"/>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485" t="s">
        <v>83</v>
      </c>
      <c r="D93" s="85">
        <v>1</v>
      </c>
      <c r="E93" s="299">
        <f t="shared" si="6"/>
        <v>0</v>
      </c>
      <c r="F93" s="320">
        <f ca="1">OFFSET('Actual RAB roll forward'!H$18,0,D93-1)-SUM('Actual RAB roll forward'!H124:OFFSET('Actual RAB roll forward'!H124,0,Input!$W$7-1))</f>
        <v>0.35734151976856643</v>
      </c>
      <c r="G93" s="320">
        <f ca="1">IF(A7stdlife="N/A","n/a",IF(F93=0,0,A7stdlife+D93-Input!$W$7))</f>
        <v>21</v>
      </c>
      <c r="H93" s="257"/>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486"/>
      <c r="D94" s="85">
        <v>2</v>
      </c>
      <c r="E94" s="299">
        <f t="shared" si="6"/>
        <v>0</v>
      </c>
      <c r="F94" s="320">
        <f ca="1">OFFSET('Actual RAB roll forward'!H$18,0,D94-1)-SUM('Actual RAB roll forward'!H125:OFFSET('Actual RAB roll forward'!H125,0,Input!$W$7-1))</f>
        <v>0</v>
      </c>
      <c r="G94" s="320">
        <f ca="1">IF(A7stdlife="N/A","n/a",IF(F94=0,0,A7stdlife+D94-Input!$W$7))</f>
        <v>0</v>
      </c>
      <c r="H94" s="257"/>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486"/>
      <c r="D95" s="85">
        <v>3</v>
      </c>
      <c r="E95" s="299">
        <f t="shared" si="6"/>
        <v>0</v>
      </c>
      <c r="F95" s="320">
        <f ca="1">OFFSET('Actual RAB roll forward'!H$18,0,D95-1)-SUM('Actual RAB roll forward'!H126:OFFSET('Actual RAB roll forward'!H126,0,Input!$W$7-1))</f>
        <v>0</v>
      </c>
      <c r="G95" s="320">
        <f ca="1">IF(A7stdlife="N/A","n/a",IF(F95=0,0,A7stdlife+D95-Input!$W$7))</f>
        <v>0</v>
      </c>
      <c r="H95" s="257"/>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486"/>
      <c r="D96" s="85">
        <v>4</v>
      </c>
      <c r="E96" s="299">
        <f t="shared" si="6"/>
        <v>0</v>
      </c>
      <c r="F96" s="320">
        <f ca="1">OFFSET('Actual RAB roll forward'!H$18,0,D96-1)-SUM('Actual RAB roll forward'!H127:OFFSET('Actual RAB roll forward'!H127,0,Input!$W$7-1))</f>
        <v>0</v>
      </c>
      <c r="G96" s="320">
        <f ca="1">IF(A7stdlife="N/A","n/a",IF(F96=0,0,A7stdlife+D96-Input!$W$7))</f>
        <v>0</v>
      </c>
      <c r="H96" s="257"/>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486"/>
      <c r="D97" s="85">
        <v>5</v>
      </c>
      <c r="E97" s="299">
        <f t="shared" si="6"/>
        <v>0</v>
      </c>
      <c r="F97" s="320">
        <f ca="1">OFFSET('Actual RAB roll forward'!H$18,0,D97-1)-SUM('Actual RAB roll forward'!H128:OFFSET('Actual RAB roll forward'!H128,0,Input!$W$7-1))</f>
        <v>0</v>
      </c>
      <c r="G97" s="320">
        <f ca="1">IF(A7stdlife="N/A","n/a",IF(F97=0,0,A7stdlife+D97-Input!$W$7))</f>
        <v>0</v>
      </c>
      <c r="H97" s="257"/>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486"/>
      <c r="D98" s="85">
        <v>6</v>
      </c>
      <c r="E98" s="299"/>
      <c r="F98" s="320">
        <f ca="1">OFFSET('Actual RAB roll forward'!H$18,0,D98-1)-SUM('Actual RAB roll forward'!H129:OFFSET('Actual RAB roll forward'!H129,0,Input!$W$7-1))</f>
        <v>0</v>
      </c>
      <c r="G98" s="320">
        <f ca="1">IF(A7stdlife="N/A","n/a",IF(F98=0,0,A7stdlife+D98-Input!$W$7))</f>
        <v>0</v>
      </c>
      <c r="H98" s="257"/>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486"/>
      <c r="D99" s="85">
        <v>7</v>
      </c>
      <c r="E99" s="299"/>
      <c r="F99" s="320">
        <f ca="1">OFFSET('Actual RAB roll forward'!H$18,0,D99-1)-SUM('Actual RAB roll forward'!H130:OFFSET('Actual RAB roll forward'!H130,0,Input!$W$7-1))</f>
        <v>0</v>
      </c>
      <c r="G99" s="320">
        <f ca="1">IF(A7stdlife="N/A","n/a",IF(F99=0,0,A7stdlife+D99-Input!$W$7))</f>
        <v>0</v>
      </c>
      <c r="H99" s="257"/>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486"/>
      <c r="D100" s="85">
        <v>8</v>
      </c>
      <c r="E100" s="299"/>
      <c r="F100" s="320">
        <f ca="1">OFFSET('Actual RAB roll forward'!H$18,0,D100-1)-SUM('Actual RAB roll forward'!H131:OFFSET('Actual RAB roll forward'!H131,0,Input!$W$7-1))</f>
        <v>0</v>
      </c>
      <c r="G100" s="320">
        <f ca="1">IF(A7stdlife="N/A","n/a",IF(F100=0,0,A7stdlife+D100-Input!$W$7))</f>
        <v>0</v>
      </c>
      <c r="H100" s="257"/>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486"/>
      <c r="D101" s="85">
        <v>9</v>
      </c>
      <c r="E101" s="299"/>
      <c r="F101" s="320">
        <f ca="1">OFFSET('Actual RAB roll forward'!H$18,0,D101-1)-SUM('Actual RAB roll forward'!H132:OFFSET('Actual RAB roll forward'!H132,0,Input!$W$7-1))</f>
        <v>0</v>
      </c>
      <c r="G101" s="320">
        <f ca="1">IF(A7stdlife="N/A","n/a",IF(F101=0,0,A7stdlife+D101-Input!$W$7))</f>
        <v>0</v>
      </c>
      <c r="H101" s="257"/>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487"/>
      <c r="D102" s="86">
        <v>10</v>
      </c>
      <c r="E102" s="299"/>
      <c r="F102" s="320">
        <f ca="1">OFFSET('Actual RAB roll forward'!H$18,0,D102-1)-SUM('Actual RAB roll forward'!H133:OFFSET('Actual RAB roll forward'!H133,0,Input!$W$7-1))</f>
        <v>0</v>
      </c>
      <c r="G102" s="320">
        <f ca="1">IF(A7stdlife="N/A","n/a",IF(F102=0,0,A7stdlife+D102-Input!$W$7))</f>
        <v>0</v>
      </c>
      <c r="H102" s="257"/>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9" t="str">
        <f>B91</f>
        <v>Customer Metering and Load Control</v>
      </c>
      <c r="D103" s="9"/>
      <c r="E103" s="299">
        <f>SUM(E92:E102)</f>
        <v>0</v>
      </c>
      <c r="F103" s="320">
        <f ca="1">SUM(F92:F102)</f>
        <v>175.4183198568351</v>
      </c>
      <c r="G103" s="320">
        <f ca="1">IF(F103=0,0,SUMPRODUCT(F92:F102,G92:G102)/F103)</f>
        <v>14.509167584846777</v>
      </c>
      <c r="H103" s="257"/>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66"/>
      <c r="D104" s="9"/>
      <c r="E104" s="256"/>
      <c r="F104" s="320"/>
      <c r="G104" s="320"/>
      <c r="H104" s="257"/>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5" t="str">
        <f>Asset8</f>
        <v>Customer Metering (digital)</v>
      </c>
      <c r="C105" s="9"/>
      <c r="D105" s="9"/>
      <c r="E105" s="256"/>
      <c r="F105" s="320"/>
      <c r="G105" s="320"/>
      <c r="H105" s="257"/>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483" t="s">
        <v>28</v>
      </c>
      <c r="D106" s="484"/>
      <c r="E106" s="299">
        <f t="shared" ref="E106:E111" si="7">Q106</f>
        <v>0</v>
      </c>
      <c r="F106" s="320">
        <f ca="1">A8value-SUM('Actual RAB roll forward'!H135:OFFSET('Actual RAB roll forward'!H135,0,Input!$W$7-1))</f>
        <v>0</v>
      </c>
      <c r="G106" s="320" t="str">
        <f>IF(A8remlife="N/A","n/a",A8remlife-Input!$W$7)</f>
        <v>n/a</v>
      </c>
      <c r="H106" s="257"/>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485" t="s">
        <v>83</v>
      </c>
      <c r="D107" s="85">
        <v>1</v>
      </c>
      <c r="E107" s="299">
        <f t="shared" si="7"/>
        <v>0</v>
      </c>
      <c r="F107" s="320">
        <f ca="1">OFFSET('Actual RAB roll forward'!H$19,0,D107-1)-SUM('Actual RAB roll forward'!H137:OFFSET('Actual RAB roll forward'!H137,0,Input!$W$7-1))</f>
        <v>16.476895270753221</v>
      </c>
      <c r="G107" s="320">
        <f ca="1">IF(A8stdlife="N/A","n/a",IF(F107=0,0,A8stdlife+D107-Input!$W$7))</f>
        <v>11</v>
      </c>
      <c r="H107" s="257"/>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486"/>
      <c r="D108" s="85">
        <v>2</v>
      </c>
      <c r="E108" s="299">
        <f t="shared" si="7"/>
        <v>0</v>
      </c>
      <c r="F108" s="320">
        <f ca="1">OFFSET('Actual RAB roll forward'!H$19,0,D108-1)-SUM('Actual RAB roll forward'!H138:OFFSET('Actual RAB roll forward'!H138,0,Input!$W$7-1))</f>
        <v>23.441516868086289</v>
      </c>
      <c r="G108" s="320">
        <f ca="1">IF(A8stdlife="N/A","n/a",IF(F108=0,0,A8stdlife+D108-Input!$W$7))</f>
        <v>12</v>
      </c>
      <c r="H108" s="257"/>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486"/>
      <c r="D109" s="85">
        <v>3</v>
      </c>
      <c r="E109" s="299">
        <f t="shared" si="7"/>
        <v>0</v>
      </c>
      <c r="F109" s="320">
        <f ca="1">OFFSET('Actual RAB roll forward'!H$19,0,D109-1)-SUM('Actual RAB roll forward'!H139:OFFSET('Actual RAB roll forward'!H139,0,Input!$W$7-1))</f>
        <v>18.237080804722662</v>
      </c>
      <c r="G109" s="320">
        <f ca="1">IF(A8stdlife="N/A","n/a",IF(F109=0,0,A8stdlife+D109-Input!$W$7))</f>
        <v>13</v>
      </c>
      <c r="H109" s="257"/>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486"/>
      <c r="D110" s="85">
        <v>4</v>
      </c>
      <c r="E110" s="299">
        <f t="shared" si="7"/>
        <v>0</v>
      </c>
      <c r="F110" s="320">
        <f ca="1">OFFSET('Actual RAB roll forward'!H$19,0,D110-1)-SUM('Actual RAB roll forward'!H140:OFFSET('Actual RAB roll forward'!H140,0,Input!$W$7-1))</f>
        <v>14.037435676278546</v>
      </c>
      <c r="G110" s="320">
        <f ca="1">IF(A8stdlife="N/A","n/a",IF(F110=0,0,A8stdlife+D110-Input!$W$7))</f>
        <v>14</v>
      </c>
      <c r="H110" s="257"/>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486"/>
      <c r="D111" s="85">
        <v>5</v>
      </c>
      <c r="E111" s="299">
        <f t="shared" si="7"/>
        <v>0</v>
      </c>
      <c r="F111" s="320">
        <f ca="1">OFFSET('Actual RAB roll forward'!H$19,0,D111-1)-SUM('Actual RAB roll forward'!H141:OFFSET('Actual RAB roll forward'!H141,0,Input!$W$7-1))</f>
        <v>15.594148059976847</v>
      </c>
      <c r="G111" s="320">
        <f ca="1">IF(A8stdlife="N/A","n/a",IF(F111=0,0,A8stdlife+D111-Input!$W$7))</f>
        <v>15</v>
      </c>
      <c r="H111" s="257"/>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486"/>
      <c r="D112" s="85">
        <v>6</v>
      </c>
      <c r="E112" s="299"/>
      <c r="F112" s="320">
        <f ca="1">OFFSET('Actual RAB roll forward'!H$19,0,D112-1)-SUM('Actual RAB roll forward'!H142:OFFSET('Actual RAB roll forward'!H142,0,Input!$W$7-1))</f>
        <v>0</v>
      </c>
      <c r="G112" s="320">
        <f ca="1">IF(A8stdlife="N/A","n/a",IF(F112=0,0,A8stdlife+D112-Input!$W$7))</f>
        <v>0</v>
      </c>
      <c r="H112" s="257"/>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486"/>
      <c r="D113" s="85">
        <v>7</v>
      </c>
      <c r="E113" s="299"/>
      <c r="F113" s="320">
        <f ca="1">OFFSET('Actual RAB roll forward'!H$19,0,D113-1)-SUM('Actual RAB roll forward'!H143:OFFSET('Actual RAB roll forward'!H143,0,Input!$W$7-1))</f>
        <v>0</v>
      </c>
      <c r="G113" s="320">
        <f ca="1">IF(A8stdlife="N/A","n/a",IF(F113=0,0,A8stdlife+D113-Input!$W$7))</f>
        <v>0</v>
      </c>
      <c r="H113" s="257"/>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486"/>
      <c r="D114" s="85">
        <v>8</v>
      </c>
      <c r="E114" s="299"/>
      <c r="F114" s="320">
        <f ca="1">OFFSET('Actual RAB roll forward'!H$19,0,D114-1)-SUM('Actual RAB roll forward'!H144:OFFSET('Actual RAB roll forward'!H144,0,Input!$W$7-1))</f>
        <v>0</v>
      </c>
      <c r="G114" s="320">
        <f ca="1">IF(A8stdlife="N/A","n/a",IF(F114=0,0,A8stdlife+D114-Input!$W$7))</f>
        <v>0</v>
      </c>
      <c r="H114" s="257"/>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486"/>
      <c r="D115" s="85">
        <v>9</v>
      </c>
      <c r="E115" s="299"/>
      <c r="F115" s="320">
        <f ca="1">OFFSET('Actual RAB roll forward'!H$19,0,D115-1)-SUM('Actual RAB roll forward'!H145:OFFSET('Actual RAB roll forward'!H145,0,Input!$W$7-1))</f>
        <v>0</v>
      </c>
      <c r="G115" s="320">
        <f ca="1">IF(A8stdlife="N/A","n/a",IF(F115=0,0,A8stdlife+D115-Input!$W$7))</f>
        <v>0</v>
      </c>
      <c r="H115" s="257"/>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487"/>
      <c r="D116" s="86">
        <v>10</v>
      </c>
      <c r="E116" s="299"/>
      <c r="F116" s="320">
        <f ca="1">OFFSET('Actual RAB roll forward'!H$19,0,D116-1)-SUM('Actual RAB roll forward'!H146:OFFSET('Actual RAB roll forward'!H146,0,Input!$W$7-1))</f>
        <v>0</v>
      </c>
      <c r="G116" s="320">
        <f ca="1">IF(A8stdlife="N/A","n/a",IF(F116=0,0,A8stdlife+D116-Input!$W$7))</f>
        <v>0</v>
      </c>
      <c r="H116" s="257"/>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9" t="str">
        <f>B105</f>
        <v>Customer Metering (digital)</v>
      </c>
      <c r="D117" s="9"/>
      <c r="E117" s="299">
        <f>SUM(E106:E116)</f>
        <v>0</v>
      </c>
      <c r="F117" s="320">
        <f ca="1">SUM(F106:F116)</f>
        <v>87.787076679817574</v>
      </c>
      <c r="G117" s="320">
        <f ca="1">IF(F117=0,0,SUMPRODUCT(F106:F116,G106:G116)/F117)</f>
        <v>12.872765149087957</v>
      </c>
      <c r="H117" s="257"/>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66"/>
      <c r="D118" s="9"/>
      <c r="E118" s="256"/>
      <c r="F118" s="320"/>
      <c r="G118" s="320"/>
      <c r="H118" s="257"/>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5" t="str">
        <f>Asset9</f>
        <v>Communications (digital) - dx</v>
      </c>
      <c r="C119" s="9"/>
      <c r="D119" s="9"/>
      <c r="E119" s="109"/>
      <c r="F119" s="322"/>
      <c r="G119" s="322"/>
      <c r="H119" s="257"/>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483" t="s">
        <v>28</v>
      </c>
      <c r="D120" s="484"/>
      <c r="E120" s="299">
        <f t="shared" ref="E120:E125" si="8">Q120</f>
        <v>0</v>
      </c>
      <c r="F120" s="320">
        <f ca="1">A9value-SUM('Actual RAB roll forward'!H148:OFFSET('Actual RAB roll forward'!H148,0,Input!$W$7-1))</f>
        <v>0</v>
      </c>
      <c r="G120" s="320" t="str">
        <f>IF(A9remlife="N/A","n/a",A9remlife-Input!$W$7)</f>
        <v>n/a</v>
      </c>
      <c r="H120" s="257"/>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485" t="s">
        <v>83</v>
      </c>
      <c r="D121" s="85">
        <v>1</v>
      </c>
      <c r="E121" s="299">
        <f t="shared" si="8"/>
        <v>0</v>
      </c>
      <c r="F121" s="320">
        <f ca="1">OFFSET('Actual RAB roll forward'!H$20,0,D121-1)-SUM('Actual RAB roll forward'!H150:OFFSET('Actual RAB roll forward'!H150,0,Input!$W$7-1))</f>
        <v>12.783690852528705</v>
      </c>
      <c r="G121" s="320">
        <f ca="1">IF(A9stdlife="N/A","n/a",IF(F121=0,0,A9stdlife+D121-Input!$W$7))</f>
        <v>6</v>
      </c>
      <c r="H121" s="257"/>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486"/>
      <c r="D122" s="85">
        <v>2</v>
      </c>
      <c r="E122" s="299">
        <f t="shared" si="8"/>
        <v>0</v>
      </c>
      <c r="F122" s="320">
        <f ca="1">OFFSET('Actual RAB roll forward'!H$20,0,D122-1)-SUM('Actual RAB roll forward'!H151:OFFSET('Actual RAB roll forward'!H151,0,Input!$W$7-1))</f>
        <v>0.8032097248348895</v>
      </c>
      <c r="G122" s="320">
        <f ca="1">IF(A9stdlife="N/A","n/a",IF(F122=0,0,A9stdlife+D122-Input!$W$7))</f>
        <v>7</v>
      </c>
      <c r="H122" s="257"/>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486"/>
      <c r="D123" s="85">
        <v>3</v>
      </c>
      <c r="E123" s="299">
        <f t="shared" si="8"/>
        <v>0</v>
      </c>
      <c r="F123" s="320">
        <f ca="1">OFFSET('Actual RAB roll forward'!H$20,0,D123-1)-SUM('Actual RAB roll forward'!H152:OFFSET('Actual RAB roll forward'!H152,0,Input!$W$7-1))</f>
        <v>0.80171652536505122</v>
      </c>
      <c r="G123" s="320">
        <f ca="1">IF(A9stdlife="N/A","n/a",IF(F123=0,0,A9stdlife+D123-Input!$W$7))</f>
        <v>8</v>
      </c>
      <c r="H123" s="257"/>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486"/>
      <c r="D124" s="85">
        <v>4</v>
      </c>
      <c r="E124" s="299">
        <f t="shared" si="8"/>
        <v>0</v>
      </c>
      <c r="F124" s="320">
        <f ca="1">OFFSET('Actual RAB roll forward'!H$20,0,D124-1)-SUM('Actual RAB roll forward'!H153:OFFSET('Actual RAB roll forward'!H153,0,Input!$W$7-1))</f>
        <v>-2.6704687170088395</v>
      </c>
      <c r="G124" s="320">
        <f ca="1">IF(A9stdlife="N/A","n/a",IF(F124=0,0,A9stdlife+D124-Input!$W$7))</f>
        <v>9</v>
      </c>
      <c r="H124" s="257"/>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486"/>
      <c r="D125" s="85">
        <v>5</v>
      </c>
      <c r="E125" s="299">
        <f t="shared" si="8"/>
        <v>0</v>
      </c>
      <c r="F125" s="320">
        <f ca="1">OFFSET('Actual RAB roll forward'!H$20,0,D125-1)-SUM('Actual RAB roll forward'!H154:OFFSET('Actual RAB roll forward'!H154,0,Input!$W$7-1))</f>
        <v>0.34452275487314404</v>
      </c>
      <c r="G125" s="320">
        <f ca="1">IF(A9stdlife="N/A","n/a",IF(F125=0,0,A9stdlife+D125-Input!$W$7))</f>
        <v>10</v>
      </c>
      <c r="H125" s="257"/>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486"/>
      <c r="D126" s="85">
        <v>6</v>
      </c>
      <c r="E126" s="299"/>
      <c r="F126" s="320">
        <f ca="1">OFFSET('Actual RAB roll forward'!H$20,0,D126-1)-SUM('Actual RAB roll forward'!H155:OFFSET('Actual RAB roll forward'!H155,0,Input!$W$7-1))</f>
        <v>0</v>
      </c>
      <c r="G126" s="320">
        <f ca="1">IF(A9stdlife="N/A","n/a",IF(F126=0,0,A9stdlife+D126-Input!$W$7))</f>
        <v>0</v>
      </c>
      <c r="H126" s="257"/>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486"/>
      <c r="D127" s="85">
        <v>7</v>
      </c>
      <c r="E127" s="299"/>
      <c r="F127" s="320">
        <f ca="1">OFFSET('Actual RAB roll forward'!H$20,0,D127-1)-SUM('Actual RAB roll forward'!H156:OFFSET('Actual RAB roll forward'!H156,0,Input!$W$7-1))</f>
        <v>0</v>
      </c>
      <c r="G127" s="320">
        <f ca="1">IF(A9stdlife="N/A","n/a",IF(F127=0,0,A9stdlife+D127-Input!$W$7))</f>
        <v>0</v>
      </c>
      <c r="H127" s="257"/>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486"/>
      <c r="D128" s="85">
        <v>8</v>
      </c>
      <c r="E128" s="299"/>
      <c r="F128" s="320">
        <f ca="1">OFFSET('Actual RAB roll forward'!H$20,0,D128-1)-SUM('Actual RAB roll forward'!H157:OFFSET('Actual RAB roll forward'!H157,0,Input!$W$7-1))</f>
        <v>0</v>
      </c>
      <c r="G128" s="320">
        <f ca="1">IF(A9stdlife="N/A","n/a",IF(F128=0,0,A9stdlife+D128-Input!$W$7))</f>
        <v>0</v>
      </c>
      <c r="H128" s="257"/>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486"/>
      <c r="D129" s="85">
        <v>9</v>
      </c>
      <c r="E129" s="299"/>
      <c r="F129" s="320">
        <f ca="1">OFFSET('Actual RAB roll forward'!H$20,0,D129-1)-SUM('Actual RAB roll forward'!H158:OFFSET('Actual RAB roll forward'!H158,0,Input!$W$7-1))</f>
        <v>0</v>
      </c>
      <c r="G129" s="320">
        <f ca="1">IF(A9stdlife="N/A","n/a",IF(F129=0,0,A9stdlife+D129-Input!$W$7))</f>
        <v>0</v>
      </c>
      <c r="H129" s="257"/>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487"/>
      <c r="D130" s="86">
        <v>10</v>
      </c>
      <c r="E130" s="299"/>
      <c r="F130" s="320">
        <f ca="1">OFFSET('Actual RAB roll forward'!H$20,0,D130-1)-SUM('Actual RAB roll forward'!H159:OFFSET('Actual RAB roll forward'!H159,0,Input!$W$7-1))</f>
        <v>0</v>
      </c>
      <c r="G130" s="320">
        <f ca="1">IF(A9stdlife="N/A","n/a",IF(F130=0,0,A9stdlife+D130-Input!$W$7))</f>
        <v>0</v>
      </c>
      <c r="H130" s="257"/>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9" t="str">
        <f>B119</f>
        <v>Communications (digital) - dx</v>
      </c>
      <c r="D131" s="9"/>
      <c r="E131" s="299">
        <f>SUM(E120:E130)</f>
        <v>0</v>
      </c>
      <c r="F131" s="320">
        <f ca="1">SUM(F120:F130)</f>
        <v>12.062671140592952</v>
      </c>
      <c r="G131" s="320">
        <f ca="1">IF(F131=0,0,SUMPRODUCT(F120:F130,G120:G130)/F131)</f>
        <v>5.6496072630426371</v>
      </c>
      <c r="H131" s="257"/>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66"/>
      <c r="D132" s="9"/>
      <c r="E132" s="256"/>
      <c r="F132" s="320"/>
      <c r="G132" s="320"/>
      <c r="H132" s="257"/>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5" t="str">
        <f>Asset10</f>
        <v>Total Communications</v>
      </c>
      <c r="C133" s="9"/>
      <c r="D133" s="9"/>
      <c r="E133" s="36"/>
      <c r="F133" s="323"/>
      <c r="G133" s="323"/>
      <c r="H133" s="257"/>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483" t="s">
        <v>28</v>
      </c>
      <c r="D134" s="484"/>
      <c r="E134" s="299">
        <f t="shared" ref="E134:E139" si="9">Q134</f>
        <v>0</v>
      </c>
      <c r="F134" s="320">
        <f ca="1">A10value-SUM('Actual RAB roll forward'!H161:OFFSET('Actual RAB roll forward'!H161,0,Input!$W$7-1))</f>
        <v>48.979337732835702</v>
      </c>
      <c r="G134" s="320">
        <f>IF(A10remlife="N/A","n/a",A10remlife-Input!$W$7)</f>
        <v>2.9948709195105057</v>
      </c>
      <c r="H134" s="257"/>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485" t="s">
        <v>83</v>
      </c>
      <c r="D135" s="85">
        <v>1</v>
      </c>
      <c r="E135" s="299">
        <f t="shared" si="9"/>
        <v>0</v>
      </c>
      <c r="F135" s="320">
        <f ca="1">OFFSET('Actual RAB roll forward'!H$21,0,D135-1)-SUM('Actual RAB roll forward'!H163:OFFSET('Actual RAB roll forward'!H163,0,Input!$W$7-1))</f>
        <v>1.3250253594920749</v>
      </c>
      <c r="G135" s="320">
        <f ca="1">IF(A10stdlife="N/A","n/a",IF(F135=0,0,A10stdlife+D135-Input!$W$7))</f>
        <v>6.2210094811319241</v>
      </c>
      <c r="H135" s="257"/>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486"/>
      <c r="D136" s="85">
        <v>2</v>
      </c>
      <c r="E136" s="299">
        <f t="shared" si="9"/>
        <v>0</v>
      </c>
      <c r="F136" s="320">
        <f ca="1">OFFSET('Actual RAB roll forward'!H$21,0,D136-1)-SUM('Actual RAB roll forward'!H164:OFFSET('Actual RAB roll forward'!H164,0,Input!$W$7-1))</f>
        <v>0</v>
      </c>
      <c r="G136" s="320">
        <f ca="1">IF(A10stdlife="N/A","n/a",IF(F136=0,0,A10stdlife+D136-Input!$W$7))</f>
        <v>0</v>
      </c>
      <c r="H136" s="257"/>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486"/>
      <c r="D137" s="85">
        <v>3</v>
      </c>
      <c r="E137" s="299">
        <f t="shared" si="9"/>
        <v>0</v>
      </c>
      <c r="F137" s="320">
        <f ca="1">OFFSET('Actual RAB roll forward'!H$21,0,D137-1)-SUM('Actual RAB roll forward'!H165:OFFSET('Actual RAB roll forward'!H165,0,Input!$W$7-1))</f>
        <v>0</v>
      </c>
      <c r="G137" s="320">
        <f ca="1">IF(A10stdlife="N/A","n/a",IF(F137=0,0,A10stdlife+D137-Input!$W$7))</f>
        <v>0</v>
      </c>
      <c r="H137" s="257"/>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486"/>
      <c r="D138" s="85">
        <v>4</v>
      </c>
      <c r="E138" s="299">
        <f t="shared" si="9"/>
        <v>0</v>
      </c>
      <c r="F138" s="320">
        <f ca="1">OFFSET('Actual RAB roll forward'!H$21,0,D138-1)-SUM('Actual RAB roll forward'!H166:OFFSET('Actual RAB roll forward'!H166,0,Input!$W$7-1))</f>
        <v>0</v>
      </c>
      <c r="G138" s="320">
        <f ca="1">IF(A10stdlife="N/A","n/a",IF(F138=0,0,A10stdlife+D138-Input!$W$7))</f>
        <v>0</v>
      </c>
      <c r="H138" s="257"/>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486"/>
      <c r="D139" s="85">
        <v>5</v>
      </c>
      <c r="E139" s="299">
        <f t="shared" si="9"/>
        <v>0</v>
      </c>
      <c r="F139" s="320">
        <f ca="1">OFFSET('Actual RAB roll forward'!H$21,0,D139-1)-SUM('Actual RAB roll forward'!H167:OFFSET('Actual RAB roll forward'!H167,0,Input!$W$7-1))</f>
        <v>0</v>
      </c>
      <c r="G139" s="320">
        <f ca="1">IF(A10stdlife="N/A","n/a",IF(F139=0,0,A10stdlife+D139-Input!$W$7))</f>
        <v>0</v>
      </c>
      <c r="H139" s="257"/>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486"/>
      <c r="D140" s="85">
        <v>6</v>
      </c>
      <c r="E140" s="299"/>
      <c r="F140" s="320">
        <f ca="1">OFFSET('Actual RAB roll forward'!H$21,0,D140-1)-SUM('Actual RAB roll forward'!H168:OFFSET('Actual RAB roll forward'!H168,0,Input!$W$7-1))</f>
        <v>0</v>
      </c>
      <c r="G140" s="320">
        <f ca="1">IF(A10stdlife="N/A","n/a",IF(F140=0,0,A10stdlife+D140-Input!$W$7))</f>
        <v>0</v>
      </c>
      <c r="H140" s="257"/>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486"/>
      <c r="D141" s="85">
        <v>7</v>
      </c>
      <c r="E141" s="299"/>
      <c r="F141" s="320">
        <f ca="1">OFFSET('Actual RAB roll forward'!H$21,0,D141-1)-SUM('Actual RAB roll forward'!H169:OFFSET('Actual RAB roll forward'!H169,0,Input!$W$7-1))</f>
        <v>0</v>
      </c>
      <c r="G141" s="320">
        <f ca="1">IF(A10stdlife="N/A","n/a",IF(F141=0,0,A10stdlife+D141-Input!$W$7))</f>
        <v>0</v>
      </c>
      <c r="H141" s="257"/>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486"/>
      <c r="D142" s="85">
        <v>8</v>
      </c>
      <c r="E142" s="299"/>
      <c r="F142" s="320">
        <f ca="1">OFFSET('Actual RAB roll forward'!H$21,0,D142-1)-SUM('Actual RAB roll forward'!H170:OFFSET('Actual RAB roll forward'!H170,0,Input!$W$7-1))</f>
        <v>0</v>
      </c>
      <c r="G142" s="320">
        <f ca="1">IF(A10stdlife="N/A","n/a",IF(F142=0,0,A10stdlife+D142-Input!$W$7))</f>
        <v>0</v>
      </c>
      <c r="H142" s="257"/>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486"/>
      <c r="D143" s="85">
        <v>9</v>
      </c>
      <c r="E143" s="299"/>
      <c r="F143" s="320">
        <f ca="1">OFFSET('Actual RAB roll forward'!H$21,0,D143-1)-SUM('Actual RAB roll forward'!H171:OFFSET('Actual RAB roll forward'!H171,0,Input!$W$7-1))</f>
        <v>0</v>
      </c>
      <c r="G143" s="320">
        <f ca="1">IF(A10stdlife="N/A","n/a",IF(F143=0,0,A10stdlife+D143-Input!$W$7))</f>
        <v>0</v>
      </c>
      <c r="H143" s="257"/>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487"/>
      <c r="D144" s="86">
        <v>10</v>
      </c>
      <c r="E144" s="299"/>
      <c r="F144" s="320">
        <f ca="1">OFFSET('Actual RAB roll forward'!H$21,0,D144-1)-SUM('Actual RAB roll forward'!H172:OFFSET('Actual RAB roll forward'!H172,0,Input!$W$7-1))</f>
        <v>0</v>
      </c>
      <c r="G144" s="320">
        <f ca="1">IF(A10stdlife="N/A","n/a",IF(F144=0,0,A10stdlife+D144-Input!$W$7))</f>
        <v>0</v>
      </c>
      <c r="H144" s="257"/>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9" t="str">
        <f>B133</f>
        <v>Total Communications</v>
      </c>
      <c r="D145" s="9"/>
      <c r="E145" s="299">
        <f>SUM(E134:E144)</f>
        <v>0</v>
      </c>
      <c r="F145" s="320">
        <f ca="1">SUM(F134:F144)</f>
        <v>50.304363092327776</v>
      </c>
      <c r="G145" s="320">
        <f ca="1">IF(F145=0,0,SUMPRODUCT(F134:F144,G134:G144)/F145)</f>
        <v>3.0798479502212994</v>
      </c>
      <c r="H145" s="257"/>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66"/>
      <c r="D146" s="9"/>
      <c r="E146" s="256"/>
      <c r="F146" s="320"/>
      <c r="G146" s="320"/>
      <c r="H146" s="257"/>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5" t="str">
        <f>Asset11</f>
        <v>System IT (dx)</v>
      </c>
      <c r="C147" s="9"/>
      <c r="D147" s="9"/>
      <c r="E147" s="36"/>
      <c r="F147" s="323"/>
      <c r="G147" s="323"/>
      <c r="H147" s="257"/>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483" t="s">
        <v>28</v>
      </c>
      <c r="D148" s="484"/>
      <c r="E148" s="299">
        <f t="shared" ref="E148:E153" si="10">Q148</f>
        <v>0</v>
      </c>
      <c r="F148" s="320">
        <f ca="1">A11value-SUM('Actual RAB roll forward'!H174:OFFSET('Actual RAB roll forward'!H174,0,Input!$W$7-1))</f>
        <v>0</v>
      </c>
      <c r="G148" s="320" t="str">
        <f>IF(A11remlife="N/A","n/a",A11remlife-Input!$W$7)</f>
        <v>n/a</v>
      </c>
      <c r="H148" s="257"/>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485" t="s">
        <v>83</v>
      </c>
      <c r="D149" s="85">
        <v>1</v>
      </c>
      <c r="E149" s="299">
        <f t="shared" si="10"/>
        <v>0</v>
      </c>
      <c r="F149" s="320">
        <f ca="1">OFFSET('Actual RAB roll forward'!H$22,0,D149-1)-SUM('Actual RAB roll forward'!H176:OFFSET('Actual RAB roll forward'!H176,0,Input!$W$7-1))</f>
        <v>12.409683543966516</v>
      </c>
      <c r="G149" s="320">
        <f ca="1">IF(A11stdlife="N/A","n/a",IF(F149=0,0,A11stdlife+D149-Input!$W$7))</f>
        <v>3</v>
      </c>
      <c r="H149" s="257"/>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486"/>
      <c r="D150" s="85">
        <v>2</v>
      </c>
      <c r="E150" s="299">
        <f t="shared" si="10"/>
        <v>0</v>
      </c>
      <c r="F150" s="320">
        <f ca="1">OFFSET('Actual RAB roll forward'!H$22,0,D150-1)-SUM('Actual RAB roll forward'!H177:OFFSET('Actual RAB roll forward'!H177,0,Input!$W$7-1))</f>
        <v>57.023996891540179</v>
      </c>
      <c r="G150" s="320">
        <f ca="1">IF(A11stdlife="N/A","n/a",IF(F150=0,0,A11stdlife+D150-Input!$W$7))</f>
        <v>4</v>
      </c>
      <c r="H150" s="257"/>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486"/>
      <c r="D151" s="85">
        <v>3</v>
      </c>
      <c r="E151" s="299">
        <f t="shared" si="10"/>
        <v>0</v>
      </c>
      <c r="F151" s="320">
        <f ca="1">OFFSET('Actual RAB roll forward'!H$22,0,D151-1)-SUM('Actual RAB roll forward'!H178:OFFSET('Actual RAB roll forward'!H178,0,Input!$W$7-1))</f>
        <v>63.144836101445513</v>
      </c>
      <c r="G151" s="320">
        <f ca="1">IF(A11stdlife="N/A","n/a",IF(F151=0,0,A11stdlife+D151-Input!$W$7))</f>
        <v>5</v>
      </c>
      <c r="H151" s="257"/>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486"/>
      <c r="D152" s="85">
        <v>4</v>
      </c>
      <c r="E152" s="299">
        <f t="shared" si="10"/>
        <v>0</v>
      </c>
      <c r="F152" s="320">
        <f ca="1">OFFSET('Actual RAB roll forward'!H$22,0,D152-1)-SUM('Actual RAB roll forward'!H179:OFFSET('Actual RAB roll forward'!H179,0,Input!$W$7-1))</f>
        <v>41.595349106515854</v>
      </c>
      <c r="G152" s="320">
        <f ca="1">IF(A11stdlife="N/A","n/a",IF(F152=0,0,A11stdlife+D152-Input!$W$7))</f>
        <v>6</v>
      </c>
      <c r="H152" s="257"/>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486"/>
      <c r="D153" s="85">
        <v>5</v>
      </c>
      <c r="E153" s="299">
        <f t="shared" si="10"/>
        <v>0</v>
      </c>
      <c r="F153" s="320">
        <f ca="1">OFFSET('Actual RAB roll forward'!H$22,0,D153-1)-SUM('Actual RAB roll forward'!H180:OFFSET('Actual RAB roll forward'!H180,0,Input!$W$7-1))</f>
        <v>8.4904217398238888</v>
      </c>
      <c r="G153" s="320">
        <f ca="1">IF(A11stdlife="N/A","n/a",IF(F153=0,0,A11stdlife+D153-Input!$W$7))</f>
        <v>7</v>
      </c>
      <c r="H153" s="257"/>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486"/>
      <c r="D154" s="85">
        <v>6</v>
      </c>
      <c r="E154" s="299"/>
      <c r="F154" s="320">
        <f ca="1">OFFSET('Actual RAB roll forward'!H$22,0,D154-1)-SUM('Actual RAB roll forward'!H181:OFFSET('Actual RAB roll forward'!H181,0,Input!$W$7-1))</f>
        <v>0</v>
      </c>
      <c r="G154" s="320">
        <f ca="1">IF(A11stdlife="N/A","n/a",IF(F154=0,0,A11stdlife+D154-Input!$W$7))</f>
        <v>0</v>
      </c>
      <c r="H154" s="257"/>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486"/>
      <c r="D155" s="85">
        <v>7</v>
      </c>
      <c r="E155" s="299"/>
      <c r="F155" s="320">
        <f ca="1">OFFSET('Actual RAB roll forward'!H$22,0,D155-1)-SUM('Actual RAB roll forward'!H182:OFFSET('Actual RAB roll forward'!H182,0,Input!$W$7-1))</f>
        <v>0</v>
      </c>
      <c r="G155" s="320">
        <f ca="1">IF(A11stdlife="N/A","n/a",IF(F155=0,0,A11stdlife+D155-Input!$W$7))</f>
        <v>0</v>
      </c>
      <c r="H155" s="257"/>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486"/>
      <c r="D156" s="85">
        <v>8</v>
      </c>
      <c r="E156" s="299"/>
      <c r="F156" s="320">
        <f ca="1">OFFSET('Actual RAB roll forward'!H$22,0,D156-1)-SUM('Actual RAB roll forward'!H183:OFFSET('Actual RAB roll forward'!H183,0,Input!$W$7-1))</f>
        <v>0</v>
      </c>
      <c r="G156" s="320">
        <f ca="1">IF(A11stdlife="N/A","n/a",IF(F156=0,0,A11stdlife+D156-Input!$W$7))</f>
        <v>0</v>
      </c>
      <c r="H156" s="257"/>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486"/>
      <c r="D157" s="85">
        <v>9</v>
      </c>
      <c r="E157" s="299"/>
      <c r="F157" s="320">
        <f ca="1">OFFSET('Actual RAB roll forward'!H$22,0,D157-1)-SUM('Actual RAB roll forward'!H184:OFFSET('Actual RAB roll forward'!H184,0,Input!$W$7-1))</f>
        <v>0</v>
      </c>
      <c r="G157" s="320">
        <f ca="1">IF(A11stdlife="N/A","n/a",IF(F157=0,0,A11stdlife+D157-Input!$W$7))</f>
        <v>0</v>
      </c>
      <c r="H157" s="257"/>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487"/>
      <c r="D158" s="86">
        <v>10</v>
      </c>
      <c r="E158" s="299"/>
      <c r="F158" s="320">
        <f ca="1">OFFSET('Actual RAB roll forward'!H$22,0,D158-1)-SUM('Actual RAB roll forward'!H185:OFFSET('Actual RAB roll forward'!H185,0,Input!$W$7-1))</f>
        <v>0</v>
      </c>
      <c r="G158" s="320">
        <f ca="1">IF(A11stdlife="N/A","n/a",IF(F158=0,0,A11stdlife+D158-Input!$W$7))</f>
        <v>0</v>
      </c>
      <c r="H158" s="257"/>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9" t="str">
        <f>B147</f>
        <v>System IT (dx)</v>
      </c>
      <c r="D159" s="9"/>
      <c r="E159" s="299">
        <f>SUM(E148:E158)</f>
        <v>0</v>
      </c>
      <c r="F159" s="320">
        <f ca="1">SUM(F148:F158)</f>
        <v>182.66428738329193</v>
      </c>
      <c r="G159" s="320">
        <f ca="1">IF(F159=0,0,SUMPRODUCT(F148:F158,G148:G158)/F159)</f>
        <v>4.8726233150080009</v>
      </c>
      <c r="H159" s="257"/>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66"/>
      <c r="D160" s="9"/>
      <c r="E160" s="256"/>
      <c r="F160" s="320"/>
      <c r="G160" s="320"/>
      <c r="H160" s="257"/>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5" t="str">
        <f>Asset12</f>
        <v>Ancillary substation equipment (dx)</v>
      </c>
      <c r="C161" s="9"/>
      <c r="D161" s="9"/>
      <c r="E161" s="36"/>
      <c r="F161" s="323"/>
      <c r="G161" s="323"/>
      <c r="H161" s="257"/>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483" t="s">
        <v>28</v>
      </c>
      <c r="D162" s="484"/>
      <c r="E162" s="299">
        <f t="shared" ref="E162:E167" si="11">Q162</f>
        <v>0</v>
      </c>
      <c r="F162" s="320">
        <f ca="1">A12value-SUM('Actual RAB roll forward'!H187:OFFSET('Actual RAB roll forward'!H187,0,Input!$W$7-1))</f>
        <v>0</v>
      </c>
      <c r="G162" s="320" t="str">
        <f>IF(A12remlife="N/A","n/a",A12remlife-Input!$W$7)</f>
        <v>n/a</v>
      </c>
      <c r="H162" s="257"/>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485" t="s">
        <v>83</v>
      </c>
      <c r="D163" s="85">
        <v>1</v>
      </c>
      <c r="E163" s="299">
        <f t="shared" si="11"/>
        <v>0</v>
      </c>
      <c r="F163" s="320">
        <f ca="1">OFFSET('Actual RAB roll forward'!H$23,0,D163-1)-SUM('Actual RAB roll forward'!H189:OFFSET('Actual RAB roll forward'!H189,0,Input!$W$7-1))</f>
        <v>19.828875061472218</v>
      </c>
      <c r="G163" s="320">
        <f ca="1">IF(A12stdlife="N/A","n/a",IF(F163=0,0,A12stdlife+D163-Input!$W$7))</f>
        <v>11</v>
      </c>
      <c r="H163" s="257"/>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486"/>
      <c r="D164" s="85">
        <v>2</v>
      </c>
      <c r="E164" s="299">
        <f t="shared" si="11"/>
        <v>0</v>
      </c>
      <c r="F164" s="320">
        <f ca="1">OFFSET('Actual RAB roll forward'!H$23,0,D164-1)-SUM('Actual RAB roll forward'!H190:OFFSET('Actual RAB roll forward'!H190,0,Input!$W$7-1))</f>
        <v>5.5198693379225769</v>
      </c>
      <c r="G164" s="320">
        <f ca="1">IF(A12stdlife="N/A","n/a",IF(F164=0,0,A12stdlife+D164-Input!$W$7))</f>
        <v>12</v>
      </c>
      <c r="H164" s="257"/>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486"/>
      <c r="D165" s="85">
        <v>3</v>
      </c>
      <c r="E165" s="299">
        <f t="shared" si="11"/>
        <v>0</v>
      </c>
      <c r="F165" s="320">
        <f ca="1">OFFSET('Actual RAB roll forward'!H$23,0,D165-1)-SUM('Actual RAB roll forward'!H191:OFFSET('Actual RAB roll forward'!H191,0,Input!$W$7-1))</f>
        <v>12.115507374875792</v>
      </c>
      <c r="G165" s="320">
        <f ca="1">IF(A12stdlife="N/A","n/a",IF(F165=0,0,A12stdlife+D165-Input!$W$7))</f>
        <v>13</v>
      </c>
      <c r="H165" s="257"/>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486"/>
      <c r="D166" s="85">
        <v>4</v>
      </c>
      <c r="E166" s="299">
        <f t="shared" si="11"/>
        <v>0</v>
      </c>
      <c r="F166" s="320">
        <f ca="1">OFFSET('Actual RAB roll forward'!H$23,0,D166-1)-SUM('Actual RAB roll forward'!H192:OFFSET('Actual RAB roll forward'!H192,0,Input!$W$7-1))</f>
        <v>7.6202792904113243</v>
      </c>
      <c r="G166" s="320">
        <f ca="1">IF(A12stdlife="N/A","n/a",IF(F166=0,0,A12stdlife+D166-Input!$W$7))</f>
        <v>14</v>
      </c>
      <c r="H166" s="257"/>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486"/>
      <c r="D167" s="85">
        <v>5</v>
      </c>
      <c r="E167" s="299">
        <f t="shared" si="11"/>
        <v>0</v>
      </c>
      <c r="F167" s="320">
        <f ca="1">OFFSET('Actual RAB roll forward'!H$23,0,D167-1)-SUM('Actual RAB roll forward'!H193:OFFSET('Actual RAB roll forward'!H193,0,Input!$W$7-1))</f>
        <v>4.7765807090343673</v>
      </c>
      <c r="G167" s="320">
        <f ca="1">IF(A12stdlife="N/A","n/a",IF(F167=0,0,A12stdlife+D167-Input!$W$7))</f>
        <v>15</v>
      </c>
      <c r="H167" s="257"/>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486"/>
      <c r="D168" s="85">
        <v>6</v>
      </c>
      <c r="E168" s="299"/>
      <c r="F168" s="320">
        <f ca="1">OFFSET('Actual RAB roll forward'!H$23,0,D168-1)-SUM('Actual RAB roll forward'!H194:OFFSET('Actual RAB roll forward'!H194,0,Input!$W$7-1))</f>
        <v>0</v>
      </c>
      <c r="G168" s="320">
        <f ca="1">IF(A12stdlife="N/A","n/a",IF(F168=0,0,A12stdlife+D168-Input!$W$7))</f>
        <v>0</v>
      </c>
      <c r="H168" s="257"/>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486"/>
      <c r="D169" s="85">
        <v>7</v>
      </c>
      <c r="E169" s="299"/>
      <c r="F169" s="320">
        <f ca="1">OFFSET('Actual RAB roll forward'!H$23,0,D169-1)-SUM('Actual RAB roll forward'!H195:OFFSET('Actual RAB roll forward'!H195,0,Input!$W$7-1))</f>
        <v>0</v>
      </c>
      <c r="G169" s="320">
        <f ca="1">IF(A12stdlife="N/A","n/a",IF(F169=0,0,A12stdlife+D169-Input!$W$7))</f>
        <v>0</v>
      </c>
      <c r="H169" s="257"/>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486"/>
      <c r="D170" s="85">
        <v>8</v>
      </c>
      <c r="E170" s="299"/>
      <c r="F170" s="320">
        <f ca="1">OFFSET('Actual RAB roll forward'!H$23,0,D170-1)-SUM('Actual RAB roll forward'!H196:OFFSET('Actual RAB roll forward'!H196,0,Input!$W$7-1))</f>
        <v>0</v>
      </c>
      <c r="G170" s="320">
        <f ca="1">IF(A12stdlife="N/A","n/a",IF(F170=0,0,A12stdlife+D170-Input!$W$7))</f>
        <v>0</v>
      </c>
      <c r="H170" s="257"/>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486"/>
      <c r="D171" s="85">
        <v>9</v>
      </c>
      <c r="E171" s="299"/>
      <c r="F171" s="320">
        <f ca="1">OFFSET('Actual RAB roll forward'!H$23,0,D171-1)-SUM('Actual RAB roll forward'!H197:OFFSET('Actual RAB roll forward'!H197,0,Input!$W$7-1))</f>
        <v>0</v>
      </c>
      <c r="G171" s="320">
        <f ca="1">IF(A12stdlife="N/A","n/a",IF(F171=0,0,A12stdlife+D171-Input!$W$7))</f>
        <v>0</v>
      </c>
      <c r="H171" s="257"/>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487"/>
      <c r="D172" s="86">
        <v>10</v>
      </c>
      <c r="E172" s="299"/>
      <c r="F172" s="320">
        <f ca="1">OFFSET('Actual RAB roll forward'!H$23,0,D172-1)-SUM('Actual RAB roll forward'!H198:OFFSET('Actual RAB roll forward'!H198,0,Input!$W$7-1))</f>
        <v>0</v>
      </c>
      <c r="G172" s="320">
        <f ca="1">IF(A12stdlife="N/A","n/a",IF(F172=0,0,A12stdlife+D172-Input!$W$7))</f>
        <v>0</v>
      </c>
      <c r="H172" s="257"/>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9" t="str">
        <f>B161</f>
        <v>Ancillary substation equipment (dx)</v>
      </c>
      <c r="D173" s="9"/>
      <c r="E173" s="299">
        <f>SUM(E162:E172)</f>
        <v>0</v>
      </c>
      <c r="F173" s="320">
        <f ca="1">SUM(F162:F172)</f>
        <v>49.861111773716281</v>
      </c>
      <c r="G173" s="320">
        <f ca="1">IF(F173=0,0,SUMPRODUCT(F162:F172,G162:G172)/F173)</f>
        <v>12.438356311036991</v>
      </c>
      <c r="H173" s="257"/>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66"/>
      <c r="D174" s="9"/>
      <c r="E174" s="256"/>
      <c r="F174" s="320"/>
      <c r="G174" s="320"/>
      <c r="H174" s="257"/>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5" t="str">
        <f>Asset13</f>
        <v>Land and Easements</v>
      </c>
      <c r="C175" s="9"/>
      <c r="D175" s="9"/>
      <c r="E175" s="36"/>
      <c r="F175" s="323"/>
      <c r="G175" s="323"/>
      <c r="H175" s="257"/>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483" t="s">
        <v>28</v>
      </c>
      <c r="D176" s="484"/>
      <c r="E176" s="299">
        <f t="shared" ref="E176:E181" si="12">Q176</f>
        <v>0</v>
      </c>
      <c r="F176" s="320">
        <f ca="1">A13value-SUM('Actual RAB roll forward'!H200:OFFSET('Actual RAB roll forward'!H200,0,Input!$W$7-1))</f>
        <v>488.33356293711495</v>
      </c>
      <c r="G176" s="320" t="str">
        <f>IF(A13remlife="N/A","n/a",A13remlife-Input!$W$7)</f>
        <v>n/a</v>
      </c>
      <c r="H176" s="257"/>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485" t="s">
        <v>83</v>
      </c>
      <c r="D177" s="85">
        <v>1</v>
      </c>
      <c r="E177" s="299">
        <f t="shared" si="12"/>
        <v>0</v>
      </c>
      <c r="F177" s="320">
        <f ca="1">OFFSET('Actual RAB roll forward'!H$24,0,D177-1)-SUM('Actual RAB roll forward'!H202:OFFSET('Actual RAB roll forward'!H202,0,Input!$W$7-1))</f>
        <v>33.10680992426763</v>
      </c>
      <c r="G177" s="320" t="str">
        <f>IF(A13stdlife="N/A","n/a",IF(F177=0,0,A13stdlife+D177-Input!$W$7))</f>
        <v>n/a</v>
      </c>
      <c r="H177" s="257"/>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486"/>
      <c r="D178" s="85">
        <v>2</v>
      </c>
      <c r="E178" s="299">
        <f t="shared" si="12"/>
        <v>0</v>
      </c>
      <c r="F178" s="320">
        <f ca="1">OFFSET('Actual RAB roll forward'!H$24,0,D178-1)-SUM('Actual RAB roll forward'!H203:OFFSET('Actual RAB roll forward'!H203,0,Input!$W$7-1))</f>
        <v>16.260668684212643</v>
      </c>
      <c r="G178" s="320" t="str">
        <f>IF(A13stdlife="N/A","n/a",IF(F178=0,0,A13stdlife+D178-Input!$W$7))</f>
        <v>n/a</v>
      </c>
      <c r="H178" s="257"/>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486"/>
      <c r="D179" s="85">
        <v>3</v>
      </c>
      <c r="E179" s="299">
        <f t="shared" si="12"/>
        <v>0</v>
      </c>
      <c r="F179" s="320">
        <f ca="1">OFFSET('Actual RAB roll forward'!H$24,0,D179-1)-SUM('Actual RAB roll forward'!H204:OFFSET('Actual RAB roll forward'!H204,0,Input!$W$7-1))</f>
        <v>14.67736575249223</v>
      </c>
      <c r="G179" s="320" t="str">
        <f>IF(A13stdlife="N/A","n/a",IF(F179=0,0,A13stdlife+D179-Input!$W$7))</f>
        <v>n/a</v>
      </c>
      <c r="H179" s="257"/>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486"/>
      <c r="D180" s="85">
        <v>4</v>
      </c>
      <c r="E180" s="299">
        <f t="shared" si="12"/>
        <v>0</v>
      </c>
      <c r="F180" s="320">
        <f ca="1">OFFSET('Actual RAB roll forward'!H$24,0,D180-1)-SUM('Actual RAB roll forward'!H205:OFFSET('Actual RAB roll forward'!H205,0,Input!$W$7-1))</f>
        <v>8.9317895022162386</v>
      </c>
      <c r="G180" s="320" t="str">
        <f>IF(A13stdlife="N/A","n/a",IF(F180=0,0,A13stdlife+D180-Input!$W$7))</f>
        <v>n/a</v>
      </c>
      <c r="H180" s="257"/>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486"/>
      <c r="D181" s="85">
        <v>5</v>
      </c>
      <c r="E181" s="299">
        <f t="shared" si="12"/>
        <v>0</v>
      </c>
      <c r="F181" s="320">
        <f ca="1">OFFSET('Actual RAB roll forward'!H$24,0,D181-1)-SUM('Actual RAB roll forward'!H206:OFFSET('Actual RAB roll forward'!H206,0,Input!$W$7-1))</f>
        <v>6.6653888935533558</v>
      </c>
      <c r="G181" s="320" t="str">
        <f>IF(A13stdlife="N/A","n/a",IF(F181=0,0,A13stdlife+D181-Input!$W$7))</f>
        <v>n/a</v>
      </c>
      <c r="H181" s="257"/>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486"/>
      <c r="D182" s="85">
        <v>6</v>
      </c>
      <c r="E182" s="299"/>
      <c r="F182" s="320">
        <f ca="1">OFFSET('Actual RAB roll forward'!H$24,0,D182-1)-SUM('Actual RAB roll forward'!H207:OFFSET('Actual RAB roll forward'!H207,0,Input!$W$7-1))</f>
        <v>0</v>
      </c>
      <c r="G182" s="320" t="str">
        <f>IF(A13stdlife="N/A","n/a",IF(F182=0,0,A13stdlife+D182-Input!$W$7))</f>
        <v>n/a</v>
      </c>
      <c r="H182" s="257"/>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486"/>
      <c r="D183" s="85">
        <v>7</v>
      </c>
      <c r="E183" s="299"/>
      <c r="F183" s="320">
        <f ca="1">OFFSET('Actual RAB roll forward'!H$24,0,D183-1)-SUM('Actual RAB roll forward'!H208:OFFSET('Actual RAB roll forward'!H208,0,Input!$W$7-1))</f>
        <v>0</v>
      </c>
      <c r="G183" s="320" t="str">
        <f>IF(A13stdlife="N/A","n/a",IF(F183=0,0,A13stdlife+D183-Input!$W$7))</f>
        <v>n/a</v>
      </c>
      <c r="H183" s="257"/>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486"/>
      <c r="D184" s="85">
        <v>8</v>
      </c>
      <c r="E184" s="299"/>
      <c r="F184" s="320">
        <f ca="1">OFFSET('Actual RAB roll forward'!H$24,0,D184-1)-SUM('Actual RAB roll forward'!H209:OFFSET('Actual RAB roll forward'!H209,0,Input!$W$7-1))</f>
        <v>0</v>
      </c>
      <c r="G184" s="320" t="str">
        <f>IF(A13stdlife="N/A","n/a",IF(F184=0,0,A13stdlife+D184-Input!$W$7))</f>
        <v>n/a</v>
      </c>
      <c r="H184" s="257"/>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486"/>
      <c r="D185" s="85">
        <v>9</v>
      </c>
      <c r="E185" s="299"/>
      <c r="F185" s="320">
        <f ca="1">OFFSET('Actual RAB roll forward'!H$24,0,D185-1)-SUM('Actual RAB roll forward'!H210:OFFSET('Actual RAB roll forward'!H210,0,Input!$W$7-1))</f>
        <v>0</v>
      </c>
      <c r="G185" s="320" t="str">
        <f>IF(A13stdlife="N/A","n/a",IF(F185=0,0,A13stdlife+D185-Input!$W$7))</f>
        <v>n/a</v>
      </c>
      <c r="H185" s="257"/>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487"/>
      <c r="D186" s="86">
        <v>10</v>
      </c>
      <c r="E186" s="299"/>
      <c r="F186" s="320">
        <f ca="1">OFFSET('Actual RAB roll forward'!H$24,0,D186-1)-SUM('Actual RAB roll forward'!H211:OFFSET('Actual RAB roll forward'!H211,0,Input!$W$7-1))</f>
        <v>0</v>
      </c>
      <c r="G186" s="320" t="str">
        <f>IF(A13stdlife="N/A","n/a",IF(F186=0,0,A13stdlife+D186-Input!$W$7))</f>
        <v>n/a</v>
      </c>
      <c r="H186" s="257"/>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9" t="str">
        <f>B175</f>
        <v>Land and Easements</v>
      </c>
      <c r="D187" s="9"/>
      <c r="E187" s="299">
        <f>SUM(E176:E186)</f>
        <v>0</v>
      </c>
      <c r="F187" s="320">
        <f ca="1">SUM(F176:F186)</f>
        <v>567.97558569385706</v>
      </c>
      <c r="G187" s="320">
        <f ca="1">IF(F187=0,0,SUMPRODUCT(F176:F186,G176:G186)/F187)</f>
        <v>0</v>
      </c>
      <c r="H187" s="257"/>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66"/>
      <c r="D188" s="9"/>
      <c r="E188" s="256"/>
      <c r="F188" s="320"/>
      <c r="G188" s="320"/>
      <c r="H188" s="257"/>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5" t="str">
        <f>Asset14</f>
        <v>Emergency Spares (Major Plant, Excludes Inventory)</v>
      </c>
      <c r="C189" s="9"/>
      <c r="D189" s="9"/>
      <c r="E189" s="36"/>
      <c r="F189" s="323"/>
      <c r="G189" s="323"/>
      <c r="H189" s="257"/>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483" t="s">
        <v>28</v>
      </c>
      <c r="D190" s="484"/>
      <c r="E190" s="299">
        <f t="shared" ref="E190:E195" si="13">Q190</f>
        <v>0</v>
      </c>
      <c r="F190" s="320">
        <f ca="1">A14value-SUM('Actual RAB roll forward'!H213:OFFSET('Actual RAB roll forward'!H213,0,Input!$W$7-1))</f>
        <v>39.386044523966696</v>
      </c>
      <c r="G190" s="320" t="str">
        <f>IF(A14remlife="N/A","n/a",A14remlife-Input!$W$7)</f>
        <v>n/a</v>
      </c>
      <c r="H190" s="257"/>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485" t="s">
        <v>83</v>
      </c>
      <c r="D191" s="85">
        <v>1</v>
      </c>
      <c r="E191" s="299">
        <f t="shared" si="13"/>
        <v>0</v>
      </c>
      <c r="F191" s="320">
        <f ca="1">OFFSET('Actual RAB roll forward'!H$25,0,D191-1)-SUM('Actual RAB roll forward'!H215:OFFSET('Actual RAB roll forward'!H215,0,Input!$W$7-1))</f>
        <v>0</v>
      </c>
      <c r="G191" s="320" t="str">
        <f>IF(A14stdlife="N/A","n/a",IF(F191=0,0,A14stdlife+D191-Input!$W$7))</f>
        <v>n/a</v>
      </c>
      <c r="H191" s="257"/>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486"/>
      <c r="D192" s="85">
        <v>2</v>
      </c>
      <c r="E192" s="299">
        <f t="shared" si="13"/>
        <v>0</v>
      </c>
      <c r="F192" s="320">
        <f ca="1">OFFSET('Actual RAB roll forward'!H$25,0,D192-1)-SUM('Actual RAB roll forward'!H216:OFFSET('Actual RAB roll forward'!H216,0,Input!$W$7-1))</f>
        <v>0</v>
      </c>
      <c r="G192" s="320" t="str">
        <f>IF(A14stdlife="N/A","n/a",IF(F192=0,0,A14stdlife+D192-Input!$W$7))</f>
        <v>n/a</v>
      </c>
      <c r="H192" s="257"/>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486"/>
      <c r="D193" s="85">
        <v>3</v>
      </c>
      <c r="E193" s="299">
        <f t="shared" si="13"/>
        <v>0</v>
      </c>
      <c r="F193" s="320">
        <f ca="1">OFFSET('Actual RAB roll forward'!H$25,0,D193-1)-SUM('Actual RAB roll forward'!H217:OFFSET('Actual RAB roll forward'!H217,0,Input!$W$7-1))</f>
        <v>0</v>
      </c>
      <c r="G193" s="320" t="str">
        <f>IF(A14stdlife="N/A","n/a",IF(F193=0,0,A14stdlife+D193-Input!$W$7))</f>
        <v>n/a</v>
      </c>
      <c r="H193" s="257"/>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486"/>
      <c r="D194" s="85">
        <v>4</v>
      </c>
      <c r="E194" s="299">
        <f t="shared" si="13"/>
        <v>0</v>
      </c>
      <c r="F194" s="320">
        <f ca="1">OFFSET('Actual RAB roll forward'!H$25,0,D194-1)-SUM('Actual RAB roll forward'!H218:OFFSET('Actual RAB roll forward'!H218,0,Input!$W$7-1))</f>
        <v>0</v>
      </c>
      <c r="G194" s="320" t="str">
        <f>IF(A14stdlife="N/A","n/a",IF(F194=0,0,A14stdlife+D194-Input!$W$7))</f>
        <v>n/a</v>
      </c>
      <c r="H194" s="257"/>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486"/>
      <c r="D195" s="85">
        <v>5</v>
      </c>
      <c r="E195" s="299">
        <f t="shared" si="13"/>
        <v>0</v>
      </c>
      <c r="F195" s="320">
        <f ca="1">OFFSET('Actual RAB roll forward'!H$25,0,D195-1)-SUM('Actual RAB roll forward'!H219:OFFSET('Actual RAB roll forward'!H219,0,Input!$W$7-1))</f>
        <v>0</v>
      </c>
      <c r="G195" s="320" t="str">
        <f>IF(A14stdlife="N/A","n/a",IF(F195=0,0,A14stdlife+D195-Input!$W$7))</f>
        <v>n/a</v>
      </c>
      <c r="H195" s="257"/>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486"/>
      <c r="D196" s="85">
        <v>6</v>
      </c>
      <c r="E196" s="299"/>
      <c r="F196" s="320">
        <f ca="1">OFFSET('Actual RAB roll forward'!H$25,0,D196-1)-SUM('Actual RAB roll forward'!H220:OFFSET('Actual RAB roll forward'!H220,0,Input!$W$7-1))</f>
        <v>0</v>
      </c>
      <c r="G196" s="320" t="str">
        <f>IF(A14stdlife="N/A","n/a",IF(F196=0,0,A14stdlife+D196-Input!$W$7))</f>
        <v>n/a</v>
      </c>
      <c r="H196" s="257"/>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486"/>
      <c r="D197" s="85">
        <v>7</v>
      </c>
      <c r="E197" s="299"/>
      <c r="F197" s="320">
        <f ca="1">OFFSET('Actual RAB roll forward'!H$25,0,D197-1)-SUM('Actual RAB roll forward'!H221:OFFSET('Actual RAB roll forward'!H221,0,Input!$W$7-1))</f>
        <v>0</v>
      </c>
      <c r="G197" s="320" t="str">
        <f>IF(A14stdlife="N/A","n/a",IF(F197=0,0,A14stdlife+D197-Input!$W$7))</f>
        <v>n/a</v>
      </c>
      <c r="H197" s="257"/>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486"/>
      <c r="D198" s="85">
        <v>8</v>
      </c>
      <c r="E198" s="299"/>
      <c r="F198" s="320">
        <f ca="1">OFFSET('Actual RAB roll forward'!H$25,0,D198-1)-SUM('Actual RAB roll forward'!H222:OFFSET('Actual RAB roll forward'!H222,0,Input!$W$7-1))</f>
        <v>0</v>
      </c>
      <c r="G198" s="320" t="str">
        <f>IF(A14stdlife="N/A","n/a",IF(F198=0,0,A14stdlife+D198-Input!$W$7))</f>
        <v>n/a</v>
      </c>
      <c r="H198" s="257"/>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486"/>
      <c r="D199" s="85">
        <v>9</v>
      </c>
      <c r="E199" s="299"/>
      <c r="F199" s="320">
        <f ca="1">OFFSET('Actual RAB roll forward'!H$25,0,D199-1)-SUM('Actual RAB roll forward'!H223:OFFSET('Actual RAB roll forward'!H223,0,Input!$W$7-1))</f>
        <v>0</v>
      </c>
      <c r="G199" s="320" t="str">
        <f>IF(A14stdlife="N/A","n/a",IF(F199=0,0,A14stdlife+D199-Input!$W$7))</f>
        <v>n/a</v>
      </c>
      <c r="H199" s="257"/>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487"/>
      <c r="D200" s="86">
        <v>10</v>
      </c>
      <c r="E200" s="299"/>
      <c r="F200" s="320">
        <f ca="1">OFFSET('Actual RAB roll forward'!H$25,0,D200-1)-SUM('Actual RAB roll forward'!H224:OFFSET('Actual RAB roll forward'!H224,0,Input!$W$7-1))</f>
        <v>0</v>
      </c>
      <c r="G200" s="320" t="str">
        <f>IF(A14stdlife="N/A","n/a",IF(F200=0,0,A14stdlife+D200-Input!$W$7))</f>
        <v>n/a</v>
      </c>
      <c r="H200" s="257"/>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9" t="str">
        <f>B189</f>
        <v>Emergency Spares (Major Plant, Excludes Inventory)</v>
      </c>
      <c r="D201" s="9"/>
      <c r="E201" s="299">
        <f>SUM(E190:E200)</f>
        <v>0</v>
      </c>
      <c r="F201" s="320">
        <f ca="1">SUM(F190:F200)</f>
        <v>39.386044523966696</v>
      </c>
      <c r="G201" s="320">
        <f ca="1">IF(F201=0,0,SUMPRODUCT(F190:F200,G190:G200)/F201)</f>
        <v>0</v>
      </c>
      <c r="H201" s="257"/>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66"/>
      <c r="D202" s="9"/>
      <c r="E202" s="256"/>
      <c r="F202" s="320"/>
      <c r="G202" s="320"/>
      <c r="H202" s="257"/>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5" t="str">
        <f>Asset15</f>
        <v>Furniture, fittings, plant and equipment</v>
      </c>
      <c r="C203" s="9"/>
      <c r="D203" s="9"/>
      <c r="E203" s="36"/>
      <c r="F203" s="323"/>
      <c r="G203" s="323"/>
      <c r="H203" s="257"/>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483" t="s">
        <v>28</v>
      </c>
      <c r="D204" s="484"/>
      <c r="E204" s="299">
        <f t="shared" ref="E204:E209" si="14">Q204</f>
        <v>0</v>
      </c>
      <c r="F204" s="320">
        <f ca="1">A15value-SUM('Actual RAB roll forward'!H226:OFFSET('Actual RAB roll forward'!H226,0,Input!$W$7-1))</f>
        <v>17.865900033889893</v>
      </c>
      <c r="G204" s="320">
        <f>IF(A15remlife="N/A","n/a",A15remlife-Input!$W$7)</f>
        <v>8.9019209872277649</v>
      </c>
      <c r="H204" s="257"/>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485" t="s">
        <v>83</v>
      </c>
      <c r="D205" s="85">
        <v>1</v>
      </c>
      <c r="E205" s="299">
        <f t="shared" si="14"/>
        <v>0</v>
      </c>
      <c r="F205" s="320">
        <f ca="1">OFFSET('Actual RAB roll forward'!H$26,0,D205-1)-SUM('Actual RAB roll forward'!H228:OFFSET('Actual RAB roll forward'!H228,0,Input!$W$7-1))</f>
        <v>5.4585863508872832</v>
      </c>
      <c r="G205" s="320">
        <f ca="1">IF(A15stdlife="N/A","n/a",IF(F205=0,0,A15stdlife+D205-Input!$W$7))</f>
        <v>13.439221952066688</v>
      </c>
      <c r="H205" s="257"/>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486"/>
      <c r="D206" s="85">
        <v>2</v>
      </c>
      <c r="E206" s="299">
        <f t="shared" si="14"/>
        <v>0</v>
      </c>
      <c r="F206" s="320">
        <f ca="1">OFFSET('Actual RAB roll forward'!H$26,0,D206-1)-SUM('Actual RAB roll forward'!H229:OFFSET('Actual RAB roll forward'!H229,0,Input!$W$7-1))</f>
        <v>5.395292185096463</v>
      </c>
      <c r="G206" s="320">
        <f ca="1">IF(A15stdlife="N/A","n/a",IF(F206=0,0,A15stdlife+D206-Input!$W$7))</f>
        <v>14.439221952066688</v>
      </c>
      <c r="H206" s="257"/>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486"/>
      <c r="D207" s="85">
        <v>3</v>
      </c>
      <c r="E207" s="299">
        <f t="shared" si="14"/>
        <v>0</v>
      </c>
      <c r="F207" s="320">
        <f ca="1">OFFSET('Actual RAB roll forward'!H$26,0,D207-1)-SUM('Actual RAB roll forward'!H230:OFFSET('Actual RAB roll forward'!H230,0,Input!$W$7-1))</f>
        <v>5.7960682225896409</v>
      </c>
      <c r="G207" s="320">
        <f ca="1">IF(A15stdlife="N/A","n/a",IF(F207=0,0,A15stdlife+D207-Input!$W$7))</f>
        <v>15.439221952066688</v>
      </c>
      <c r="H207" s="257"/>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486"/>
      <c r="D208" s="85">
        <v>4</v>
      </c>
      <c r="E208" s="299">
        <f t="shared" si="14"/>
        <v>0</v>
      </c>
      <c r="F208" s="320">
        <f ca="1">OFFSET('Actual RAB roll forward'!H$26,0,D208-1)-SUM('Actual RAB roll forward'!H231:OFFSET('Actual RAB roll forward'!H231,0,Input!$W$7-1))</f>
        <v>3.6697719472895733</v>
      </c>
      <c r="G208" s="320">
        <f ca="1">IF(A15stdlife="N/A","n/a",IF(F208=0,0,A15stdlife+D208-Input!$W$7))</f>
        <v>16.439221952066688</v>
      </c>
      <c r="H208" s="257"/>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486"/>
      <c r="D209" s="85">
        <v>5</v>
      </c>
      <c r="E209" s="299">
        <f t="shared" si="14"/>
        <v>0</v>
      </c>
      <c r="F209" s="320">
        <f ca="1">OFFSET('Actual RAB roll forward'!H$26,0,D209-1)-SUM('Actual RAB roll forward'!H232:OFFSET('Actual RAB roll forward'!H232,0,Input!$W$7-1))</f>
        <v>3.5131689135340793</v>
      </c>
      <c r="G209" s="320">
        <f ca="1">IF(A15stdlife="N/A","n/a",IF(F209=0,0,A15stdlife+D209-Input!$W$7))</f>
        <v>17.439221952066688</v>
      </c>
      <c r="H209" s="257"/>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486"/>
      <c r="D210" s="85">
        <v>6</v>
      </c>
      <c r="E210" s="299"/>
      <c r="F210" s="320">
        <f ca="1">OFFSET('Actual RAB roll forward'!H$26,0,D210-1)-SUM('Actual RAB roll forward'!H233:OFFSET('Actual RAB roll forward'!H233,0,Input!$W$7-1))</f>
        <v>0</v>
      </c>
      <c r="G210" s="320">
        <f ca="1">IF(A15stdlife="N/A","n/a",IF(F210=0,0,A15stdlife+D210-Input!$W$7))</f>
        <v>0</v>
      </c>
      <c r="H210" s="257"/>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486"/>
      <c r="D211" s="85">
        <v>7</v>
      </c>
      <c r="E211" s="299"/>
      <c r="F211" s="320">
        <f ca="1">OFFSET('Actual RAB roll forward'!H$26,0,D211-1)-SUM('Actual RAB roll forward'!H234:OFFSET('Actual RAB roll forward'!H234,0,Input!$W$7-1))</f>
        <v>0</v>
      </c>
      <c r="G211" s="320">
        <f ca="1">IF(A15stdlife="N/A","n/a",IF(F211=0,0,A15stdlife+D211-Input!$W$7))</f>
        <v>0</v>
      </c>
      <c r="H211" s="257"/>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486"/>
      <c r="D212" s="85">
        <v>8</v>
      </c>
      <c r="E212" s="299"/>
      <c r="F212" s="320">
        <f ca="1">OFFSET('Actual RAB roll forward'!H$26,0,D212-1)-SUM('Actual RAB roll forward'!H235:OFFSET('Actual RAB roll forward'!H235,0,Input!$W$7-1))</f>
        <v>0</v>
      </c>
      <c r="G212" s="320">
        <f ca="1">IF(A15stdlife="N/A","n/a",IF(F212=0,0,A15stdlife+D212-Input!$W$7))</f>
        <v>0</v>
      </c>
      <c r="H212" s="257"/>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486"/>
      <c r="D213" s="85">
        <v>9</v>
      </c>
      <c r="E213" s="299"/>
      <c r="F213" s="320">
        <f ca="1">OFFSET('Actual RAB roll forward'!H$26,0,D213-1)-SUM('Actual RAB roll forward'!H236:OFFSET('Actual RAB roll forward'!H236,0,Input!$W$7-1))</f>
        <v>0</v>
      </c>
      <c r="G213" s="320">
        <f ca="1">IF(A15stdlife="N/A","n/a",IF(F213=0,0,A15stdlife+D213-Input!$W$7))</f>
        <v>0</v>
      </c>
      <c r="H213" s="257"/>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487"/>
      <c r="D214" s="86">
        <v>10</v>
      </c>
      <c r="E214" s="299"/>
      <c r="F214" s="320">
        <f ca="1">OFFSET('Actual RAB roll forward'!H$26,0,D214-1)-SUM('Actual RAB roll forward'!H237:OFFSET('Actual RAB roll forward'!H237,0,Input!$W$7-1))</f>
        <v>0</v>
      </c>
      <c r="G214" s="320">
        <f ca="1">IF(A15stdlife="N/A","n/a",IF(F214=0,0,A15stdlife+D214-Input!$W$7))</f>
        <v>0</v>
      </c>
      <c r="H214" s="257"/>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9" t="str">
        <f>B203</f>
        <v>Furniture, fittings, plant and equipment</v>
      </c>
      <c r="D215" s="9"/>
      <c r="E215" s="299">
        <f>SUM(E204:E214)</f>
        <v>0</v>
      </c>
      <c r="F215" s="320">
        <f ca="1">SUM(F204:F214)</f>
        <v>41.698787653286935</v>
      </c>
      <c r="G215" s="320">
        <f ca="1">IF(F215=0,0,SUMPRODUCT(F204:F214,G204:G214)/F215)</f>
        <v>12.503618124454491</v>
      </c>
      <c r="H215" s="257"/>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66"/>
      <c r="D216" s="9"/>
      <c r="E216" s="256"/>
      <c r="F216" s="320"/>
      <c r="G216" s="320"/>
      <c r="H216" s="257"/>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5" t="str">
        <f>Asset16</f>
        <v>Land (non-system)</v>
      </c>
      <c r="C217" s="9"/>
      <c r="D217" s="9"/>
      <c r="E217" s="36"/>
      <c r="F217" s="323"/>
      <c r="G217" s="323"/>
      <c r="H217" s="257"/>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483" t="s">
        <v>28</v>
      </c>
      <c r="D218" s="484"/>
      <c r="E218" s="299">
        <f t="shared" ref="E218:E223" si="15">Q218</f>
        <v>0</v>
      </c>
      <c r="F218" s="320">
        <f ca="1">A16value-SUM('Actual RAB roll forward'!H239:OFFSET('Actual RAB roll forward'!H239,0,Input!$W$7-1))</f>
        <v>47.023399261991891</v>
      </c>
      <c r="G218" s="320" t="str">
        <f>IF(A16remlife="N/A","n/a",A16remlife-Input!$W$7)</f>
        <v>n/a</v>
      </c>
      <c r="H218" s="257"/>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485" t="s">
        <v>83</v>
      </c>
      <c r="D219" s="85">
        <v>1</v>
      </c>
      <c r="E219" s="299">
        <f t="shared" si="15"/>
        <v>0</v>
      </c>
      <c r="F219" s="320">
        <f ca="1">OFFSET('Actual RAB roll forward'!H$27,0,D219-1)-SUM('Actual RAB roll forward'!H241:OFFSET('Actual RAB roll forward'!H241,0,Input!$W$7-1))</f>
        <v>18.66270330158914</v>
      </c>
      <c r="G219" s="320" t="str">
        <f>IF(A16stdlife="N/A","n/a",IF(F219=0,0,A16stdlife+D219-Input!$W$7))</f>
        <v>n/a</v>
      </c>
      <c r="H219" s="257"/>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486"/>
      <c r="D220" s="85">
        <v>2</v>
      </c>
      <c r="E220" s="299">
        <f t="shared" si="15"/>
        <v>0</v>
      </c>
      <c r="F220" s="320">
        <f ca="1">OFFSET('Actual RAB roll forward'!H$27,0,D220-1)-SUM('Actual RAB roll forward'!H242:OFFSET('Actual RAB roll forward'!H242,0,Input!$W$7-1))</f>
        <v>6.1181278063907927</v>
      </c>
      <c r="G220" s="320" t="str">
        <f>IF(A16stdlife="N/A","n/a",IF(F220=0,0,A16stdlife+D220-Input!$W$7))</f>
        <v>n/a</v>
      </c>
      <c r="H220" s="257"/>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486"/>
      <c r="D221" s="85">
        <v>3</v>
      </c>
      <c r="E221" s="299">
        <f t="shared" si="15"/>
        <v>0</v>
      </c>
      <c r="F221" s="320">
        <f ca="1">OFFSET('Actual RAB roll forward'!H$27,0,D221-1)-SUM('Actual RAB roll forward'!H243:OFFSET('Actual RAB roll forward'!H243,0,Input!$W$7-1))</f>
        <v>7.6549934727893367</v>
      </c>
      <c r="G221" s="320" t="str">
        <f>IF(A16stdlife="N/A","n/a",IF(F221=0,0,A16stdlife+D221-Input!$W$7))</f>
        <v>n/a</v>
      </c>
      <c r="H221" s="257"/>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486"/>
      <c r="D222" s="85">
        <v>4</v>
      </c>
      <c r="E222" s="299">
        <f t="shared" si="15"/>
        <v>0</v>
      </c>
      <c r="F222" s="320">
        <f ca="1">OFFSET('Actual RAB roll forward'!H$27,0,D222-1)-SUM('Actual RAB roll forward'!H244:OFFSET('Actual RAB roll forward'!H244,0,Input!$W$7-1))</f>
        <v>-0.10268345413200161</v>
      </c>
      <c r="G222" s="320" t="str">
        <f>IF(A16stdlife="N/A","n/a",IF(F222=0,0,A16stdlife+D222-Input!$W$7))</f>
        <v>n/a</v>
      </c>
      <c r="H222" s="257"/>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486"/>
      <c r="D223" s="85">
        <v>5</v>
      </c>
      <c r="E223" s="299">
        <f t="shared" si="15"/>
        <v>0</v>
      </c>
      <c r="F223" s="320">
        <f ca="1">OFFSET('Actual RAB roll forward'!H$27,0,D223-1)-SUM('Actual RAB roll forward'!H245:OFFSET('Actual RAB roll forward'!H245,0,Input!$W$7-1))</f>
        <v>-49.311904694031455</v>
      </c>
      <c r="G223" s="320" t="str">
        <f>IF(A16stdlife="N/A","n/a",IF(F223=0,0,A16stdlife+D223-Input!$W$7))</f>
        <v>n/a</v>
      </c>
      <c r="H223" s="257"/>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486"/>
      <c r="D224" s="85">
        <v>6</v>
      </c>
      <c r="E224" s="299"/>
      <c r="F224" s="320">
        <f ca="1">OFFSET('Actual RAB roll forward'!H$27,0,D224-1)-SUM('Actual RAB roll forward'!H246:OFFSET('Actual RAB roll forward'!H246,0,Input!$W$7-1))</f>
        <v>0</v>
      </c>
      <c r="G224" s="320" t="str">
        <f>IF(A16stdlife="N/A","n/a",IF(F224=0,0,A16stdlife+D224-Input!$W$7))</f>
        <v>n/a</v>
      </c>
      <c r="H224" s="257"/>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486"/>
      <c r="D225" s="85">
        <v>7</v>
      </c>
      <c r="E225" s="299"/>
      <c r="F225" s="320">
        <f ca="1">OFFSET('Actual RAB roll forward'!H$27,0,D225-1)-SUM('Actual RAB roll forward'!H247:OFFSET('Actual RAB roll forward'!H247,0,Input!$W$7-1))</f>
        <v>0</v>
      </c>
      <c r="G225" s="320" t="str">
        <f>IF(A16stdlife="N/A","n/a",IF(F225=0,0,A16stdlife+D225-Input!$W$7))</f>
        <v>n/a</v>
      </c>
      <c r="H225" s="257"/>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486"/>
      <c r="D226" s="85">
        <v>8</v>
      </c>
      <c r="E226" s="299"/>
      <c r="F226" s="320">
        <f ca="1">OFFSET('Actual RAB roll forward'!H$27,0,D226-1)-SUM('Actual RAB roll forward'!H248:OFFSET('Actual RAB roll forward'!H248,0,Input!$W$7-1))</f>
        <v>0</v>
      </c>
      <c r="G226" s="320" t="str">
        <f>IF(A16stdlife="N/A","n/a",IF(F226=0,0,A16stdlife+D226-Input!$W$7))</f>
        <v>n/a</v>
      </c>
      <c r="H226" s="257"/>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486"/>
      <c r="D227" s="85">
        <v>9</v>
      </c>
      <c r="E227" s="299"/>
      <c r="F227" s="320">
        <f ca="1">OFFSET('Actual RAB roll forward'!H$27,0,D227-1)-SUM('Actual RAB roll forward'!H249:OFFSET('Actual RAB roll forward'!H249,0,Input!$W$7-1))</f>
        <v>0</v>
      </c>
      <c r="G227" s="320" t="str">
        <f>IF(A16stdlife="N/A","n/a",IF(F227=0,0,A16stdlife+D227-Input!$W$7))</f>
        <v>n/a</v>
      </c>
      <c r="H227" s="257"/>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487"/>
      <c r="D228" s="86">
        <v>10</v>
      </c>
      <c r="E228" s="299"/>
      <c r="F228" s="320">
        <f ca="1">OFFSET('Actual RAB roll forward'!H$27,0,D228-1)-SUM('Actual RAB roll forward'!H250:OFFSET('Actual RAB roll forward'!H250,0,Input!$W$7-1))</f>
        <v>0</v>
      </c>
      <c r="G228" s="320" t="str">
        <f>IF(A16stdlife="N/A","n/a",IF(F228=0,0,A16stdlife+D228-Input!$W$7))</f>
        <v>n/a</v>
      </c>
      <c r="H228" s="257"/>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9" t="str">
        <f>B217</f>
        <v>Land (non-system)</v>
      </c>
      <c r="D229" s="9"/>
      <c r="E229" s="299">
        <f>SUM(E218:E228)</f>
        <v>0</v>
      </c>
      <c r="F229" s="320">
        <f ca="1">SUM(F218:F228)</f>
        <v>30.044635694597702</v>
      </c>
      <c r="G229" s="320">
        <f ca="1">IF(F229=0,0,SUMPRODUCT(F218:F228,G218:G228)/F229)</f>
        <v>0</v>
      </c>
      <c r="H229" s="257"/>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66"/>
      <c r="D230" s="9"/>
      <c r="E230" s="256"/>
      <c r="F230" s="320"/>
      <c r="G230" s="320"/>
      <c r="H230" s="257"/>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5" t="str">
        <f>Asset17</f>
        <v>Other non system assets</v>
      </c>
      <c r="C231" s="9"/>
      <c r="D231" s="9"/>
      <c r="E231" s="36"/>
      <c r="F231" s="323"/>
      <c r="G231" s="323"/>
      <c r="H231" s="257"/>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483" t="s">
        <v>28</v>
      </c>
      <c r="D232" s="484"/>
      <c r="E232" s="299">
        <f t="shared" ref="E232:E237" si="16">Q232</f>
        <v>0</v>
      </c>
      <c r="F232" s="320">
        <f ca="1">A17value-SUM('Actual RAB roll forward'!H252:OFFSET('Actual RAB roll forward'!H252,0,Input!$W$7-1))</f>
        <v>62.752496233982654</v>
      </c>
      <c r="G232" s="320">
        <f>IF(A17remlife="N/A","n/a",A17remlife-Input!$W$7)</f>
        <v>7.0216085918318925</v>
      </c>
      <c r="H232" s="257"/>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485" t="s">
        <v>83</v>
      </c>
      <c r="D233" s="85">
        <v>1</v>
      </c>
      <c r="E233" s="299">
        <f t="shared" si="16"/>
        <v>0</v>
      </c>
      <c r="F233" s="320">
        <f ca="1">OFFSET('Actual RAB roll forward'!H$28,0,D233-1)-SUM('Actual RAB roll forward'!H254:OFFSET('Actual RAB roll forward'!H254,0,Input!$W$7-1))</f>
        <v>0.29079312718920519</v>
      </c>
      <c r="G233" s="320">
        <f ca="1">IF(A17stdlife="N/A","n/a",IF(F233=0,0,A17stdlife+D233-Input!$W$7))</f>
        <v>25.444039815489198</v>
      </c>
      <c r="H233" s="257"/>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486"/>
      <c r="D234" s="85">
        <v>2</v>
      </c>
      <c r="E234" s="299">
        <f t="shared" si="16"/>
        <v>0</v>
      </c>
      <c r="F234" s="320">
        <f ca="1">OFFSET('Actual RAB roll forward'!H$28,0,D234-1)-SUM('Actual RAB roll forward'!H255:OFFSET('Actual RAB roll forward'!H255,0,Input!$W$7-1))</f>
        <v>7.5404978981655255E-2</v>
      </c>
      <c r="G234" s="320">
        <f ca="1">IF(A17stdlife="N/A","n/a",IF(F234=0,0,A17stdlife+D234-Input!$W$7))</f>
        <v>26.444039815489198</v>
      </c>
      <c r="H234" s="257"/>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486"/>
      <c r="D235" s="85">
        <v>3</v>
      </c>
      <c r="E235" s="299">
        <f t="shared" si="16"/>
        <v>0</v>
      </c>
      <c r="F235" s="320">
        <f ca="1">OFFSET('Actual RAB roll forward'!H$28,0,D235-1)-SUM('Actual RAB roll forward'!H256:OFFSET('Actual RAB roll forward'!H256,0,Input!$W$7-1))</f>
        <v>0.97848816032513952</v>
      </c>
      <c r="G235" s="320">
        <f ca="1">IF(A17stdlife="N/A","n/a",IF(F235=0,0,A17stdlife+D235-Input!$W$7))</f>
        <v>27.444039815489198</v>
      </c>
      <c r="H235" s="257"/>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486"/>
      <c r="D236" s="85">
        <v>4</v>
      </c>
      <c r="E236" s="299">
        <f t="shared" si="16"/>
        <v>0</v>
      </c>
      <c r="F236" s="320">
        <f ca="1">OFFSET('Actual RAB roll forward'!H$28,0,D236-1)-SUM('Actual RAB roll forward'!H257:OFFSET('Actual RAB roll forward'!H257,0,Input!$W$7-1))</f>
        <v>0.14356451566188608</v>
      </c>
      <c r="G236" s="320">
        <f ca="1">IF(A17stdlife="N/A","n/a",IF(F236=0,0,A17stdlife+D236-Input!$W$7))</f>
        <v>28.444039815489198</v>
      </c>
      <c r="H236" s="257"/>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486"/>
      <c r="D237" s="85">
        <v>5</v>
      </c>
      <c r="E237" s="299">
        <f t="shared" si="16"/>
        <v>0</v>
      </c>
      <c r="F237" s="320">
        <f ca="1">OFFSET('Actual RAB roll forward'!H$28,0,D237-1)-SUM('Actual RAB roll forward'!H258:OFFSET('Actual RAB roll forward'!H258,0,Input!$W$7-1))</f>
        <v>0.50616322296899052</v>
      </c>
      <c r="G237" s="320">
        <f ca="1">IF(A17stdlife="N/A","n/a",IF(F237=0,0,A17stdlife+D237-Input!$W$7))</f>
        <v>29.444039815489198</v>
      </c>
      <c r="H237" s="257"/>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486"/>
      <c r="D238" s="85">
        <v>6</v>
      </c>
      <c r="E238" s="299"/>
      <c r="F238" s="320">
        <f ca="1">OFFSET('Actual RAB roll forward'!H$28,0,D238-1)-SUM('Actual RAB roll forward'!H259:OFFSET('Actual RAB roll forward'!H259,0,Input!$W$7-1))</f>
        <v>0</v>
      </c>
      <c r="G238" s="320">
        <f ca="1">IF(A17stdlife="N/A","n/a",IF(F238=0,0,A17stdlife+D238-Input!$W$7))</f>
        <v>0</v>
      </c>
      <c r="H238" s="257"/>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486"/>
      <c r="D239" s="85">
        <v>7</v>
      </c>
      <c r="E239" s="299"/>
      <c r="F239" s="320">
        <f ca="1">OFFSET('Actual RAB roll forward'!H$28,0,D239-1)-SUM('Actual RAB roll forward'!H260:OFFSET('Actual RAB roll forward'!H260,0,Input!$W$7-1))</f>
        <v>0</v>
      </c>
      <c r="G239" s="320">
        <f ca="1">IF(A17stdlife="N/A","n/a",IF(F239=0,0,A17stdlife+D239-Input!$W$7))</f>
        <v>0</v>
      </c>
      <c r="H239" s="257"/>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486"/>
      <c r="D240" s="85">
        <v>8</v>
      </c>
      <c r="E240" s="299"/>
      <c r="F240" s="320">
        <f ca="1">OFFSET('Actual RAB roll forward'!H$28,0,D240-1)-SUM('Actual RAB roll forward'!H261:OFFSET('Actual RAB roll forward'!H261,0,Input!$W$7-1))</f>
        <v>0</v>
      </c>
      <c r="G240" s="320">
        <f ca="1">IF(A17stdlife="N/A","n/a",IF(F240=0,0,A17stdlife+D240-Input!$W$7))</f>
        <v>0</v>
      </c>
      <c r="H240" s="257"/>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486"/>
      <c r="D241" s="85">
        <v>9</v>
      </c>
      <c r="E241" s="299"/>
      <c r="F241" s="320">
        <f ca="1">OFFSET('Actual RAB roll forward'!H$28,0,D241-1)-SUM('Actual RAB roll forward'!H262:OFFSET('Actual RAB roll forward'!H262,0,Input!$W$7-1))</f>
        <v>0</v>
      </c>
      <c r="G241" s="320">
        <f ca="1">IF(A17stdlife="N/A","n/a",IF(F241=0,0,A17stdlife+D241-Input!$W$7))</f>
        <v>0</v>
      </c>
      <c r="H241" s="257"/>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487"/>
      <c r="D242" s="86">
        <v>10</v>
      </c>
      <c r="E242" s="299"/>
      <c r="F242" s="320">
        <f ca="1">OFFSET('Actual RAB roll forward'!H$28,0,D242-1)-SUM('Actual RAB roll forward'!H263:OFFSET('Actual RAB roll forward'!H263,0,Input!$W$7-1))</f>
        <v>0</v>
      </c>
      <c r="G242" s="320">
        <f ca="1">IF(A17stdlife="N/A","n/a",IF(F242=0,0,A17stdlife+D242-Input!$W$7))</f>
        <v>0</v>
      </c>
      <c r="H242" s="257"/>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9" t="str">
        <f>B231</f>
        <v>Other non system assets</v>
      </c>
      <c r="D243" s="9"/>
      <c r="E243" s="299">
        <f>SUM(E232:E242)</f>
        <v>0</v>
      </c>
      <c r="F243" s="320">
        <f ca="1">SUM(F232:F242)</f>
        <v>64.746910239109525</v>
      </c>
      <c r="G243" s="320">
        <f ca="1">IF(F243=0,0,SUMPRODUCT(F232:F242,G232:G242)/F243)</f>
        <v>7.6583908325161456</v>
      </c>
      <c r="H243" s="257"/>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66"/>
      <c r="D244" s="9"/>
      <c r="E244" s="256"/>
      <c r="F244" s="320"/>
      <c r="G244" s="320"/>
      <c r="H244" s="257"/>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5" t="str">
        <f>Asset18</f>
        <v>IT systems</v>
      </c>
      <c r="C245" s="9"/>
      <c r="D245" s="9"/>
      <c r="E245" s="36"/>
      <c r="F245" s="323"/>
      <c r="G245" s="323"/>
      <c r="H245" s="257"/>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483" t="s">
        <v>28</v>
      </c>
      <c r="D246" s="484"/>
      <c r="E246" s="299">
        <f t="shared" ref="E246:E251" si="17">Q246</f>
        <v>0</v>
      </c>
      <c r="F246" s="320">
        <f ca="1">A18value-SUM('Actual RAB roll forward'!H265:OFFSET('Actual RAB roll forward'!H265,0,Input!$W$7-1))</f>
        <v>0</v>
      </c>
      <c r="G246" s="320">
        <f>IF(A18remlife="N/A","n/a",A18remlife-Input!$W$7)</f>
        <v>-0.84566501943674233</v>
      </c>
      <c r="H246" s="257"/>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485" t="s">
        <v>83</v>
      </c>
      <c r="D247" s="85">
        <v>1</v>
      </c>
      <c r="E247" s="299">
        <f t="shared" si="17"/>
        <v>0</v>
      </c>
      <c r="F247" s="320">
        <f ca="1">OFFSET('Actual RAB roll forward'!H$29,0,D247-1)-SUM('Actual RAB roll forward'!H267:OFFSET('Actual RAB roll forward'!H267,0,Input!$W$7-1))</f>
        <v>8.8817482501414631</v>
      </c>
      <c r="G247" s="320">
        <f ca="1">IF(A18stdlife="N/A","n/a",IF(F247=0,0,A18stdlife+D247-Input!$W$7))</f>
        <v>1</v>
      </c>
      <c r="H247" s="257"/>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486"/>
      <c r="D248" s="85">
        <v>2</v>
      </c>
      <c r="E248" s="299">
        <f t="shared" si="17"/>
        <v>0</v>
      </c>
      <c r="F248" s="320">
        <f ca="1">OFFSET('Actual RAB roll forward'!H$29,0,D248-1)-SUM('Actual RAB roll forward'!H268:OFFSET('Actual RAB roll forward'!H268,0,Input!$W$7-1))</f>
        <v>19.772860147167624</v>
      </c>
      <c r="G248" s="320">
        <f ca="1">IF(A18stdlife="N/A","n/a",IF(F248=0,0,A18stdlife+D248-Input!$W$7))</f>
        <v>2</v>
      </c>
      <c r="H248" s="257"/>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486"/>
      <c r="D249" s="85">
        <v>3</v>
      </c>
      <c r="E249" s="299">
        <f t="shared" si="17"/>
        <v>0</v>
      </c>
      <c r="F249" s="320">
        <f ca="1">OFFSET('Actual RAB roll forward'!H$29,0,D249-1)-SUM('Actual RAB roll forward'!H269:OFFSET('Actual RAB roll forward'!H269,0,Input!$W$7-1))</f>
        <v>18.649582230605066</v>
      </c>
      <c r="G249" s="320">
        <f ca="1">IF(A18stdlife="N/A","n/a",IF(F249=0,0,A18stdlife+D249-Input!$W$7))</f>
        <v>3</v>
      </c>
      <c r="H249" s="257"/>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486"/>
      <c r="D250" s="85">
        <v>4</v>
      </c>
      <c r="E250" s="299">
        <f t="shared" si="17"/>
        <v>0</v>
      </c>
      <c r="F250" s="320">
        <f ca="1">OFFSET('Actual RAB roll forward'!H$29,0,D250-1)-SUM('Actual RAB roll forward'!H270:OFFSET('Actual RAB roll forward'!H270,0,Input!$W$7-1))</f>
        <v>18.434580415987092</v>
      </c>
      <c r="G250" s="320">
        <f ca="1">IF(A18stdlife="N/A","n/a",IF(F250=0,0,A18stdlife+D250-Input!$W$7))</f>
        <v>4</v>
      </c>
      <c r="H250" s="257"/>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486"/>
      <c r="D251" s="85">
        <v>5</v>
      </c>
      <c r="E251" s="299">
        <f t="shared" si="17"/>
        <v>0</v>
      </c>
      <c r="F251" s="320">
        <f ca="1">OFFSET('Actual RAB roll forward'!H$29,0,D251-1)-SUM('Actual RAB roll forward'!H271:OFFSET('Actual RAB roll forward'!H271,0,Input!$W$7-1))</f>
        <v>22.761350102216969</v>
      </c>
      <c r="G251" s="320">
        <f ca="1">IF(A18stdlife="N/A","n/a",IF(F251=0,0,A18stdlife+D251-Input!$W$7))</f>
        <v>5</v>
      </c>
      <c r="H251" s="257"/>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486"/>
      <c r="D252" s="85">
        <v>6</v>
      </c>
      <c r="E252" s="299"/>
      <c r="F252" s="320">
        <f ca="1">OFFSET('Actual RAB roll forward'!H$29,0,D252-1)-SUM('Actual RAB roll forward'!H272:OFFSET('Actual RAB roll forward'!H272,0,Input!$W$7-1))</f>
        <v>0</v>
      </c>
      <c r="G252" s="320">
        <f ca="1">IF(A18stdlife="N/A","n/a",IF(F252=0,0,A18stdlife+D252-Input!$W$7))</f>
        <v>0</v>
      </c>
      <c r="H252" s="257"/>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486"/>
      <c r="D253" s="85">
        <v>7</v>
      </c>
      <c r="E253" s="299"/>
      <c r="F253" s="320">
        <f ca="1">OFFSET('Actual RAB roll forward'!H$29,0,D253-1)-SUM('Actual RAB roll forward'!H273:OFFSET('Actual RAB roll forward'!H273,0,Input!$W$7-1))</f>
        <v>0</v>
      </c>
      <c r="G253" s="320">
        <f ca="1">IF(A18stdlife="N/A","n/a",IF(F253=0,0,A18stdlife+D253-Input!$W$7))</f>
        <v>0</v>
      </c>
      <c r="H253" s="257"/>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486"/>
      <c r="D254" s="85">
        <v>8</v>
      </c>
      <c r="E254" s="299"/>
      <c r="F254" s="320">
        <f ca="1">OFFSET('Actual RAB roll forward'!H$29,0,D254-1)-SUM('Actual RAB roll forward'!H274:OFFSET('Actual RAB roll forward'!H274,0,Input!$W$7-1))</f>
        <v>0</v>
      </c>
      <c r="G254" s="320">
        <f ca="1">IF(A18stdlife="N/A","n/a",IF(F254=0,0,A18stdlife+D254-Input!$W$7))</f>
        <v>0</v>
      </c>
      <c r="H254" s="257"/>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486"/>
      <c r="D255" s="85">
        <v>9</v>
      </c>
      <c r="E255" s="299"/>
      <c r="F255" s="320">
        <f ca="1">OFFSET('Actual RAB roll forward'!H$29,0,D255-1)-SUM('Actual RAB roll forward'!H275:OFFSET('Actual RAB roll forward'!H275,0,Input!$W$7-1))</f>
        <v>0</v>
      </c>
      <c r="G255" s="320">
        <f ca="1">IF(A18stdlife="N/A","n/a",IF(F255=0,0,A18stdlife+D255-Input!$W$7))</f>
        <v>0</v>
      </c>
      <c r="H255" s="257"/>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487"/>
      <c r="D256" s="86">
        <v>10</v>
      </c>
      <c r="E256" s="299"/>
      <c r="F256" s="320">
        <f ca="1">OFFSET('Actual RAB roll forward'!H$29,0,D256-1)-SUM('Actual RAB roll forward'!H276:OFFSET('Actual RAB roll forward'!H276,0,Input!$W$7-1))</f>
        <v>0</v>
      </c>
      <c r="G256" s="320">
        <f ca="1">IF(A18stdlife="N/A","n/a",IF(F256=0,0,A18stdlife+D256-Input!$W$7))</f>
        <v>0</v>
      </c>
      <c r="H256" s="257"/>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9" t="str">
        <f>B245</f>
        <v>IT systems</v>
      </c>
      <c r="D257" s="9"/>
      <c r="E257" s="299">
        <f>SUM(E246:E256)</f>
        <v>0</v>
      </c>
      <c r="F257" s="320">
        <f ca="1">SUM(F246:F256)</f>
        <v>88.500121146118204</v>
      </c>
      <c r="G257" s="320">
        <f ca="1">IF(F257=0,0,SUMPRODUCT(F246:F256,G246:G256)/F257)</f>
        <v>3.2985411051511244</v>
      </c>
      <c r="H257" s="257"/>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66"/>
      <c r="D258" s="9"/>
      <c r="E258" s="256"/>
      <c r="F258" s="320"/>
      <c r="G258" s="320"/>
      <c r="H258" s="257"/>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5" t="str">
        <f>Asset19</f>
        <v>Motor vehicles</v>
      </c>
      <c r="C259" s="9"/>
      <c r="D259" s="9"/>
      <c r="E259" s="36"/>
      <c r="F259" s="323"/>
      <c r="G259" s="323"/>
      <c r="H259" s="257"/>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483" t="s">
        <v>28</v>
      </c>
      <c r="D260" s="484"/>
      <c r="E260" s="299">
        <f t="shared" ref="E260:E265" si="18">Q260</f>
        <v>0</v>
      </c>
      <c r="F260" s="320">
        <f ca="1">A19value-SUM('Actual RAB roll forward'!H278:OFFSET('Actual RAB roll forward'!H278,0,Input!$W$7-1))</f>
        <v>36.633707461316178</v>
      </c>
      <c r="G260" s="320">
        <f>IF(A19remlife="N/A","n/a",A19remlife-Input!$W$7)</f>
        <v>3.3660039727683593</v>
      </c>
      <c r="H260" s="257"/>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485" t="s">
        <v>83</v>
      </c>
      <c r="D261" s="85">
        <v>1</v>
      </c>
      <c r="E261" s="299">
        <f t="shared" si="18"/>
        <v>0</v>
      </c>
      <c r="F261" s="320">
        <f ca="1">OFFSET('Actual RAB roll forward'!H$30,0,D261-1)-SUM('Actual RAB roll forward'!H280:OFFSET('Actual RAB roll forward'!H280,0,Input!$W$7-1))</f>
        <v>14.073163641213874</v>
      </c>
      <c r="G261" s="320">
        <f ca="1">IF(A19stdlife="N/A","n/a",IF(F261=0,0,A19stdlife+D261-Input!$W$7))</f>
        <v>6.2441867620156319</v>
      </c>
      <c r="H261" s="257"/>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486"/>
      <c r="D262" s="85">
        <v>2</v>
      </c>
      <c r="E262" s="299">
        <f t="shared" si="18"/>
        <v>0</v>
      </c>
      <c r="F262" s="320">
        <f ca="1">OFFSET('Actual RAB roll forward'!H$30,0,D262-1)-SUM('Actual RAB roll forward'!H281:OFFSET('Actual RAB roll forward'!H281,0,Input!$W$7-1))</f>
        <v>17.216966560226993</v>
      </c>
      <c r="G262" s="320">
        <f ca="1">IF(A19stdlife="N/A","n/a",IF(F262=0,0,A19stdlife+D262-Input!$W$7))</f>
        <v>7.2441867620156319</v>
      </c>
      <c r="H262" s="257"/>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486"/>
      <c r="D263" s="85">
        <v>3</v>
      </c>
      <c r="E263" s="299">
        <f t="shared" si="18"/>
        <v>0</v>
      </c>
      <c r="F263" s="320">
        <f ca="1">OFFSET('Actual RAB roll forward'!H$30,0,D263-1)-SUM('Actual RAB roll forward'!H282:OFFSET('Actual RAB roll forward'!H282,0,Input!$W$7-1))</f>
        <v>20.869475419644118</v>
      </c>
      <c r="G263" s="320">
        <f ca="1">IF(A19stdlife="N/A","n/a",IF(F263=0,0,A19stdlife+D263-Input!$W$7))</f>
        <v>8.2441867620156319</v>
      </c>
      <c r="H263" s="257"/>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486"/>
      <c r="D264" s="85">
        <v>4</v>
      </c>
      <c r="E264" s="299">
        <f t="shared" si="18"/>
        <v>0</v>
      </c>
      <c r="F264" s="320">
        <f ca="1">OFFSET('Actual RAB roll forward'!H$30,0,D264-1)-SUM('Actual RAB roll forward'!H283:OFFSET('Actual RAB roll forward'!H283,0,Input!$W$7-1))</f>
        <v>9.5222487494542101</v>
      </c>
      <c r="G264" s="320">
        <f ca="1">IF(A19stdlife="N/A","n/a",IF(F264=0,0,A19stdlife+D264-Input!$W$7))</f>
        <v>9.2441867620156319</v>
      </c>
      <c r="H264" s="257"/>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486"/>
      <c r="D265" s="85">
        <v>5</v>
      </c>
      <c r="E265" s="299">
        <f t="shared" si="18"/>
        <v>0</v>
      </c>
      <c r="F265" s="320">
        <f ca="1">OFFSET('Actual RAB roll forward'!H$30,0,D265-1)-SUM('Actual RAB roll forward'!H284:OFFSET('Actual RAB roll forward'!H284,0,Input!$W$7-1))</f>
        <v>6.2268159340279015</v>
      </c>
      <c r="G265" s="320">
        <f ca="1">IF(A19stdlife="N/A","n/a",IF(F265=0,0,A19stdlife+D265-Input!$W$7))</f>
        <v>10.244186762015632</v>
      </c>
      <c r="H265" s="257"/>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486"/>
      <c r="D266" s="85">
        <v>6</v>
      </c>
      <c r="E266" s="299"/>
      <c r="F266" s="320">
        <f ca="1">OFFSET('Actual RAB roll forward'!H$30,0,D266-1)-SUM('Actual RAB roll forward'!H285:OFFSET('Actual RAB roll forward'!H285,0,Input!$W$7-1))</f>
        <v>0</v>
      </c>
      <c r="G266" s="320">
        <f ca="1">IF(A19stdlife="N/A","n/a",IF(F266=0,0,A19stdlife+D266-Input!$W$7))</f>
        <v>0</v>
      </c>
      <c r="H266" s="257"/>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486"/>
      <c r="D267" s="85">
        <v>7</v>
      </c>
      <c r="E267" s="299"/>
      <c r="F267" s="320">
        <f ca="1">OFFSET('Actual RAB roll forward'!H$30,0,D267-1)-SUM('Actual RAB roll forward'!H286:OFFSET('Actual RAB roll forward'!H286,0,Input!$W$7-1))</f>
        <v>0</v>
      </c>
      <c r="G267" s="320">
        <f ca="1">IF(A19stdlife="N/A","n/a",IF(F267=0,0,A19stdlife+D267-Input!$W$7))</f>
        <v>0</v>
      </c>
      <c r="H267" s="257"/>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486"/>
      <c r="D268" s="85">
        <v>8</v>
      </c>
      <c r="E268" s="299"/>
      <c r="F268" s="320">
        <f ca="1">OFFSET('Actual RAB roll forward'!H$30,0,D268-1)-SUM('Actual RAB roll forward'!H287:OFFSET('Actual RAB roll forward'!H287,0,Input!$W$7-1))</f>
        <v>0</v>
      </c>
      <c r="G268" s="320">
        <f ca="1">IF(A19stdlife="N/A","n/a",IF(F268=0,0,A19stdlife+D268-Input!$W$7))</f>
        <v>0</v>
      </c>
      <c r="H268" s="257"/>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486"/>
      <c r="D269" s="85">
        <v>9</v>
      </c>
      <c r="E269" s="299"/>
      <c r="F269" s="320">
        <f ca="1">OFFSET('Actual RAB roll forward'!H$30,0,D269-1)-SUM('Actual RAB roll forward'!H288:OFFSET('Actual RAB roll forward'!H288,0,Input!$W$7-1))</f>
        <v>0</v>
      </c>
      <c r="G269" s="320">
        <f ca="1">IF(A19stdlife="N/A","n/a",IF(F269=0,0,A19stdlife+D269-Input!$W$7))</f>
        <v>0</v>
      </c>
      <c r="H269" s="257"/>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487"/>
      <c r="D270" s="86">
        <v>10</v>
      </c>
      <c r="E270" s="299"/>
      <c r="F270" s="320">
        <f ca="1">OFFSET('Actual RAB roll forward'!H$30,0,D270-1)-SUM('Actual RAB roll forward'!H289:OFFSET('Actual RAB roll forward'!H289,0,Input!$W$7-1))</f>
        <v>0</v>
      </c>
      <c r="G270" s="320">
        <f ca="1">IF(A19stdlife="N/A","n/a",IF(F270=0,0,A19stdlife+D270-Input!$W$7))</f>
        <v>0</v>
      </c>
      <c r="H270" s="257"/>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9"/>
      <c r="C271" s="109" t="str">
        <f>B259</f>
        <v>Motor vehicles</v>
      </c>
      <c r="D271" s="9"/>
      <c r="E271" s="299">
        <f>SUM(E260:E270)</f>
        <v>0</v>
      </c>
      <c r="F271" s="320">
        <f ca="1">SUM(F260:F270)</f>
        <v>104.54237776588327</v>
      </c>
      <c r="G271" s="320">
        <f ca="1">IF(F271=0,0,SUMPRODUCT(F260:F270,G260:G270)/F271)</f>
        <v>6.3110631925304101</v>
      </c>
      <c r="H271" s="257"/>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9"/>
      <c r="C272" s="266"/>
      <c r="D272" s="9"/>
      <c r="E272" s="256"/>
      <c r="F272" s="320"/>
      <c r="G272" s="320"/>
      <c r="H272" s="257"/>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55" t="str">
        <f>Asset20</f>
        <v>Buildings</v>
      </c>
      <c r="C273" s="9"/>
      <c r="D273" s="9"/>
      <c r="E273" s="36"/>
      <c r="F273" s="323"/>
      <c r="G273" s="323"/>
      <c r="H273" s="257"/>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9"/>
      <c r="C274" s="483" t="s">
        <v>28</v>
      </c>
      <c r="D274" s="484"/>
      <c r="E274" s="299">
        <f t="shared" ref="E274:E279" si="19">Q274</f>
        <v>0</v>
      </c>
      <c r="F274" s="320">
        <f ca="1">A20value-SUM('Actual RAB roll forward'!H291:OFFSET('Actual RAB roll forward'!H291,0,Input!$W$7-1))</f>
        <v>105.48202648889553</v>
      </c>
      <c r="G274" s="320">
        <f>IF(A20remlife="N/A","n/a",A20remlife-Input!$W$7)</f>
        <v>28.031846639808428</v>
      </c>
      <c r="H274" s="257"/>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9"/>
      <c r="C275" s="485" t="s">
        <v>83</v>
      </c>
      <c r="D275" s="85">
        <v>1</v>
      </c>
      <c r="E275" s="299">
        <f t="shared" si="19"/>
        <v>0</v>
      </c>
      <c r="F275" s="320">
        <f ca="1">OFFSET('Actual RAB roll forward'!H$31,0,D275-1)-SUM('Actual RAB roll forward'!H293:OFFSET('Actual RAB roll forward'!H293,0,Input!$W$7-1))</f>
        <v>55.894241431692507</v>
      </c>
      <c r="G275" s="320">
        <f ca="1">IF(A20stdlife="N/A","n/a",IF(F275=0,0,A20stdlife+D275-Input!$W$7))</f>
        <v>31.916896031439698</v>
      </c>
      <c r="H275" s="257"/>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9"/>
      <c r="C276" s="486"/>
      <c r="D276" s="85">
        <v>2</v>
      </c>
      <c r="E276" s="299">
        <f t="shared" si="19"/>
        <v>0</v>
      </c>
      <c r="F276" s="320">
        <f ca="1">OFFSET('Actual RAB roll forward'!H$31,0,D276-1)-SUM('Actual RAB roll forward'!H294:OFFSET('Actual RAB roll forward'!H294,0,Input!$W$7-1))</f>
        <v>37.508573733619116</v>
      </c>
      <c r="G276" s="320">
        <f ca="1">IF(A20stdlife="N/A","n/a",IF(F276=0,0,A20stdlife+D276-Input!$W$7))</f>
        <v>32.916896031439698</v>
      </c>
      <c r="H276" s="257"/>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9"/>
      <c r="C277" s="486"/>
      <c r="D277" s="85">
        <v>3</v>
      </c>
      <c r="E277" s="299">
        <f t="shared" si="19"/>
        <v>0</v>
      </c>
      <c r="F277" s="320">
        <f ca="1">OFFSET('Actual RAB roll forward'!H$31,0,D277-1)-SUM('Actual RAB roll forward'!H295:OFFSET('Actual RAB roll forward'!H295,0,Input!$W$7-1))</f>
        <v>26.880171354467098</v>
      </c>
      <c r="G277" s="320">
        <f ca="1">IF(A20stdlife="N/A","n/a",IF(F277=0,0,A20stdlife+D277-Input!$W$7))</f>
        <v>33.916896031439698</v>
      </c>
      <c r="H277" s="257"/>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9"/>
      <c r="C278" s="486"/>
      <c r="D278" s="85">
        <v>4</v>
      </c>
      <c r="E278" s="299">
        <f t="shared" si="19"/>
        <v>0</v>
      </c>
      <c r="F278" s="320">
        <f ca="1">OFFSET('Actual RAB roll forward'!H$31,0,D278-1)-SUM('Actual RAB roll forward'!H296:OFFSET('Actual RAB roll forward'!H296,0,Input!$W$7-1))</f>
        <v>16.124592683592933</v>
      </c>
      <c r="G278" s="320">
        <f ca="1">IF(A20stdlife="N/A","n/a",IF(F278=0,0,A20stdlife+D278-Input!$W$7))</f>
        <v>34.916896031439698</v>
      </c>
      <c r="H278" s="257"/>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9"/>
      <c r="C279" s="486"/>
      <c r="D279" s="85">
        <v>5</v>
      </c>
      <c r="E279" s="299">
        <f t="shared" si="19"/>
        <v>0</v>
      </c>
      <c r="F279" s="320">
        <f ca="1">OFFSET('Actual RAB roll forward'!H$31,0,D279-1)-SUM('Actual RAB roll forward'!H297:OFFSET('Actual RAB roll forward'!H297,0,Input!$W$7-1))</f>
        <v>-33.866759304180654</v>
      </c>
      <c r="G279" s="320">
        <f ca="1">IF(A20stdlife="N/A","n/a",IF(F279=0,0,A20stdlife+D279-Input!$W$7))</f>
        <v>35.916896031439698</v>
      </c>
      <c r="H279" s="257"/>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9"/>
      <c r="C280" s="486"/>
      <c r="D280" s="85">
        <v>6</v>
      </c>
      <c r="E280" s="299"/>
      <c r="F280" s="320">
        <f ca="1">OFFSET('Actual RAB roll forward'!H$31,0,D280-1)-SUM('Actual RAB roll forward'!H298:OFFSET('Actual RAB roll forward'!H298,0,Input!$W$7-1))</f>
        <v>0</v>
      </c>
      <c r="G280" s="320">
        <f ca="1">IF(A20stdlife="N/A","n/a",IF(F280=0,0,A20stdlife+D280-Input!$W$7))</f>
        <v>0</v>
      </c>
      <c r="H280" s="257"/>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9"/>
      <c r="C281" s="486"/>
      <c r="D281" s="85">
        <v>7</v>
      </c>
      <c r="E281" s="299"/>
      <c r="F281" s="320">
        <f ca="1">OFFSET('Actual RAB roll forward'!H$31,0,D281-1)-SUM('Actual RAB roll forward'!H299:OFFSET('Actual RAB roll forward'!H299,0,Input!$W$7-1))</f>
        <v>0</v>
      </c>
      <c r="G281" s="320">
        <f ca="1">IF(A20stdlife="N/A","n/a",IF(F281=0,0,A20stdlife+D281-Input!$W$7))</f>
        <v>0</v>
      </c>
      <c r="H281" s="257"/>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9"/>
      <c r="C282" s="486"/>
      <c r="D282" s="85">
        <v>8</v>
      </c>
      <c r="E282" s="299"/>
      <c r="F282" s="320">
        <f ca="1">OFFSET('Actual RAB roll forward'!H$31,0,D282-1)-SUM('Actual RAB roll forward'!H300:OFFSET('Actual RAB roll forward'!H300,0,Input!$W$7-1))</f>
        <v>0</v>
      </c>
      <c r="G282" s="320">
        <f ca="1">IF(A20stdlife="N/A","n/a",IF(F282=0,0,A20stdlife+D282-Input!$W$7))</f>
        <v>0</v>
      </c>
      <c r="H282" s="257"/>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9"/>
      <c r="C283" s="486"/>
      <c r="D283" s="85">
        <v>9</v>
      </c>
      <c r="E283" s="299"/>
      <c r="F283" s="320">
        <f ca="1">OFFSET('Actual RAB roll forward'!H$31,0,D283-1)-SUM('Actual RAB roll forward'!H301:OFFSET('Actual RAB roll forward'!H301,0,Input!$W$7-1))</f>
        <v>0</v>
      </c>
      <c r="G283" s="320">
        <f ca="1">IF(A20stdlife="N/A","n/a",IF(F283=0,0,A20stdlife+D283-Input!$W$7))</f>
        <v>0</v>
      </c>
      <c r="H283" s="257"/>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9"/>
      <c r="C284" s="487"/>
      <c r="D284" s="86">
        <v>10</v>
      </c>
      <c r="E284" s="299"/>
      <c r="F284" s="320">
        <f ca="1">OFFSET('Actual RAB roll forward'!H$31,0,D284-1)-SUM('Actual RAB roll forward'!H302:OFFSET('Actual RAB roll forward'!H302,0,Input!$W$7-1))</f>
        <v>0</v>
      </c>
      <c r="G284" s="320">
        <f ca="1">IF(A20stdlife="N/A","n/a",IF(F284=0,0,A20stdlife+D284-Input!$W$7))</f>
        <v>0</v>
      </c>
      <c r="H284" s="257"/>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C285" s="109" t="str">
        <f>B273</f>
        <v>Buildings</v>
      </c>
      <c r="D285" s="9"/>
      <c r="E285" s="299">
        <f>SUM(E274:E284)</f>
        <v>0</v>
      </c>
      <c r="F285" s="320">
        <f ca="1">SUM(F274:F284)</f>
        <v>208.02284638808655</v>
      </c>
      <c r="G285" s="320">
        <f ca="1">IF(F285=0,0,SUMPRODUCT(F274:F284,G274:G284)/F285)</f>
        <v>29.966979315054747</v>
      </c>
      <c r="H285" s="257"/>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55"/>
      <c r="C286" s="9"/>
      <c r="D286" s="9"/>
      <c r="E286" s="36"/>
      <c r="F286" s="323"/>
      <c r="G286" s="323"/>
      <c r="H286" s="257"/>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55" t="str">
        <f>Asset21</f>
        <v>Equity raising costs</v>
      </c>
      <c r="C287" s="9"/>
      <c r="D287" s="9"/>
      <c r="E287" s="36"/>
      <c r="F287" s="323"/>
      <c r="G287" s="323"/>
      <c r="H287" s="257"/>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9"/>
      <c r="C288" s="483" t="s">
        <v>28</v>
      </c>
      <c r="D288" s="484"/>
      <c r="E288" s="299">
        <f t="shared" ref="E288:E293" si="20">Q288</f>
        <v>0</v>
      </c>
      <c r="F288" s="320">
        <f ca="1">A21value-SUM('Actual RAB roll forward'!H304:OFFSET('Actual RAB roll forward'!H304,0,Input!$W$7-1))</f>
        <v>0</v>
      </c>
      <c r="G288" s="320" t="str">
        <f>IF(A21remlife="N/A","n/a",A21remlife-Input!$W$7)</f>
        <v>n/a</v>
      </c>
      <c r="H288" s="257"/>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9"/>
      <c r="C289" s="485" t="s">
        <v>83</v>
      </c>
      <c r="D289" s="85">
        <v>1</v>
      </c>
      <c r="E289" s="299">
        <f t="shared" si="20"/>
        <v>0</v>
      </c>
      <c r="F289" s="320">
        <f ca="1">OFFSET('Actual RAB roll forward'!H$32,0,D289-1)-SUM('Actual RAB roll forward'!H306:OFFSET('Actual RAB roll forward'!H306,0,Input!$W$7-1))</f>
        <v>23.686700897925824</v>
      </c>
      <c r="G289" s="320">
        <f ca="1">IF(A21stdlife="N/A","n/a",IF(F289=0,0,A21stdlife+D289-Input!$W$7))</f>
        <v>43.42815308482453</v>
      </c>
      <c r="H289" s="257"/>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9"/>
      <c r="C290" s="486"/>
      <c r="D290" s="85">
        <v>2</v>
      </c>
      <c r="E290" s="299">
        <f t="shared" si="20"/>
        <v>0</v>
      </c>
      <c r="F290" s="320">
        <f ca="1">OFFSET('Actual RAB roll forward'!H$32,0,D290-1)-SUM('Actual RAB roll forward'!H307:OFFSET('Actual RAB roll forward'!H307,0,Input!$W$7-1))</f>
        <v>0</v>
      </c>
      <c r="G290" s="320">
        <f ca="1">IF(A21stdlife="N/A","n/a",IF(F290=0,0,A21stdlife+D290-Input!$W$7))</f>
        <v>0</v>
      </c>
      <c r="H290" s="257"/>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9"/>
      <c r="C291" s="486"/>
      <c r="D291" s="85">
        <v>3</v>
      </c>
      <c r="E291" s="299">
        <f t="shared" si="20"/>
        <v>0</v>
      </c>
      <c r="F291" s="320">
        <f ca="1">OFFSET('Actual RAB roll forward'!H$32,0,D291-1)-SUM('Actual RAB roll forward'!H308:OFFSET('Actual RAB roll forward'!H308,0,Input!$W$7-1))</f>
        <v>0</v>
      </c>
      <c r="G291" s="320">
        <f ca="1">IF(A21stdlife="N/A","n/a",IF(F291=0,0,A21stdlife+D291-Input!$W$7))</f>
        <v>0</v>
      </c>
      <c r="H291" s="257"/>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9"/>
      <c r="C292" s="486"/>
      <c r="D292" s="85">
        <v>4</v>
      </c>
      <c r="E292" s="299">
        <f t="shared" si="20"/>
        <v>0</v>
      </c>
      <c r="F292" s="320">
        <f ca="1">OFFSET('Actual RAB roll forward'!H$32,0,D292-1)-SUM('Actual RAB roll forward'!H309:OFFSET('Actual RAB roll forward'!H309,0,Input!$W$7-1))</f>
        <v>0</v>
      </c>
      <c r="G292" s="320">
        <f ca="1">IF(A21stdlife="N/A","n/a",IF(F292=0,0,A21stdlife+D292-Input!$W$7))</f>
        <v>0</v>
      </c>
      <c r="H292" s="257"/>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9"/>
      <c r="C293" s="486"/>
      <c r="D293" s="85">
        <v>5</v>
      </c>
      <c r="E293" s="299">
        <f t="shared" si="20"/>
        <v>0</v>
      </c>
      <c r="F293" s="320">
        <f ca="1">OFFSET('Actual RAB roll forward'!H$32,0,D293-1)-SUM('Actual RAB roll forward'!H310:OFFSET('Actual RAB roll forward'!H310,0,Input!$W$7-1))</f>
        <v>0</v>
      </c>
      <c r="G293" s="320">
        <f ca="1">IF(A21stdlife="N/A","n/a",IF(F293=0,0,A21stdlife+D293-Input!$W$7))</f>
        <v>0</v>
      </c>
      <c r="H293" s="257"/>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9"/>
      <c r="C294" s="486"/>
      <c r="D294" s="85">
        <v>6</v>
      </c>
      <c r="E294" s="299"/>
      <c r="F294" s="320">
        <f ca="1">OFFSET('Actual RAB roll forward'!H$32,0,D294-1)-SUM('Actual RAB roll forward'!H311:OFFSET('Actual RAB roll forward'!H311,0,Input!$W$7-1))</f>
        <v>0</v>
      </c>
      <c r="G294" s="320">
        <f ca="1">IF(A21stdlife="N/A","n/a",IF(F294=0,0,A21stdlife+D294-Input!$W$7))</f>
        <v>0</v>
      </c>
      <c r="H294" s="257"/>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9"/>
      <c r="C295" s="486"/>
      <c r="D295" s="85">
        <v>7</v>
      </c>
      <c r="E295" s="299"/>
      <c r="F295" s="320">
        <f ca="1">OFFSET('Actual RAB roll forward'!H$32,0,D295-1)-SUM('Actual RAB roll forward'!H312:OFFSET('Actual RAB roll forward'!H312,0,Input!$W$7-1))</f>
        <v>0</v>
      </c>
      <c r="G295" s="320">
        <f ca="1">IF(A21stdlife="N/A","n/a",IF(F295=0,0,A21stdlife+D295-Input!$W$7))</f>
        <v>0</v>
      </c>
      <c r="H295" s="257"/>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9"/>
      <c r="C296" s="486"/>
      <c r="D296" s="85">
        <v>8</v>
      </c>
      <c r="E296" s="299"/>
      <c r="F296" s="320">
        <f ca="1">OFFSET('Actual RAB roll forward'!H$32,0,D296-1)-SUM('Actual RAB roll forward'!H313:OFFSET('Actual RAB roll forward'!H313,0,Input!$W$7-1))</f>
        <v>0</v>
      </c>
      <c r="G296" s="320">
        <f ca="1">IF(A21stdlife="N/A","n/a",IF(F296=0,0,A21stdlife+D296-Input!$W$7))</f>
        <v>0</v>
      </c>
      <c r="H296" s="257"/>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9"/>
      <c r="C297" s="486"/>
      <c r="D297" s="85">
        <v>9</v>
      </c>
      <c r="E297" s="299"/>
      <c r="F297" s="320">
        <f ca="1">OFFSET('Actual RAB roll forward'!H$32,0,D297-1)-SUM('Actual RAB roll forward'!H314:OFFSET('Actual RAB roll forward'!H314,0,Input!$W$7-1))</f>
        <v>0</v>
      </c>
      <c r="G297" s="320">
        <f ca="1">IF(A21stdlife="N/A","n/a",IF(F297=0,0,A21stdlife+D297-Input!$W$7))</f>
        <v>0</v>
      </c>
      <c r="H297" s="257"/>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9"/>
      <c r="C298" s="487"/>
      <c r="D298" s="86">
        <v>10</v>
      </c>
      <c r="E298" s="299"/>
      <c r="F298" s="320">
        <f ca="1">OFFSET('Actual RAB roll forward'!H$32,0,D298-1)-SUM('Actual RAB roll forward'!H315:OFFSET('Actual RAB roll forward'!H315,0,Input!$W$7-1))</f>
        <v>0</v>
      </c>
      <c r="G298" s="320">
        <f ca="1">IF(A20stdlife="N/A","n/a",IF(F298=0,0,A20stdlife+D298-Input!$W$7))</f>
        <v>0</v>
      </c>
      <c r="H298" s="257"/>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C299" s="109" t="str">
        <f>B287</f>
        <v>Equity raising costs</v>
      </c>
      <c r="D299" s="9"/>
      <c r="E299" s="299">
        <f>SUM(E288:E298)</f>
        <v>0</v>
      </c>
      <c r="F299" s="320">
        <f ca="1">SUM(F288:F298)</f>
        <v>23.686700897925824</v>
      </c>
      <c r="G299" s="320">
        <f ca="1">IF(F299=0,0,SUMPRODUCT(F288:F298,G288:G298)/F299)</f>
        <v>43.42815308482453</v>
      </c>
      <c r="H299" s="257"/>
      <c r="I299" s="44"/>
      <c r="J299" s="44"/>
      <c r="K299" s="44"/>
      <c r="L299" s="44"/>
      <c r="M299" s="44"/>
      <c r="N299" s="44"/>
      <c r="O299" s="44"/>
      <c r="P299" s="44"/>
      <c r="Q299" s="44"/>
      <c r="R299" s="44"/>
      <c r="S299" s="44"/>
      <c r="T299" s="44"/>
      <c r="U299" s="44"/>
      <c r="V299" s="44"/>
      <c r="W299" s="44"/>
      <c r="X299" s="44"/>
      <c r="Y299" s="44"/>
      <c r="Z299" s="44"/>
      <c r="AA299" s="44"/>
      <c r="AB299" s="44"/>
    </row>
    <row r="300" spans="1:28" collapsed="1">
      <c r="A300" s="9"/>
      <c r="B300" s="9"/>
      <c r="C300" s="266"/>
      <c r="D300" s="9"/>
      <c r="E300" s="256"/>
      <c r="F300" s="256"/>
      <c r="G300" s="256"/>
      <c r="H300" s="257"/>
      <c r="I300" s="44"/>
      <c r="J300" s="44"/>
      <c r="K300" s="44"/>
      <c r="L300" s="44"/>
      <c r="M300" s="44"/>
      <c r="N300" s="44"/>
      <c r="O300" s="44"/>
      <c r="P300" s="44"/>
      <c r="Q300" s="44"/>
      <c r="R300" s="44"/>
      <c r="S300" s="44"/>
      <c r="T300" s="44"/>
      <c r="U300" s="44"/>
      <c r="V300" s="44"/>
      <c r="W300" s="44"/>
      <c r="X300" s="44"/>
      <c r="Y300" s="44"/>
      <c r="Z300" s="44"/>
      <c r="AA300" s="44"/>
      <c r="AB300" s="44"/>
    </row>
    <row r="301" spans="1:28">
      <c r="A301" s="9"/>
      <c r="B301" s="9"/>
      <c r="C301" s="9"/>
      <c r="D301" s="9"/>
      <c r="E301" s="36"/>
      <c r="F301" s="36"/>
      <c r="G301" s="36"/>
      <c r="H301" s="257"/>
      <c r="I301" s="44"/>
      <c r="J301" s="44"/>
      <c r="K301" s="44"/>
      <c r="L301" s="44"/>
      <c r="M301" s="44"/>
      <c r="N301" s="44"/>
      <c r="O301" s="44"/>
      <c r="P301" s="44"/>
      <c r="Q301" s="44"/>
      <c r="R301" s="44"/>
      <c r="S301" s="44"/>
      <c r="T301" s="44"/>
      <c r="U301" s="44"/>
      <c r="V301" s="44"/>
      <c r="W301" s="44"/>
      <c r="X301" s="44"/>
      <c r="Y301" s="44"/>
      <c r="Z301" s="44"/>
      <c r="AA301" s="44"/>
      <c r="AB301" s="44"/>
    </row>
    <row r="302" spans="1:28">
      <c r="A302" s="9"/>
      <c r="B302" s="44"/>
      <c r="C302" s="44"/>
      <c r="D302" s="9"/>
      <c r="F302" s="36"/>
      <c r="G302" s="272"/>
      <c r="H302" s="257"/>
      <c r="I302" s="44"/>
      <c r="J302" s="44"/>
      <c r="K302" s="44"/>
      <c r="L302" s="44"/>
      <c r="M302" s="44"/>
      <c r="N302" s="44"/>
      <c r="O302" s="44"/>
      <c r="P302" s="44"/>
      <c r="Q302" s="44"/>
      <c r="R302" s="44"/>
      <c r="S302" s="44"/>
      <c r="T302" s="44"/>
      <c r="U302" s="44"/>
      <c r="V302" s="44"/>
      <c r="W302" s="44"/>
      <c r="X302" s="44"/>
      <c r="Y302" s="44"/>
      <c r="Z302" s="44"/>
      <c r="AA302" s="44"/>
      <c r="AB302" s="44"/>
    </row>
    <row r="303" spans="1:28">
      <c r="A303" s="9"/>
      <c r="B303" s="9"/>
      <c r="C303" s="44"/>
      <c r="D303" s="9"/>
      <c r="E303" s="36"/>
      <c r="F303" s="36"/>
      <c r="G303" s="272"/>
      <c r="H303" s="257"/>
      <c r="I303" s="44"/>
      <c r="J303" s="44"/>
      <c r="K303" s="44"/>
      <c r="L303" s="44"/>
      <c r="M303" s="44"/>
      <c r="N303" s="44"/>
      <c r="O303" s="44"/>
      <c r="P303" s="44"/>
      <c r="Q303" s="44"/>
      <c r="R303" s="44"/>
      <c r="S303" s="44"/>
      <c r="T303" s="44"/>
      <c r="U303" s="44"/>
      <c r="V303" s="44"/>
      <c r="W303" s="44"/>
      <c r="X303" s="44"/>
      <c r="Y303" s="44"/>
      <c r="Z303" s="44"/>
      <c r="AA303" s="44"/>
      <c r="AB303" s="44"/>
    </row>
    <row r="304" spans="1:28">
      <c r="A304" s="9"/>
      <c r="B304" s="9"/>
      <c r="C304" s="44"/>
      <c r="D304" s="9"/>
      <c r="E304" s="36"/>
      <c r="F304" s="36"/>
      <c r="G304" s="272"/>
      <c r="H304" s="257"/>
      <c r="I304" s="44"/>
      <c r="J304" s="44"/>
      <c r="K304" s="44"/>
      <c r="L304" s="44"/>
      <c r="M304" s="44"/>
      <c r="N304" s="44"/>
      <c r="O304" s="44"/>
      <c r="P304" s="44"/>
      <c r="Q304" s="44"/>
      <c r="R304" s="44"/>
      <c r="S304" s="44"/>
      <c r="T304" s="44"/>
      <c r="U304" s="44"/>
      <c r="V304" s="44"/>
      <c r="W304" s="44"/>
      <c r="X304" s="44"/>
      <c r="Y304" s="44"/>
      <c r="Z304" s="44"/>
      <c r="AA304" s="44"/>
      <c r="AB304" s="44"/>
    </row>
    <row r="305" spans="1:28">
      <c r="A305" s="9"/>
      <c r="B305" s="9"/>
      <c r="C305" s="9"/>
      <c r="D305" s="9"/>
      <c r="E305" s="21"/>
      <c r="F305" s="21"/>
      <c r="G305" s="272"/>
      <c r="H305" s="257"/>
      <c r="I305" s="44"/>
      <c r="J305" s="44"/>
      <c r="K305" s="44"/>
      <c r="L305" s="44"/>
      <c r="M305" s="44"/>
      <c r="N305" s="44"/>
      <c r="O305" s="44"/>
      <c r="P305" s="44"/>
      <c r="Q305" s="44"/>
      <c r="R305" s="44"/>
      <c r="S305" s="44"/>
      <c r="T305" s="44"/>
      <c r="U305" s="44"/>
      <c r="V305" s="44"/>
      <c r="W305" s="44"/>
      <c r="X305" s="44"/>
      <c r="Y305" s="44"/>
      <c r="Z305" s="44"/>
      <c r="AA305" s="44"/>
      <c r="AB305" s="44"/>
    </row>
    <row r="306" spans="1:28" ht="12.75" hidden="1" customHeight="1" outlineLevel="1">
      <c r="A306" s="9"/>
      <c r="B306" s="9"/>
      <c r="C306" s="9"/>
      <c r="D306" s="9"/>
      <c r="E306" s="284"/>
      <c r="F306" s="284"/>
      <c r="G306" s="289"/>
      <c r="H306" s="290"/>
      <c r="I306" s="44"/>
      <c r="J306" s="44"/>
      <c r="K306" s="44"/>
      <c r="L306" s="44"/>
      <c r="M306" s="44"/>
      <c r="N306" s="44"/>
      <c r="O306" s="44"/>
      <c r="P306" s="44"/>
      <c r="Q306" s="44"/>
      <c r="R306" s="44"/>
      <c r="S306" s="44"/>
      <c r="T306" s="44"/>
      <c r="U306" s="44"/>
      <c r="V306" s="44"/>
      <c r="W306" s="44"/>
      <c r="X306" s="44"/>
      <c r="Y306" s="44"/>
      <c r="Z306" s="44"/>
      <c r="AA306" s="44"/>
      <c r="AB306" s="44"/>
    </row>
    <row r="307" spans="1:28" ht="12.75" hidden="1" customHeight="1" outlineLevel="1">
      <c r="A307" s="9"/>
      <c r="B307" s="9"/>
      <c r="C307" s="282"/>
      <c r="D307" s="282"/>
      <c r="E307" s="280"/>
      <c r="F307" s="280"/>
      <c r="G307" s="291"/>
      <c r="H307" s="292"/>
      <c r="I307" s="44"/>
      <c r="J307" s="44"/>
      <c r="K307" s="44"/>
      <c r="L307" s="44"/>
      <c r="M307" s="44"/>
      <c r="N307" s="44"/>
      <c r="O307" s="44"/>
      <c r="P307" s="44"/>
      <c r="Q307" s="44"/>
      <c r="R307" s="44"/>
      <c r="S307" s="44"/>
      <c r="T307" s="44"/>
      <c r="U307" s="44"/>
      <c r="V307" s="44"/>
      <c r="W307" s="44"/>
      <c r="X307" s="44"/>
      <c r="Y307" s="44"/>
      <c r="Z307" s="44"/>
      <c r="AA307" s="44"/>
      <c r="AB307" s="44"/>
    </row>
    <row r="308" spans="1:28" ht="12.75" hidden="1" customHeight="1" outlineLevel="1">
      <c r="A308" s="9"/>
      <c r="B308" s="9"/>
      <c r="C308" s="282"/>
      <c r="D308" s="282"/>
      <c r="E308" s="280"/>
      <c r="F308" s="280"/>
      <c r="G308" s="291"/>
      <c r="H308" s="292"/>
      <c r="I308" s="44"/>
      <c r="J308" s="44"/>
      <c r="K308" s="44"/>
      <c r="L308" s="44"/>
      <c r="M308" s="44"/>
      <c r="N308" s="44"/>
      <c r="O308" s="44"/>
      <c r="P308" s="44"/>
      <c r="Q308" s="44"/>
      <c r="R308" s="44"/>
      <c r="S308" s="44"/>
      <c r="T308" s="44"/>
      <c r="U308" s="44"/>
      <c r="V308" s="44"/>
      <c r="W308" s="44"/>
      <c r="X308" s="44"/>
      <c r="Y308" s="44"/>
      <c r="Z308" s="44"/>
      <c r="AA308" s="44"/>
      <c r="AB308" s="44"/>
    </row>
    <row r="309" spans="1:28" ht="12.75" hidden="1" customHeight="1" outlineLevel="1">
      <c r="A309" s="9"/>
      <c r="B309" s="9"/>
      <c r="C309" s="282"/>
      <c r="D309" s="282"/>
      <c r="E309" s="280"/>
      <c r="F309" s="280"/>
      <c r="G309" s="291"/>
      <c r="H309" s="292"/>
      <c r="I309" s="44"/>
      <c r="J309" s="44"/>
      <c r="K309" s="44"/>
      <c r="L309" s="44"/>
      <c r="M309" s="44"/>
      <c r="N309" s="44"/>
      <c r="O309" s="44"/>
      <c r="P309" s="44"/>
      <c r="Q309" s="44"/>
      <c r="R309" s="44"/>
      <c r="S309" s="44"/>
      <c r="T309" s="44"/>
      <c r="U309" s="44"/>
      <c r="V309" s="44"/>
      <c r="W309" s="44"/>
      <c r="X309" s="44"/>
      <c r="Y309" s="44"/>
      <c r="Z309" s="44"/>
      <c r="AA309" s="44"/>
      <c r="AB309" s="44"/>
    </row>
    <row r="310" spans="1:28" ht="12.75" hidden="1" customHeight="1" outlineLevel="1">
      <c r="A310" s="9"/>
      <c r="B310" s="9"/>
      <c r="C310" s="282"/>
      <c r="D310" s="282"/>
      <c r="E310" s="280"/>
      <c r="F310" s="280"/>
      <c r="G310" s="291"/>
      <c r="H310" s="292"/>
      <c r="I310" s="44"/>
      <c r="J310" s="44"/>
      <c r="K310" s="44"/>
      <c r="L310" s="44"/>
      <c r="M310" s="44"/>
      <c r="N310" s="44"/>
      <c r="O310" s="44"/>
      <c r="P310" s="44"/>
      <c r="Q310" s="44"/>
      <c r="R310" s="44"/>
      <c r="S310" s="44"/>
      <c r="T310" s="44"/>
      <c r="U310" s="44"/>
      <c r="V310" s="44"/>
      <c r="W310" s="44"/>
      <c r="X310" s="44"/>
      <c r="Y310" s="44"/>
      <c r="Z310" s="44"/>
      <c r="AA310" s="44"/>
      <c r="AB310" s="44"/>
    </row>
    <row r="311" spans="1:28" ht="12.75" hidden="1" customHeight="1" outlineLevel="1">
      <c r="A311" s="9"/>
      <c r="B311" s="9"/>
      <c r="C311" s="282"/>
      <c r="D311" s="282"/>
      <c r="E311" s="280"/>
      <c r="F311" s="280"/>
      <c r="G311" s="291"/>
      <c r="H311" s="292"/>
      <c r="I311" s="44"/>
      <c r="J311" s="44"/>
      <c r="K311" s="44"/>
      <c r="L311" s="44"/>
      <c r="M311" s="44"/>
      <c r="N311" s="44"/>
      <c r="O311" s="44"/>
      <c r="P311" s="44"/>
      <c r="Q311" s="44"/>
      <c r="R311" s="44"/>
      <c r="S311" s="44"/>
      <c r="T311" s="44"/>
      <c r="U311" s="44"/>
      <c r="V311" s="44"/>
      <c r="W311" s="44"/>
      <c r="X311" s="44"/>
      <c r="Y311" s="44"/>
      <c r="Z311" s="44"/>
      <c r="AA311" s="44"/>
      <c r="AB311" s="44"/>
    </row>
    <row r="312" spans="1:28" ht="12.75" hidden="1" customHeight="1" outlineLevel="1">
      <c r="A312" s="9"/>
      <c r="B312" s="9"/>
      <c r="C312" s="282"/>
      <c r="D312" s="282"/>
      <c r="E312" s="280"/>
      <c r="F312" s="280"/>
      <c r="G312" s="291"/>
      <c r="H312" s="292"/>
      <c r="I312" s="44"/>
      <c r="J312" s="44"/>
      <c r="K312" s="44"/>
      <c r="L312" s="44"/>
      <c r="M312" s="44"/>
      <c r="N312" s="44"/>
      <c r="O312" s="44"/>
      <c r="P312" s="44"/>
      <c r="Q312" s="44"/>
      <c r="R312" s="44"/>
      <c r="S312" s="44"/>
      <c r="T312" s="44"/>
      <c r="U312" s="44"/>
      <c r="V312" s="44"/>
      <c r="W312" s="44"/>
      <c r="X312" s="44"/>
      <c r="Y312" s="44"/>
      <c r="Z312" s="44"/>
      <c r="AA312" s="44"/>
      <c r="AB312" s="44"/>
    </row>
    <row r="313" spans="1:28" ht="12.75" hidden="1" customHeight="1" outlineLevel="1">
      <c r="A313" s="9"/>
      <c r="B313" s="9"/>
      <c r="C313" s="282"/>
      <c r="D313" s="282"/>
      <c r="E313" s="280"/>
      <c r="F313" s="280"/>
      <c r="G313" s="291"/>
      <c r="H313" s="292"/>
      <c r="I313" s="44"/>
      <c r="J313" s="44"/>
      <c r="K313" s="44"/>
      <c r="L313" s="44"/>
      <c r="M313" s="44"/>
      <c r="N313" s="44"/>
      <c r="O313" s="44"/>
      <c r="P313" s="44"/>
      <c r="Q313" s="44"/>
      <c r="R313" s="44"/>
      <c r="S313" s="44"/>
      <c r="T313" s="44"/>
      <c r="U313" s="44"/>
      <c r="V313" s="44"/>
      <c r="W313" s="44"/>
      <c r="X313" s="44"/>
      <c r="Y313" s="44"/>
      <c r="Z313" s="44"/>
      <c r="AA313" s="44"/>
      <c r="AB313" s="44"/>
    </row>
    <row r="314" spans="1:28" ht="12.75" hidden="1" customHeight="1" outlineLevel="1">
      <c r="A314" s="9"/>
      <c r="B314" s="9"/>
      <c r="C314" s="282"/>
      <c r="D314" s="282"/>
      <c r="E314" s="280"/>
      <c r="F314" s="280"/>
      <c r="G314" s="291"/>
      <c r="H314" s="292"/>
      <c r="I314" s="44"/>
      <c r="J314" s="44"/>
      <c r="K314" s="44"/>
      <c r="L314" s="44"/>
      <c r="M314" s="44"/>
      <c r="N314" s="44"/>
      <c r="O314" s="44"/>
      <c r="P314" s="44"/>
      <c r="Q314" s="44"/>
      <c r="R314" s="44"/>
      <c r="S314" s="44"/>
      <c r="T314" s="44"/>
      <c r="U314" s="44"/>
      <c r="V314" s="44"/>
      <c r="W314" s="44"/>
      <c r="X314" s="44"/>
      <c r="Y314" s="44"/>
      <c r="Z314" s="44"/>
      <c r="AA314" s="44"/>
      <c r="AB314" s="44"/>
    </row>
    <row r="315" spans="1:28" ht="12.75" hidden="1" customHeight="1" outlineLevel="1">
      <c r="A315" s="9"/>
      <c r="B315" s="9"/>
      <c r="C315" s="282"/>
      <c r="D315" s="282"/>
      <c r="E315" s="280"/>
      <c r="F315" s="280"/>
      <c r="G315" s="291"/>
      <c r="H315" s="292"/>
      <c r="I315" s="44"/>
      <c r="J315" s="44"/>
      <c r="K315" s="44"/>
      <c r="L315" s="44"/>
      <c r="M315" s="44"/>
      <c r="N315" s="44"/>
      <c r="O315" s="44"/>
      <c r="P315" s="44"/>
      <c r="Q315" s="44"/>
      <c r="R315" s="44"/>
      <c r="S315" s="44"/>
      <c r="T315" s="44"/>
      <c r="U315" s="44"/>
      <c r="V315" s="44"/>
      <c r="W315" s="44"/>
      <c r="X315" s="44"/>
      <c r="Y315" s="44"/>
      <c r="Z315" s="44"/>
      <c r="AA315" s="44"/>
      <c r="AB315" s="44"/>
    </row>
    <row r="316" spans="1:28" ht="12.75" hidden="1" customHeight="1" outlineLevel="1">
      <c r="A316" s="9"/>
      <c r="B316" s="9"/>
      <c r="C316" s="282"/>
      <c r="D316" s="282"/>
      <c r="E316" s="280"/>
      <c r="F316" s="280"/>
      <c r="G316" s="291"/>
      <c r="H316" s="292"/>
      <c r="I316" s="44"/>
      <c r="J316" s="44"/>
      <c r="K316" s="44"/>
      <c r="L316" s="44"/>
      <c r="M316" s="44"/>
      <c r="N316" s="44"/>
      <c r="O316" s="44"/>
      <c r="P316" s="44"/>
      <c r="Q316" s="44"/>
      <c r="R316" s="44"/>
      <c r="S316" s="44"/>
      <c r="T316" s="44"/>
      <c r="U316" s="44"/>
      <c r="V316" s="44"/>
      <c r="W316" s="44"/>
      <c r="X316" s="44"/>
      <c r="Y316" s="44"/>
      <c r="Z316" s="44"/>
      <c r="AA316" s="44"/>
      <c r="AB316" s="44"/>
    </row>
    <row r="317" spans="1:28" ht="12.75" hidden="1" customHeight="1" outlineLevel="1">
      <c r="A317" s="9"/>
      <c r="B317" s="9"/>
      <c r="C317" s="282"/>
      <c r="D317" s="282"/>
      <c r="E317" s="280"/>
      <c r="F317" s="280"/>
      <c r="G317" s="291"/>
      <c r="H317" s="292"/>
      <c r="I317" s="44"/>
      <c r="J317" s="44"/>
      <c r="K317" s="44"/>
      <c r="L317" s="44"/>
      <c r="M317" s="44"/>
      <c r="N317" s="44"/>
      <c r="O317" s="44"/>
      <c r="P317" s="44"/>
      <c r="Q317" s="44"/>
      <c r="R317" s="44"/>
      <c r="S317" s="44"/>
      <c r="T317" s="44"/>
      <c r="U317" s="44"/>
      <c r="V317" s="44"/>
      <c r="W317" s="44"/>
      <c r="X317" s="44"/>
      <c r="Y317" s="44"/>
      <c r="Z317" s="44"/>
      <c r="AA317" s="44"/>
      <c r="AB317" s="44"/>
    </row>
    <row r="318" spans="1:28" ht="12.75" hidden="1" customHeight="1" outlineLevel="1">
      <c r="A318" s="9"/>
      <c r="B318" s="9"/>
      <c r="C318" s="282"/>
      <c r="D318" s="282"/>
      <c r="E318" s="280"/>
      <c r="F318" s="280"/>
      <c r="G318" s="291"/>
      <c r="H318" s="292"/>
      <c r="I318" s="44"/>
      <c r="J318" s="44"/>
      <c r="K318" s="44"/>
      <c r="L318" s="44"/>
      <c r="M318" s="44"/>
      <c r="N318" s="44"/>
      <c r="O318" s="44"/>
      <c r="P318" s="44"/>
      <c r="Q318" s="44"/>
      <c r="R318" s="44"/>
      <c r="S318" s="44"/>
      <c r="T318" s="44"/>
      <c r="U318" s="44"/>
      <c r="V318" s="44"/>
      <c r="W318" s="44"/>
      <c r="X318" s="44"/>
      <c r="Y318" s="44"/>
      <c r="Z318" s="44"/>
      <c r="AA318" s="44"/>
      <c r="AB318" s="44"/>
    </row>
    <row r="319" spans="1:28" ht="12.75" hidden="1" customHeight="1" outlineLevel="1">
      <c r="A319" s="9"/>
      <c r="B319" s="9"/>
      <c r="C319" s="282"/>
      <c r="D319" s="282"/>
      <c r="E319" s="280"/>
      <c r="F319" s="280"/>
      <c r="G319" s="291"/>
      <c r="H319" s="292"/>
      <c r="I319" s="44"/>
      <c r="J319" s="44"/>
      <c r="K319" s="44"/>
      <c r="L319" s="44"/>
      <c r="M319" s="44"/>
      <c r="N319" s="44"/>
      <c r="O319" s="44"/>
      <c r="P319" s="44"/>
      <c r="Q319" s="44"/>
      <c r="R319" s="44"/>
      <c r="S319" s="44"/>
      <c r="T319" s="44"/>
      <c r="U319" s="44"/>
      <c r="V319" s="44"/>
      <c r="W319" s="44"/>
      <c r="X319" s="44"/>
      <c r="Y319" s="44"/>
      <c r="Z319" s="44"/>
      <c r="AA319" s="44"/>
      <c r="AB319" s="44"/>
    </row>
    <row r="320" spans="1:28" ht="12.75" hidden="1" customHeight="1" outlineLevel="1">
      <c r="A320" s="9"/>
      <c r="B320" s="9"/>
      <c r="C320" s="282"/>
      <c r="D320" s="282"/>
      <c r="E320" s="280"/>
      <c r="F320" s="280"/>
      <c r="G320" s="291"/>
      <c r="H320" s="292"/>
      <c r="I320" s="44"/>
      <c r="J320" s="44"/>
      <c r="K320" s="44"/>
      <c r="L320" s="44"/>
      <c r="M320" s="44"/>
      <c r="N320" s="44"/>
      <c r="O320" s="44"/>
      <c r="P320" s="44"/>
      <c r="Q320" s="44"/>
      <c r="R320" s="44"/>
      <c r="S320" s="44"/>
      <c r="T320" s="44"/>
      <c r="U320" s="44"/>
      <c r="V320" s="44"/>
      <c r="W320" s="44"/>
      <c r="X320" s="44"/>
      <c r="Y320" s="44"/>
      <c r="Z320" s="44"/>
      <c r="AA320" s="44"/>
      <c r="AB320" s="44"/>
    </row>
    <row r="321" spans="1:28" ht="12.75" hidden="1" customHeight="1" outlineLevel="1">
      <c r="A321" s="9"/>
      <c r="B321" s="9"/>
      <c r="C321" s="282"/>
      <c r="D321" s="282"/>
      <c r="E321" s="280"/>
      <c r="F321" s="280"/>
      <c r="G321" s="291"/>
      <c r="H321" s="292"/>
      <c r="I321" s="44"/>
      <c r="J321" s="44"/>
      <c r="K321" s="44"/>
      <c r="L321" s="44"/>
      <c r="M321" s="44"/>
      <c r="N321" s="44"/>
      <c r="O321" s="44"/>
      <c r="P321" s="44"/>
      <c r="Q321" s="44"/>
      <c r="R321" s="44"/>
      <c r="S321" s="44"/>
      <c r="T321" s="44"/>
      <c r="U321" s="44"/>
      <c r="V321" s="44"/>
      <c r="W321" s="44"/>
      <c r="X321" s="44"/>
      <c r="Y321" s="44"/>
      <c r="Z321" s="44"/>
      <c r="AA321" s="44"/>
      <c r="AB321" s="44"/>
    </row>
    <row r="322" spans="1:28" ht="12.75" hidden="1" customHeight="1" outlineLevel="1">
      <c r="A322" s="9"/>
      <c r="B322" s="9"/>
      <c r="C322" s="282"/>
      <c r="D322" s="282"/>
      <c r="E322" s="280"/>
      <c r="F322" s="280"/>
      <c r="G322" s="291"/>
      <c r="H322" s="292"/>
      <c r="I322" s="44"/>
      <c r="J322" s="44"/>
      <c r="K322" s="44"/>
      <c r="L322" s="44"/>
      <c r="M322" s="44"/>
      <c r="N322" s="44"/>
      <c r="O322" s="44"/>
      <c r="P322" s="44"/>
      <c r="Q322" s="44"/>
      <c r="R322" s="44"/>
      <c r="S322" s="44"/>
      <c r="T322" s="44"/>
      <c r="U322" s="44"/>
      <c r="V322" s="44"/>
      <c r="W322" s="44"/>
      <c r="X322" s="44"/>
      <c r="Y322" s="44"/>
      <c r="Z322" s="44"/>
      <c r="AA322" s="44"/>
      <c r="AB322" s="44"/>
    </row>
    <row r="323" spans="1:28" ht="12.75" hidden="1" customHeight="1" outlineLevel="1">
      <c r="A323" s="9"/>
      <c r="B323" s="9"/>
      <c r="C323" s="282"/>
      <c r="D323" s="282"/>
      <c r="E323" s="280"/>
      <c r="F323" s="280"/>
      <c r="G323" s="291"/>
      <c r="H323" s="292"/>
      <c r="I323" s="44"/>
      <c r="J323" s="44"/>
      <c r="K323" s="44"/>
      <c r="L323" s="44"/>
      <c r="M323" s="44"/>
      <c r="N323" s="44"/>
      <c r="O323" s="44"/>
      <c r="P323" s="44"/>
      <c r="Q323" s="44"/>
      <c r="R323" s="44"/>
      <c r="S323" s="44"/>
      <c r="T323" s="44"/>
      <c r="U323" s="44"/>
      <c r="V323" s="44"/>
      <c r="W323" s="44"/>
      <c r="X323" s="44"/>
      <c r="Y323" s="44"/>
      <c r="Z323" s="44"/>
      <c r="AA323" s="44"/>
      <c r="AB323" s="44"/>
    </row>
    <row r="324" spans="1:28" ht="12.75" hidden="1" customHeight="1" outlineLevel="1">
      <c r="A324" s="9"/>
      <c r="B324" s="9"/>
      <c r="C324" s="282"/>
      <c r="D324" s="282"/>
      <c r="E324" s="280"/>
      <c r="F324" s="280"/>
      <c r="G324" s="291"/>
      <c r="H324" s="292"/>
      <c r="I324" s="44"/>
      <c r="J324" s="44"/>
      <c r="K324" s="44"/>
      <c r="L324" s="44"/>
      <c r="M324" s="44"/>
      <c r="N324" s="44"/>
      <c r="O324" s="44"/>
      <c r="P324" s="44"/>
      <c r="Q324" s="44"/>
      <c r="R324" s="44"/>
      <c r="S324" s="44"/>
      <c r="T324" s="44"/>
      <c r="U324" s="44"/>
      <c r="V324" s="44"/>
      <c r="W324" s="44"/>
      <c r="X324" s="44"/>
      <c r="Y324" s="44"/>
      <c r="Z324" s="44"/>
      <c r="AA324" s="44"/>
      <c r="AB324" s="44"/>
    </row>
    <row r="325" spans="1:28" ht="12.75" hidden="1" customHeight="1" outlineLevel="1">
      <c r="A325" s="9"/>
      <c r="B325" s="9"/>
      <c r="C325" s="282"/>
      <c r="D325" s="282"/>
      <c r="E325" s="280"/>
      <c r="F325" s="280"/>
      <c r="G325" s="291"/>
      <c r="H325" s="292"/>
      <c r="I325" s="44"/>
      <c r="J325" s="44"/>
      <c r="K325" s="44"/>
      <c r="L325" s="44"/>
      <c r="M325" s="44"/>
      <c r="N325" s="44"/>
      <c r="O325" s="44"/>
      <c r="P325" s="44"/>
      <c r="Q325" s="44"/>
      <c r="R325" s="44"/>
      <c r="S325" s="44"/>
      <c r="T325" s="44"/>
      <c r="U325" s="44"/>
      <c r="V325" s="44"/>
      <c r="W325" s="44"/>
      <c r="X325" s="44"/>
      <c r="Y325" s="44"/>
      <c r="Z325" s="44"/>
      <c r="AA325" s="44"/>
      <c r="AB325" s="44"/>
    </row>
    <row r="326" spans="1:28" ht="12.75" hidden="1" customHeight="1" outlineLevel="1">
      <c r="A326" s="9"/>
      <c r="B326" s="9"/>
      <c r="C326" s="282"/>
      <c r="D326" s="282"/>
      <c r="E326" s="280"/>
      <c r="F326" s="280"/>
      <c r="G326" s="291"/>
      <c r="H326" s="292"/>
      <c r="I326" s="44"/>
      <c r="J326" s="44"/>
      <c r="K326" s="44"/>
      <c r="L326" s="44"/>
      <c r="M326" s="44"/>
      <c r="N326" s="44"/>
      <c r="O326" s="44"/>
      <c r="P326" s="44"/>
      <c r="Q326" s="44"/>
      <c r="R326" s="44"/>
      <c r="S326" s="44"/>
      <c r="T326" s="44"/>
      <c r="U326" s="44"/>
      <c r="V326" s="44"/>
      <c r="W326" s="44"/>
      <c r="X326" s="44"/>
      <c r="Y326" s="44"/>
      <c r="Z326" s="44"/>
      <c r="AA326" s="44"/>
      <c r="AB326" s="44"/>
    </row>
    <row r="327" spans="1:28" ht="12.75" hidden="1" customHeight="1" outlineLevel="1">
      <c r="A327" s="9"/>
      <c r="B327" s="9"/>
      <c r="C327" s="282"/>
      <c r="D327" s="282"/>
      <c r="E327" s="280"/>
      <c r="F327" s="280"/>
      <c r="G327" s="293"/>
      <c r="H327" s="292"/>
      <c r="I327" s="44"/>
      <c r="J327" s="44"/>
      <c r="K327" s="44"/>
      <c r="L327" s="44"/>
      <c r="M327" s="44"/>
      <c r="N327" s="44"/>
      <c r="O327" s="44"/>
      <c r="P327" s="44"/>
      <c r="Q327" s="44"/>
      <c r="R327" s="44"/>
      <c r="S327" s="44"/>
      <c r="T327" s="44"/>
      <c r="U327" s="44"/>
      <c r="V327" s="44"/>
      <c r="W327" s="44"/>
      <c r="X327" s="44"/>
      <c r="Y327" s="44"/>
      <c r="Z327" s="44"/>
      <c r="AA327" s="44"/>
      <c r="AB327" s="44"/>
    </row>
    <row r="328" spans="1:28" collapsed="1">
      <c r="A328" s="9"/>
      <c r="B328" s="255" t="s">
        <v>148</v>
      </c>
      <c r="C328" s="468" t="s">
        <v>204</v>
      </c>
      <c r="D328" s="466"/>
      <c r="E328" s="467"/>
      <c r="F328" s="467"/>
      <c r="G328" s="469" t="s">
        <v>203</v>
      </c>
      <c r="H328" s="283"/>
      <c r="I328" s="44"/>
      <c r="J328" s="44"/>
      <c r="K328" s="44"/>
      <c r="L328" s="44"/>
      <c r="M328" s="44"/>
      <c r="N328" s="44"/>
      <c r="O328" s="44"/>
      <c r="P328" s="44"/>
      <c r="Q328" s="44"/>
      <c r="R328" s="44"/>
      <c r="S328" s="44"/>
      <c r="T328" s="44"/>
      <c r="U328" s="44"/>
      <c r="V328" s="44"/>
      <c r="W328" s="44"/>
      <c r="X328" s="44"/>
      <c r="Y328" s="44"/>
      <c r="Z328" s="44"/>
      <c r="AA328" s="44"/>
      <c r="AB328" s="44"/>
    </row>
    <row r="329" spans="1:28">
      <c r="A329" s="9"/>
      <c r="B329" s="9"/>
      <c r="C329" s="9" t="s">
        <v>115</v>
      </c>
      <c r="D329" s="9"/>
      <c r="E329" s="36"/>
      <c r="F329" s="36">
        <f ca="1">F19</f>
        <v>980.43322639257633</v>
      </c>
      <c r="G329" s="464">
        <f ca="1">G19</f>
        <v>32.874129822620603</v>
      </c>
      <c r="H329" s="257"/>
      <c r="I329" s="115"/>
      <c r="J329" s="44"/>
      <c r="K329" s="44"/>
      <c r="L329" s="44"/>
      <c r="M329" s="44"/>
      <c r="N329" s="44"/>
      <c r="O329" s="44"/>
      <c r="P329" s="44"/>
      <c r="Q329" s="44"/>
      <c r="R329" s="44"/>
      <c r="S329" s="44"/>
      <c r="T329" s="44"/>
      <c r="U329" s="44"/>
      <c r="V329" s="44"/>
      <c r="W329" s="44"/>
      <c r="X329" s="44"/>
      <c r="Y329" s="44"/>
      <c r="Z329" s="44"/>
      <c r="AA329" s="44"/>
      <c r="AB329" s="44"/>
    </row>
    <row r="330" spans="1:28">
      <c r="A330" s="9"/>
      <c r="B330" s="9"/>
      <c r="C330" s="9" t="s">
        <v>112</v>
      </c>
      <c r="D330" s="9"/>
      <c r="E330" s="36"/>
      <c r="F330" s="36">
        <f ca="1">F33</f>
        <v>156.51707288904566</v>
      </c>
      <c r="G330" s="464">
        <f ca="1">G33</f>
        <v>67.417426953616527</v>
      </c>
      <c r="H330" s="257"/>
      <c r="I330" s="115"/>
      <c r="J330" s="256"/>
      <c r="K330" s="264"/>
      <c r="L330" s="256"/>
      <c r="M330" s="109"/>
      <c r="N330" s="297"/>
      <c r="O330" s="297"/>
      <c r="P330" s="297"/>
      <c r="Q330" s="297"/>
      <c r="R330" s="9"/>
      <c r="S330" s="9"/>
      <c r="T330" s="9"/>
      <c r="U330" s="44"/>
      <c r="V330" s="44"/>
      <c r="W330" s="44"/>
      <c r="X330" s="44"/>
      <c r="Y330" s="44"/>
      <c r="Z330" s="44"/>
      <c r="AA330" s="44"/>
      <c r="AB330" s="44"/>
    </row>
    <row r="331" spans="1:28">
      <c r="A331" s="9"/>
      <c r="B331" s="9"/>
      <c r="C331" s="9" t="s">
        <v>117</v>
      </c>
      <c r="D331" s="9"/>
      <c r="E331" s="36"/>
      <c r="F331" s="36">
        <f ca="1">F47</f>
        <v>2809.6621710218315</v>
      </c>
      <c r="G331" s="464">
        <f ca="1">G47</f>
        <v>46.823960442040182</v>
      </c>
      <c r="H331" s="257"/>
      <c r="I331" s="115"/>
      <c r="J331" s="256"/>
      <c r="K331" s="264"/>
      <c r="L331" s="256"/>
      <c r="M331" s="109"/>
      <c r="N331" s="297"/>
      <c r="O331" s="297"/>
      <c r="P331" s="297"/>
      <c r="Q331" s="297"/>
      <c r="R331" s="9"/>
      <c r="S331" s="9"/>
      <c r="T331" s="9"/>
      <c r="U331" s="44"/>
      <c r="V331" s="44"/>
      <c r="W331" s="44"/>
      <c r="X331" s="44"/>
      <c r="Y331" s="44"/>
      <c r="Z331" s="44"/>
      <c r="AA331" s="44"/>
      <c r="AB331" s="44"/>
    </row>
    <row r="332" spans="1:28">
      <c r="A332" s="9"/>
      <c r="B332" s="9"/>
      <c r="C332" s="9" t="s">
        <v>118</v>
      </c>
      <c r="D332" s="9"/>
      <c r="E332" s="36"/>
      <c r="F332" s="36">
        <f ca="1">F61</f>
        <v>3081.2912794360595</v>
      </c>
      <c r="G332" s="464">
        <f ca="1">G61</f>
        <v>34.83184042416061</v>
      </c>
      <c r="H332" s="257"/>
      <c r="I332" s="115"/>
      <c r="J332" s="256"/>
      <c r="K332" s="264"/>
      <c r="L332" s="256"/>
      <c r="M332" s="109"/>
      <c r="N332" s="297"/>
      <c r="O332" s="297"/>
      <c r="P332" s="297"/>
      <c r="Q332" s="297"/>
      <c r="R332" s="9"/>
      <c r="S332" s="9"/>
      <c r="T332" s="9"/>
      <c r="U332" s="44"/>
      <c r="V332" s="44"/>
      <c r="W332" s="44"/>
      <c r="X332" s="44"/>
      <c r="Y332" s="44"/>
      <c r="Z332" s="44"/>
      <c r="AA332" s="44"/>
      <c r="AB332" s="44"/>
    </row>
    <row r="333" spans="1:28">
      <c r="A333" s="9"/>
      <c r="B333" s="9"/>
      <c r="C333" s="9" t="s">
        <v>119</v>
      </c>
      <c r="D333" s="9"/>
      <c r="E333" s="36"/>
      <c r="F333" s="36">
        <f ca="1">F75</f>
        <v>618.53711939417315</v>
      </c>
      <c r="G333" s="464">
        <f ca="1">G75</f>
        <v>30.484968653424065</v>
      </c>
      <c r="H333" s="257"/>
      <c r="I333" s="115"/>
      <c r="J333" s="256"/>
      <c r="K333" s="264"/>
      <c r="L333" s="256"/>
      <c r="M333" s="109"/>
      <c r="N333" s="297"/>
      <c r="O333" s="297"/>
      <c r="P333" s="297"/>
      <c r="Q333" s="297"/>
      <c r="R333" s="9"/>
      <c r="S333" s="9"/>
      <c r="T333" s="9"/>
      <c r="U333" s="44"/>
      <c r="V333" s="44"/>
      <c r="W333" s="44"/>
      <c r="X333" s="44"/>
      <c r="Y333" s="44"/>
      <c r="Z333" s="44"/>
      <c r="AA333" s="44"/>
      <c r="AB333" s="44"/>
    </row>
    <row r="334" spans="1:28">
      <c r="A334" s="9"/>
      <c r="B334" s="9"/>
      <c r="C334" s="9" t="s">
        <v>120</v>
      </c>
      <c r="D334" s="9"/>
      <c r="E334" s="36"/>
      <c r="F334" s="36">
        <f ca="1">F89</f>
        <v>1309.0880389246061</v>
      </c>
      <c r="G334" s="464">
        <f ca="1">G89</f>
        <v>39.973155550696212</v>
      </c>
      <c r="H334" s="257"/>
      <c r="I334" s="115"/>
      <c r="J334" s="256"/>
      <c r="K334" s="264"/>
      <c r="L334" s="256"/>
      <c r="M334" s="109"/>
      <c r="N334" s="297"/>
      <c r="O334" s="297"/>
      <c r="P334" s="297"/>
      <c r="Q334" s="297"/>
      <c r="R334" s="9"/>
      <c r="S334" s="9"/>
      <c r="T334" s="9"/>
      <c r="U334" s="44"/>
      <c r="V334" s="44"/>
      <c r="W334" s="44"/>
      <c r="X334" s="44"/>
      <c r="Y334" s="44"/>
      <c r="Z334" s="44"/>
      <c r="AA334" s="44"/>
      <c r="AB334" s="44"/>
    </row>
    <row r="335" spans="1:28">
      <c r="A335" s="9"/>
      <c r="B335" s="9"/>
      <c r="C335" s="9" t="s">
        <v>121</v>
      </c>
      <c r="D335" s="9"/>
      <c r="E335" s="36"/>
      <c r="F335" s="36">
        <f ca="1">F103</f>
        <v>175.4183198568351</v>
      </c>
      <c r="G335" s="464">
        <f ca="1">G103</f>
        <v>14.509167584846777</v>
      </c>
      <c r="H335" s="257"/>
      <c r="I335" s="115"/>
      <c r="J335" s="256"/>
      <c r="K335" s="307"/>
      <c r="L335" s="256"/>
      <c r="M335" s="109"/>
      <c r="N335" s="297"/>
      <c r="O335" s="297"/>
      <c r="P335" s="297"/>
      <c r="Q335" s="297"/>
      <c r="R335" s="9"/>
      <c r="S335" s="9"/>
      <c r="T335" s="9"/>
      <c r="U335" s="44"/>
      <c r="V335" s="44"/>
      <c r="W335" s="44"/>
      <c r="X335" s="44"/>
      <c r="Y335" s="44"/>
      <c r="Z335" s="44"/>
      <c r="AA335" s="44"/>
      <c r="AB335" s="44"/>
    </row>
    <row r="336" spans="1:28">
      <c r="A336" s="9"/>
      <c r="B336" s="9"/>
      <c r="C336" s="9" t="s">
        <v>122</v>
      </c>
      <c r="D336" s="9"/>
      <c r="E336" s="36"/>
      <c r="F336" s="36">
        <f ca="1">F117</f>
        <v>87.787076679817574</v>
      </c>
      <c r="G336" s="464">
        <f ca="1">G117</f>
        <v>12.872765149087957</v>
      </c>
      <c r="H336" s="257"/>
      <c r="I336" s="115"/>
      <c r="J336" s="256"/>
      <c r="K336" s="264"/>
      <c r="L336" s="256"/>
      <c r="M336" s="109"/>
      <c r="N336" s="297"/>
      <c r="O336" s="297"/>
      <c r="P336" s="297"/>
      <c r="Q336" s="297"/>
      <c r="R336" s="9"/>
      <c r="S336" s="9"/>
      <c r="T336" s="9"/>
      <c r="U336" s="44"/>
      <c r="V336" s="44"/>
      <c r="W336" s="44"/>
      <c r="X336" s="44"/>
      <c r="Y336" s="44"/>
      <c r="Z336" s="44"/>
      <c r="AA336" s="44"/>
      <c r="AB336" s="44"/>
    </row>
    <row r="337" spans="1:28">
      <c r="A337" s="9"/>
      <c r="B337" s="9"/>
      <c r="C337" s="9" t="s">
        <v>116</v>
      </c>
      <c r="D337" s="9"/>
      <c r="E337" s="36"/>
      <c r="F337" s="36">
        <f ca="1">F131</f>
        <v>12.062671140592952</v>
      </c>
      <c r="G337" s="464">
        <f ca="1">G131</f>
        <v>5.6496072630426371</v>
      </c>
      <c r="H337" s="257"/>
      <c r="I337" s="115"/>
      <c r="J337" s="256"/>
      <c r="K337" s="264"/>
      <c r="L337" s="256"/>
      <c r="M337" s="109"/>
      <c r="N337" s="297"/>
      <c r="O337" s="297"/>
      <c r="P337" s="297"/>
      <c r="Q337" s="297"/>
      <c r="R337" s="9"/>
      <c r="S337" s="9"/>
      <c r="T337" s="9"/>
      <c r="U337" s="44"/>
      <c r="V337" s="44"/>
      <c r="W337" s="44"/>
      <c r="X337" s="44"/>
      <c r="Y337" s="44"/>
      <c r="Z337" s="44"/>
      <c r="AA337" s="44"/>
      <c r="AB337" s="44"/>
    </row>
    <row r="338" spans="1:28">
      <c r="A338" s="9"/>
      <c r="B338" s="9"/>
      <c r="C338" s="9" t="s">
        <v>123</v>
      </c>
      <c r="D338" s="9"/>
      <c r="E338" s="36"/>
      <c r="F338" s="36">
        <f ca="1">F145</f>
        <v>50.304363092327776</v>
      </c>
      <c r="G338" s="464">
        <f ca="1">G145</f>
        <v>3.0798479502212994</v>
      </c>
      <c r="H338" s="257"/>
      <c r="I338" s="115"/>
      <c r="J338" s="256"/>
      <c r="K338" s="264"/>
      <c r="L338" s="256"/>
      <c r="M338" s="109"/>
      <c r="N338" s="297"/>
      <c r="O338" s="297"/>
      <c r="P338" s="297"/>
      <c r="Q338" s="297"/>
      <c r="R338" s="9"/>
      <c r="S338" s="9"/>
      <c r="T338" s="9"/>
      <c r="U338" s="44"/>
      <c r="V338" s="44"/>
      <c r="W338" s="44"/>
      <c r="X338" s="44"/>
      <c r="Y338" s="44"/>
      <c r="Z338" s="44"/>
      <c r="AA338" s="44"/>
      <c r="AB338" s="44"/>
    </row>
    <row r="339" spans="1:28">
      <c r="A339" s="9"/>
      <c r="B339" s="9"/>
      <c r="C339" s="9" t="s">
        <v>113</v>
      </c>
      <c r="D339" s="9"/>
      <c r="E339" s="36"/>
      <c r="F339" s="36">
        <f ca="1">F159</f>
        <v>182.66428738329193</v>
      </c>
      <c r="G339" s="464">
        <f ca="1">G159</f>
        <v>4.8726233150080009</v>
      </c>
      <c r="H339" s="257"/>
      <c r="I339" s="115"/>
      <c r="J339" s="256"/>
      <c r="K339" s="264"/>
      <c r="L339" s="256"/>
      <c r="M339" s="109"/>
      <c r="N339" s="297"/>
      <c r="O339" s="297"/>
      <c r="P339" s="297"/>
      <c r="Q339" s="297"/>
      <c r="R339" s="9"/>
      <c r="S339" s="9"/>
      <c r="T339" s="9"/>
      <c r="U339" s="44"/>
      <c r="V339" s="44"/>
      <c r="W339" s="44"/>
      <c r="X339" s="44"/>
      <c r="Y339" s="44"/>
      <c r="Z339" s="44"/>
      <c r="AA339" s="44"/>
      <c r="AB339" s="44"/>
    </row>
    <row r="340" spans="1:28">
      <c r="A340" s="9"/>
      <c r="B340" s="9"/>
      <c r="C340" s="9" t="s">
        <v>114</v>
      </c>
      <c r="D340" s="9"/>
      <c r="E340" s="36"/>
      <c r="F340" s="36">
        <f ca="1">F173</f>
        <v>49.861111773716281</v>
      </c>
      <c r="G340" s="464">
        <f ca="1">G173</f>
        <v>12.438356311036991</v>
      </c>
      <c r="H340" s="257"/>
      <c r="I340" s="115"/>
      <c r="J340" s="256"/>
      <c r="K340" s="264"/>
      <c r="L340" s="256"/>
      <c r="M340" s="109"/>
      <c r="N340" s="297"/>
      <c r="O340" s="297"/>
      <c r="P340" s="297"/>
      <c r="Q340" s="297"/>
      <c r="R340" s="9"/>
      <c r="S340" s="9"/>
      <c r="T340" s="9"/>
      <c r="U340" s="44"/>
      <c r="V340" s="44"/>
      <c r="W340" s="44"/>
      <c r="X340" s="44"/>
      <c r="Y340" s="44"/>
      <c r="Z340" s="44"/>
      <c r="AA340" s="44"/>
      <c r="AB340" s="44"/>
    </row>
    <row r="341" spans="1:28">
      <c r="A341" s="9"/>
      <c r="B341" s="9"/>
      <c r="C341" s="9" t="s">
        <v>124</v>
      </c>
      <c r="D341" s="9"/>
      <c r="E341" s="36"/>
      <c r="F341" s="36" t="s">
        <v>109</v>
      </c>
      <c r="G341" s="464" t="s">
        <v>109</v>
      </c>
      <c r="H341" s="257"/>
      <c r="I341" s="115"/>
      <c r="J341" s="256"/>
      <c r="K341" s="264"/>
      <c r="L341" s="256"/>
      <c r="M341" s="109"/>
      <c r="N341" s="297"/>
      <c r="O341" s="297"/>
      <c r="P341" s="297"/>
      <c r="Q341" s="297"/>
      <c r="R341" s="9"/>
      <c r="S341" s="9"/>
      <c r="T341" s="9"/>
      <c r="U341" s="44"/>
      <c r="V341" s="44"/>
      <c r="W341" s="44"/>
      <c r="X341" s="44"/>
      <c r="Y341" s="44"/>
      <c r="Z341" s="44"/>
      <c r="AA341" s="44"/>
      <c r="AB341" s="44"/>
    </row>
    <row r="342" spans="1:28">
      <c r="A342" s="9"/>
      <c r="B342" s="9"/>
      <c r="C342" s="9" t="s">
        <v>125</v>
      </c>
      <c r="D342" s="9"/>
      <c r="E342" s="36"/>
      <c r="F342" s="36" t="s">
        <v>109</v>
      </c>
      <c r="G342" s="464" t="s">
        <v>109</v>
      </c>
      <c r="H342" s="257"/>
      <c r="I342" s="115"/>
      <c r="J342" s="256"/>
      <c r="K342" s="264"/>
      <c r="L342" s="256"/>
      <c r="M342" s="109"/>
      <c r="N342" s="297"/>
      <c r="O342" s="297"/>
      <c r="P342" s="297"/>
      <c r="Q342" s="297"/>
      <c r="R342" s="9"/>
      <c r="S342" s="9"/>
      <c r="T342" s="9"/>
      <c r="U342" s="44"/>
      <c r="V342" s="44"/>
      <c r="W342" s="44"/>
      <c r="X342" s="44"/>
      <c r="Y342" s="44"/>
      <c r="Z342" s="44"/>
      <c r="AA342" s="44"/>
      <c r="AB342" s="44"/>
    </row>
    <row r="343" spans="1:28">
      <c r="A343" s="9"/>
      <c r="B343" s="9"/>
      <c r="C343" s="9" t="s">
        <v>126</v>
      </c>
      <c r="D343" s="9"/>
      <c r="E343" s="36"/>
      <c r="F343" s="36">
        <f ca="1">F215</f>
        <v>41.698787653286935</v>
      </c>
      <c r="G343" s="464">
        <f ca="1">G215</f>
        <v>12.503618124454491</v>
      </c>
      <c r="H343" s="257"/>
      <c r="I343" s="115"/>
      <c r="J343" s="256"/>
      <c r="K343" s="264"/>
      <c r="L343" s="256"/>
      <c r="M343" s="109"/>
      <c r="N343" s="297"/>
      <c r="O343" s="297"/>
      <c r="P343" s="297"/>
      <c r="Q343" s="297"/>
      <c r="R343" s="9"/>
      <c r="S343" s="9"/>
      <c r="T343" s="9"/>
      <c r="U343" s="44"/>
      <c r="V343" s="44"/>
      <c r="W343" s="44"/>
      <c r="X343" s="44"/>
      <c r="Y343" s="44"/>
      <c r="Z343" s="44"/>
      <c r="AA343" s="44"/>
      <c r="AB343" s="44"/>
    </row>
    <row r="344" spans="1:28">
      <c r="A344" s="9"/>
      <c r="B344" s="9"/>
      <c r="C344" s="9" t="s">
        <v>127</v>
      </c>
      <c r="D344" s="9"/>
      <c r="E344" s="36"/>
      <c r="F344" s="36" t="s">
        <v>109</v>
      </c>
      <c r="G344" s="464" t="s">
        <v>109</v>
      </c>
      <c r="H344" s="257"/>
      <c r="I344" s="115"/>
      <c r="J344" s="256"/>
      <c r="K344" s="264"/>
      <c r="L344" s="256"/>
      <c r="M344" s="109"/>
      <c r="N344" s="297"/>
      <c r="O344" s="297"/>
      <c r="P344" s="297"/>
      <c r="Q344" s="297"/>
      <c r="R344" s="9"/>
      <c r="S344" s="9"/>
      <c r="T344" s="9"/>
      <c r="U344" s="44"/>
      <c r="V344" s="44"/>
      <c r="W344" s="44"/>
      <c r="X344" s="44"/>
      <c r="Y344" s="44"/>
      <c r="Z344" s="44"/>
      <c r="AA344" s="44"/>
      <c r="AB344" s="44"/>
    </row>
    <row r="345" spans="1:28">
      <c r="A345" s="9"/>
      <c r="B345" s="9"/>
      <c r="C345" s="9" t="s">
        <v>128</v>
      </c>
      <c r="D345" s="9"/>
      <c r="E345" s="36"/>
      <c r="F345" s="36">
        <f ca="1">F243</f>
        <v>64.746910239109525</v>
      </c>
      <c r="G345" s="464">
        <f ca="1">G243</f>
        <v>7.6583908325161456</v>
      </c>
      <c r="H345" s="257"/>
      <c r="I345" s="115"/>
      <c r="J345" s="256"/>
      <c r="K345" s="264"/>
      <c r="L345" s="256"/>
      <c r="M345" s="109"/>
      <c r="N345" s="297"/>
      <c r="O345" s="297"/>
      <c r="P345" s="297"/>
      <c r="Q345" s="297"/>
      <c r="R345" s="9"/>
      <c r="S345" s="9"/>
      <c r="T345" s="9"/>
      <c r="U345" s="44"/>
      <c r="V345" s="44"/>
      <c r="W345" s="44"/>
      <c r="X345" s="44"/>
      <c r="Y345" s="44"/>
      <c r="Z345" s="44"/>
      <c r="AA345" s="44"/>
      <c r="AB345" s="44"/>
    </row>
    <row r="346" spans="1:28">
      <c r="A346" s="9"/>
      <c r="B346" s="9"/>
      <c r="C346" s="9" t="s">
        <v>129</v>
      </c>
      <c r="D346" s="9"/>
      <c r="E346" s="36"/>
      <c r="F346" s="36">
        <f ca="1">F257</f>
        <v>88.500121146118204</v>
      </c>
      <c r="G346" s="464">
        <f ca="1">G257</f>
        <v>3.2985411051511244</v>
      </c>
      <c r="H346" s="257"/>
      <c r="I346" s="115"/>
      <c r="J346" s="256"/>
      <c r="K346" s="264"/>
      <c r="L346" s="256"/>
      <c r="M346" s="109"/>
      <c r="N346" s="297"/>
      <c r="O346" s="297"/>
      <c r="P346" s="297"/>
      <c r="Q346" s="297"/>
      <c r="R346" s="9"/>
      <c r="S346" s="9"/>
      <c r="T346" s="9"/>
      <c r="U346" s="44"/>
      <c r="V346" s="44"/>
      <c r="W346" s="44"/>
      <c r="X346" s="44"/>
      <c r="Y346" s="44"/>
      <c r="Z346" s="44"/>
      <c r="AA346" s="44"/>
      <c r="AB346" s="44"/>
    </row>
    <row r="347" spans="1:28">
      <c r="A347" s="9"/>
      <c r="B347" s="9"/>
      <c r="C347" s="9" t="s">
        <v>130</v>
      </c>
      <c r="D347" s="9"/>
      <c r="E347" s="36"/>
      <c r="F347" s="36">
        <f ca="1">F271</f>
        <v>104.54237776588327</v>
      </c>
      <c r="G347" s="464">
        <f ca="1">G271</f>
        <v>6.3110631925304101</v>
      </c>
      <c r="H347" s="257"/>
      <c r="I347" s="115"/>
      <c r="J347" s="256"/>
      <c r="K347" s="264"/>
      <c r="L347" s="256"/>
      <c r="M347" s="109"/>
      <c r="N347" s="297"/>
      <c r="O347" s="297"/>
      <c r="P347" s="297"/>
      <c r="Q347" s="297"/>
      <c r="R347" s="9"/>
      <c r="S347" s="9"/>
      <c r="T347" s="9"/>
      <c r="U347" s="44"/>
      <c r="V347" s="44"/>
      <c r="W347" s="44"/>
      <c r="X347" s="44"/>
      <c r="Y347" s="44"/>
      <c r="Z347" s="44"/>
      <c r="AA347" s="44"/>
      <c r="AB347" s="44"/>
    </row>
    <row r="348" spans="1:28">
      <c r="A348" s="9"/>
      <c r="B348" s="9"/>
      <c r="C348" s="9" t="s">
        <v>131</v>
      </c>
      <c r="D348" s="9"/>
      <c r="E348" s="36"/>
      <c r="F348" s="36">
        <f ca="1">F285</f>
        <v>208.02284638808655</v>
      </c>
      <c r="G348" s="464">
        <f ca="1">G285</f>
        <v>29.966979315054747</v>
      </c>
      <c r="H348" s="257"/>
      <c r="I348" s="115"/>
      <c r="J348" s="256"/>
      <c r="K348" s="264"/>
      <c r="L348" s="256"/>
      <c r="M348" s="109"/>
      <c r="N348" s="297"/>
      <c r="O348" s="297"/>
      <c r="P348" s="297"/>
      <c r="Q348" s="297"/>
      <c r="R348" s="9"/>
      <c r="S348" s="9"/>
      <c r="T348" s="9"/>
      <c r="U348" s="44"/>
      <c r="V348" s="44"/>
      <c r="W348" s="44"/>
      <c r="X348" s="44"/>
      <c r="Y348" s="44"/>
      <c r="Z348" s="44"/>
      <c r="AA348" s="44"/>
      <c r="AB348" s="44"/>
    </row>
    <row r="349" spans="1:28">
      <c r="A349" s="9"/>
      <c r="B349" s="9"/>
      <c r="C349" s="346" t="s">
        <v>139</v>
      </c>
      <c r="D349" s="346"/>
      <c r="E349" s="348"/>
      <c r="F349" s="348"/>
      <c r="G349" s="464">
        <f ca="1">G299</f>
        <v>43.42815308482453</v>
      </c>
      <c r="H349" s="257"/>
      <c r="I349" s="115"/>
      <c r="J349" s="256"/>
      <c r="K349" s="264"/>
      <c r="L349" s="256"/>
      <c r="M349" s="109"/>
      <c r="N349" s="297"/>
      <c r="O349" s="297"/>
      <c r="P349" s="297"/>
      <c r="Q349" s="297"/>
      <c r="R349" s="9"/>
      <c r="S349" s="9"/>
      <c r="T349" s="9"/>
      <c r="U349" s="44"/>
      <c r="V349" s="44"/>
      <c r="W349" s="44"/>
      <c r="X349" s="44"/>
      <c r="Y349" s="44"/>
      <c r="Z349" s="44"/>
      <c r="AA349" s="44"/>
      <c r="AB349" s="44"/>
    </row>
    <row r="350" spans="1:28">
      <c r="A350" s="9"/>
      <c r="B350" s="9"/>
      <c r="C350" s="9"/>
      <c r="D350" s="9"/>
      <c r="E350" s="36"/>
      <c r="F350" s="36"/>
      <c r="G350" s="36"/>
      <c r="H350" s="257"/>
      <c r="I350" s="264"/>
      <c r="J350" s="256"/>
      <c r="K350" s="264"/>
      <c r="L350" s="256"/>
      <c r="M350" s="109"/>
      <c r="N350" s="297"/>
      <c r="O350" s="297"/>
      <c r="P350" s="297"/>
      <c r="Q350" s="297"/>
      <c r="R350" s="9"/>
      <c r="S350" s="9"/>
      <c r="T350" s="9"/>
      <c r="U350" s="44"/>
      <c r="V350" s="44"/>
      <c r="W350" s="44"/>
      <c r="X350" s="44"/>
      <c r="Y350" s="44"/>
      <c r="Z350" s="44"/>
      <c r="AA350" s="44"/>
      <c r="AB350" s="44"/>
    </row>
    <row r="351" spans="1:28">
      <c r="A351" s="9"/>
      <c r="B351" s="9"/>
      <c r="C351" s="9"/>
      <c r="D351" s="9"/>
      <c r="E351" s="36"/>
      <c r="F351" s="36"/>
      <c r="G351" s="36"/>
      <c r="H351" s="469" t="s">
        <v>203</v>
      </c>
      <c r="I351" s="264"/>
      <c r="J351" s="256"/>
      <c r="K351" s="264"/>
      <c r="L351" s="256"/>
      <c r="M351" s="109"/>
      <c r="N351" s="297"/>
      <c r="O351" s="297"/>
      <c r="P351" s="297"/>
      <c r="Q351" s="297"/>
      <c r="R351" s="9"/>
      <c r="S351" s="9"/>
      <c r="T351" s="9"/>
      <c r="U351" s="44"/>
      <c r="V351" s="44"/>
      <c r="W351" s="44"/>
      <c r="X351" s="44"/>
      <c r="Y351" s="44"/>
      <c r="Z351" s="44"/>
      <c r="AA351" s="44"/>
      <c r="AB351" s="44"/>
    </row>
    <row r="352" spans="1:28">
      <c r="A352" s="9"/>
      <c r="C352" s="468" t="s">
        <v>194</v>
      </c>
      <c r="D352" s="346"/>
      <c r="E352" s="465" t="s">
        <v>197</v>
      </c>
      <c r="F352" s="465" t="s">
        <v>195</v>
      </c>
      <c r="G352" s="368" t="s">
        <v>196</v>
      </c>
      <c r="H352" s="368" t="s">
        <v>198</v>
      </c>
      <c r="I352" s="429"/>
      <c r="J352" s="270" t="s">
        <v>200</v>
      </c>
      <c r="K352" s="264"/>
      <c r="L352" s="256"/>
      <c r="M352" s="109"/>
      <c r="N352" s="297"/>
      <c r="O352" s="297"/>
      <c r="P352" s="297"/>
      <c r="Q352" s="297"/>
      <c r="R352" s="9"/>
      <c r="S352" s="9"/>
      <c r="T352" s="9"/>
      <c r="U352" s="44"/>
      <c r="V352" s="44"/>
      <c r="W352" s="44"/>
      <c r="X352" s="44"/>
      <c r="Y352" s="44"/>
      <c r="Z352" s="44"/>
      <c r="AA352" s="44"/>
      <c r="AB352" s="44"/>
    </row>
    <row r="353" spans="1:28">
      <c r="A353" s="9"/>
      <c r="B353" s="9"/>
      <c r="C353" s="9" t="s">
        <v>115</v>
      </c>
      <c r="D353" s="9"/>
      <c r="E353" s="36">
        <f ca="1">G329</f>
        <v>32.874129822620603</v>
      </c>
      <c r="F353" s="36">
        <v>46.298951338166589</v>
      </c>
      <c r="G353" s="36">
        <v>47.5</v>
      </c>
      <c r="H353" s="464">
        <f ca="1">IFERROR((E353/F353)*G353,"n/a")</f>
        <v>33.726922995926195</v>
      </c>
      <c r="I353" s="264"/>
      <c r="J353" s="256">
        <v>33.940307327339212</v>
      </c>
      <c r="K353" s="264"/>
      <c r="L353" s="256"/>
      <c r="M353" s="109"/>
      <c r="N353" s="297"/>
      <c r="O353" s="297"/>
      <c r="P353" s="297"/>
      <c r="Q353" s="297"/>
      <c r="R353" s="9"/>
      <c r="S353" s="9"/>
      <c r="T353" s="9"/>
      <c r="U353" s="44"/>
      <c r="V353" s="44"/>
      <c r="W353" s="44"/>
      <c r="X353" s="44"/>
      <c r="Y353" s="44"/>
      <c r="Z353" s="44"/>
      <c r="AA353" s="44"/>
      <c r="AB353" s="44"/>
    </row>
    <row r="354" spans="1:28">
      <c r="A354" s="9"/>
      <c r="B354" s="9"/>
      <c r="C354" s="9" t="s">
        <v>112</v>
      </c>
      <c r="D354" s="9"/>
      <c r="E354" s="36">
        <f t="shared" ref="E354:E373" ca="1" si="21">G330</f>
        <v>67.417426953616527</v>
      </c>
      <c r="F354" s="36">
        <v>70</v>
      </c>
      <c r="G354" s="36">
        <v>40</v>
      </c>
      <c r="H354" s="464">
        <f t="shared" ref="H354:H373" ca="1" si="22">IFERROR((E354/F354)*G354,"n/a")</f>
        <v>38.52424397349516</v>
      </c>
      <c r="I354" s="264"/>
      <c r="J354" s="256">
        <v>38.53302639503476</v>
      </c>
      <c r="K354" s="264"/>
      <c r="L354" s="256"/>
      <c r="M354" s="109"/>
      <c r="N354" s="297"/>
      <c r="O354" s="297"/>
      <c r="P354" s="297"/>
      <c r="Q354" s="297"/>
      <c r="R354" s="9"/>
      <c r="S354" s="9"/>
      <c r="T354" s="9"/>
      <c r="U354" s="44"/>
      <c r="V354" s="44"/>
      <c r="W354" s="44"/>
      <c r="X354" s="44"/>
      <c r="Y354" s="44"/>
      <c r="Z354" s="44"/>
      <c r="AA354" s="44"/>
      <c r="AB354" s="44"/>
    </row>
    <row r="355" spans="1:28">
      <c r="A355" s="9"/>
      <c r="B355" s="9"/>
      <c r="C355" s="9" t="s">
        <v>117</v>
      </c>
      <c r="D355" s="9"/>
      <c r="E355" s="36">
        <f t="shared" ca="1" si="21"/>
        <v>46.823960442040182</v>
      </c>
      <c r="F355" s="36">
        <v>58.033383369141177</v>
      </c>
      <c r="G355" s="36">
        <v>48.7</v>
      </c>
      <c r="H355" s="464">
        <f t="shared" ca="1" si="22"/>
        <v>39.293364286940815</v>
      </c>
      <c r="I355" s="264"/>
      <c r="J355" s="256">
        <v>39.397092655927928</v>
      </c>
      <c r="K355" s="264"/>
      <c r="L355" s="256"/>
      <c r="M355" s="109"/>
      <c r="N355" s="297"/>
      <c r="O355" s="297"/>
      <c r="P355" s="297"/>
      <c r="Q355" s="297"/>
      <c r="R355" s="9"/>
      <c r="S355" s="9"/>
      <c r="T355" s="9"/>
      <c r="U355" s="44"/>
      <c r="V355" s="44"/>
      <c r="W355" s="44"/>
      <c r="X355" s="44"/>
      <c r="Y355" s="44"/>
      <c r="Z355" s="44"/>
      <c r="AA355" s="44"/>
      <c r="AB355" s="44"/>
    </row>
    <row r="356" spans="1:28">
      <c r="A356" s="9"/>
      <c r="B356" s="9"/>
      <c r="C356" s="9" t="s">
        <v>118</v>
      </c>
      <c r="D356" s="9"/>
      <c r="E356" s="36">
        <f t="shared" ca="1" si="21"/>
        <v>34.83184042416061</v>
      </c>
      <c r="F356" s="36">
        <v>46.842831924321999</v>
      </c>
      <c r="G356" s="36">
        <v>40</v>
      </c>
      <c r="H356" s="464">
        <f t="shared" ca="1" si="22"/>
        <v>29.743582096346337</v>
      </c>
      <c r="I356" s="264"/>
      <c r="J356" s="256">
        <v>29.867815834551497</v>
      </c>
      <c r="K356" s="264"/>
      <c r="L356" s="256"/>
      <c r="M356" s="109"/>
      <c r="N356" s="297"/>
      <c r="O356" s="297"/>
      <c r="P356" s="297"/>
      <c r="Q356" s="297"/>
      <c r="R356" s="9"/>
      <c r="S356" s="9"/>
      <c r="T356" s="9"/>
      <c r="U356" s="44"/>
      <c r="V356" s="44"/>
      <c r="W356" s="44"/>
      <c r="X356" s="44"/>
      <c r="Y356" s="44"/>
      <c r="Z356" s="44"/>
      <c r="AA356" s="44"/>
      <c r="AB356" s="44"/>
    </row>
    <row r="357" spans="1:28">
      <c r="A357" s="9"/>
      <c r="B357" s="9"/>
      <c r="C357" s="9" t="s">
        <v>119</v>
      </c>
      <c r="D357" s="9"/>
      <c r="E357" s="36">
        <f t="shared" ca="1" si="21"/>
        <v>30.484968653424065</v>
      </c>
      <c r="F357" s="36">
        <v>45.887214388616371</v>
      </c>
      <c r="G357" s="36">
        <v>42</v>
      </c>
      <c r="H357" s="464">
        <f t="shared" ca="1" si="22"/>
        <v>27.902514905359837</v>
      </c>
      <c r="I357" s="264"/>
      <c r="J357" s="256">
        <v>27.89849518700597</v>
      </c>
      <c r="K357" s="264"/>
      <c r="L357" s="256"/>
      <c r="M357" s="109"/>
      <c r="N357" s="297"/>
      <c r="O357" s="297"/>
      <c r="P357" s="297"/>
      <c r="Q357" s="297"/>
      <c r="R357" s="9"/>
      <c r="S357" s="9"/>
      <c r="T357" s="9"/>
      <c r="U357" s="44"/>
      <c r="V357" s="44"/>
      <c r="W357" s="44"/>
      <c r="X357" s="44"/>
      <c r="Y357" s="44"/>
      <c r="Z357" s="44"/>
      <c r="AA357" s="44"/>
      <c r="AB357" s="44"/>
    </row>
    <row r="358" spans="1:28">
      <c r="A358" s="9"/>
      <c r="B358" s="9"/>
      <c r="C358" s="9" t="s">
        <v>120</v>
      </c>
      <c r="D358" s="9"/>
      <c r="E358" s="36">
        <f t="shared" ca="1" si="21"/>
        <v>39.973155550696212</v>
      </c>
      <c r="F358" s="36">
        <v>52.073244732796169</v>
      </c>
      <c r="G358" s="36">
        <v>45.8</v>
      </c>
      <c r="H358" s="464">
        <f t="shared" ca="1" si="22"/>
        <v>35.157604132719847</v>
      </c>
      <c r="I358" s="264"/>
      <c r="J358" s="256">
        <v>35.091079203833402</v>
      </c>
      <c r="K358" s="264"/>
      <c r="L358" s="256"/>
      <c r="M358" s="109"/>
      <c r="N358" s="297"/>
      <c r="O358" s="297"/>
      <c r="P358" s="297"/>
      <c r="Q358" s="297"/>
      <c r="R358" s="9"/>
      <c r="S358" s="9"/>
      <c r="T358" s="9"/>
      <c r="U358" s="44"/>
      <c r="V358" s="44"/>
      <c r="W358" s="44"/>
      <c r="X358" s="44"/>
      <c r="Y358" s="44"/>
      <c r="Z358" s="44"/>
      <c r="AA358" s="44"/>
      <c r="AB358" s="44"/>
    </row>
    <row r="359" spans="1:28">
      <c r="A359" s="9"/>
      <c r="B359" s="9"/>
      <c r="C359" s="9" t="s">
        <v>121</v>
      </c>
      <c r="D359" s="9"/>
      <c r="E359" s="36">
        <f t="shared" ca="1" si="21"/>
        <v>14.509167584846777</v>
      </c>
      <c r="F359" s="36">
        <v>25</v>
      </c>
      <c r="G359" s="36">
        <v>25</v>
      </c>
      <c r="H359" s="464">
        <f t="shared" ca="1" si="22"/>
        <v>14.509167584846777</v>
      </c>
      <c r="I359" s="264"/>
      <c r="J359" s="256">
        <v>14.476029211645269</v>
      </c>
      <c r="K359" s="264"/>
      <c r="L359" s="256"/>
      <c r="M359" s="109"/>
      <c r="N359" s="297"/>
      <c r="O359" s="297"/>
      <c r="P359" s="297"/>
      <c r="Q359" s="297"/>
      <c r="R359" s="9"/>
      <c r="S359" s="9"/>
      <c r="T359" s="9"/>
      <c r="U359" s="44"/>
      <c r="V359" s="44"/>
      <c r="W359" s="44"/>
      <c r="X359" s="44"/>
      <c r="Y359" s="44"/>
      <c r="Z359" s="44"/>
      <c r="AA359" s="44"/>
      <c r="AB359" s="44"/>
    </row>
    <row r="360" spans="1:28">
      <c r="A360" s="9"/>
      <c r="B360" s="9"/>
      <c r="C360" s="9" t="s">
        <v>122</v>
      </c>
      <c r="D360" s="9"/>
      <c r="E360" s="36">
        <f t="shared" ca="1" si="21"/>
        <v>12.872765149087957</v>
      </c>
      <c r="F360" s="36">
        <v>15</v>
      </c>
      <c r="G360" s="36">
        <v>15</v>
      </c>
      <c r="H360" s="464">
        <f t="shared" ca="1" si="22"/>
        <v>12.872765149087957</v>
      </c>
      <c r="I360" s="264"/>
      <c r="J360" s="256">
        <v>0</v>
      </c>
      <c r="K360" s="264"/>
      <c r="L360" s="256"/>
      <c r="M360" s="109"/>
      <c r="N360" s="297"/>
      <c r="O360" s="297"/>
      <c r="P360" s="297"/>
      <c r="Q360" s="297"/>
      <c r="R360" s="9"/>
      <c r="S360" s="9"/>
      <c r="T360" s="9"/>
      <c r="U360" s="44"/>
      <c r="V360" s="44"/>
      <c r="W360" s="44"/>
      <c r="X360" s="44"/>
      <c r="Y360" s="44"/>
      <c r="Z360" s="44"/>
      <c r="AA360" s="44"/>
      <c r="AB360" s="44"/>
    </row>
    <row r="361" spans="1:28">
      <c r="A361" s="9"/>
      <c r="B361" s="9"/>
      <c r="C361" s="9" t="s">
        <v>116</v>
      </c>
      <c r="D361" s="9"/>
      <c r="E361" s="36">
        <f t="shared" ca="1" si="21"/>
        <v>5.6496072630426371</v>
      </c>
      <c r="F361" s="36">
        <v>10</v>
      </c>
      <c r="G361" s="36">
        <v>10</v>
      </c>
      <c r="H361" s="464">
        <f t="shared" ca="1" si="22"/>
        <v>5.6496072630426379</v>
      </c>
      <c r="I361" s="264"/>
      <c r="J361" s="256">
        <v>4.644955223357627</v>
      </c>
      <c r="K361" s="264"/>
      <c r="L361" s="256"/>
      <c r="M361" s="109"/>
      <c r="N361" s="297"/>
      <c r="O361" s="297"/>
      <c r="P361" s="297"/>
      <c r="Q361" s="297"/>
      <c r="R361" s="9"/>
      <c r="S361" s="9"/>
      <c r="T361" s="9"/>
      <c r="U361" s="44"/>
      <c r="V361" s="44"/>
      <c r="W361" s="44"/>
      <c r="X361" s="44"/>
      <c r="Y361" s="44"/>
      <c r="Z361" s="44"/>
      <c r="AA361" s="44"/>
      <c r="AB361" s="44"/>
    </row>
    <row r="362" spans="1:28">
      <c r="A362" s="9"/>
      <c r="B362" s="9"/>
      <c r="C362" s="9" t="s">
        <v>123</v>
      </c>
      <c r="D362" s="9"/>
      <c r="E362" s="36">
        <f t="shared" ca="1" si="21"/>
        <v>3.0798479502212994</v>
      </c>
      <c r="F362" s="36">
        <v>10.221009481131924</v>
      </c>
      <c r="G362" s="36">
        <v>7.4</v>
      </c>
      <c r="H362" s="464">
        <f t="shared" ca="1" si="22"/>
        <v>2.2298066422607059</v>
      </c>
      <c r="I362" s="264"/>
      <c r="J362" s="256">
        <v>2.1682833623517399</v>
      </c>
      <c r="K362" s="264"/>
      <c r="L362" s="256"/>
      <c r="M362" s="109"/>
      <c r="N362" s="297"/>
      <c r="O362" s="297"/>
      <c r="P362" s="297"/>
      <c r="Q362" s="297"/>
      <c r="R362" s="9"/>
      <c r="S362" s="9"/>
      <c r="T362" s="9"/>
      <c r="U362" s="44"/>
      <c r="V362" s="44"/>
      <c r="W362" s="44"/>
      <c r="X362" s="44"/>
      <c r="Y362" s="44"/>
      <c r="Z362" s="44"/>
      <c r="AA362" s="44"/>
      <c r="AB362" s="44"/>
    </row>
    <row r="363" spans="1:28">
      <c r="A363" s="9"/>
      <c r="B363" s="9"/>
      <c r="C363" s="9" t="s">
        <v>113</v>
      </c>
      <c r="D363" s="9"/>
      <c r="E363" s="36">
        <f t="shared" ca="1" si="21"/>
        <v>4.8726233150080009</v>
      </c>
      <c r="F363" s="36">
        <v>7</v>
      </c>
      <c r="G363" s="36">
        <v>7</v>
      </c>
      <c r="H363" s="464">
        <f t="shared" ca="1" si="22"/>
        <v>4.8726233150080009</v>
      </c>
      <c r="I363" s="264"/>
      <c r="J363" s="256">
        <v>5.1579374996654979</v>
      </c>
      <c r="K363" s="264"/>
      <c r="L363" s="256"/>
      <c r="M363" s="109"/>
      <c r="N363" s="297"/>
      <c r="O363" s="297"/>
      <c r="P363" s="297"/>
      <c r="Q363" s="297"/>
      <c r="R363" s="9"/>
      <c r="S363" s="9"/>
      <c r="T363" s="9"/>
      <c r="U363" s="44"/>
      <c r="V363" s="44"/>
      <c r="W363" s="44"/>
      <c r="X363" s="44"/>
      <c r="Y363" s="44"/>
      <c r="Z363" s="44"/>
      <c r="AA363" s="44"/>
      <c r="AB363" s="44"/>
    </row>
    <row r="364" spans="1:28">
      <c r="A364" s="9"/>
      <c r="B364" s="9"/>
      <c r="C364" s="9" t="s">
        <v>114</v>
      </c>
      <c r="D364" s="9"/>
      <c r="E364" s="36">
        <f t="shared" ca="1" si="21"/>
        <v>12.438356311036991</v>
      </c>
      <c r="F364" s="36">
        <v>15</v>
      </c>
      <c r="G364" s="36">
        <v>15</v>
      </c>
      <c r="H364" s="464">
        <f t="shared" ca="1" si="22"/>
        <v>12.438356311036991</v>
      </c>
      <c r="I364" s="264"/>
      <c r="J364" s="256">
        <v>12.508900027619248</v>
      </c>
      <c r="K364" s="264"/>
      <c r="L364" s="256"/>
      <c r="M364" s="109"/>
      <c r="N364" s="297"/>
      <c r="O364" s="297"/>
      <c r="P364" s="297"/>
      <c r="Q364" s="297"/>
      <c r="R364" s="9"/>
      <c r="S364" s="9"/>
      <c r="T364" s="9"/>
      <c r="U364" s="44"/>
      <c r="V364" s="44"/>
      <c r="W364" s="44"/>
      <c r="X364" s="44"/>
      <c r="Y364" s="44"/>
      <c r="Z364" s="44"/>
      <c r="AA364" s="44"/>
      <c r="AB364" s="44"/>
    </row>
    <row r="365" spans="1:28">
      <c r="A365" s="9"/>
      <c r="B365" s="9"/>
      <c r="C365" s="9" t="s">
        <v>124</v>
      </c>
      <c r="D365" s="9"/>
      <c r="E365" s="36" t="str">
        <f t="shared" si="21"/>
        <v>n/a</v>
      </c>
      <c r="F365" s="36" t="s">
        <v>109</v>
      </c>
      <c r="G365" s="36" t="s">
        <v>109</v>
      </c>
      <c r="H365" s="464" t="str">
        <f t="shared" si="22"/>
        <v>n/a</v>
      </c>
      <c r="I365" s="264"/>
      <c r="J365" s="256" t="s">
        <v>109</v>
      </c>
      <c r="K365" s="264"/>
      <c r="L365" s="256"/>
      <c r="M365" s="109"/>
      <c r="N365" s="297"/>
      <c r="O365" s="297"/>
      <c r="P365" s="297"/>
      <c r="Q365" s="297"/>
      <c r="R365" s="9"/>
      <c r="S365" s="9"/>
      <c r="T365" s="9"/>
      <c r="U365" s="44"/>
      <c r="V365" s="44"/>
      <c r="W365" s="44"/>
      <c r="X365" s="44"/>
      <c r="Y365" s="44"/>
      <c r="Z365" s="44"/>
      <c r="AA365" s="44"/>
      <c r="AB365" s="44"/>
    </row>
    <row r="366" spans="1:28">
      <c r="A366" s="9"/>
      <c r="B366" s="9"/>
      <c r="C366" s="9" t="s">
        <v>125</v>
      </c>
      <c r="D366" s="9"/>
      <c r="E366" s="36" t="str">
        <f t="shared" si="21"/>
        <v>n/a</v>
      </c>
      <c r="F366" s="36" t="s">
        <v>109</v>
      </c>
      <c r="G366" s="36" t="s">
        <v>109</v>
      </c>
      <c r="H366" s="464" t="str">
        <f t="shared" si="22"/>
        <v>n/a</v>
      </c>
      <c r="I366" s="264"/>
      <c r="J366" s="256" t="s">
        <v>109</v>
      </c>
      <c r="K366" s="264"/>
      <c r="L366" s="256"/>
      <c r="M366" s="109"/>
      <c r="N366" s="297"/>
      <c r="O366" s="297"/>
      <c r="P366" s="297"/>
      <c r="Q366" s="297"/>
      <c r="R366" s="9"/>
      <c r="S366" s="9"/>
      <c r="T366" s="9"/>
      <c r="U366" s="44"/>
      <c r="V366" s="44"/>
      <c r="W366" s="44"/>
      <c r="X366" s="44"/>
      <c r="Y366" s="44"/>
      <c r="Z366" s="44"/>
      <c r="AA366" s="44"/>
      <c r="AB366" s="44"/>
    </row>
    <row r="367" spans="1:28">
      <c r="A367" s="9"/>
      <c r="B367" s="9"/>
      <c r="C367" s="9" t="s">
        <v>126</v>
      </c>
      <c r="D367" s="9"/>
      <c r="E367" s="36">
        <f t="shared" ca="1" si="21"/>
        <v>12.503618124454491</v>
      </c>
      <c r="F367" s="36">
        <v>17.439221952066688</v>
      </c>
      <c r="G367" s="36">
        <v>10.6</v>
      </c>
      <c r="H367" s="464">
        <f t="shared" ca="1" si="22"/>
        <v>7.6000152118891258</v>
      </c>
      <c r="I367" s="264"/>
      <c r="J367" s="256">
        <v>7.5121962570903067</v>
      </c>
      <c r="K367" s="264"/>
      <c r="L367" s="256"/>
      <c r="M367" s="109"/>
      <c r="N367" s="297"/>
      <c r="O367" s="297"/>
      <c r="P367" s="297"/>
      <c r="Q367" s="297"/>
      <c r="R367" s="9"/>
      <c r="S367" s="9"/>
      <c r="T367" s="9"/>
      <c r="U367" s="44"/>
      <c r="V367" s="44"/>
      <c r="W367" s="44"/>
      <c r="X367" s="44"/>
      <c r="Y367" s="44"/>
      <c r="Z367" s="44"/>
      <c r="AA367" s="44"/>
      <c r="AB367" s="44"/>
    </row>
    <row r="368" spans="1:28">
      <c r="A368" s="9"/>
      <c r="B368" s="9"/>
      <c r="C368" s="9" t="s">
        <v>127</v>
      </c>
      <c r="D368" s="9"/>
      <c r="E368" s="36" t="str">
        <f t="shared" si="21"/>
        <v>n/a</v>
      </c>
      <c r="F368" s="36" t="s">
        <v>109</v>
      </c>
      <c r="G368" s="36" t="s">
        <v>109</v>
      </c>
      <c r="H368" s="464" t="str">
        <f t="shared" si="22"/>
        <v>n/a</v>
      </c>
      <c r="I368" s="264"/>
      <c r="J368" s="256" t="s">
        <v>109</v>
      </c>
      <c r="K368" s="264"/>
      <c r="L368" s="256"/>
      <c r="M368" s="109"/>
      <c r="N368" s="297"/>
      <c r="O368" s="297"/>
      <c r="P368" s="297"/>
      <c r="Q368" s="297"/>
      <c r="R368" s="9"/>
      <c r="S368" s="9"/>
      <c r="T368" s="9"/>
      <c r="U368" s="44"/>
      <c r="V368" s="44"/>
      <c r="W368" s="44"/>
      <c r="X368" s="44"/>
      <c r="Y368" s="44"/>
      <c r="Z368" s="44"/>
      <c r="AA368" s="44"/>
      <c r="AB368" s="44"/>
    </row>
    <row r="369" spans="1:28">
      <c r="A369" s="9"/>
      <c r="B369" s="9"/>
      <c r="C369" s="9" t="s">
        <v>128</v>
      </c>
      <c r="D369" s="9"/>
      <c r="E369" s="36">
        <f t="shared" ca="1" si="21"/>
        <v>7.6583908325161456</v>
      </c>
      <c r="F369" s="36">
        <v>29.444039815489198</v>
      </c>
      <c r="G369" s="36">
        <v>10.5</v>
      </c>
      <c r="H369" s="464">
        <f t="shared" ca="1" si="22"/>
        <v>2.7310486008485078</v>
      </c>
      <c r="I369" s="264"/>
      <c r="J369" s="256">
        <v>2.6663106351358117</v>
      </c>
      <c r="K369" s="264"/>
      <c r="L369" s="256"/>
      <c r="M369" s="109"/>
      <c r="N369" s="297"/>
      <c r="O369" s="297"/>
      <c r="P369" s="297"/>
      <c r="Q369" s="297"/>
      <c r="R369" s="9"/>
      <c r="S369" s="9"/>
      <c r="T369" s="9"/>
      <c r="U369" s="44"/>
      <c r="V369" s="44"/>
      <c r="W369" s="44"/>
      <c r="X369" s="44"/>
      <c r="Y369" s="44"/>
      <c r="Z369" s="44"/>
      <c r="AA369" s="44"/>
      <c r="AB369" s="44"/>
    </row>
    <row r="370" spans="1:28">
      <c r="A370" s="9"/>
      <c r="B370" s="9"/>
      <c r="C370" s="9" t="s">
        <v>129</v>
      </c>
      <c r="D370" s="9"/>
      <c r="E370" s="36">
        <f t="shared" ca="1" si="21"/>
        <v>3.2985411051511244</v>
      </c>
      <c r="F370" s="36">
        <v>5</v>
      </c>
      <c r="G370" s="36">
        <v>4</v>
      </c>
      <c r="H370" s="464">
        <f t="shared" ca="1" si="22"/>
        <v>2.6388328841208994</v>
      </c>
      <c r="I370" s="264"/>
      <c r="J370" s="256">
        <v>2.5519376926157333</v>
      </c>
      <c r="K370" s="264"/>
      <c r="L370" s="256"/>
      <c r="M370" s="109"/>
      <c r="N370" s="297"/>
      <c r="O370" s="297"/>
      <c r="P370" s="297"/>
      <c r="Q370" s="297"/>
      <c r="R370" s="9"/>
      <c r="S370" s="9"/>
      <c r="T370" s="9"/>
      <c r="U370" s="44"/>
      <c r="V370" s="44"/>
      <c r="W370" s="44"/>
      <c r="X370" s="44"/>
      <c r="Y370" s="44"/>
      <c r="Z370" s="44"/>
      <c r="AA370" s="44"/>
      <c r="AB370" s="44"/>
    </row>
    <row r="371" spans="1:28">
      <c r="A371" s="9"/>
      <c r="B371" s="9"/>
      <c r="C371" s="9" t="s">
        <v>130</v>
      </c>
      <c r="D371" s="9"/>
      <c r="E371" s="36">
        <f t="shared" ca="1" si="21"/>
        <v>6.3110631925304101</v>
      </c>
      <c r="F371" s="36">
        <v>10.244186762015632</v>
      </c>
      <c r="G371" s="36">
        <v>20</v>
      </c>
      <c r="H371" s="464">
        <f t="shared" ca="1" si="22"/>
        <v>12.321257585680046</v>
      </c>
      <c r="I371" s="264"/>
      <c r="J371" s="256">
        <v>12.535838274071976</v>
      </c>
      <c r="K371" s="264"/>
      <c r="L371" s="256"/>
      <c r="M371" s="109"/>
      <c r="N371" s="297"/>
      <c r="O371" s="297"/>
      <c r="P371" s="297"/>
      <c r="Q371" s="297"/>
      <c r="R371" s="9"/>
      <c r="S371" s="9"/>
      <c r="T371" s="9"/>
      <c r="U371" s="44"/>
      <c r="V371" s="44"/>
      <c r="W371" s="44"/>
      <c r="X371" s="44"/>
      <c r="Y371" s="44"/>
      <c r="Z371" s="44"/>
      <c r="AA371" s="44"/>
      <c r="AB371" s="44"/>
    </row>
    <row r="372" spans="1:28">
      <c r="A372" s="9"/>
      <c r="B372" s="9"/>
      <c r="C372" s="9" t="s">
        <v>131</v>
      </c>
      <c r="D372" s="9"/>
      <c r="E372" s="36">
        <f t="shared" ca="1" si="21"/>
        <v>29.966979315054747</v>
      </c>
      <c r="F372" s="36">
        <v>35.916896031439698</v>
      </c>
      <c r="G372" s="36">
        <v>40</v>
      </c>
      <c r="H372" s="464">
        <f t="shared" ca="1" si="22"/>
        <v>33.373684951865869</v>
      </c>
      <c r="I372" s="264"/>
      <c r="J372" s="256">
        <v>33.180115454693528</v>
      </c>
      <c r="K372" s="264"/>
      <c r="L372" s="256"/>
      <c r="M372" s="109"/>
      <c r="N372" s="297"/>
      <c r="O372" s="297"/>
      <c r="P372" s="297"/>
      <c r="Q372" s="297"/>
      <c r="R372" s="9"/>
      <c r="S372" s="9"/>
      <c r="T372" s="9"/>
      <c r="U372" s="44"/>
      <c r="V372" s="44"/>
      <c r="W372" s="44"/>
      <c r="X372" s="44"/>
      <c r="Y372" s="44"/>
      <c r="Z372" s="44"/>
      <c r="AA372" s="44"/>
      <c r="AB372" s="44"/>
    </row>
    <row r="373" spans="1:28">
      <c r="A373" s="9"/>
      <c r="B373" s="9"/>
      <c r="C373" s="9" t="s">
        <v>139</v>
      </c>
      <c r="D373" s="9"/>
      <c r="E373" s="36">
        <f t="shared" ca="1" si="21"/>
        <v>43.42815308482453</v>
      </c>
      <c r="F373" s="36">
        <v>47.42815308482453</v>
      </c>
      <c r="G373" s="36">
        <v>47.42815308482453</v>
      </c>
      <c r="H373" s="464">
        <f t="shared" ca="1" si="22"/>
        <v>43.42815308482453</v>
      </c>
      <c r="I373" s="264"/>
      <c r="J373" s="256">
        <v>36.578996819394263</v>
      </c>
      <c r="K373" s="264"/>
      <c r="L373" s="256"/>
      <c r="M373" s="109"/>
      <c r="N373" s="297"/>
      <c r="O373" s="297"/>
      <c r="P373" s="297"/>
      <c r="Q373" s="297"/>
      <c r="R373" s="9"/>
      <c r="S373" s="9"/>
      <c r="T373" s="9"/>
      <c r="U373" s="44"/>
      <c r="V373" s="44"/>
      <c r="W373" s="44"/>
      <c r="X373" s="44"/>
      <c r="Y373" s="44"/>
      <c r="Z373" s="44"/>
      <c r="AA373" s="44"/>
      <c r="AB373" s="44"/>
    </row>
    <row r="374" spans="1:28">
      <c r="A374" s="9"/>
      <c r="B374" s="9"/>
      <c r="C374" s="9"/>
      <c r="D374" s="9"/>
      <c r="E374" s="36"/>
      <c r="F374" s="36"/>
      <c r="G374" s="36"/>
      <c r="H374" s="257"/>
      <c r="I374" s="264"/>
      <c r="J374" s="256"/>
      <c r="K374" s="264"/>
      <c r="L374" s="256"/>
      <c r="M374" s="109"/>
      <c r="N374" s="297"/>
      <c r="O374" s="297"/>
      <c r="P374" s="297"/>
      <c r="Q374" s="297"/>
      <c r="R374" s="9"/>
      <c r="S374" s="9"/>
      <c r="T374" s="9"/>
      <c r="U374" s="44"/>
      <c r="V374" s="44"/>
      <c r="W374" s="44"/>
      <c r="X374" s="44"/>
      <c r="Y374" s="44"/>
      <c r="Z374" s="44"/>
      <c r="AA374" s="44"/>
      <c r="AB374" s="44"/>
    </row>
    <row r="375" spans="1:28">
      <c r="A375" s="9"/>
      <c r="B375" s="9"/>
      <c r="C375" s="9"/>
      <c r="D375" s="9"/>
      <c r="E375" s="36"/>
      <c r="F375" s="36"/>
      <c r="G375" s="36"/>
      <c r="H375" s="257"/>
      <c r="I375" s="264"/>
      <c r="J375" s="256"/>
      <c r="K375" s="264"/>
      <c r="L375" s="256"/>
      <c r="M375" s="109"/>
      <c r="N375" s="297"/>
      <c r="O375" s="297"/>
      <c r="P375" s="297"/>
      <c r="Q375" s="297"/>
      <c r="R375" s="9"/>
      <c r="S375" s="9"/>
      <c r="T375" s="9"/>
      <c r="U375" s="44"/>
      <c r="V375" s="44"/>
      <c r="W375" s="44"/>
      <c r="X375" s="44"/>
      <c r="Y375" s="44"/>
      <c r="Z375" s="44"/>
      <c r="AA375" s="44"/>
      <c r="AB375" s="44"/>
    </row>
    <row r="376" spans="1:28">
      <c r="A376" s="9"/>
      <c r="B376" s="431"/>
      <c r="C376" s="430"/>
      <c r="D376" s="430"/>
      <c r="E376" s="432"/>
      <c r="F376" s="432"/>
      <c r="G376" s="433"/>
      <c r="H376" s="290"/>
      <c r="I376" s="434"/>
      <c r="J376" s="435"/>
      <c r="K376" s="264"/>
      <c r="L376" s="256"/>
      <c r="M376" s="109"/>
      <c r="N376" s="297"/>
      <c r="O376" s="297"/>
      <c r="P376" s="297"/>
      <c r="Q376" s="297"/>
      <c r="R376" s="9"/>
      <c r="S376" s="9"/>
      <c r="T376" s="9"/>
      <c r="U376" s="44"/>
      <c r="V376" s="44"/>
      <c r="W376" s="44"/>
      <c r="X376" s="44"/>
      <c r="Y376" s="44"/>
      <c r="Z376" s="44"/>
      <c r="AA376" s="44"/>
      <c r="AB376" s="44"/>
    </row>
    <row r="377" spans="1:28">
      <c r="A377" s="9"/>
      <c r="B377" s="430"/>
      <c r="C377" s="430"/>
      <c r="D377" s="430"/>
      <c r="E377" s="433"/>
      <c r="F377" s="433"/>
      <c r="G377" s="433"/>
      <c r="H377" s="290"/>
      <c r="I377" s="434"/>
      <c r="J377" s="435"/>
      <c r="K377" s="264"/>
      <c r="L377" s="256"/>
      <c r="M377" s="109"/>
      <c r="N377" s="297"/>
      <c r="O377" s="297"/>
      <c r="P377" s="297"/>
      <c r="Q377" s="297"/>
      <c r="R377" s="9"/>
      <c r="S377" s="9"/>
      <c r="T377" s="9"/>
      <c r="U377" s="44"/>
      <c r="V377" s="44"/>
      <c r="W377" s="44"/>
      <c r="X377" s="44"/>
      <c r="Y377" s="44"/>
      <c r="Z377" s="44"/>
      <c r="AA377" s="44"/>
      <c r="AB377" s="44"/>
    </row>
    <row r="378" spans="1:28">
      <c r="A378" s="9"/>
      <c r="B378" s="430"/>
      <c r="C378" s="430"/>
      <c r="D378" s="430"/>
      <c r="E378" s="433"/>
      <c r="F378" s="433"/>
      <c r="G378" s="433"/>
      <c r="H378" s="290"/>
      <c r="I378" s="434"/>
      <c r="J378" s="435"/>
      <c r="K378" s="264"/>
      <c r="L378" s="256"/>
      <c r="M378" s="109"/>
      <c r="N378" s="297"/>
      <c r="O378" s="297"/>
      <c r="P378" s="297"/>
      <c r="Q378" s="297"/>
      <c r="R378" s="9"/>
      <c r="S378" s="9"/>
      <c r="T378" s="9"/>
      <c r="U378" s="44"/>
      <c r="V378" s="44"/>
      <c r="W378" s="44"/>
      <c r="X378" s="44"/>
      <c r="Y378" s="44"/>
      <c r="Z378" s="44"/>
      <c r="AA378" s="44"/>
      <c r="AB378" s="44"/>
    </row>
    <row r="379" spans="1:28">
      <c r="A379" s="9"/>
      <c r="B379" s="430"/>
      <c r="C379" s="430"/>
      <c r="D379" s="430"/>
      <c r="E379" s="433"/>
      <c r="F379" s="433"/>
      <c r="G379" s="433"/>
      <c r="H379" s="290"/>
      <c r="I379" s="434"/>
      <c r="J379" s="435"/>
      <c r="K379" s="264"/>
      <c r="L379" s="256"/>
      <c r="M379" s="109"/>
      <c r="N379" s="297"/>
      <c r="O379" s="297"/>
      <c r="P379" s="297"/>
      <c r="Q379" s="297"/>
      <c r="R379" s="9"/>
      <c r="S379" s="9"/>
      <c r="T379" s="9"/>
      <c r="U379" s="44"/>
      <c r="V379" s="44"/>
      <c r="W379" s="44"/>
      <c r="X379" s="44"/>
      <c r="Y379" s="44"/>
      <c r="Z379" s="44"/>
      <c r="AA379" s="44"/>
      <c r="AB379" s="44"/>
    </row>
    <row r="380" spans="1:28">
      <c r="A380" s="9"/>
      <c r="B380" s="430"/>
      <c r="C380" s="430"/>
      <c r="D380" s="430"/>
      <c r="E380" s="433"/>
      <c r="F380" s="433"/>
      <c r="G380" s="433"/>
      <c r="H380" s="290"/>
      <c r="I380" s="434"/>
      <c r="J380" s="435"/>
      <c r="K380" s="264"/>
      <c r="L380" s="256"/>
      <c r="M380" s="109"/>
      <c r="N380" s="297"/>
      <c r="O380" s="297"/>
      <c r="P380" s="297"/>
      <c r="Q380" s="297"/>
      <c r="R380" s="9"/>
      <c r="S380" s="9"/>
      <c r="T380" s="9"/>
      <c r="U380" s="44"/>
      <c r="V380" s="44"/>
      <c r="W380" s="44"/>
      <c r="X380" s="44"/>
      <c r="Y380" s="44"/>
      <c r="Z380" s="44"/>
      <c r="AA380" s="44"/>
      <c r="AB380" s="44"/>
    </row>
    <row r="381" spans="1:28">
      <c r="A381" s="9"/>
      <c r="B381" s="430"/>
      <c r="C381" s="430"/>
      <c r="D381" s="430"/>
      <c r="E381" s="433"/>
      <c r="F381" s="433"/>
      <c r="G381" s="433"/>
      <c r="H381" s="290"/>
      <c r="I381" s="434"/>
      <c r="J381" s="435"/>
      <c r="K381" s="264"/>
      <c r="L381" s="256"/>
      <c r="M381" s="109"/>
      <c r="N381" s="297"/>
      <c r="O381" s="297"/>
      <c r="P381" s="297"/>
      <c r="Q381" s="297"/>
      <c r="R381" s="9"/>
      <c r="S381" s="9"/>
      <c r="T381" s="9"/>
      <c r="U381" s="44"/>
      <c r="V381" s="44"/>
      <c r="W381" s="44"/>
      <c r="X381" s="44"/>
      <c r="Y381" s="44"/>
      <c r="Z381" s="44"/>
      <c r="AA381" s="44"/>
      <c r="AB381" s="44"/>
    </row>
    <row r="382" spans="1:28">
      <c r="A382" s="9"/>
      <c r="B382" s="430"/>
      <c r="C382" s="430"/>
      <c r="D382" s="430"/>
      <c r="E382" s="433"/>
      <c r="F382" s="433"/>
      <c r="G382" s="433"/>
      <c r="H382" s="290"/>
      <c r="I382" s="434"/>
      <c r="J382" s="435"/>
      <c r="K382" s="264"/>
      <c r="L382" s="256"/>
      <c r="M382" s="109"/>
      <c r="N382" s="297"/>
      <c r="O382" s="297"/>
      <c r="P382" s="297"/>
      <c r="Q382" s="297"/>
      <c r="R382" s="9"/>
      <c r="S382" s="9"/>
      <c r="T382" s="9"/>
      <c r="U382" s="44"/>
      <c r="V382" s="44"/>
      <c r="W382" s="44"/>
      <c r="X382" s="44"/>
      <c r="Y382" s="44"/>
      <c r="Z382" s="44"/>
      <c r="AA382" s="44"/>
      <c r="AB382" s="44"/>
    </row>
    <row r="383" spans="1:28">
      <c r="A383" s="9"/>
      <c r="B383" s="430"/>
      <c r="C383" s="430"/>
      <c r="D383" s="430"/>
      <c r="E383" s="433"/>
      <c r="F383" s="433"/>
      <c r="G383" s="433"/>
      <c r="H383" s="290"/>
      <c r="I383" s="434"/>
      <c r="J383" s="435"/>
      <c r="K383" s="264"/>
      <c r="L383" s="256"/>
      <c r="M383" s="109"/>
      <c r="N383" s="297"/>
      <c r="O383" s="297"/>
      <c r="P383" s="297"/>
      <c r="Q383" s="297"/>
      <c r="R383" s="9"/>
      <c r="S383" s="9"/>
      <c r="T383" s="9"/>
      <c r="U383" s="44"/>
      <c r="V383" s="44"/>
      <c r="W383" s="44"/>
      <c r="X383" s="44"/>
      <c r="Y383" s="44"/>
      <c r="Z383" s="44"/>
      <c r="AA383" s="44"/>
      <c r="AB383" s="44"/>
    </row>
    <row r="384" spans="1:28">
      <c r="A384" s="9"/>
      <c r="B384" s="430"/>
      <c r="C384" s="430"/>
      <c r="D384" s="430"/>
      <c r="E384" s="433"/>
      <c r="F384" s="433"/>
      <c r="G384" s="433"/>
      <c r="H384" s="290"/>
      <c r="I384" s="434"/>
      <c r="J384" s="435"/>
      <c r="K384" s="264"/>
      <c r="L384" s="256"/>
      <c r="M384" s="109"/>
      <c r="N384" s="297"/>
      <c r="O384" s="297"/>
      <c r="P384" s="297"/>
      <c r="Q384" s="297"/>
      <c r="R384" s="9"/>
      <c r="S384" s="9"/>
      <c r="T384" s="9"/>
      <c r="U384" s="44"/>
      <c r="V384" s="44"/>
      <c r="W384" s="44"/>
      <c r="X384" s="44"/>
      <c r="Y384" s="44"/>
      <c r="Z384" s="44"/>
      <c r="AA384" s="44"/>
      <c r="AB384" s="44"/>
    </row>
    <row r="385" spans="1:28">
      <c r="A385" s="9"/>
      <c r="B385" s="430"/>
      <c r="C385" s="430"/>
      <c r="D385" s="430"/>
      <c r="E385" s="433"/>
      <c r="F385" s="433"/>
      <c r="G385" s="433"/>
      <c r="H385" s="290"/>
      <c r="I385" s="434"/>
      <c r="J385" s="435"/>
      <c r="K385" s="264"/>
      <c r="L385" s="256"/>
      <c r="M385" s="109"/>
      <c r="N385" s="297"/>
      <c r="O385" s="297"/>
      <c r="P385" s="297"/>
      <c r="Q385" s="297"/>
      <c r="R385" s="9"/>
      <c r="S385" s="9"/>
      <c r="T385" s="9"/>
      <c r="U385" s="44"/>
      <c r="V385" s="44"/>
      <c r="W385" s="44"/>
      <c r="X385" s="44"/>
      <c r="Y385" s="44"/>
      <c r="Z385" s="44"/>
      <c r="AA385" s="44"/>
      <c r="AB385" s="44"/>
    </row>
    <row r="386" spans="1:28">
      <c r="A386" s="9"/>
      <c r="B386" s="430"/>
      <c r="C386" s="430"/>
      <c r="D386" s="430"/>
      <c r="E386" s="433"/>
      <c r="F386" s="433"/>
      <c r="G386" s="433"/>
      <c r="H386" s="290"/>
      <c r="I386" s="434"/>
      <c r="J386" s="435"/>
      <c r="K386" s="264"/>
      <c r="L386" s="256"/>
      <c r="M386" s="109"/>
      <c r="N386" s="297"/>
      <c r="O386" s="297"/>
      <c r="P386" s="297"/>
      <c r="Q386" s="297"/>
      <c r="R386" s="9"/>
      <c r="S386" s="9"/>
      <c r="T386" s="9"/>
      <c r="U386" s="44"/>
      <c r="V386" s="44"/>
      <c r="W386" s="44"/>
      <c r="X386" s="44"/>
      <c r="Y386" s="44"/>
      <c r="Z386" s="44"/>
      <c r="AA386" s="44"/>
      <c r="AB386" s="44"/>
    </row>
    <row r="387" spans="1:28">
      <c r="A387" s="9"/>
      <c r="B387" s="430"/>
      <c r="C387" s="430"/>
      <c r="D387" s="430"/>
      <c r="E387" s="433"/>
      <c r="F387" s="433"/>
      <c r="G387" s="433"/>
      <c r="H387" s="290"/>
      <c r="I387" s="434"/>
      <c r="J387" s="435"/>
      <c r="K387" s="264"/>
      <c r="L387" s="256"/>
      <c r="M387" s="109"/>
      <c r="N387" s="297"/>
      <c r="O387" s="297"/>
      <c r="P387" s="297"/>
      <c r="Q387" s="297"/>
      <c r="R387" s="9"/>
      <c r="S387" s="9"/>
      <c r="T387" s="9"/>
      <c r="U387" s="44"/>
      <c r="V387" s="44"/>
      <c r="W387" s="44"/>
      <c r="X387" s="44"/>
      <c r="Y387" s="44"/>
      <c r="Z387" s="44"/>
      <c r="AA387" s="44"/>
      <c r="AB387" s="44"/>
    </row>
    <row r="388" spans="1:28">
      <c r="A388" s="9"/>
      <c r="B388" s="430"/>
      <c r="C388" s="430"/>
      <c r="D388" s="430"/>
      <c r="E388" s="433"/>
      <c r="F388" s="433"/>
      <c r="G388" s="433"/>
      <c r="H388" s="290"/>
      <c r="I388" s="434"/>
      <c r="J388" s="435"/>
      <c r="K388" s="264"/>
      <c r="L388" s="256"/>
      <c r="M388" s="109"/>
      <c r="N388" s="297"/>
      <c r="O388" s="297"/>
      <c r="P388" s="297"/>
      <c r="Q388" s="297"/>
      <c r="R388" s="9"/>
      <c r="S388" s="9"/>
      <c r="T388" s="9"/>
      <c r="U388" s="44"/>
      <c r="V388" s="44"/>
      <c r="W388" s="44"/>
      <c r="X388" s="44"/>
      <c r="Y388" s="44"/>
      <c r="Z388" s="44"/>
      <c r="AA388" s="44"/>
      <c r="AB388" s="44"/>
    </row>
    <row r="389" spans="1:28">
      <c r="A389" s="9"/>
      <c r="B389" s="430"/>
      <c r="C389" s="430"/>
      <c r="D389" s="430"/>
      <c r="E389" s="433"/>
      <c r="F389" s="433"/>
      <c r="G389" s="433"/>
      <c r="H389" s="290"/>
      <c r="I389" s="434"/>
      <c r="J389" s="435"/>
      <c r="K389" s="264"/>
      <c r="L389" s="256"/>
      <c r="M389" s="109"/>
      <c r="N389" s="297"/>
      <c r="O389" s="297"/>
      <c r="P389" s="297"/>
      <c r="Q389" s="297"/>
      <c r="R389" s="9"/>
      <c r="S389" s="9"/>
      <c r="T389" s="9"/>
      <c r="U389" s="44"/>
      <c r="V389" s="44"/>
      <c r="W389" s="44"/>
      <c r="X389" s="44"/>
      <c r="Y389" s="44"/>
      <c r="Z389" s="44"/>
      <c r="AA389" s="44"/>
      <c r="AB389" s="44"/>
    </row>
    <row r="390" spans="1:28">
      <c r="A390" s="9"/>
      <c r="B390" s="430"/>
      <c r="C390" s="430"/>
      <c r="D390" s="430"/>
      <c r="E390" s="433"/>
      <c r="F390" s="433"/>
      <c r="G390" s="433"/>
      <c r="H390" s="290"/>
      <c r="I390" s="434"/>
      <c r="J390" s="435"/>
      <c r="K390" s="264"/>
      <c r="L390" s="256"/>
      <c r="M390" s="109"/>
      <c r="N390" s="297"/>
      <c r="O390" s="297"/>
      <c r="P390" s="297"/>
      <c r="Q390" s="297"/>
      <c r="R390" s="9"/>
      <c r="S390" s="9"/>
      <c r="T390" s="9"/>
      <c r="U390" s="44"/>
      <c r="V390" s="44"/>
      <c r="W390" s="44"/>
      <c r="X390" s="44"/>
      <c r="Y390" s="44"/>
      <c r="Z390" s="44"/>
      <c r="AA390" s="44"/>
      <c r="AB390" s="44"/>
    </row>
    <row r="391" spans="1:28">
      <c r="A391" s="9"/>
      <c r="B391" s="430"/>
      <c r="C391" s="430"/>
      <c r="D391" s="430"/>
      <c r="E391" s="433"/>
      <c r="F391" s="433"/>
      <c r="G391" s="433"/>
      <c r="H391" s="290"/>
      <c r="I391" s="434"/>
      <c r="J391" s="435"/>
      <c r="K391" s="264"/>
      <c r="L391" s="256"/>
      <c r="M391" s="109"/>
      <c r="N391" s="297"/>
      <c r="O391" s="297"/>
      <c r="P391" s="297"/>
      <c r="Q391" s="297"/>
      <c r="R391" s="9"/>
      <c r="S391" s="9"/>
      <c r="T391" s="9"/>
      <c r="U391" s="44"/>
      <c r="V391" s="44"/>
      <c r="W391" s="44"/>
      <c r="X391" s="44"/>
      <c r="Y391" s="44"/>
      <c r="Z391" s="44"/>
      <c r="AA391" s="44"/>
      <c r="AB391" s="44"/>
    </row>
    <row r="392" spans="1:28">
      <c r="A392" s="9"/>
      <c r="B392" s="430"/>
      <c r="C392" s="430"/>
      <c r="D392" s="430"/>
      <c r="E392" s="433"/>
      <c r="F392" s="433"/>
      <c r="G392" s="433"/>
      <c r="H392" s="290"/>
      <c r="I392" s="434"/>
      <c r="J392" s="435"/>
      <c r="K392" s="264"/>
      <c r="L392" s="256"/>
      <c r="M392" s="109"/>
      <c r="N392" s="297"/>
      <c r="O392" s="297"/>
      <c r="P392" s="297"/>
      <c r="Q392" s="297"/>
      <c r="R392" s="9"/>
      <c r="S392" s="9"/>
      <c r="T392" s="9"/>
      <c r="U392" s="44"/>
      <c r="V392" s="44"/>
      <c r="W392" s="44"/>
      <c r="X392" s="44"/>
      <c r="Y392" s="44"/>
      <c r="Z392" s="44"/>
      <c r="AA392" s="44"/>
      <c r="AB392" s="44"/>
    </row>
    <row r="393" spans="1:28">
      <c r="A393" s="9"/>
      <c r="B393" s="430"/>
      <c r="C393" s="430"/>
      <c r="D393" s="430"/>
      <c r="E393" s="433"/>
      <c r="F393" s="433"/>
      <c r="G393" s="433"/>
      <c r="H393" s="290"/>
      <c r="I393" s="434"/>
      <c r="J393" s="435"/>
      <c r="K393" s="264"/>
      <c r="L393" s="256"/>
      <c r="M393" s="109"/>
      <c r="N393" s="297"/>
      <c r="O393" s="297"/>
      <c r="P393" s="297"/>
      <c r="Q393" s="297"/>
      <c r="R393" s="9"/>
      <c r="S393" s="9"/>
      <c r="T393" s="9"/>
      <c r="U393" s="44"/>
      <c r="V393" s="44"/>
      <c r="W393" s="44"/>
      <c r="X393" s="44"/>
      <c r="Y393" s="44"/>
      <c r="Z393" s="44"/>
      <c r="AA393" s="44"/>
      <c r="AB393" s="44"/>
    </row>
    <row r="394" spans="1:28">
      <c r="A394" s="9"/>
      <c r="B394" s="430"/>
      <c r="C394" s="430"/>
      <c r="D394" s="430"/>
      <c r="E394" s="433"/>
      <c r="F394" s="433"/>
      <c r="G394" s="433"/>
      <c r="H394" s="290"/>
      <c r="I394" s="434"/>
      <c r="J394" s="435"/>
      <c r="K394" s="264"/>
      <c r="L394" s="256"/>
      <c r="M394" s="109"/>
      <c r="N394" s="297"/>
      <c r="O394" s="297"/>
      <c r="P394" s="297"/>
      <c r="Q394" s="297"/>
      <c r="R394" s="9"/>
      <c r="S394" s="9"/>
      <c r="T394" s="9"/>
      <c r="U394" s="44"/>
      <c r="V394" s="44"/>
      <c r="W394" s="44"/>
      <c r="X394" s="44"/>
      <c r="Y394" s="44"/>
      <c r="Z394" s="44"/>
      <c r="AA394" s="44"/>
      <c r="AB394" s="44"/>
    </row>
    <row r="395" spans="1:28">
      <c r="A395" s="9"/>
      <c r="B395" s="430"/>
      <c r="C395" s="430"/>
      <c r="D395" s="430"/>
      <c r="E395" s="433"/>
      <c r="F395" s="433"/>
      <c r="G395" s="433"/>
      <c r="H395" s="290"/>
      <c r="I395" s="434"/>
      <c r="J395" s="435"/>
      <c r="K395" s="264"/>
      <c r="L395" s="256"/>
      <c r="M395" s="109"/>
      <c r="N395" s="297"/>
      <c r="O395" s="297"/>
      <c r="P395" s="297"/>
      <c r="Q395" s="297"/>
      <c r="R395" s="9"/>
      <c r="S395" s="9"/>
      <c r="T395" s="9"/>
      <c r="U395" s="44"/>
      <c r="V395" s="44"/>
      <c r="W395" s="44"/>
      <c r="X395" s="44"/>
      <c r="Y395" s="44"/>
      <c r="Z395" s="44"/>
      <c r="AA395" s="44"/>
      <c r="AB395" s="44"/>
    </row>
    <row r="396" spans="1:28">
      <c r="A396" s="9"/>
      <c r="B396" s="430"/>
      <c r="C396" s="430"/>
      <c r="D396" s="430"/>
      <c r="E396" s="433"/>
      <c r="F396" s="433"/>
      <c r="G396" s="433"/>
      <c r="H396" s="290"/>
      <c r="I396" s="434"/>
      <c r="J396" s="435"/>
      <c r="K396" s="264"/>
      <c r="L396" s="256"/>
      <c r="M396" s="109"/>
      <c r="N396" s="297"/>
      <c r="O396" s="297"/>
      <c r="P396" s="297"/>
      <c r="Q396" s="297"/>
      <c r="R396" s="9"/>
      <c r="S396" s="9"/>
      <c r="T396" s="9"/>
      <c r="U396" s="44"/>
      <c r="V396" s="44"/>
      <c r="W396" s="44"/>
      <c r="X396" s="44"/>
      <c r="Y396" s="44"/>
      <c r="Z396" s="44"/>
      <c r="AA396" s="44"/>
      <c r="AB396" s="44"/>
    </row>
    <row r="397" spans="1:28">
      <c r="A397" s="9"/>
      <c r="B397" s="430"/>
      <c r="C397" s="430"/>
      <c r="D397" s="430"/>
      <c r="E397" s="433"/>
      <c r="F397" s="433"/>
      <c r="G397" s="433"/>
      <c r="H397" s="290"/>
      <c r="I397" s="434"/>
      <c r="J397" s="435"/>
      <c r="K397" s="264"/>
      <c r="L397" s="256"/>
      <c r="M397" s="109"/>
      <c r="N397" s="297"/>
      <c r="O397" s="297"/>
      <c r="P397" s="297"/>
      <c r="Q397" s="297"/>
      <c r="R397" s="9"/>
      <c r="S397" s="9"/>
      <c r="T397" s="9"/>
      <c r="U397" s="44"/>
      <c r="V397" s="44"/>
      <c r="W397" s="44"/>
      <c r="X397" s="44"/>
      <c r="Y397" s="44"/>
      <c r="Z397" s="44"/>
      <c r="AA397" s="44"/>
      <c r="AB397" s="44"/>
    </row>
    <row r="398" spans="1:28">
      <c r="A398" s="9"/>
      <c r="B398" s="430"/>
      <c r="C398" s="431"/>
      <c r="D398" s="430"/>
      <c r="E398" s="433"/>
      <c r="F398" s="433"/>
      <c r="G398" s="433"/>
      <c r="H398" s="290"/>
      <c r="I398" s="434"/>
      <c r="J398" s="435"/>
      <c r="K398" s="264"/>
      <c r="L398" s="256"/>
      <c r="M398" s="109"/>
      <c r="N398" s="297"/>
      <c r="O398" s="297"/>
      <c r="P398" s="297"/>
      <c r="Q398" s="297"/>
      <c r="R398" s="9"/>
      <c r="S398" s="9"/>
      <c r="T398" s="9"/>
      <c r="U398" s="44"/>
      <c r="V398" s="44"/>
      <c r="W398" s="44"/>
      <c r="X398" s="44"/>
      <c r="Y398" s="44"/>
      <c r="Z398" s="44"/>
      <c r="AA398" s="44"/>
      <c r="AB398" s="44"/>
    </row>
    <row r="399" spans="1:28">
      <c r="A399" s="9"/>
      <c r="B399" s="9"/>
      <c r="C399" s="9"/>
      <c r="D399" s="9"/>
      <c r="E399" s="36"/>
      <c r="F399" s="36"/>
      <c r="G399" s="36"/>
      <c r="H399" s="257"/>
      <c r="I399" s="264"/>
      <c r="J399" s="256"/>
      <c r="K399" s="264"/>
      <c r="L399" s="256"/>
      <c r="M399" s="109"/>
      <c r="N399" s="297"/>
      <c r="O399" s="297"/>
      <c r="P399" s="297"/>
      <c r="Q399" s="297"/>
      <c r="R399" s="9"/>
      <c r="S399" s="9"/>
      <c r="T399" s="9"/>
      <c r="U399" s="44"/>
      <c r="V399" s="44"/>
      <c r="W399" s="44"/>
      <c r="X399" s="44"/>
      <c r="Y399" s="44"/>
      <c r="Z399" s="44"/>
      <c r="AA399" s="44"/>
      <c r="AB399" s="44"/>
    </row>
    <row r="400" spans="1:28">
      <c r="A400" s="9"/>
      <c r="B400" s="9"/>
      <c r="C400" s="9"/>
      <c r="D400" s="9"/>
      <c r="E400" s="36"/>
      <c r="F400" s="36"/>
      <c r="G400" s="36"/>
      <c r="H400" s="257"/>
      <c r="I400" s="264"/>
      <c r="J400" s="256"/>
      <c r="K400" s="264"/>
      <c r="L400" s="256"/>
      <c r="M400" s="109"/>
      <c r="N400" s="297"/>
      <c r="O400" s="297"/>
      <c r="P400" s="297"/>
      <c r="Q400" s="297"/>
      <c r="R400" s="9"/>
      <c r="S400" s="9"/>
      <c r="T400" s="9"/>
      <c r="U400" s="44"/>
      <c r="V400" s="44"/>
      <c r="W400" s="44"/>
      <c r="X400" s="44"/>
      <c r="Y400" s="44"/>
      <c r="Z400" s="44"/>
      <c r="AA400" s="44"/>
      <c r="AB400" s="44"/>
    </row>
    <row r="401" spans="1:28">
      <c r="A401" s="9"/>
      <c r="B401" s="9"/>
      <c r="C401" s="9"/>
      <c r="D401" s="9"/>
      <c r="E401" s="36"/>
      <c r="F401" s="36"/>
      <c r="G401" s="36"/>
      <c r="H401" s="257"/>
      <c r="I401" s="264"/>
      <c r="J401" s="256"/>
      <c r="K401" s="264"/>
      <c r="L401" s="256"/>
      <c r="M401" s="109"/>
      <c r="N401" s="297"/>
      <c r="O401" s="297"/>
      <c r="P401" s="297"/>
      <c r="Q401" s="297"/>
      <c r="R401" s="9"/>
      <c r="S401" s="9"/>
      <c r="T401" s="9"/>
      <c r="U401" s="44"/>
      <c r="V401" s="44"/>
      <c r="W401" s="44"/>
      <c r="X401" s="44"/>
      <c r="Y401" s="44"/>
      <c r="Z401" s="44"/>
      <c r="AA401" s="44"/>
      <c r="AB401" s="44"/>
    </row>
    <row r="402" spans="1:28">
      <c r="A402" s="9"/>
      <c r="B402" s="9"/>
      <c r="C402" s="9"/>
      <c r="D402" s="9"/>
      <c r="E402" s="36"/>
      <c r="F402" s="36"/>
      <c r="G402" s="36"/>
      <c r="H402" s="257"/>
      <c r="I402" s="264"/>
      <c r="J402" s="256"/>
      <c r="K402" s="264"/>
      <c r="L402" s="256"/>
      <c r="M402" s="109"/>
      <c r="N402" s="297"/>
      <c r="O402" s="297"/>
      <c r="P402" s="297"/>
      <c r="Q402" s="297"/>
      <c r="R402" s="9"/>
      <c r="S402" s="9"/>
      <c r="T402" s="9"/>
      <c r="U402" s="44"/>
      <c r="V402" s="44"/>
      <c r="W402" s="44"/>
      <c r="X402" s="44"/>
      <c r="Y402" s="44"/>
      <c r="Z402" s="44"/>
      <c r="AA402" s="44"/>
      <c r="AB402" s="44"/>
    </row>
    <row r="403" spans="1:28">
      <c r="A403" s="9"/>
      <c r="B403" s="9"/>
      <c r="C403" s="9"/>
      <c r="D403" s="9"/>
      <c r="E403" s="36"/>
      <c r="F403" s="36"/>
      <c r="G403" s="36"/>
      <c r="H403" s="257"/>
      <c r="I403" s="264"/>
      <c r="J403" s="256"/>
      <c r="K403" s="264"/>
      <c r="L403" s="256"/>
      <c r="M403" s="109"/>
      <c r="N403" s="297"/>
      <c r="O403" s="297"/>
      <c r="P403" s="297"/>
      <c r="Q403" s="297"/>
      <c r="R403" s="9"/>
      <c r="S403" s="9"/>
      <c r="T403" s="9"/>
      <c r="U403" s="44"/>
      <c r="V403" s="44"/>
      <c r="W403" s="44"/>
      <c r="X403" s="44"/>
      <c r="Y403" s="44"/>
      <c r="Z403" s="44"/>
      <c r="AA403" s="44"/>
      <c r="AB403" s="44"/>
    </row>
    <row r="404" spans="1:28">
      <c r="A404" s="9"/>
      <c r="B404" s="9"/>
      <c r="C404" s="9"/>
      <c r="D404" s="9"/>
      <c r="E404" s="36"/>
      <c r="F404" s="36"/>
      <c r="G404" s="36"/>
      <c r="H404" s="257"/>
      <c r="I404" s="264"/>
      <c r="J404" s="256"/>
      <c r="K404" s="264"/>
      <c r="L404" s="256"/>
      <c r="M404" s="109"/>
      <c r="N404" s="297"/>
      <c r="O404" s="297"/>
      <c r="P404" s="297"/>
      <c r="Q404" s="297"/>
      <c r="R404" s="9"/>
      <c r="S404" s="9"/>
      <c r="T404" s="9"/>
      <c r="U404" s="44"/>
      <c r="V404" s="44"/>
      <c r="W404" s="44"/>
      <c r="X404" s="44"/>
      <c r="Y404" s="44"/>
      <c r="Z404" s="44"/>
      <c r="AA404" s="44"/>
      <c r="AB404" s="44"/>
    </row>
    <row r="405" spans="1:28">
      <c r="A405" s="9"/>
      <c r="B405" s="9"/>
      <c r="C405" s="9"/>
      <c r="D405" s="9"/>
      <c r="E405" s="36"/>
      <c r="F405" s="36"/>
      <c r="G405" s="36"/>
      <c r="H405" s="257"/>
      <c r="I405" s="264"/>
      <c r="J405" s="256"/>
      <c r="K405" s="264"/>
      <c r="L405" s="256"/>
      <c r="M405" s="109"/>
      <c r="N405" s="297"/>
      <c r="O405" s="297"/>
      <c r="P405" s="297"/>
      <c r="Q405" s="297"/>
      <c r="R405" s="9"/>
      <c r="S405" s="9"/>
      <c r="T405" s="9"/>
      <c r="U405" s="44"/>
      <c r="V405" s="44"/>
      <c r="W405" s="44"/>
      <c r="X405" s="44"/>
      <c r="Y405" s="44"/>
      <c r="Z405" s="44"/>
      <c r="AA405" s="44"/>
      <c r="AB405" s="44"/>
    </row>
    <row r="406" spans="1:28">
      <c r="A406" s="9"/>
      <c r="B406" s="9"/>
      <c r="C406" s="9"/>
      <c r="D406" s="9"/>
      <c r="E406" s="36"/>
      <c r="F406" s="36"/>
      <c r="G406" s="36"/>
      <c r="H406" s="257"/>
      <c r="I406" s="264"/>
      <c r="J406" s="256"/>
      <c r="K406" s="264"/>
      <c r="L406" s="256"/>
      <c r="M406" s="109"/>
      <c r="N406" s="297"/>
      <c r="O406" s="297"/>
      <c r="P406" s="297"/>
      <c r="Q406" s="297"/>
      <c r="R406" s="9"/>
      <c r="S406" s="9"/>
      <c r="T406" s="9"/>
      <c r="U406" s="44"/>
      <c r="V406" s="44"/>
      <c r="W406" s="44"/>
      <c r="X406" s="44"/>
      <c r="Y406" s="44"/>
      <c r="Z406" s="44"/>
      <c r="AA406" s="44"/>
      <c r="AB406" s="44"/>
    </row>
    <row r="407" spans="1:28">
      <c r="A407" s="9"/>
      <c r="B407" s="9"/>
      <c r="C407" s="9"/>
      <c r="D407" s="9"/>
      <c r="E407" s="36"/>
      <c r="F407" s="36"/>
      <c r="G407" s="36"/>
      <c r="H407" s="257"/>
      <c r="I407" s="264"/>
      <c r="J407" s="256"/>
      <c r="K407" s="264"/>
      <c r="L407" s="256"/>
      <c r="M407" s="109"/>
      <c r="N407" s="297"/>
      <c r="O407" s="297"/>
      <c r="P407" s="297"/>
      <c r="Q407" s="297"/>
      <c r="R407" s="9"/>
      <c r="S407" s="9"/>
      <c r="T407" s="9"/>
      <c r="U407" s="44"/>
      <c r="V407" s="44"/>
      <c r="W407" s="44"/>
      <c r="X407" s="44"/>
      <c r="Y407" s="44"/>
      <c r="Z407" s="44"/>
      <c r="AA407" s="44"/>
      <c r="AB407" s="44"/>
    </row>
    <row r="408" spans="1:28">
      <c r="A408" s="9"/>
      <c r="B408" s="9"/>
      <c r="C408" s="9"/>
      <c r="D408" s="9"/>
      <c r="E408" s="36"/>
      <c r="F408" s="36"/>
      <c r="G408" s="36"/>
      <c r="H408" s="257"/>
      <c r="I408" s="264"/>
      <c r="J408" s="256"/>
      <c r="K408" s="264"/>
      <c r="L408" s="256"/>
      <c r="M408" s="109"/>
      <c r="N408" s="297"/>
      <c r="O408" s="297"/>
      <c r="P408" s="297"/>
      <c r="Q408" s="297"/>
      <c r="R408" s="9"/>
      <c r="S408" s="9"/>
      <c r="T408" s="9"/>
      <c r="U408" s="44"/>
      <c r="V408" s="44"/>
      <c r="W408" s="44"/>
      <c r="X408" s="44"/>
      <c r="Y408" s="44"/>
      <c r="Z408" s="44"/>
      <c r="AA408" s="44"/>
      <c r="AB408" s="44"/>
    </row>
    <row r="409" spans="1:28">
      <c r="A409" s="9"/>
      <c r="B409" s="9"/>
      <c r="C409" s="9"/>
      <c r="D409" s="9"/>
      <c r="E409" s="36"/>
      <c r="F409" s="36"/>
      <c r="G409" s="36"/>
      <c r="H409" s="257"/>
      <c r="I409" s="264"/>
      <c r="J409" s="256"/>
      <c r="K409" s="264"/>
      <c r="L409" s="256"/>
      <c r="M409" s="109"/>
      <c r="N409" s="297"/>
      <c r="O409" s="297"/>
      <c r="P409" s="297"/>
      <c r="Q409" s="297"/>
      <c r="R409" s="9"/>
      <c r="S409" s="9"/>
      <c r="T409" s="9"/>
      <c r="U409" s="44"/>
      <c r="V409" s="44"/>
      <c r="W409" s="44"/>
      <c r="X409" s="44"/>
      <c r="Y409" s="44"/>
      <c r="Z409" s="44"/>
      <c r="AA409" s="44"/>
      <c r="AB409" s="44"/>
    </row>
    <row r="410" spans="1:28">
      <c r="A410" s="9"/>
      <c r="B410" s="9"/>
      <c r="C410" s="9"/>
      <c r="D410" s="9"/>
      <c r="E410" s="36"/>
      <c r="F410" s="36"/>
      <c r="G410" s="36"/>
      <c r="H410" s="257"/>
      <c r="I410" s="264"/>
      <c r="J410" s="256"/>
      <c r="K410" s="264"/>
      <c r="L410" s="256"/>
      <c r="M410" s="109"/>
      <c r="N410" s="297"/>
      <c r="O410" s="297"/>
      <c r="P410" s="297"/>
      <c r="Q410" s="297"/>
      <c r="R410" s="9"/>
      <c r="S410" s="9"/>
      <c r="T410" s="9"/>
      <c r="U410" s="44"/>
      <c r="V410" s="44"/>
      <c r="W410" s="44"/>
      <c r="X410" s="44"/>
      <c r="Y410" s="44"/>
      <c r="Z410" s="44"/>
      <c r="AA410" s="44"/>
      <c r="AB410" s="44"/>
    </row>
    <row r="411" spans="1:28">
      <c r="A411" s="9"/>
      <c r="B411" s="9"/>
      <c r="C411" s="9"/>
      <c r="D411" s="9"/>
      <c r="E411" s="36"/>
      <c r="F411" s="36"/>
      <c r="G411" s="36"/>
      <c r="H411" s="257"/>
      <c r="I411" s="264"/>
      <c r="J411" s="256"/>
      <c r="K411" s="264"/>
      <c r="L411" s="256"/>
      <c r="M411" s="109"/>
      <c r="N411" s="297"/>
      <c r="O411" s="297"/>
      <c r="P411" s="297"/>
      <c r="Q411" s="297"/>
      <c r="R411" s="9"/>
      <c r="S411" s="9"/>
      <c r="T411" s="9"/>
      <c r="U411" s="44"/>
      <c r="V411" s="44"/>
      <c r="W411" s="44"/>
      <c r="X411" s="44"/>
      <c r="Y411" s="44"/>
      <c r="Z411" s="44"/>
      <c r="AA411" s="44"/>
      <c r="AB411" s="44"/>
    </row>
    <row r="412" spans="1:28">
      <c r="A412" s="9"/>
      <c r="B412" s="9"/>
      <c r="C412" s="9"/>
      <c r="D412" s="9"/>
      <c r="E412" s="36"/>
      <c r="F412" s="36"/>
      <c r="G412" s="36"/>
      <c r="H412" s="257"/>
      <c r="I412" s="264"/>
      <c r="J412" s="256"/>
      <c r="K412" s="264"/>
      <c r="L412" s="256"/>
      <c r="M412" s="109"/>
      <c r="N412" s="297"/>
      <c r="O412" s="297"/>
      <c r="P412" s="297"/>
      <c r="Q412" s="297"/>
      <c r="R412" s="9"/>
      <c r="S412" s="9"/>
      <c r="T412" s="9"/>
      <c r="U412" s="44"/>
      <c r="V412" s="44"/>
      <c r="W412" s="44"/>
      <c r="X412" s="44"/>
      <c r="Y412" s="44"/>
      <c r="Z412" s="44"/>
      <c r="AA412" s="44"/>
      <c r="AB412" s="44"/>
    </row>
    <row r="413" spans="1:28">
      <c r="A413" s="9"/>
      <c r="B413" s="9"/>
      <c r="C413" s="9"/>
      <c r="D413" s="9"/>
      <c r="E413" s="36"/>
      <c r="F413" s="36"/>
      <c r="G413" s="36"/>
      <c r="H413" s="257"/>
      <c r="I413" s="264"/>
      <c r="J413" s="256"/>
      <c r="K413" s="264"/>
      <c r="L413" s="256"/>
      <c r="M413" s="109"/>
      <c r="N413" s="297"/>
      <c r="O413" s="297"/>
      <c r="P413" s="297"/>
      <c r="Q413" s="297"/>
      <c r="R413" s="9"/>
      <c r="S413" s="9"/>
      <c r="T413" s="9"/>
      <c r="U413" s="44"/>
      <c r="V413" s="44"/>
      <c r="W413" s="44"/>
      <c r="X413" s="44"/>
      <c r="Y413" s="44"/>
      <c r="Z413" s="44"/>
      <c r="AA413" s="44"/>
      <c r="AB413" s="44"/>
    </row>
    <row r="414" spans="1:28">
      <c r="A414" s="9"/>
      <c r="B414" s="9"/>
      <c r="C414" s="9"/>
      <c r="D414" s="9"/>
      <c r="E414" s="36"/>
      <c r="F414" s="36"/>
      <c r="G414" s="36"/>
      <c r="H414" s="257"/>
      <c r="I414" s="264"/>
      <c r="J414" s="256"/>
      <c r="K414" s="264"/>
      <c r="L414" s="256"/>
      <c r="M414" s="109"/>
      <c r="N414" s="297"/>
      <c r="O414" s="297"/>
      <c r="P414" s="297"/>
      <c r="Q414" s="297"/>
      <c r="R414" s="9"/>
      <c r="S414" s="9"/>
      <c r="T414" s="9"/>
      <c r="U414" s="44"/>
      <c r="V414" s="44"/>
      <c r="W414" s="44"/>
      <c r="X414" s="44"/>
      <c r="Y414" s="44"/>
      <c r="Z414" s="44"/>
      <c r="AA414" s="44"/>
      <c r="AB414" s="44"/>
    </row>
    <row r="415" spans="1:28">
      <c r="A415" s="9"/>
      <c r="B415" s="9"/>
      <c r="C415" s="9"/>
      <c r="D415" s="9"/>
      <c r="E415" s="36"/>
      <c r="F415" s="36"/>
      <c r="G415" s="36"/>
      <c r="H415" s="257"/>
      <c r="I415" s="264"/>
      <c r="J415" s="256"/>
      <c r="K415" s="264"/>
      <c r="L415" s="256"/>
      <c r="M415" s="109"/>
      <c r="N415" s="297"/>
      <c r="O415" s="297"/>
      <c r="P415" s="297"/>
      <c r="Q415" s="297"/>
      <c r="R415" s="9"/>
      <c r="S415" s="9"/>
      <c r="T415" s="9"/>
      <c r="U415" s="44"/>
      <c r="V415" s="44"/>
      <c r="W415" s="44"/>
      <c r="X415" s="44"/>
      <c r="Y415" s="44"/>
      <c r="Z415" s="44"/>
      <c r="AA415" s="44"/>
      <c r="AB415" s="44"/>
    </row>
    <row r="416" spans="1:28">
      <c r="A416" s="9"/>
      <c r="B416" s="9"/>
      <c r="C416" s="9"/>
      <c r="D416" s="9"/>
      <c r="E416" s="36"/>
      <c r="F416" s="36"/>
      <c r="G416" s="36"/>
      <c r="H416" s="257"/>
      <c r="I416" s="264"/>
      <c r="J416" s="256"/>
      <c r="K416" s="264"/>
      <c r="L416" s="256"/>
      <c r="M416" s="109"/>
      <c r="N416" s="297"/>
      <c r="O416" s="297"/>
      <c r="P416" s="297"/>
      <c r="Q416" s="297"/>
      <c r="R416" s="9"/>
      <c r="S416" s="9"/>
      <c r="T416" s="9"/>
      <c r="U416" s="44"/>
      <c r="V416" s="44"/>
      <c r="W416" s="44"/>
      <c r="X416" s="44"/>
      <c r="Y416" s="44"/>
      <c r="Z416" s="44"/>
      <c r="AA416" s="44"/>
      <c r="AB416" s="44"/>
    </row>
    <row r="417" spans="1:28">
      <c r="A417" s="9"/>
      <c r="B417" s="9"/>
      <c r="C417" s="9"/>
      <c r="D417" s="9"/>
      <c r="E417" s="36"/>
      <c r="F417" s="36"/>
      <c r="G417" s="36"/>
      <c r="H417" s="257"/>
      <c r="I417" s="264"/>
      <c r="J417" s="256"/>
      <c r="K417" s="264"/>
      <c r="L417" s="256"/>
      <c r="M417" s="109"/>
      <c r="N417" s="297"/>
      <c r="O417" s="297"/>
      <c r="P417" s="297"/>
      <c r="Q417" s="297"/>
      <c r="R417" s="9"/>
      <c r="S417" s="9"/>
      <c r="T417" s="9"/>
      <c r="U417" s="44"/>
      <c r="V417" s="44"/>
      <c r="W417" s="44"/>
      <c r="X417" s="44"/>
      <c r="Y417" s="44"/>
      <c r="Z417" s="44"/>
      <c r="AA417" s="44"/>
      <c r="AB417" s="44"/>
    </row>
    <row r="418" spans="1:28">
      <c r="A418" s="9"/>
      <c r="B418" s="9"/>
      <c r="C418" s="9"/>
      <c r="D418" s="9"/>
      <c r="E418" s="36"/>
      <c r="F418" s="36"/>
      <c r="G418" s="36"/>
      <c r="H418" s="257"/>
      <c r="I418" s="264"/>
      <c r="J418" s="256"/>
      <c r="K418" s="264"/>
      <c r="L418" s="256"/>
      <c r="M418" s="109"/>
      <c r="N418" s="297"/>
      <c r="O418" s="297"/>
      <c r="P418" s="297"/>
      <c r="Q418" s="297"/>
      <c r="R418" s="9"/>
      <c r="S418" s="9"/>
      <c r="T418" s="9"/>
      <c r="U418" s="44"/>
      <c r="V418" s="44"/>
      <c r="W418" s="44"/>
      <c r="X418" s="44"/>
      <c r="Y418" s="44"/>
      <c r="Z418" s="44"/>
      <c r="AA418" s="44"/>
      <c r="AB418" s="44"/>
    </row>
    <row r="419" spans="1:28">
      <c r="A419" s="9"/>
      <c r="B419" s="9"/>
      <c r="C419" s="9"/>
      <c r="D419" s="9"/>
      <c r="E419" s="36"/>
      <c r="F419" s="36"/>
      <c r="G419" s="36"/>
      <c r="H419" s="257"/>
      <c r="I419" s="264"/>
      <c r="J419" s="256"/>
      <c r="K419" s="264"/>
      <c r="L419" s="256"/>
      <c r="M419" s="109"/>
      <c r="N419" s="297"/>
      <c r="O419" s="297"/>
      <c r="P419" s="297"/>
      <c r="Q419" s="297"/>
      <c r="R419" s="9"/>
      <c r="S419" s="9"/>
      <c r="T419" s="9"/>
      <c r="U419" s="44"/>
      <c r="V419" s="44"/>
      <c r="W419" s="44"/>
      <c r="X419" s="44"/>
      <c r="Y419" s="44"/>
      <c r="Z419" s="44"/>
      <c r="AA419" s="44"/>
      <c r="AB419" s="44"/>
    </row>
    <row r="420" spans="1:28">
      <c r="A420" s="9"/>
      <c r="B420" s="9"/>
      <c r="C420" s="9"/>
      <c r="D420" s="9"/>
      <c r="E420" s="36"/>
      <c r="F420" s="36"/>
      <c r="G420" s="36"/>
      <c r="H420" s="257"/>
      <c r="I420" s="264"/>
      <c r="J420" s="256"/>
      <c r="K420" s="264"/>
      <c r="L420" s="256"/>
      <c r="M420" s="109"/>
      <c r="N420" s="297"/>
      <c r="O420" s="297"/>
      <c r="P420" s="297"/>
      <c r="Q420" s="297"/>
      <c r="R420" s="9"/>
      <c r="S420" s="9"/>
      <c r="T420" s="9"/>
      <c r="U420" s="44"/>
      <c r="V420" s="44"/>
      <c r="W420" s="44"/>
      <c r="X420" s="44"/>
      <c r="Y420" s="44"/>
      <c r="Z420" s="44"/>
      <c r="AA420" s="44"/>
      <c r="AB420" s="44"/>
    </row>
    <row r="421" spans="1:28">
      <c r="A421" s="9"/>
      <c r="B421" s="9"/>
      <c r="C421" s="9"/>
      <c r="D421" s="9"/>
      <c r="E421" s="36"/>
      <c r="F421" s="36"/>
      <c r="G421" s="36"/>
      <c r="H421" s="257"/>
      <c r="I421" s="264"/>
      <c r="J421" s="256"/>
      <c r="K421" s="264"/>
      <c r="L421" s="256"/>
      <c r="M421" s="109"/>
      <c r="N421" s="297"/>
      <c r="O421" s="297"/>
      <c r="P421" s="297"/>
      <c r="Q421" s="297"/>
      <c r="R421" s="9"/>
      <c r="S421" s="9"/>
      <c r="T421" s="9"/>
      <c r="U421" s="44"/>
      <c r="V421" s="44"/>
      <c r="W421" s="44"/>
      <c r="X421" s="44"/>
      <c r="Y421" s="44"/>
      <c r="Z421" s="44"/>
      <c r="AA421" s="44"/>
      <c r="AB421" s="44"/>
    </row>
    <row r="422" spans="1:28">
      <c r="A422" s="9"/>
      <c r="B422" s="9"/>
      <c r="C422" s="9"/>
      <c r="D422" s="9"/>
      <c r="E422" s="36"/>
      <c r="F422" s="36"/>
      <c r="G422" s="36"/>
      <c r="H422" s="257"/>
      <c r="I422" s="264"/>
      <c r="J422" s="256"/>
      <c r="K422" s="264"/>
      <c r="L422" s="256"/>
      <c r="M422" s="109"/>
      <c r="N422" s="297"/>
      <c r="O422" s="297"/>
      <c r="P422" s="297"/>
      <c r="Q422" s="297"/>
      <c r="R422" s="9"/>
      <c r="S422" s="9"/>
      <c r="T422" s="9"/>
      <c r="U422" s="44"/>
      <c r="V422" s="44"/>
      <c r="W422" s="44"/>
      <c r="X422" s="44"/>
      <c r="Y422" s="44"/>
      <c r="Z422" s="44"/>
      <c r="AA422" s="44"/>
      <c r="AB422" s="44"/>
    </row>
    <row r="423" spans="1:28">
      <c r="A423" s="9"/>
      <c r="B423" s="9"/>
      <c r="C423" s="9"/>
      <c r="D423" s="9"/>
      <c r="E423" s="36"/>
      <c r="F423" s="36"/>
      <c r="G423" s="36"/>
      <c r="H423" s="257"/>
      <c r="I423" s="264"/>
      <c r="J423" s="256"/>
      <c r="K423" s="264"/>
      <c r="L423" s="256"/>
      <c r="M423" s="109"/>
      <c r="N423" s="297"/>
      <c r="O423" s="297"/>
      <c r="P423" s="297"/>
      <c r="Q423" s="297"/>
      <c r="R423" s="9"/>
      <c r="S423" s="9"/>
      <c r="T423" s="9"/>
      <c r="U423" s="44"/>
      <c r="V423" s="44"/>
      <c r="W423" s="44"/>
      <c r="X423" s="44"/>
      <c r="Y423" s="44"/>
      <c r="Z423" s="44"/>
      <c r="AA423" s="44"/>
      <c r="AB423" s="44"/>
    </row>
    <row r="424" spans="1:28">
      <c r="A424" s="9"/>
      <c r="B424" s="9"/>
      <c r="C424" s="9"/>
      <c r="D424" s="9"/>
      <c r="E424" s="36"/>
      <c r="F424" s="36"/>
      <c r="G424" s="36"/>
      <c r="H424" s="257"/>
      <c r="I424" s="264"/>
      <c r="J424" s="256"/>
      <c r="K424" s="264"/>
      <c r="L424" s="256"/>
      <c r="M424" s="109"/>
      <c r="N424" s="297"/>
      <c r="O424" s="297"/>
      <c r="P424" s="297"/>
      <c r="Q424" s="297"/>
      <c r="R424" s="9"/>
      <c r="S424" s="9"/>
      <c r="T424" s="9"/>
      <c r="U424" s="44"/>
      <c r="V424" s="44"/>
      <c r="W424" s="44"/>
      <c r="X424" s="44"/>
      <c r="Y424" s="44"/>
      <c r="Z424" s="44"/>
      <c r="AA424" s="44"/>
      <c r="AB424" s="44"/>
    </row>
    <row r="425" spans="1:28">
      <c r="A425" s="9"/>
      <c r="B425" s="9"/>
      <c r="C425" s="9"/>
      <c r="D425" s="9"/>
      <c r="E425" s="36"/>
      <c r="F425" s="36"/>
      <c r="G425" s="36"/>
      <c r="H425" s="257"/>
      <c r="I425" s="264"/>
      <c r="J425" s="256"/>
      <c r="K425" s="264"/>
      <c r="L425" s="256"/>
      <c r="M425" s="109"/>
      <c r="N425" s="297"/>
      <c r="O425" s="297"/>
      <c r="P425" s="297"/>
      <c r="Q425" s="297"/>
      <c r="R425" s="9"/>
      <c r="S425" s="9"/>
      <c r="T425" s="9"/>
      <c r="U425" s="44"/>
      <c r="V425" s="44"/>
      <c r="W425" s="44"/>
      <c r="X425" s="44"/>
      <c r="Y425" s="44"/>
      <c r="Z425" s="44"/>
      <c r="AA425" s="44"/>
      <c r="AB425" s="44"/>
    </row>
    <row r="426" spans="1:28">
      <c r="A426" s="9"/>
      <c r="B426" s="9"/>
      <c r="C426" s="9"/>
      <c r="D426" s="9"/>
      <c r="E426" s="36"/>
      <c r="F426" s="36"/>
      <c r="G426" s="36"/>
      <c r="H426" s="257"/>
      <c r="I426" s="264"/>
      <c r="J426" s="256"/>
      <c r="K426" s="264"/>
      <c r="L426" s="256"/>
      <c r="M426" s="109"/>
      <c r="N426" s="297"/>
      <c r="O426" s="297"/>
      <c r="P426" s="297"/>
      <c r="Q426" s="297"/>
      <c r="R426" s="9"/>
      <c r="S426" s="9"/>
      <c r="T426" s="9"/>
      <c r="U426" s="44"/>
      <c r="V426" s="44"/>
      <c r="W426" s="44"/>
      <c r="X426" s="44"/>
      <c r="Y426" s="44"/>
      <c r="Z426" s="44"/>
      <c r="AA426" s="44"/>
      <c r="AB426" s="44"/>
    </row>
    <row r="427" spans="1:28">
      <c r="A427" s="9"/>
      <c r="B427" s="9"/>
      <c r="C427" s="9"/>
      <c r="D427" s="9"/>
      <c r="E427" s="36"/>
      <c r="F427" s="36"/>
      <c r="G427" s="36"/>
      <c r="H427" s="257"/>
      <c r="I427" s="264"/>
      <c r="J427" s="256"/>
      <c r="K427" s="264"/>
      <c r="L427" s="256"/>
      <c r="M427" s="109"/>
      <c r="N427" s="297"/>
      <c r="O427" s="297"/>
      <c r="P427" s="297"/>
      <c r="Q427" s="297"/>
      <c r="R427" s="9"/>
      <c r="S427" s="9"/>
      <c r="T427" s="9"/>
      <c r="U427" s="44"/>
      <c r="V427" s="44"/>
      <c r="W427" s="44"/>
      <c r="X427" s="44"/>
      <c r="Y427" s="44"/>
      <c r="Z427" s="44"/>
      <c r="AA427" s="44"/>
      <c r="AB427" s="44"/>
    </row>
    <row r="428" spans="1:28">
      <c r="A428" s="9"/>
      <c r="B428" s="9"/>
      <c r="C428" s="9"/>
      <c r="D428" s="9"/>
      <c r="E428" s="36"/>
      <c r="F428" s="36"/>
      <c r="G428" s="36"/>
      <c r="H428" s="257"/>
      <c r="I428" s="264"/>
      <c r="J428" s="256"/>
      <c r="K428" s="264"/>
      <c r="L428" s="256"/>
      <c r="M428" s="109"/>
      <c r="N428" s="297"/>
      <c r="O428" s="297"/>
      <c r="P428" s="297"/>
      <c r="Q428" s="297"/>
      <c r="R428" s="9"/>
      <c r="S428" s="9"/>
      <c r="T428" s="9"/>
      <c r="U428" s="44"/>
      <c r="V428" s="44"/>
      <c r="W428" s="44"/>
      <c r="X428" s="44"/>
      <c r="Y428" s="44"/>
      <c r="Z428" s="44"/>
      <c r="AA428" s="44"/>
      <c r="AB428" s="44"/>
    </row>
    <row r="429" spans="1:28">
      <c r="A429" s="9"/>
      <c r="B429" s="9"/>
      <c r="C429" s="9"/>
      <c r="D429" s="9"/>
      <c r="E429" s="36"/>
      <c r="F429" s="36"/>
      <c r="G429" s="36"/>
      <c r="H429" s="257"/>
      <c r="I429" s="264"/>
      <c r="J429" s="256"/>
      <c r="K429" s="264"/>
      <c r="L429" s="256"/>
      <c r="M429" s="109"/>
      <c r="N429" s="297"/>
      <c r="O429" s="297"/>
      <c r="P429" s="297"/>
      <c r="Q429" s="297"/>
      <c r="R429" s="9"/>
      <c r="S429" s="9"/>
      <c r="T429" s="9"/>
      <c r="U429" s="44"/>
      <c r="V429" s="44"/>
      <c r="W429" s="44"/>
      <c r="X429" s="44"/>
      <c r="Y429" s="44"/>
      <c r="Z429" s="44"/>
      <c r="AA429" s="44"/>
      <c r="AB429" s="44"/>
    </row>
    <row r="430" spans="1:28">
      <c r="A430" s="9"/>
      <c r="B430" s="9"/>
      <c r="C430" s="9"/>
      <c r="D430" s="9"/>
      <c r="E430" s="36"/>
      <c r="F430" s="36"/>
      <c r="G430" s="36"/>
      <c r="H430" s="257"/>
      <c r="I430" s="264"/>
      <c r="J430" s="256"/>
      <c r="K430" s="264"/>
      <c r="L430" s="256"/>
      <c r="M430" s="109"/>
      <c r="N430" s="297"/>
      <c r="O430" s="297"/>
      <c r="P430" s="297"/>
      <c r="Q430" s="297"/>
      <c r="R430" s="9"/>
      <c r="S430" s="9"/>
      <c r="T430" s="9"/>
      <c r="U430" s="44"/>
      <c r="V430" s="44"/>
      <c r="W430" s="44"/>
      <c r="X430" s="44"/>
      <c r="Y430" s="44"/>
      <c r="Z430" s="44"/>
      <c r="AA430" s="44"/>
      <c r="AB430" s="44"/>
    </row>
    <row r="431" spans="1:28">
      <c r="A431" s="9"/>
      <c r="B431" s="9"/>
      <c r="C431" s="9"/>
      <c r="D431" s="9"/>
      <c r="E431" s="36"/>
      <c r="F431" s="36"/>
      <c r="G431" s="36"/>
      <c r="H431" s="257"/>
      <c r="I431" s="264"/>
      <c r="J431" s="256"/>
      <c r="K431" s="264"/>
      <c r="L431" s="256"/>
      <c r="M431" s="109"/>
      <c r="N431" s="297"/>
      <c r="O431" s="297"/>
      <c r="P431" s="297"/>
      <c r="Q431" s="297"/>
      <c r="R431" s="9"/>
      <c r="S431" s="9"/>
      <c r="T431" s="9"/>
      <c r="U431" s="44"/>
      <c r="V431" s="44"/>
      <c r="W431" s="44"/>
      <c r="X431" s="44"/>
      <c r="Y431" s="44"/>
      <c r="Z431" s="44"/>
      <c r="AA431" s="44"/>
      <c r="AB431" s="44"/>
    </row>
    <row r="432" spans="1:28">
      <c r="A432" s="9"/>
      <c r="B432" s="9"/>
      <c r="C432" s="9"/>
      <c r="D432" s="9"/>
      <c r="E432" s="36"/>
      <c r="F432" s="36"/>
      <c r="G432" s="36"/>
      <c r="H432" s="257"/>
      <c r="I432" s="264"/>
      <c r="J432" s="256"/>
      <c r="K432" s="264"/>
      <c r="L432" s="256"/>
      <c r="M432" s="109"/>
      <c r="N432" s="297"/>
      <c r="O432" s="297"/>
      <c r="P432" s="297"/>
      <c r="Q432" s="297"/>
      <c r="R432" s="9"/>
      <c r="S432" s="9"/>
      <c r="T432" s="9"/>
      <c r="U432" s="44"/>
      <c r="V432" s="44"/>
      <c r="W432" s="44"/>
      <c r="X432" s="44"/>
      <c r="Y432" s="44"/>
      <c r="Z432" s="44"/>
      <c r="AA432" s="44"/>
      <c r="AB432" s="44"/>
    </row>
    <row r="433" spans="1:28">
      <c r="A433" s="9"/>
      <c r="B433" s="9"/>
      <c r="C433" s="9"/>
      <c r="D433" s="9"/>
      <c r="E433" s="36"/>
      <c r="F433" s="36"/>
      <c r="G433" s="36"/>
      <c r="H433" s="257"/>
      <c r="I433" s="264"/>
      <c r="J433" s="256"/>
      <c r="K433" s="264"/>
      <c r="L433" s="256"/>
      <c r="M433" s="109"/>
      <c r="N433" s="297"/>
      <c r="O433" s="297"/>
      <c r="P433" s="297"/>
      <c r="Q433" s="297"/>
      <c r="R433" s="9"/>
      <c r="S433" s="9"/>
      <c r="T433" s="9"/>
      <c r="U433" s="44"/>
      <c r="V433" s="44"/>
      <c r="W433" s="44"/>
      <c r="X433" s="44"/>
      <c r="Y433" s="44"/>
      <c r="Z433" s="44"/>
      <c r="AA433" s="44"/>
      <c r="AB433" s="44"/>
    </row>
    <row r="434" spans="1:28">
      <c r="A434" s="9"/>
      <c r="B434" s="9"/>
      <c r="C434" s="9"/>
      <c r="D434" s="9"/>
      <c r="E434" s="36"/>
      <c r="F434" s="36"/>
      <c r="G434" s="36"/>
      <c r="H434" s="257"/>
      <c r="I434" s="264"/>
      <c r="J434" s="256"/>
      <c r="K434" s="264"/>
      <c r="L434" s="256"/>
      <c r="M434" s="109"/>
      <c r="N434" s="297"/>
      <c r="O434" s="297"/>
      <c r="P434" s="297"/>
      <c r="Q434" s="297"/>
      <c r="R434" s="9"/>
      <c r="S434" s="9"/>
      <c r="T434" s="9"/>
      <c r="U434" s="44"/>
      <c r="V434" s="44"/>
      <c r="W434" s="44"/>
      <c r="X434" s="44"/>
      <c r="Y434" s="44"/>
      <c r="Z434" s="44"/>
      <c r="AA434" s="44"/>
      <c r="AB434" s="44"/>
    </row>
    <row r="435" spans="1:28">
      <c r="A435" s="9"/>
      <c r="B435" s="9"/>
      <c r="C435" s="9"/>
      <c r="D435" s="9"/>
      <c r="E435" s="36"/>
      <c r="F435" s="36"/>
      <c r="G435" s="36"/>
      <c r="H435" s="257"/>
      <c r="I435" s="264"/>
      <c r="J435" s="256"/>
      <c r="K435" s="264"/>
      <c r="L435" s="256"/>
      <c r="M435" s="109"/>
      <c r="N435" s="297"/>
      <c r="O435" s="297"/>
      <c r="P435" s="297"/>
      <c r="Q435" s="297"/>
      <c r="R435" s="9"/>
      <c r="S435" s="9"/>
      <c r="T435" s="9"/>
      <c r="U435" s="44"/>
      <c r="V435" s="44"/>
      <c r="W435" s="44"/>
      <c r="X435" s="44"/>
      <c r="Y435" s="44"/>
      <c r="Z435" s="44"/>
      <c r="AA435" s="44"/>
      <c r="AB435" s="44"/>
    </row>
    <row r="436" spans="1:28">
      <c r="A436" s="9"/>
      <c r="B436" s="9"/>
      <c r="C436" s="9"/>
      <c r="D436" s="9"/>
      <c r="E436" s="36"/>
      <c r="F436" s="36"/>
      <c r="G436" s="36"/>
      <c r="H436" s="257"/>
      <c r="I436" s="264"/>
      <c r="J436" s="256"/>
      <c r="K436" s="264"/>
      <c r="L436" s="256"/>
      <c r="M436" s="109"/>
      <c r="N436" s="297"/>
      <c r="O436" s="297"/>
      <c r="P436" s="297"/>
      <c r="Q436" s="297"/>
      <c r="R436" s="9"/>
      <c r="S436" s="9"/>
      <c r="T436" s="9"/>
      <c r="U436" s="44"/>
      <c r="V436" s="44"/>
      <c r="W436" s="44"/>
      <c r="X436" s="44"/>
      <c r="Y436" s="44"/>
      <c r="Z436" s="44"/>
      <c r="AA436" s="44"/>
      <c r="AB436" s="44"/>
    </row>
    <row r="437" spans="1:28">
      <c r="A437" s="9"/>
      <c r="B437" s="9"/>
      <c r="C437" s="9"/>
      <c r="D437" s="9"/>
      <c r="E437" s="36"/>
      <c r="F437" s="36"/>
      <c r="G437" s="36"/>
      <c r="H437" s="257"/>
      <c r="I437" s="264"/>
      <c r="J437" s="256"/>
      <c r="K437" s="264"/>
      <c r="L437" s="256"/>
      <c r="M437" s="109"/>
      <c r="N437" s="297"/>
      <c r="O437" s="297"/>
      <c r="P437" s="297"/>
      <c r="Q437" s="297"/>
      <c r="R437" s="9"/>
      <c r="S437" s="9"/>
      <c r="T437" s="9"/>
      <c r="U437" s="44"/>
      <c r="V437" s="44"/>
      <c r="W437" s="44"/>
      <c r="X437" s="44"/>
      <c r="Y437" s="44"/>
      <c r="Z437" s="44"/>
      <c r="AA437" s="44"/>
      <c r="AB437" s="44"/>
    </row>
    <row r="438" spans="1:28">
      <c r="A438" s="9"/>
      <c r="B438" s="9"/>
      <c r="C438" s="9"/>
      <c r="D438" s="9"/>
      <c r="E438" s="36"/>
      <c r="F438" s="36"/>
      <c r="G438" s="36"/>
      <c r="H438" s="257"/>
      <c r="I438" s="264"/>
      <c r="J438" s="256"/>
      <c r="K438" s="264"/>
      <c r="L438" s="256"/>
      <c r="M438" s="109"/>
      <c r="N438" s="297"/>
      <c r="O438" s="297"/>
      <c r="P438" s="297"/>
      <c r="Q438" s="297"/>
      <c r="R438" s="9"/>
      <c r="S438" s="9"/>
      <c r="T438" s="9"/>
      <c r="U438" s="44"/>
      <c r="V438" s="44"/>
      <c r="W438" s="44"/>
      <c r="X438" s="44"/>
      <c r="Y438" s="44"/>
      <c r="Z438" s="44"/>
      <c r="AA438" s="44"/>
      <c r="AB438" s="44"/>
    </row>
    <row r="439" spans="1:28">
      <c r="A439" s="9"/>
      <c r="B439" s="9"/>
      <c r="C439" s="9"/>
      <c r="D439" s="9"/>
      <c r="E439" s="36"/>
      <c r="F439" s="36"/>
      <c r="G439" s="36"/>
      <c r="H439" s="257"/>
      <c r="I439" s="264"/>
      <c r="J439" s="256"/>
      <c r="K439" s="264"/>
      <c r="L439" s="256"/>
      <c r="M439" s="109"/>
      <c r="N439" s="297"/>
      <c r="O439" s="297"/>
      <c r="P439" s="297"/>
      <c r="Q439" s="297"/>
      <c r="R439" s="9"/>
      <c r="S439" s="9"/>
      <c r="T439" s="9"/>
      <c r="U439" s="44"/>
      <c r="V439" s="44"/>
      <c r="W439" s="44"/>
      <c r="X439" s="44"/>
      <c r="Y439" s="44"/>
      <c r="Z439" s="44"/>
      <c r="AA439" s="44"/>
      <c r="AB439" s="44"/>
    </row>
    <row r="440" spans="1:28">
      <c r="A440" s="9"/>
      <c r="B440" s="9"/>
      <c r="C440" s="9"/>
      <c r="D440" s="9"/>
      <c r="E440" s="36"/>
      <c r="F440" s="36"/>
      <c r="G440" s="36"/>
      <c r="H440" s="257"/>
      <c r="I440" s="264"/>
      <c r="J440" s="256"/>
      <c r="K440" s="264"/>
      <c r="L440" s="256"/>
      <c r="M440" s="109"/>
      <c r="N440" s="297"/>
      <c r="O440" s="297"/>
      <c r="P440" s="297"/>
      <c r="Q440" s="297"/>
      <c r="R440" s="9"/>
      <c r="S440" s="9"/>
      <c r="T440" s="9"/>
      <c r="U440" s="44"/>
      <c r="V440" s="44"/>
      <c r="W440" s="44"/>
      <c r="X440" s="44"/>
      <c r="Y440" s="44"/>
      <c r="Z440" s="44"/>
      <c r="AA440" s="44"/>
      <c r="AB440" s="44"/>
    </row>
    <row r="441" spans="1:28">
      <c r="A441" s="9"/>
      <c r="B441" s="9"/>
      <c r="C441" s="9"/>
      <c r="D441" s="9"/>
      <c r="E441" s="36"/>
      <c r="F441" s="36"/>
      <c r="G441" s="36"/>
      <c r="H441" s="257"/>
      <c r="I441" s="264"/>
      <c r="J441" s="256"/>
      <c r="K441" s="264"/>
      <c r="L441" s="256"/>
      <c r="M441" s="109"/>
      <c r="N441" s="297"/>
      <c r="O441" s="297"/>
      <c r="P441" s="297"/>
      <c r="Q441" s="297"/>
      <c r="R441" s="9"/>
      <c r="S441" s="9"/>
      <c r="T441" s="9"/>
      <c r="U441" s="44"/>
      <c r="V441" s="44"/>
      <c r="W441" s="44"/>
      <c r="X441" s="44"/>
      <c r="Y441" s="44"/>
      <c r="Z441" s="44"/>
      <c r="AA441" s="44"/>
      <c r="AB441" s="44"/>
    </row>
    <row r="442" spans="1:28">
      <c r="A442" s="9"/>
      <c r="B442" s="9"/>
      <c r="C442" s="9"/>
      <c r="D442" s="9"/>
      <c r="E442" s="36"/>
      <c r="F442" s="36"/>
      <c r="G442" s="36"/>
      <c r="H442" s="257"/>
      <c r="I442" s="264"/>
      <c r="J442" s="256"/>
      <c r="K442" s="264"/>
      <c r="L442" s="256"/>
      <c r="M442" s="109"/>
      <c r="N442" s="297"/>
      <c r="O442" s="297"/>
      <c r="P442" s="297"/>
      <c r="Q442" s="297"/>
      <c r="R442" s="9"/>
      <c r="S442" s="9"/>
      <c r="T442" s="9"/>
      <c r="U442" s="44"/>
      <c r="V442" s="44"/>
      <c r="W442" s="44"/>
      <c r="X442" s="44"/>
      <c r="Y442" s="44"/>
      <c r="Z442" s="44"/>
      <c r="AA442" s="44"/>
      <c r="AB442" s="44"/>
    </row>
    <row r="443" spans="1:28">
      <c r="A443" s="9"/>
      <c r="B443" s="9"/>
      <c r="C443" s="9"/>
      <c r="D443" s="9"/>
      <c r="E443" s="36"/>
      <c r="F443" s="36"/>
      <c r="G443" s="36"/>
      <c r="H443" s="257"/>
      <c r="I443" s="264"/>
      <c r="J443" s="256"/>
      <c r="K443" s="264"/>
      <c r="L443" s="256"/>
      <c r="M443" s="109"/>
      <c r="N443" s="297"/>
      <c r="O443" s="297"/>
      <c r="P443" s="297"/>
      <c r="Q443" s="297"/>
      <c r="R443" s="9"/>
      <c r="S443" s="9"/>
      <c r="T443" s="9"/>
      <c r="U443" s="44"/>
      <c r="V443" s="44"/>
      <c r="W443" s="44"/>
      <c r="X443" s="44"/>
      <c r="Y443" s="44"/>
      <c r="Z443" s="44"/>
      <c r="AA443" s="44"/>
      <c r="AB443" s="44"/>
    </row>
    <row r="444" spans="1:28">
      <c r="A444" s="9"/>
      <c r="B444" s="9"/>
      <c r="C444" s="9"/>
      <c r="D444" s="9"/>
      <c r="E444" s="36"/>
      <c r="F444" s="36"/>
      <c r="G444" s="36"/>
      <c r="H444" s="257"/>
      <c r="I444" s="264"/>
      <c r="J444" s="256"/>
      <c r="K444" s="264"/>
      <c r="L444" s="256"/>
      <c r="M444" s="109"/>
      <c r="N444" s="297"/>
      <c r="O444" s="297"/>
      <c r="P444" s="297"/>
      <c r="Q444" s="297"/>
      <c r="R444" s="9"/>
      <c r="S444" s="9"/>
      <c r="T444" s="9"/>
      <c r="U444" s="44"/>
      <c r="V444" s="44"/>
      <c r="W444" s="44"/>
      <c r="X444" s="44"/>
      <c r="Y444" s="44"/>
      <c r="Z444" s="44"/>
      <c r="AA444" s="44"/>
      <c r="AB444" s="44"/>
    </row>
    <row r="445" spans="1:28">
      <c r="A445" s="9"/>
      <c r="B445" s="9"/>
      <c r="C445" s="9"/>
      <c r="D445" s="9"/>
      <c r="E445" s="36"/>
      <c r="F445" s="36"/>
      <c r="G445" s="36"/>
      <c r="H445" s="257"/>
      <c r="I445" s="264"/>
      <c r="J445" s="256"/>
      <c r="K445" s="264"/>
      <c r="L445" s="256"/>
      <c r="M445" s="109"/>
      <c r="N445" s="297"/>
      <c r="O445" s="297"/>
      <c r="P445" s="297"/>
      <c r="Q445" s="297"/>
      <c r="R445" s="9"/>
      <c r="S445" s="9"/>
      <c r="T445" s="9"/>
      <c r="U445" s="44"/>
      <c r="V445" s="44"/>
      <c r="W445" s="44"/>
      <c r="X445" s="44"/>
      <c r="Y445" s="44"/>
      <c r="Z445" s="44"/>
      <c r="AA445" s="44"/>
      <c r="AB445" s="44"/>
    </row>
    <row r="446" spans="1:28">
      <c r="A446" s="9"/>
      <c r="B446" s="9"/>
      <c r="C446" s="9"/>
      <c r="D446" s="9"/>
      <c r="E446" s="36"/>
      <c r="F446" s="36"/>
      <c r="G446" s="36"/>
      <c r="H446" s="257"/>
      <c r="I446" s="264"/>
      <c r="J446" s="256"/>
      <c r="K446" s="264"/>
      <c r="L446" s="256"/>
      <c r="M446" s="109"/>
      <c r="N446" s="297"/>
      <c r="O446" s="297"/>
      <c r="P446" s="297"/>
      <c r="Q446" s="297"/>
      <c r="R446" s="9"/>
      <c r="S446" s="9"/>
      <c r="T446" s="9"/>
      <c r="U446" s="44"/>
      <c r="V446" s="44"/>
      <c r="W446" s="44"/>
      <c r="X446" s="44"/>
      <c r="Y446" s="44"/>
      <c r="Z446" s="44"/>
      <c r="AA446" s="44"/>
      <c r="AB446" s="44"/>
    </row>
    <row r="447" spans="1:28">
      <c r="A447" s="9"/>
      <c r="B447" s="9"/>
      <c r="C447" s="9"/>
      <c r="D447" s="9"/>
      <c r="E447" s="36"/>
      <c r="F447" s="36"/>
      <c r="G447" s="36"/>
      <c r="H447" s="257"/>
      <c r="I447" s="264"/>
      <c r="J447" s="256"/>
      <c r="K447" s="264"/>
      <c r="L447" s="256"/>
      <c r="M447" s="109"/>
      <c r="N447" s="297"/>
      <c r="O447" s="297"/>
      <c r="P447" s="297"/>
      <c r="Q447" s="297"/>
      <c r="R447" s="9"/>
      <c r="S447" s="9"/>
      <c r="T447" s="9"/>
      <c r="U447" s="44"/>
      <c r="V447" s="44"/>
      <c r="W447" s="44"/>
      <c r="X447" s="44"/>
      <c r="Y447" s="44"/>
      <c r="Z447" s="44"/>
      <c r="AA447" s="44"/>
      <c r="AB447" s="44"/>
    </row>
    <row r="448" spans="1:28">
      <c r="A448" s="9"/>
      <c r="B448" s="9"/>
      <c r="C448" s="9"/>
      <c r="D448" s="9"/>
      <c r="E448" s="36"/>
      <c r="F448" s="36"/>
      <c r="G448" s="36"/>
      <c r="H448" s="257"/>
      <c r="I448" s="264"/>
      <c r="J448" s="256"/>
      <c r="K448" s="264"/>
      <c r="L448" s="256"/>
      <c r="M448" s="109"/>
      <c r="N448" s="297"/>
      <c r="O448" s="297"/>
      <c r="P448" s="297"/>
      <c r="Q448" s="297"/>
      <c r="R448" s="9"/>
      <c r="S448" s="9"/>
      <c r="T448" s="9"/>
      <c r="U448" s="44"/>
      <c r="V448" s="44"/>
      <c r="W448" s="44"/>
      <c r="X448" s="44"/>
      <c r="Y448" s="44"/>
      <c r="Z448" s="44"/>
      <c r="AA448" s="44"/>
      <c r="AB448" s="44"/>
    </row>
    <row r="449" spans="1:28">
      <c r="A449" s="9"/>
      <c r="B449" s="9"/>
      <c r="C449" s="9"/>
      <c r="D449" s="9"/>
      <c r="E449" s="36"/>
      <c r="F449" s="36"/>
      <c r="G449" s="36"/>
      <c r="H449" s="257"/>
      <c r="I449" s="264"/>
      <c r="J449" s="256"/>
      <c r="K449" s="264"/>
      <c r="L449" s="256"/>
      <c r="M449" s="109"/>
      <c r="N449" s="297"/>
      <c r="O449" s="297"/>
      <c r="P449" s="297"/>
      <c r="Q449" s="297"/>
      <c r="R449" s="9"/>
      <c r="S449" s="9"/>
      <c r="T449" s="9"/>
      <c r="U449" s="44"/>
      <c r="V449" s="44"/>
      <c r="W449" s="44"/>
      <c r="X449" s="44"/>
      <c r="Y449" s="44"/>
      <c r="Z449" s="44"/>
      <c r="AA449" s="44"/>
      <c r="AB449" s="44"/>
    </row>
    <row r="450" spans="1:28">
      <c r="A450" s="9"/>
      <c r="B450" s="9"/>
      <c r="C450" s="9"/>
      <c r="D450" s="9"/>
      <c r="E450" s="36"/>
      <c r="F450" s="36"/>
      <c r="G450" s="36"/>
      <c r="H450" s="257"/>
      <c r="I450" s="264"/>
      <c r="J450" s="256"/>
      <c r="K450" s="264"/>
      <c r="L450" s="256"/>
      <c r="M450" s="109"/>
      <c r="N450" s="297"/>
      <c r="O450" s="297"/>
      <c r="P450" s="297"/>
      <c r="Q450" s="297"/>
      <c r="R450" s="9"/>
      <c r="S450" s="9"/>
      <c r="T450" s="9"/>
      <c r="U450" s="44"/>
      <c r="V450" s="44"/>
      <c r="W450" s="44"/>
      <c r="X450" s="44"/>
      <c r="Y450" s="44"/>
      <c r="Z450" s="44"/>
      <c r="AA450" s="44"/>
      <c r="AB450" s="44"/>
    </row>
    <row r="451" spans="1:28">
      <c r="A451" s="9"/>
      <c r="B451" s="9"/>
      <c r="C451" s="9"/>
      <c r="D451" s="9"/>
      <c r="E451" s="36"/>
      <c r="F451" s="36"/>
      <c r="G451" s="36"/>
      <c r="H451" s="257"/>
      <c r="I451" s="264"/>
      <c r="J451" s="256"/>
      <c r="K451" s="264"/>
      <c r="L451" s="256"/>
      <c r="M451" s="109"/>
      <c r="N451" s="297"/>
      <c r="O451" s="297"/>
      <c r="P451" s="297"/>
      <c r="Q451" s="297"/>
      <c r="R451" s="9"/>
      <c r="S451" s="9"/>
      <c r="T451" s="9"/>
      <c r="U451" s="44"/>
      <c r="V451" s="44"/>
      <c r="W451" s="44"/>
      <c r="X451" s="44"/>
      <c r="Y451" s="44"/>
      <c r="Z451" s="44"/>
      <c r="AA451" s="44"/>
      <c r="AB451" s="44"/>
    </row>
    <row r="452" spans="1:28">
      <c r="A452" s="9"/>
      <c r="B452" s="9"/>
      <c r="C452" s="9"/>
      <c r="D452" s="9"/>
      <c r="E452" s="36"/>
      <c r="F452" s="36"/>
      <c r="G452" s="36"/>
      <c r="H452" s="257"/>
      <c r="I452" s="264"/>
      <c r="J452" s="256"/>
      <c r="K452" s="264"/>
      <c r="L452" s="256"/>
      <c r="M452" s="109"/>
      <c r="N452" s="297"/>
      <c r="O452" s="297"/>
      <c r="P452" s="297"/>
      <c r="Q452" s="297"/>
      <c r="R452" s="9"/>
      <c r="S452" s="9"/>
      <c r="T452" s="9"/>
      <c r="U452" s="44"/>
      <c r="V452" s="44"/>
      <c r="W452" s="44"/>
      <c r="X452" s="44"/>
      <c r="Y452" s="44"/>
      <c r="Z452" s="44"/>
      <c r="AA452" s="44"/>
      <c r="AB452" s="44"/>
    </row>
    <row r="453" spans="1:28">
      <c r="A453" s="9"/>
      <c r="B453" s="9"/>
      <c r="C453" s="9"/>
      <c r="D453" s="9"/>
      <c r="E453" s="36"/>
      <c r="F453" s="36"/>
      <c r="G453" s="36"/>
      <c r="H453" s="257"/>
      <c r="I453" s="264"/>
      <c r="J453" s="256"/>
      <c r="K453" s="264"/>
      <c r="L453" s="256"/>
      <c r="M453" s="109"/>
      <c r="N453" s="297"/>
      <c r="O453" s="297"/>
      <c r="P453" s="297"/>
      <c r="Q453" s="297"/>
      <c r="R453" s="9"/>
      <c r="S453" s="9"/>
      <c r="T453" s="9"/>
      <c r="U453" s="44"/>
      <c r="V453" s="44"/>
      <c r="W453" s="44"/>
      <c r="X453" s="44"/>
      <c r="Y453" s="44"/>
      <c r="Z453" s="44"/>
      <c r="AA453" s="44"/>
      <c r="AB453" s="44"/>
    </row>
    <row r="454" spans="1:28">
      <c r="A454" s="9"/>
      <c r="B454" s="9"/>
      <c r="C454" s="9"/>
      <c r="D454" s="9"/>
      <c r="E454" s="36"/>
      <c r="F454" s="36"/>
      <c r="G454" s="36"/>
      <c r="H454" s="257"/>
      <c r="I454" s="264"/>
      <c r="J454" s="256"/>
      <c r="K454" s="264"/>
      <c r="L454" s="256"/>
      <c r="M454" s="109"/>
      <c r="N454" s="297"/>
      <c r="O454" s="297"/>
      <c r="P454" s="297"/>
      <c r="Q454" s="297"/>
      <c r="R454" s="9"/>
      <c r="S454" s="9"/>
      <c r="T454" s="9"/>
      <c r="U454" s="44"/>
      <c r="V454" s="44"/>
      <c r="W454" s="44"/>
      <c r="X454" s="44"/>
      <c r="Y454" s="44"/>
      <c r="Z454" s="44"/>
      <c r="AA454" s="44"/>
      <c r="AB454" s="44"/>
    </row>
    <row r="455" spans="1:28">
      <c r="A455" s="9"/>
      <c r="B455" s="9"/>
      <c r="C455" s="9"/>
      <c r="D455" s="9"/>
      <c r="E455" s="36"/>
      <c r="F455" s="36"/>
      <c r="G455" s="36"/>
      <c r="H455" s="257"/>
      <c r="I455" s="264"/>
      <c r="J455" s="256"/>
      <c r="K455" s="264"/>
      <c r="L455" s="256"/>
      <c r="M455" s="109"/>
      <c r="N455" s="297"/>
      <c r="O455" s="297"/>
      <c r="P455" s="297"/>
      <c r="Q455" s="297"/>
      <c r="R455" s="9"/>
      <c r="S455" s="9"/>
      <c r="T455" s="9"/>
      <c r="U455" s="44"/>
      <c r="V455" s="44"/>
      <c r="W455" s="44"/>
      <c r="X455" s="44"/>
      <c r="Y455" s="44"/>
      <c r="Z455" s="44"/>
      <c r="AA455" s="44"/>
      <c r="AB455" s="44"/>
    </row>
    <row r="456" spans="1:28">
      <c r="A456" s="9"/>
      <c r="B456" s="9"/>
      <c r="C456" s="9"/>
      <c r="D456" s="9"/>
      <c r="E456" s="36"/>
      <c r="F456" s="36"/>
      <c r="G456" s="36"/>
      <c r="H456" s="257"/>
      <c r="I456" s="264"/>
      <c r="J456" s="256"/>
      <c r="K456" s="264"/>
      <c r="L456" s="256"/>
      <c r="M456" s="109"/>
      <c r="N456" s="297"/>
      <c r="O456" s="297"/>
      <c r="P456" s="297"/>
      <c r="Q456" s="297"/>
      <c r="R456" s="9"/>
      <c r="S456" s="9"/>
      <c r="T456" s="9"/>
      <c r="U456" s="44"/>
      <c r="V456" s="44"/>
      <c r="W456" s="44"/>
      <c r="X456" s="44"/>
      <c r="Y456" s="44"/>
      <c r="Z456" s="44"/>
      <c r="AA456" s="44"/>
      <c r="AB456" s="44"/>
    </row>
    <row r="457" spans="1:28">
      <c r="A457" s="9"/>
      <c r="B457" s="9"/>
      <c r="C457" s="9"/>
      <c r="D457" s="9"/>
      <c r="E457" s="36"/>
      <c r="F457" s="36"/>
      <c r="G457" s="36"/>
      <c r="H457" s="257"/>
      <c r="I457" s="264"/>
      <c r="J457" s="256"/>
      <c r="K457" s="264"/>
      <c r="L457" s="256"/>
      <c r="M457" s="109"/>
      <c r="N457" s="297"/>
      <c r="O457" s="297"/>
      <c r="P457" s="297"/>
      <c r="Q457" s="297"/>
      <c r="R457" s="9"/>
      <c r="S457" s="9"/>
      <c r="T457" s="9"/>
      <c r="U457" s="44"/>
      <c r="V457" s="44"/>
      <c r="W457" s="44"/>
      <c r="X457" s="44"/>
      <c r="Y457" s="44"/>
      <c r="Z457" s="44"/>
      <c r="AA457" s="44"/>
      <c r="AB457" s="44"/>
    </row>
    <row r="458" spans="1:28">
      <c r="A458" s="9"/>
      <c r="B458" s="9"/>
      <c r="C458" s="9"/>
      <c r="D458" s="9"/>
      <c r="E458" s="36"/>
      <c r="F458" s="36"/>
      <c r="G458" s="36"/>
      <c r="H458" s="257"/>
      <c r="I458" s="264"/>
      <c r="J458" s="256"/>
      <c r="K458" s="264"/>
      <c r="L458" s="256"/>
      <c r="M458" s="109"/>
      <c r="N458" s="297"/>
      <c r="O458" s="297"/>
      <c r="P458" s="297"/>
      <c r="Q458" s="297"/>
      <c r="R458" s="9"/>
      <c r="S458" s="9"/>
      <c r="T458" s="9"/>
      <c r="U458" s="44"/>
      <c r="V458" s="44"/>
      <c r="W458" s="44"/>
      <c r="X458" s="44"/>
      <c r="Y458" s="44"/>
      <c r="Z458" s="44"/>
      <c r="AA458" s="44"/>
      <c r="AB458" s="44"/>
    </row>
    <row r="459" spans="1:28">
      <c r="A459" s="9"/>
      <c r="B459" s="9"/>
      <c r="C459" s="9"/>
      <c r="D459" s="9"/>
      <c r="E459" s="36"/>
      <c r="F459" s="36"/>
      <c r="G459" s="36"/>
      <c r="H459" s="257"/>
      <c r="I459" s="264"/>
      <c r="J459" s="256"/>
      <c r="K459" s="264"/>
      <c r="L459" s="256"/>
      <c r="M459" s="109"/>
      <c r="N459" s="297"/>
      <c r="O459" s="297"/>
      <c r="P459" s="297"/>
      <c r="Q459" s="297"/>
      <c r="R459" s="9"/>
      <c r="S459" s="9"/>
      <c r="T459" s="9"/>
      <c r="U459" s="44"/>
      <c r="V459" s="44"/>
      <c r="W459" s="44"/>
      <c r="X459" s="44"/>
      <c r="Y459" s="44"/>
      <c r="Z459" s="44"/>
      <c r="AA459" s="44"/>
      <c r="AB459" s="44"/>
    </row>
    <row r="460" spans="1:28">
      <c r="A460" s="9"/>
      <c r="B460" s="9"/>
      <c r="C460" s="9"/>
      <c r="D460" s="9"/>
      <c r="E460" s="36"/>
      <c r="F460" s="36"/>
      <c r="G460" s="36"/>
      <c r="H460" s="257"/>
      <c r="I460" s="264"/>
      <c r="J460" s="256"/>
      <c r="K460" s="264"/>
      <c r="L460" s="256"/>
      <c r="M460" s="109"/>
      <c r="N460" s="297"/>
      <c r="O460" s="297"/>
      <c r="P460" s="297"/>
      <c r="Q460" s="297"/>
      <c r="R460" s="9"/>
      <c r="S460" s="9"/>
      <c r="T460" s="9"/>
      <c r="U460" s="44"/>
      <c r="V460" s="44"/>
      <c r="W460" s="44"/>
      <c r="X460" s="44"/>
      <c r="Y460" s="44"/>
      <c r="Z460" s="44"/>
      <c r="AA460" s="44"/>
      <c r="AB460" s="44"/>
    </row>
    <row r="461" spans="1:28">
      <c r="A461" s="9"/>
      <c r="B461" s="9"/>
      <c r="C461" s="9"/>
      <c r="D461" s="9"/>
      <c r="E461" s="36"/>
      <c r="F461" s="36"/>
      <c r="G461" s="36"/>
      <c r="H461" s="257"/>
      <c r="I461" s="264"/>
      <c r="J461" s="256"/>
      <c r="K461" s="264"/>
      <c r="L461" s="256"/>
      <c r="M461" s="109"/>
      <c r="N461" s="297"/>
      <c r="O461" s="297"/>
      <c r="P461" s="297"/>
      <c r="Q461" s="297"/>
      <c r="R461" s="9"/>
      <c r="S461" s="9"/>
      <c r="T461" s="9"/>
      <c r="U461" s="44"/>
      <c r="V461" s="44"/>
      <c r="W461" s="44"/>
      <c r="X461" s="44"/>
      <c r="Y461" s="44"/>
      <c r="Z461" s="44"/>
      <c r="AA461" s="44"/>
      <c r="AB461" s="44"/>
    </row>
    <row r="462" spans="1:28">
      <c r="A462" s="9"/>
      <c r="B462" s="9"/>
      <c r="C462" s="9"/>
      <c r="D462" s="9"/>
      <c r="E462" s="36"/>
      <c r="F462" s="36"/>
      <c r="G462" s="36"/>
      <c r="H462" s="257"/>
      <c r="I462" s="264"/>
      <c r="J462" s="256"/>
      <c r="K462" s="264"/>
      <c r="L462" s="256"/>
      <c r="M462" s="109"/>
      <c r="N462" s="297"/>
      <c r="O462" s="297"/>
      <c r="P462" s="297"/>
      <c r="Q462" s="297"/>
      <c r="R462" s="9"/>
      <c r="S462" s="9"/>
      <c r="T462" s="9"/>
      <c r="U462" s="44"/>
      <c r="V462" s="44"/>
      <c r="W462" s="44"/>
      <c r="X462" s="44"/>
      <c r="Y462" s="44"/>
      <c r="Z462" s="44"/>
      <c r="AA462" s="44"/>
      <c r="AB462" s="44"/>
    </row>
    <row r="463" spans="1:28">
      <c r="A463" s="9"/>
      <c r="B463" s="9"/>
      <c r="C463" s="9"/>
      <c r="D463" s="9"/>
      <c r="E463" s="36"/>
      <c r="F463" s="36"/>
      <c r="G463" s="36"/>
      <c r="H463" s="257"/>
      <c r="I463" s="264"/>
      <c r="J463" s="256"/>
      <c r="K463" s="264"/>
      <c r="L463" s="256"/>
      <c r="M463" s="109"/>
      <c r="N463" s="297"/>
      <c r="O463" s="297"/>
      <c r="P463" s="297"/>
      <c r="Q463" s="297"/>
      <c r="R463" s="9"/>
      <c r="S463" s="9"/>
      <c r="T463" s="9"/>
      <c r="U463" s="44"/>
      <c r="V463" s="44"/>
      <c r="W463" s="44"/>
      <c r="X463" s="44"/>
      <c r="Y463" s="44"/>
      <c r="Z463" s="44"/>
      <c r="AA463" s="44"/>
      <c r="AB463" s="44"/>
    </row>
    <row r="464" spans="1:28">
      <c r="A464" s="9"/>
      <c r="B464" s="9"/>
      <c r="C464" s="9"/>
      <c r="D464" s="9"/>
      <c r="E464" s="36"/>
      <c r="F464" s="36"/>
      <c r="G464" s="36"/>
      <c r="H464" s="257"/>
      <c r="I464" s="264"/>
      <c r="J464" s="256"/>
      <c r="K464" s="264"/>
      <c r="L464" s="256"/>
      <c r="M464" s="109"/>
      <c r="N464" s="297"/>
      <c r="O464" s="297"/>
      <c r="P464" s="297"/>
      <c r="Q464" s="297"/>
      <c r="R464" s="9"/>
      <c r="S464" s="9"/>
      <c r="T464" s="9"/>
      <c r="U464" s="44"/>
      <c r="V464" s="44"/>
      <c r="W464" s="44"/>
      <c r="X464" s="44"/>
      <c r="Y464" s="44"/>
      <c r="Z464" s="44"/>
      <c r="AA464" s="44"/>
      <c r="AB464" s="44"/>
    </row>
    <row r="465" spans="1:28">
      <c r="A465" s="9"/>
      <c r="B465" s="9"/>
      <c r="C465" s="9"/>
      <c r="D465" s="9"/>
      <c r="E465" s="36"/>
      <c r="F465" s="36"/>
      <c r="G465" s="36"/>
      <c r="H465" s="257"/>
      <c r="I465" s="264"/>
      <c r="J465" s="256"/>
      <c r="K465" s="264"/>
      <c r="L465" s="256"/>
      <c r="M465" s="109"/>
      <c r="N465" s="297"/>
      <c r="O465" s="297"/>
      <c r="P465" s="297"/>
      <c r="Q465" s="297"/>
      <c r="R465" s="9"/>
      <c r="S465" s="9"/>
      <c r="T465" s="9"/>
      <c r="U465" s="44"/>
      <c r="V465" s="44"/>
      <c r="W465" s="44"/>
      <c r="X465" s="44"/>
      <c r="Y465" s="44"/>
      <c r="Z465" s="44"/>
      <c r="AA465" s="44"/>
      <c r="AB465" s="44"/>
    </row>
    <row r="466" spans="1:28">
      <c r="A466" s="9"/>
      <c r="B466" s="9"/>
      <c r="C466" s="9"/>
      <c r="D466" s="9"/>
      <c r="E466" s="36"/>
      <c r="F466" s="36"/>
      <c r="G466" s="36"/>
      <c r="H466" s="257"/>
      <c r="I466" s="264"/>
      <c r="J466" s="256"/>
      <c r="K466" s="264"/>
      <c r="L466" s="256"/>
      <c r="M466" s="109"/>
      <c r="N466" s="297"/>
      <c r="O466" s="297"/>
      <c r="P466" s="297"/>
      <c r="Q466" s="297"/>
      <c r="R466" s="9"/>
      <c r="S466" s="9"/>
      <c r="T466" s="9"/>
      <c r="U466" s="44"/>
      <c r="V466" s="44"/>
      <c r="W466" s="44"/>
      <c r="X466" s="44"/>
      <c r="Y466" s="44"/>
      <c r="Z466" s="44"/>
      <c r="AA466" s="44"/>
      <c r="AB466" s="44"/>
    </row>
    <row r="467" spans="1:28">
      <c r="A467" s="9"/>
      <c r="B467" s="9"/>
      <c r="C467" s="9"/>
      <c r="D467" s="9"/>
      <c r="E467" s="36"/>
      <c r="F467" s="36"/>
      <c r="G467" s="36"/>
      <c r="H467" s="257"/>
      <c r="I467" s="264"/>
      <c r="J467" s="256"/>
      <c r="K467" s="264"/>
      <c r="L467" s="256"/>
      <c r="M467" s="109"/>
      <c r="N467" s="297"/>
      <c r="O467" s="297"/>
      <c r="P467" s="297"/>
      <c r="Q467" s="297"/>
      <c r="R467" s="9"/>
      <c r="S467" s="9"/>
      <c r="T467" s="9"/>
      <c r="U467" s="44"/>
      <c r="V467" s="44"/>
      <c r="W467" s="44"/>
      <c r="X467" s="44"/>
      <c r="Y467" s="44"/>
      <c r="Z467" s="44"/>
      <c r="AA467" s="44"/>
      <c r="AB467" s="44"/>
    </row>
    <row r="468" spans="1:28">
      <c r="A468" s="9"/>
      <c r="B468" s="9"/>
      <c r="C468" s="9"/>
      <c r="D468" s="9"/>
      <c r="E468" s="36"/>
      <c r="F468" s="36"/>
      <c r="G468" s="36"/>
      <c r="H468" s="257"/>
      <c r="I468" s="264"/>
      <c r="J468" s="256"/>
      <c r="K468" s="264"/>
      <c r="L468" s="256"/>
      <c r="M468" s="109"/>
      <c r="N468" s="297"/>
      <c r="O468" s="297"/>
      <c r="P468" s="297"/>
      <c r="Q468" s="297"/>
      <c r="R468" s="9"/>
      <c r="S468" s="9"/>
      <c r="T468" s="9"/>
      <c r="U468" s="44"/>
      <c r="V468" s="44"/>
      <c r="W468" s="44"/>
      <c r="X468" s="44"/>
      <c r="Y468" s="44"/>
      <c r="Z468" s="44"/>
      <c r="AA468" s="44"/>
      <c r="AB468" s="44"/>
    </row>
    <row r="469" spans="1:28">
      <c r="A469" s="9"/>
      <c r="B469" s="9"/>
      <c r="C469" s="9"/>
      <c r="D469" s="9"/>
      <c r="E469" s="36"/>
      <c r="F469" s="36"/>
      <c r="G469" s="36"/>
      <c r="H469" s="257"/>
      <c r="I469" s="264"/>
      <c r="J469" s="256"/>
      <c r="K469" s="264"/>
      <c r="L469" s="256"/>
      <c r="M469" s="109"/>
      <c r="N469" s="297"/>
      <c r="O469" s="297"/>
      <c r="P469" s="297"/>
      <c r="Q469" s="297"/>
      <c r="R469" s="9"/>
      <c r="S469" s="9"/>
      <c r="T469" s="9"/>
      <c r="U469" s="44"/>
      <c r="V469" s="44"/>
      <c r="W469" s="44"/>
      <c r="X469" s="44"/>
      <c r="Y469" s="44"/>
      <c r="Z469" s="44"/>
      <c r="AA469" s="44"/>
      <c r="AB469" s="44"/>
    </row>
    <row r="470" spans="1:28">
      <c r="A470" s="9"/>
      <c r="B470" s="9"/>
      <c r="C470" s="9"/>
      <c r="D470" s="9"/>
      <c r="E470" s="36"/>
      <c r="F470" s="36"/>
      <c r="G470" s="36"/>
      <c r="H470" s="257"/>
      <c r="I470" s="264"/>
      <c r="J470" s="256"/>
      <c r="K470" s="264"/>
      <c r="L470" s="256"/>
      <c r="M470" s="109"/>
      <c r="N470" s="297"/>
      <c r="O470" s="297"/>
      <c r="P470" s="297"/>
      <c r="Q470" s="297"/>
      <c r="R470" s="9"/>
      <c r="S470" s="9"/>
      <c r="T470" s="9"/>
      <c r="U470" s="44"/>
      <c r="V470" s="44"/>
      <c r="W470" s="44"/>
      <c r="X470" s="44"/>
      <c r="Y470" s="44"/>
      <c r="Z470" s="44"/>
      <c r="AA470" s="44"/>
      <c r="AB470" s="44"/>
    </row>
    <row r="471" spans="1:28">
      <c r="A471" s="9"/>
      <c r="B471" s="9"/>
      <c r="C471" s="9"/>
      <c r="D471" s="9"/>
      <c r="E471" s="36"/>
      <c r="F471" s="36"/>
      <c r="G471" s="36"/>
      <c r="H471" s="257"/>
      <c r="I471" s="264"/>
      <c r="J471" s="256"/>
      <c r="K471" s="264"/>
      <c r="L471" s="256"/>
      <c r="M471" s="109"/>
      <c r="N471" s="297"/>
      <c r="O471" s="297"/>
      <c r="P471" s="297"/>
      <c r="Q471" s="297"/>
      <c r="R471" s="9"/>
      <c r="S471" s="9"/>
      <c r="T471" s="9"/>
      <c r="U471" s="44"/>
      <c r="V471" s="44"/>
      <c r="W471" s="44"/>
      <c r="X471" s="44"/>
      <c r="Y471" s="44"/>
      <c r="Z471" s="44"/>
      <c r="AA471" s="44"/>
      <c r="AB471" s="44"/>
    </row>
    <row r="472" spans="1:28">
      <c r="A472" s="9"/>
      <c r="B472" s="9"/>
      <c r="C472" s="9"/>
      <c r="D472" s="9"/>
      <c r="E472" s="36"/>
      <c r="F472" s="36"/>
      <c r="G472" s="36"/>
      <c r="H472" s="257"/>
      <c r="I472" s="264"/>
      <c r="J472" s="256"/>
      <c r="K472" s="264"/>
      <c r="L472" s="256"/>
      <c r="M472" s="109"/>
      <c r="N472" s="297"/>
      <c r="O472" s="297"/>
      <c r="P472" s="297"/>
      <c r="Q472" s="297"/>
      <c r="R472" s="9"/>
      <c r="S472" s="9"/>
      <c r="T472" s="9"/>
      <c r="U472" s="44"/>
      <c r="V472" s="44"/>
      <c r="W472" s="44"/>
      <c r="X472" s="44"/>
      <c r="Y472" s="44"/>
      <c r="Z472" s="44"/>
      <c r="AA472" s="44"/>
      <c r="AB472" s="44"/>
    </row>
    <row r="473" spans="1:28">
      <c r="A473" s="9"/>
      <c r="B473" s="9"/>
      <c r="C473" s="9"/>
      <c r="D473" s="9"/>
      <c r="E473" s="36"/>
      <c r="F473" s="36"/>
      <c r="G473" s="36"/>
      <c r="H473" s="257"/>
      <c r="I473" s="264"/>
      <c r="J473" s="256"/>
      <c r="K473" s="264"/>
      <c r="L473" s="256"/>
      <c r="M473" s="109"/>
      <c r="N473" s="297"/>
      <c r="O473" s="297"/>
      <c r="P473" s="297"/>
      <c r="Q473" s="297"/>
      <c r="R473" s="9"/>
      <c r="S473" s="9"/>
      <c r="T473" s="9"/>
      <c r="U473" s="44"/>
      <c r="V473" s="44"/>
      <c r="W473" s="44"/>
      <c r="X473" s="44"/>
      <c r="Y473" s="44"/>
      <c r="Z473" s="44"/>
      <c r="AA473" s="44"/>
      <c r="AB473" s="44"/>
    </row>
    <row r="474" spans="1:28">
      <c r="A474" s="9"/>
      <c r="B474" s="9"/>
      <c r="C474" s="9"/>
      <c r="D474" s="9"/>
      <c r="E474" s="36"/>
      <c r="F474" s="36"/>
      <c r="G474" s="36"/>
      <c r="H474" s="257"/>
      <c r="I474" s="264"/>
      <c r="J474" s="256"/>
      <c r="K474" s="264"/>
      <c r="L474" s="256"/>
      <c r="M474" s="109"/>
      <c r="N474" s="297"/>
      <c r="O474" s="297"/>
      <c r="P474" s="297"/>
      <c r="Q474" s="297"/>
      <c r="R474" s="9"/>
      <c r="S474" s="9"/>
      <c r="T474" s="9"/>
      <c r="U474" s="44"/>
      <c r="V474" s="44"/>
      <c r="W474" s="44"/>
      <c r="X474" s="44"/>
      <c r="Y474" s="44"/>
      <c r="Z474" s="44"/>
      <c r="AA474" s="44"/>
      <c r="AB474" s="44"/>
    </row>
    <row r="475" spans="1:28">
      <c r="A475" s="9"/>
      <c r="B475" s="9"/>
      <c r="C475" s="9"/>
      <c r="D475" s="9"/>
      <c r="E475" s="36"/>
      <c r="F475" s="36"/>
      <c r="G475" s="36"/>
      <c r="H475" s="257"/>
      <c r="I475" s="264"/>
      <c r="J475" s="256"/>
      <c r="K475" s="264"/>
      <c r="L475" s="256"/>
      <c r="M475" s="109"/>
      <c r="N475" s="297"/>
      <c r="O475" s="297"/>
      <c r="P475" s="297"/>
      <c r="Q475" s="297"/>
      <c r="R475" s="9"/>
      <c r="S475" s="9"/>
      <c r="T475" s="9"/>
      <c r="U475" s="44"/>
      <c r="V475" s="44"/>
      <c r="W475" s="44"/>
      <c r="X475" s="44"/>
      <c r="Y475" s="44"/>
      <c r="Z475" s="44"/>
      <c r="AA475" s="44"/>
      <c r="AB475" s="44"/>
    </row>
    <row r="476" spans="1:28">
      <c r="A476" s="9"/>
      <c r="B476" s="9"/>
      <c r="C476" s="9"/>
      <c r="D476" s="9"/>
      <c r="E476" s="36"/>
      <c r="F476" s="36"/>
      <c r="G476" s="36"/>
      <c r="H476" s="257"/>
      <c r="I476" s="264"/>
      <c r="J476" s="256"/>
      <c r="K476" s="264"/>
      <c r="L476" s="256"/>
      <c r="M476" s="109"/>
      <c r="N476" s="297"/>
      <c r="O476" s="297"/>
      <c r="P476" s="297"/>
      <c r="Q476" s="297"/>
      <c r="R476" s="9"/>
      <c r="S476" s="9"/>
      <c r="T476" s="9"/>
      <c r="U476" s="44"/>
      <c r="V476" s="44"/>
      <c r="W476" s="44"/>
      <c r="X476" s="44"/>
      <c r="Y476" s="44"/>
      <c r="Z476" s="44"/>
      <c r="AA476" s="44"/>
      <c r="AB476" s="44"/>
    </row>
    <row r="477" spans="1:28">
      <c r="A477" s="9"/>
      <c r="B477" s="9"/>
      <c r="C477" s="9"/>
      <c r="D477" s="9"/>
      <c r="E477" s="36"/>
      <c r="F477" s="36"/>
      <c r="G477" s="36"/>
      <c r="H477" s="257"/>
      <c r="I477" s="264"/>
      <c r="J477" s="256"/>
      <c r="K477" s="264"/>
      <c r="L477" s="256"/>
      <c r="M477" s="109"/>
      <c r="N477" s="297"/>
      <c r="O477" s="297"/>
      <c r="P477" s="297"/>
      <c r="Q477" s="297"/>
      <c r="R477" s="9"/>
      <c r="S477" s="9"/>
      <c r="T477" s="9"/>
      <c r="U477" s="44"/>
      <c r="V477" s="44"/>
      <c r="W477" s="44"/>
      <c r="X477" s="44"/>
      <c r="Y477" s="44"/>
      <c r="Z477" s="44"/>
      <c r="AA477" s="44"/>
      <c r="AB477" s="44"/>
    </row>
    <row r="478" spans="1:28">
      <c r="A478" s="9"/>
      <c r="B478" s="9"/>
      <c r="C478" s="9"/>
      <c r="D478" s="9"/>
      <c r="E478" s="36"/>
      <c r="F478" s="36"/>
      <c r="G478" s="36"/>
      <c r="H478" s="257"/>
      <c r="I478" s="264"/>
      <c r="J478" s="256"/>
      <c r="K478" s="264"/>
      <c r="L478" s="256"/>
      <c r="M478" s="109"/>
      <c r="N478" s="297"/>
      <c r="O478" s="297"/>
      <c r="P478" s="297"/>
      <c r="Q478" s="297"/>
      <c r="R478" s="9"/>
      <c r="S478" s="9"/>
      <c r="T478" s="9"/>
      <c r="U478" s="44"/>
      <c r="V478" s="44"/>
      <c r="W478" s="44"/>
      <c r="X478" s="44"/>
      <c r="Y478" s="44"/>
      <c r="Z478" s="44"/>
      <c r="AA478" s="44"/>
      <c r="AB478" s="44"/>
    </row>
    <row r="479" spans="1:28">
      <c r="A479" s="9"/>
      <c r="B479" s="9"/>
      <c r="C479" s="9"/>
      <c r="D479" s="9"/>
      <c r="E479" s="36"/>
      <c r="F479" s="36"/>
      <c r="G479" s="36"/>
      <c r="H479" s="257"/>
      <c r="I479" s="264"/>
      <c r="J479" s="256"/>
      <c r="K479" s="264"/>
      <c r="L479" s="256"/>
      <c r="M479" s="109"/>
      <c r="N479" s="297"/>
      <c r="O479" s="297"/>
      <c r="P479" s="297"/>
      <c r="Q479" s="297"/>
      <c r="R479" s="9"/>
      <c r="S479" s="9"/>
      <c r="T479" s="9"/>
      <c r="U479" s="44"/>
      <c r="V479" s="44"/>
      <c r="W479" s="44"/>
      <c r="X479" s="44"/>
      <c r="Y479" s="44"/>
      <c r="Z479" s="44"/>
      <c r="AA479" s="44"/>
      <c r="AB479" s="44"/>
    </row>
    <row r="480" spans="1:28">
      <c r="A480" s="9"/>
      <c r="B480" s="9"/>
      <c r="C480" s="9"/>
      <c r="D480" s="9"/>
      <c r="E480" s="36"/>
      <c r="F480" s="36"/>
      <c r="G480" s="36"/>
      <c r="H480" s="257"/>
      <c r="I480" s="264"/>
      <c r="J480" s="256"/>
      <c r="K480" s="264"/>
      <c r="L480" s="256"/>
      <c r="M480" s="109"/>
      <c r="N480" s="297"/>
      <c r="O480" s="297"/>
      <c r="P480" s="297"/>
      <c r="Q480" s="297"/>
      <c r="R480" s="9"/>
      <c r="S480" s="9"/>
      <c r="T480" s="9"/>
      <c r="U480" s="44"/>
      <c r="V480" s="44"/>
      <c r="W480" s="44"/>
      <c r="X480" s="44"/>
      <c r="Y480" s="44"/>
      <c r="Z480" s="44"/>
      <c r="AA480" s="44"/>
      <c r="AB480" s="44"/>
    </row>
    <row r="481" spans="1:28">
      <c r="A481" s="9"/>
      <c r="B481" s="9"/>
      <c r="C481" s="9"/>
      <c r="D481" s="9"/>
      <c r="E481" s="36"/>
      <c r="F481" s="36"/>
      <c r="G481" s="36"/>
      <c r="H481" s="257"/>
      <c r="I481" s="264"/>
      <c r="J481" s="256"/>
      <c r="K481" s="264"/>
      <c r="L481" s="256"/>
      <c r="M481" s="109"/>
      <c r="N481" s="297"/>
      <c r="O481" s="297"/>
      <c r="P481" s="297"/>
      <c r="Q481" s="297"/>
      <c r="R481" s="9"/>
      <c r="S481" s="9"/>
      <c r="T481" s="9"/>
      <c r="U481" s="44"/>
      <c r="V481" s="44"/>
      <c r="W481" s="44"/>
      <c r="X481" s="44"/>
      <c r="Y481" s="44"/>
      <c r="Z481" s="44"/>
      <c r="AA481" s="44"/>
      <c r="AB481" s="44"/>
    </row>
    <row r="482" spans="1:28">
      <c r="A482" s="9"/>
      <c r="B482" s="9"/>
      <c r="C482" s="9"/>
      <c r="D482" s="9"/>
      <c r="E482" s="36"/>
      <c r="F482" s="36"/>
      <c r="G482" s="36"/>
      <c r="H482" s="257"/>
      <c r="I482" s="264"/>
      <c r="J482" s="256"/>
      <c r="K482" s="264"/>
      <c r="L482" s="256"/>
      <c r="M482" s="109"/>
      <c r="N482" s="297"/>
      <c r="O482" s="297"/>
      <c r="P482" s="297"/>
      <c r="Q482" s="297"/>
      <c r="R482" s="9"/>
      <c r="S482" s="9"/>
      <c r="T482" s="9"/>
      <c r="U482" s="44"/>
      <c r="V482" s="44"/>
      <c r="W482" s="44"/>
      <c r="X482" s="44"/>
      <c r="Y482" s="44"/>
      <c r="Z482" s="44"/>
      <c r="AA482" s="44"/>
      <c r="AB482" s="44"/>
    </row>
    <row r="483" spans="1:28">
      <c r="A483" s="9"/>
      <c r="B483" s="9"/>
      <c r="C483" s="9"/>
      <c r="D483" s="9"/>
      <c r="E483" s="36"/>
      <c r="F483" s="36"/>
      <c r="G483" s="36"/>
      <c r="H483" s="257"/>
      <c r="I483" s="264"/>
      <c r="J483" s="256"/>
      <c r="K483" s="264"/>
      <c r="L483" s="256"/>
      <c r="M483" s="109"/>
      <c r="N483" s="297"/>
      <c r="O483" s="297"/>
      <c r="P483" s="297"/>
      <c r="Q483" s="297"/>
      <c r="R483" s="9"/>
      <c r="S483" s="9"/>
      <c r="T483" s="9"/>
      <c r="U483" s="44"/>
      <c r="V483" s="44"/>
      <c r="W483" s="44"/>
      <c r="X483" s="44"/>
      <c r="Y483" s="44"/>
      <c r="Z483" s="44"/>
      <c r="AA483" s="44"/>
      <c r="AB483" s="44"/>
    </row>
    <row r="484" spans="1:28">
      <c r="A484" s="9"/>
      <c r="B484" s="9"/>
      <c r="C484" s="9"/>
      <c r="D484" s="9"/>
      <c r="E484" s="36"/>
      <c r="F484" s="36"/>
      <c r="G484" s="36"/>
      <c r="H484" s="257"/>
      <c r="I484" s="264"/>
      <c r="J484" s="256"/>
      <c r="K484" s="264"/>
      <c r="L484" s="256"/>
      <c r="M484" s="109"/>
      <c r="N484" s="297"/>
      <c r="O484" s="297"/>
      <c r="P484" s="297"/>
      <c r="Q484" s="297"/>
      <c r="R484" s="9"/>
      <c r="S484" s="9"/>
      <c r="T484" s="9"/>
      <c r="U484" s="44"/>
      <c r="V484" s="44"/>
      <c r="W484" s="44"/>
      <c r="X484" s="44"/>
      <c r="Y484" s="44"/>
      <c r="Z484" s="44"/>
      <c r="AA484" s="44"/>
      <c r="AB484" s="44"/>
    </row>
    <row r="485" spans="1:28">
      <c r="A485" s="9"/>
      <c r="B485" s="9"/>
      <c r="C485" s="9"/>
      <c r="D485" s="9"/>
      <c r="E485" s="36"/>
      <c r="F485" s="36"/>
      <c r="G485" s="36"/>
      <c r="H485" s="257"/>
      <c r="I485" s="264"/>
      <c r="J485" s="256"/>
      <c r="K485" s="264"/>
      <c r="L485" s="256"/>
      <c r="M485" s="109"/>
      <c r="N485" s="297"/>
      <c r="O485" s="297"/>
      <c r="P485" s="297"/>
      <c r="Q485" s="297"/>
      <c r="R485" s="9"/>
      <c r="S485" s="9"/>
      <c r="T485" s="9"/>
      <c r="U485" s="9"/>
      <c r="V485" s="9"/>
      <c r="W485" s="9"/>
      <c r="X485" s="9"/>
      <c r="Y485" s="9"/>
      <c r="Z485" s="9"/>
      <c r="AA485" s="9"/>
      <c r="AB485" s="9"/>
    </row>
    <row r="486" spans="1:28">
      <c r="A486" s="9"/>
      <c r="B486" s="9"/>
      <c r="C486" s="9"/>
      <c r="D486" s="9"/>
      <c r="E486" s="36"/>
      <c r="F486" s="36"/>
      <c r="G486" s="36"/>
      <c r="H486" s="257"/>
      <c r="I486" s="264"/>
      <c r="J486" s="256"/>
      <c r="K486" s="264"/>
      <c r="L486" s="256"/>
      <c r="M486" s="109"/>
      <c r="N486" s="297"/>
      <c r="O486" s="297"/>
      <c r="P486" s="297"/>
      <c r="Q486" s="297"/>
      <c r="R486" s="9"/>
      <c r="S486" s="9"/>
      <c r="T486" s="9"/>
      <c r="U486" s="9"/>
      <c r="V486" s="9"/>
      <c r="W486" s="9"/>
      <c r="X486" s="9"/>
      <c r="Y486" s="9"/>
      <c r="Z486" s="9"/>
      <c r="AA486" s="9"/>
      <c r="AB486" s="9"/>
    </row>
    <row r="487" spans="1:28">
      <c r="A487" s="9"/>
      <c r="B487" s="9"/>
      <c r="C487" s="9"/>
      <c r="D487" s="9"/>
      <c r="E487" s="36"/>
      <c r="F487" s="36"/>
      <c r="G487" s="36"/>
      <c r="H487" s="257"/>
      <c r="I487" s="264"/>
      <c r="J487" s="256"/>
      <c r="K487" s="264"/>
      <c r="L487" s="256"/>
      <c r="M487" s="109"/>
      <c r="N487" s="297"/>
      <c r="O487" s="297"/>
      <c r="P487" s="297"/>
      <c r="Q487" s="297"/>
      <c r="R487" s="9"/>
      <c r="S487" s="9"/>
      <c r="T487" s="9"/>
      <c r="U487" s="9"/>
      <c r="V487" s="9"/>
      <c r="W487" s="9"/>
      <c r="X487" s="9"/>
      <c r="Y487" s="9"/>
      <c r="Z487" s="9"/>
      <c r="AA487" s="9"/>
      <c r="AB487" s="9"/>
    </row>
    <row r="488" spans="1:28">
      <c r="A488" s="9"/>
      <c r="B488" s="9"/>
      <c r="C488" s="9"/>
      <c r="D488" s="9"/>
      <c r="E488" s="36"/>
      <c r="F488" s="36"/>
      <c r="G488" s="36"/>
      <c r="H488" s="257"/>
      <c r="I488" s="264"/>
      <c r="J488" s="256"/>
      <c r="K488" s="264"/>
      <c r="L488" s="256"/>
      <c r="M488" s="109"/>
      <c r="N488" s="297"/>
      <c r="O488" s="297"/>
      <c r="P488" s="297"/>
      <c r="Q488" s="297"/>
      <c r="R488" s="9"/>
      <c r="S488" s="9"/>
      <c r="T488" s="9"/>
      <c r="U488" s="9"/>
      <c r="V488" s="9"/>
      <c r="W488" s="9"/>
      <c r="X488" s="9"/>
      <c r="Y488" s="9"/>
      <c r="Z488" s="9"/>
      <c r="AA488" s="9"/>
      <c r="AB488" s="9"/>
    </row>
    <row r="489" spans="1:28">
      <c r="A489" s="9"/>
      <c r="B489" s="9"/>
      <c r="C489" s="9"/>
      <c r="D489" s="9"/>
      <c r="E489" s="36"/>
      <c r="F489" s="36"/>
      <c r="G489" s="36"/>
      <c r="H489" s="257"/>
      <c r="I489" s="264"/>
      <c r="J489" s="256"/>
      <c r="K489" s="264"/>
      <c r="L489" s="256"/>
      <c r="M489" s="109"/>
      <c r="N489" s="297"/>
      <c r="O489" s="297"/>
      <c r="P489" s="297"/>
      <c r="Q489" s="297"/>
      <c r="R489" s="9"/>
      <c r="S489" s="9"/>
      <c r="T489" s="9"/>
      <c r="U489" s="9"/>
      <c r="V489" s="9"/>
      <c r="W489" s="9"/>
      <c r="X489" s="9"/>
      <c r="Y489" s="9"/>
      <c r="Z489" s="9"/>
      <c r="AA489" s="9"/>
      <c r="AB489" s="9"/>
    </row>
    <row r="490" spans="1:28">
      <c r="A490" s="9"/>
      <c r="B490" s="9"/>
      <c r="C490" s="9"/>
      <c r="D490" s="9"/>
      <c r="E490" s="36"/>
      <c r="F490" s="36"/>
      <c r="G490" s="36"/>
      <c r="H490" s="257"/>
      <c r="I490" s="264"/>
      <c r="J490" s="256"/>
      <c r="K490" s="264"/>
      <c r="L490" s="256"/>
      <c r="M490" s="109"/>
      <c r="N490" s="297"/>
      <c r="O490" s="297"/>
      <c r="P490" s="297"/>
      <c r="Q490" s="297"/>
      <c r="R490" s="9"/>
      <c r="S490" s="9"/>
      <c r="T490" s="9"/>
      <c r="U490" s="9"/>
      <c r="V490" s="9"/>
      <c r="W490" s="9"/>
      <c r="X490" s="9"/>
      <c r="Y490" s="9"/>
      <c r="Z490" s="9"/>
      <c r="AA490" s="9"/>
      <c r="AB490" s="9"/>
    </row>
    <row r="491" spans="1:28">
      <c r="A491" s="9"/>
      <c r="B491" s="9"/>
      <c r="C491" s="9"/>
      <c r="D491" s="9"/>
      <c r="E491" s="36"/>
      <c r="F491" s="36"/>
      <c r="G491" s="36"/>
      <c r="H491" s="257"/>
      <c r="I491" s="264"/>
      <c r="J491" s="256"/>
      <c r="K491" s="264"/>
      <c r="L491" s="256"/>
      <c r="M491" s="109"/>
      <c r="N491" s="297"/>
      <c r="O491" s="297"/>
      <c r="P491" s="297"/>
      <c r="Q491" s="297"/>
      <c r="R491" s="9"/>
      <c r="S491" s="9"/>
      <c r="T491" s="9"/>
      <c r="U491" s="9"/>
      <c r="V491" s="9"/>
      <c r="W491" s="9"/>
      <c r="X491" s="9"/>
      <c r="Y491" s="9"/>
      <c r="Z491" s="9"/>
      <c r="AA491" s="9"/>
      <c r="AB491" s="9"/>
    </row>
    <row r="492" spans="1:28">
      <c r="A492" s="9"/>
      <c r="B492" s="9"/>
      <c r="C492" s="9"/>
      <c r="D492" s="9"/>
      <c r="E492" s="36"/>
      <c r="F492" s="36"/>
      <c r="G492" s="36"/>
      <c r="H492" s="257"/>
      <c r="I492" s="264"/>
      <c r="J492" s="256"/>
      <c r="K492" s="264"/>
      <c r="L492" s="256"/>
      <c r="M492" s="109"/>
      <c r="N492" s="297"/>
      <c r="O492" s="297"/>
      <c r="P492" s="297"/>
      <c r="Q492" s="297"/>
      <c r="R492" s="9"/>
      <c r="S492" s="9"/>
      <c r="T492" s="9"/>
      <c r="U492" s="9"/>
      <c r="V492" s="9"/>
      <c r="W492" s="9"/>
      <c r="X492" s="9"/>
      <c r="Y492" s="9"/>
      <c r="Z492" s="9"/>
      <c r="AA492" s="9"/>
      <c r="AB492" s="9"/>
    </row>
    <row r="493" spans="1:28">
      <c r="A493" s="9"/>
      <c r="B493" s="9"/>
      <c r="C493" s="9"/>
      <c r="D493" s="9"/>
      <c r="E493" s="36"/>
      <c r="F493" s="36"/>
      <c r="G493" s="36"/>
      <c r="H493" s="257"/>
      <c r="I493" s="264"/>
      <c r="J493" s="256"/>
      <c r="K493" s="264"/>
      <c r="L493" s="256"/>
      <c r="M493" s="109"/>
      <c r="N493" s="297"/>
      <c r="O493" s="297"/>
      <c r="P493" s="297"/>
      <c r="Q493" s="297"/>
      <c r="R493" s="9"/>
      <c r="S493" s="9"/>
      <c r="T493" s="9"/>
      <c r="U493" s="9"/>
      <c r="V493" s="9"/>
      <c r="W493" s="9"/>
      <c r="X493" s="9"/>
      <c r="Y493" s="9"/>
      <c r="Z493" s="9"/>
      <c r="AA493" s="9"/>
      <c r="AB493" s="9"/>
    </row>
    <row r="494" spans="1:28">
      <c r="A494" s="9"/>
      <c r="B494" s="9"/>
      <c r="C494" s="9"/>
      <c r="D494" s="9"/>
      <c r="E494" s="36"/>
      <c r="F494" s="36"/>
      <c r="G494" s="36"/>
      <c r="H494" s="257"/>
      <c r="I494" s="264"/>
      <c r="J494" s="256"/>
      <c r="K494" s="264"/>
      <c r="L494" s="256"/>
      <c r="M494" s="109"/>
      <c r="N494" s="297"/>
      <c r="O494" s="297"/>
      <c r="P494" s="297"/>
      <c r="Q494" s="297"/>
      <c r="R494" s="9"/>
      <c r="S494" s="9"/>
      <c r="T494" s="9"/>
      <c r="U494" s="9"/>
      <c r="V494" s="9"/>
      <c r="W494" s="9"/>
      <c r="X494" s="9"/>
      <c r="Y494" s="9"/>
      <c r="Z494" s="9"/>
      <c r="AA494" s="9"/>
      <c r="AB494" s="9"/>
    </row>
    <row r="495" spans="1:28">
      <c r="A495" s="9"/>
      <c r="B495" s="9"/>
      <c r="C495" s="9"/>
      <c r="D495" s="9"/>
      <c r="E495" s="36"/>
      <c r="F495" s="36"/>
      <c r="G495" s="36"/>
      <c r="H495" s="257"/>
      <c r="I495" s="264"/>
      <c r="J495" s="256"/>
      <c r="K495" s="264"/>
      <c r="L495" s="256"/>
      <c r="M495" s="109"/>
      <c r="N495" s="297"/>
      <c r="O495" s="297"/>
      <c r="P495" s="297"/>
      <c r="Q495" s="297"/>
      <c r="R495" s="9"/>
      <c r="S495" s="9"/>
      <c r="T495" s="9"/>
      <c r="U495" s="9"/>
      <c r="V495" s="9"/>
      <c r="W495" s="9"/>
      <c r="X495" s="9"/>
      <c r="Y495" s="9"/>
      <c r="Z495" s="9"/>
      <c r="AA495" s="9"/>
      <c r="AB495" s="9"/>
    </row>
    <row r="496" spans="1:28">
      <c r="A496" s="9"/>
      <c r="B496" s="9"/>
      <c r="C496" s="9"/>
      <c r="D496" s="9"/>
      <c r="E496" s="36"/>
      <c r="F496" s="36"/>
      <c r="G496" s="36"/>
      <c r="H496" s="257"/>
      <c r="I496" s="264"/>
      <c r="J496" s="256"/>
      <c r="K496" s="264"/>
      <c r="L496" s="256"/>
      <c r="M496" s="109"/>
      <c r="N496" s="297"/>
      <c r="O496" s="297"/>
      <c r="P496" s="297"/>
      <c r="Q496" s="297"/>
      <c r="R496" s="9"/>
      <c r="S496" s="9"/>
      <c r="T496" s="9"/>
      <c r="U496" s="9"/>
      <c r="V496" s="9"/>
      <c r="W496" s="9"/>
      <c r="X496" s="9"/>
      <c r="Y496" s="9"/>
      <c r="Z496" s="9"/>
      <c r="AA496" s="9"/>
      <c r="AB496" s="9"/>
    </row>
    <row r="497" spans="1:28">
      <c r="A497" s="9"/>
      <c r="B497" s="9"/>
      <c r="C497" s="9"/>
      <c r="D497" s="9"/>
      <c r="E497" s="36"/>
      <c r="F497" s="36"/>
      <c r="G497" s="36"/>
      <c r="H497" s="257"/>
      <c r="I497" s="264"/>
      <c r="J497" s="256"/>
      <c r="K497" s="264"/>
      <c r="L497" s="256"/>
      <c r="M497" s="109"/>
      <c r="N497" s="297"/>
      <c r="O497" s="297"/>
      <c r="P497" s="297"/>
      <c r="Q497" s="297"/>
      <c r="R497" s="9"/>
      <c r="S497" s="9"/>
      <c r="T497" s="9"/>
      <c r="U497" s="9"/>
      <c r="V497" s="9"/>
      <c r="W497" s="9"/>
      <c r="X497" s="9"/>
      <c r="Y497" s="9"/>
      <c r="Z497" s="9"/>
      <c r="AA497" s="9"/>
      <c r="AB497" s="9"/>
    </row>
    <row r="498" spans="1:28">
      <c r="A498" s="9"/>
      <c r="B498" s="9"/>
      <c r="C498" s="9"/>
      <c r="D498" s="9"/>
      <c r="E498" s="36"/>
      <c r="F498" s="36"/>
      <c r="G498" s="36"/>
      <c r="H498" s="257"/>
      <c r="I498" s="264"/>
      <c r="J498" s="256"/>
      <c r="K498" s="264"/>
      <c r="L498" s="256"/>
      <c r="M498" s="109"/>
      <c r="N498" s="297"/>
      <c r="O498" s="297"/>
      <c r="P498" s="297"/>
      <c r="Q498" s="297"/>
      <c r="R498" s="9"/>
      <c r="S498" s="9"/>
      <c r="T498" s="9"/>
      <c r="U498" s="9"/>
      <c r="V498" s="9"/>
      <c r="W498" s="9"/>
      <c r="X498" s="9"/>
      <c r="Y498" s="9"/>
      <c r="Z498" s="9"/>
      <c r="AA498" s="9"/>
      <c r="AB498" s="9"/>
    </row>
    <row r="499" spans="1:28">
      <c r="A499" s="9"/>
      <c r="B499" s="9"/>
      <c r="C499" s="9"/>
      <c r="D499" s="9"/>
      <c r="E499" s="36"/>
      <c r="F499" s="36"/>
      <c r="G499" s="36"/>
      <c r="H499" s="257"/>
      <c r="I499" s="264"/>
      <c r="J499" s="256"/>
      <c r="K499" s="264"/>
      <c r="L499" s="256"/>
      <c r="M499" s="109"/>
      <c r="N499" s="297"/>
      <c r="O499" s="297"/>
      <c r="P499" s="297"/>
      <c r="Q499" s="297"/>
      <c r="R499" s="9"/>
      <c r="S499" s="9"/>
      <c r="T499" s="9"/>
      <c r="U499" s="9"/>
      <c r="V499" s="9"/>
      <c r="W499" s="9"/>
      <c r="X499" s="9"/>
      <c r="Y499" s="9"/>
      <c r="Z499" s="9"/>
      <c r="AA499" s="9"/>
      <c r="AB499" s="9"/>
    </row>
    <row r="500" spans="1:28">
      <c r="A500" s="9"/>
      <c r="B500" s="9"/>
      <c r="C500" s="9"/>
      <c r="D500" s="9"/>
      <c r="E500" s="36"/>
      <c r="F500" s="36"/>
      <c r="G500" s="36"/>
      <c r="H500" s="257"/>
      <c r="I500" s="264"/>
      <c r="J500" s="256"/>
      <c r="K500" s="264"/>
      <c r="L500" s="256"/>
      <c r="M500" s="109"/>
      <c r="N500" s="297"/>
      <c r="O500" s="297"/>
      <c r="P500" s="297"/>
      <c r="Q500" s="297"/>
      <c r="R500" s="9"/>
      <c r="S500" s="9"/>
      <c r="T500" s="9"/>
      <c r="U500" s="9"/>
      <c r="V500" s="9"/>
      <c r="W500" s="9"/>
      <c r="X500" s="9"/>
      <c r="Y500" s="9"/>
      <c r="Z500" s="9"/>
      <c r="AA500" s="9"/>
      <c r="AB500" s="9"/>
    </row>
    <row r="501" spans="1:28">
      <c r="A501" s="9"/>
      <c r="B501" s="9"/>
      <c r="C501" s="9"/>
      <c r="D501" s="9"/>
      <c r="E501" s="36"/>
      <c r="F501" s="36"/>
      <c r="G501" s="36"/>
      <c r="H501" s="257"/>
      <c r="I501" s="264"/>
      <c r="J501" s="256"/>
      <c r="K501" s="264"/>
      <c r="L501" s="256"/>
      <c r="M501" s="109"/>
      <c r="N501" s="297"/>
      <c r="O501" s="297"/>
      <c r="P501" s="297"/>
      <c r="Q501" s="297"/>
      <c r="R501" s="9"/>
      <c r="S501" s="9"/>
      <c r="T501" s="9"/>
      <c r="U501" s="9"/>
      <c r="V501" s="9"/>
      <c r="W501" s="9"/>
      <c r="X501" s="9"/>
      <c r="Y501" s="9"/>
      <c r="Z501" s="9"/>
      <c r="AA501" s="9"/>
      <c r="AB501" s="9"/>
    </row>
    <row r="502" spans="1:28">
      <c r="A502" s="9"/>
      <c r="B502" s="9"/>
      <c r="C502" s="9"/>
      <c r="D502" s="9"/>
      <c r="E502" s="36"/>
      <c r="F502" s="36"/>
      <c r="G502" s="36"/>
      <c r="H502" s="257"/>
      <c r="I502" s="264"/>
      <c r="J502" s="256"/>
      <c r="K502" s="264"/>
      <c r="L502" s="256"/>
      <c r="M502" s="109"/>
      <c r="N502" s="297"/>
      <c r="O502" s="297"/>
      <c r="P502" s="297"/>
      <c r="Q502" s="297"/>
      <c r="R502" s="9"/>
      <c r="S502" s="9"/>
      <c r="T502" s="9"/>
      <c r="U502" s="9"/>
      <c r="V502" s="9"/>
      <c r="W502" s="9"/>
      <c r="X502" s="9"/>
      <c r="Y502" s="9"/>
      <c r="Z502" s="9"/>
      <c r="AA502" s="9"/>
      <c r="AB502" s="9"/>
    </row>
    <row r="503" spans="1:28">
      <c r="A503" s="9"/>
      <c r="B503" s="9"/>
      <c r="C503" s="9"/>
      <c r="D503" s="9"/>
      <c r="E503" s="36"/>
      <c r="F503" s="36"/>
      <c r="G503" s="36"/>
      <c r="H503" s="257"/>
      <c r="I503" s="264"/>
      <c r="J503" s="256"/>
      <c r="K503" s="264"/>
      <c r="L503" s="256"/>
      <c r="M503" s="109"/>
      <c r="N503" s="297"/>
      <c r="O503" s="297"/>
      <c r="P503" s="297"/>
      <c r="Q503" s="297"/>
      <c r="R503" s="9"/>
      <c r="S503" s="9"/>
      <c r="T503" s="9"/>
      <c r="U503" s="9"/>
      <c r="V503" s="9"/>
      <c r="W503" s="9"/>
      <c r="X503" s="9"/>
      <c r="Y503" s="9"/>
      <c r="Z503" s="9"/>
      <c r="AA503" s="9"/>
      <c r="AB503" s="9"/>
    </row>
    <row r="504" spans="1:28">
      <c r="A504" s="9"/>
      <c r="B504" s="9"/>
      <c r="C504" s="9"/>
      <c r="D504" s="9"/>
      <c r="E504" s="36"/>
      <c r="F504" s="36"/>
      <c r="G504" s="36"/>
      <c r="H504" s="257"/>
      <c r="I504" s="264"/>
      <c r="J504" s="256"/>
      <c r="K504" s="264"/>
      <c r="L504" s="256"/>
      <c r="M504" s="109"/>
      <c r="N504" s="297"/>
      <c r="O504" s="297"/>
      <c r="P504" s="297"/>
      <c r="Q504" s="297"/>
      <c r="R504" s="9"/>
      <c r="S504" s="9"/>
      <c r="T504" s="9"/>
      <c r="U504" s="9"/>
      <c r="V504" s="9"/>
      <c r="W504" s="9"/>
      <c r="X504" s="9"/>
      <c r="Y504" s="9"/>
      <c r="Z504" s="9"/>
      <c r="AA504" s="9"/>
      <c r="AB504" s="9"/>
    </row>
    <row r="505" spans="1:28">
      <c r="A505" s="9"/>
      <c r="B505" s="9"/>
      <c r="C505" s="9"/>
      <c r="D505" s="9"/>
      <c r="E505" s="36"/>
      <c r="F505" s="36"/>
      <c r="G505" s="36"/>
      <c r="H505" s="257"/>
      <c r="I505" s="264"/>
      <c r="J505" s="256"/>
      <c r="K505" s="264"/>
      <c r="L505" s="256"/>
      <c r="M505" s="109"/>
      <c r="N505" s="297"/>
      <c r="O505" s="297"/>
      <c r="P505" s="297"/>
      <c r="Q505" s="297"/>
      <c r="R505" s="9"/>
      <c r="S505" s="9"/>
      <c r="T505" s="9"/>
      <c r="U505" s="9"/>
      <c r="V505" s="9"/>
      <c r="W505" s="9"/>
      <c r="X505" s="9"/>
      <c r="Y505" s="9"/>
      <c r="Z505" s="9"/>
      <c r="AA505" s="9"/>
      <c r="AB505" s="9"/>
    </row>
    <row r="506" spans="1:28">
      <c r="A506" s="9"/>
      <c r="B506" s="9"/>
      <c r="C506" s="9"/>
      <c r="D506" s="9"/>
      <c r="E506" s="36"/>
      <c r="F506" s="36"/>
      <c r="G506" s="36"/>
      <c r="H506" s="257"/>
      <c r="I506" s="264"/>
      <c r="J506" s="256"/>
      <c r="K506" s="264"/>
      <c r="L506" s="256"/>
      <c r="M506" s="109"/>
      <c r="N506" s="297"/>
      <c r="O506" s="297"/>
      <c r="P506" s="297"/>
      <c r="Q506" s="297"/>
      <c r="R506" s="9"/>
      <c r="S506" s="9"/>
      <c r="T506" s="9"/>
      <c r="U506" s="9"/>
      <c r="V506" s="9"/>
      <c r="W506" s="9"/>
      <c r="X506" s="9"/>
      <c r="Y506" s="9"/>
      <c r="Z506" s="9"/>
      <c r="AA506" s="9"/>
      <c r="AB506" s="9"/>
    </row>
    <row r="507" spans="1:28">
      <c r="A507" s="9"/>
      <c r="B507" s="9"/>
      <c r="C507" s="9"/>
      <c r="D507" s="9"/>
      <c r="E507" s="36"/>
      <c r="F507" s="36"/>
      <c r="G507" s="36"/>
      <c r="H507" s="257"/>
      <c r="I507" s="264"/>
      <c r="J507" s="256"/>
      <c r="K507" s="264"/>
      <c r="L507" s="256"/>
      <c r="M507" s="109"/>
      <c r="N507" s="297"/>
      <c r="O507" s="297"/>
      <c r="P507" s="297"/>
      <c r="Q507" s="297"/>
      <c r="R507" s="9"/>
      <c r="S507" s="9"/>
      <c r="T507" s="9"/>
      <c r="U507" s="9"/>
      <c r="V507" s="9"/>
      <c r="W507" s="9"/>
      <c r="X507" s="9"/>
      <c r="Y507" s="9"/>
      <c r="Z507" s="9"/>
      <c r="AA507" s="9"/>
      <c r="AB507" s="9"/>
    </row>
    <row r="508" spans="1:28">
      <c r="A508" s="9"/>
      <c r="B508" s="9"/>
      <c r="C508" s="9"/>
      <c r="D508" s="9"/>
      <c r="E508" s="36"/>
      <c r="F508" s="36"/>
      <c r="G508" s="36"/>
      <c r="H508" s="257"/>
      <c r="I508" s="264"/>
      <c r="J508" s="256"/>
      <c r="K508" s="264"/>
      <c r="L508" s="256"/>
      <c r="M508" s="109"/>
      <c r="N508" s="297"/>
      <c r="O508" s="297"/>
      <c r="P508" s="297"/>
      <c r="Q508" s="297"/>
      <c r="R508" s="9"/>
      <c r="S508" s="9"/>
      <c r="T508" s="9"/>
      <c r="U508" s="9"/>
      <c r="V508" s="9"/>
      <c r="W508" s="9"/>
      <c r="X508" s="9"/>
      <c r="Y508" s="9"/>
      <c r="Z508" s="9"/>
      <c r="AA508" s="9"/>
      <c r="AB508" s="9"/>
    </row>
    <row r="509" spans="1:28">
      <c r="A509" s="9"/>
      <c r="B509" s="9"/>
      <c r="C509" s="9"/>
      <c r="D509" s="9"/>
      <c r="E509" s="36"/>
      <c r="F509" s="36"/>
      <c r="G509" s="36"/>
      <c r="H509" s="257"/>
      <c r="I509" s="264"/>
      <c r="J509" s="256"/>
      <c r="K509" s="264"/>
      <c r="L509" s="256"/>
      <c r="M509" s="109"/>
      <c r="N509" s="297"/>
      <c r="O509" s="297"/>
      <c r="P509" s="297"/>
      <c r="Q509" s="297"/>
      <c r="R509" s="9"/>
      <c r="S509" s="9"/>
      <c r="T509" s="9"/>
      <c r="U509" s="9"/>
      <c r="V509" s="9"/>
      <c r="W509" s="9"/>
      <c r="X509" s="9"/>
      <c r="Y509" s="9"/>
      <c r="Z509" s="9"/>
      <c r="AA509" s="9"/>
      <c r="AB509" s="9"/>
    </row>
    <row r="510" spans="1:28">
      <c r="A510" s="9"/>
      <c r="B510" s="9"/>
      <c r="C510" s="9"/>
      <c r="D510" s="9"/>
      <c r="E510" s="36"/>
      <c r="F510" s="36"/>
      <c r="G510" s="36"/>
      <c r="H510" s="257"/>
      <c r="I510" s="264"/>
      <c r="J510" s="256"/>
      <c r="K510" s="264"/>
      <c r="L510" s="256"/>
      <c r="M510" s="109"/>
      <c r="N510" s="297"/>
      <c r="O510" s="297"/>
      <c r="P510" s="297"/>
      <c r="Q510" s="297"/>
      <c r="R510" s="9"/>
      <c r="S510" s="9"/>
      <c r="T510" s="9"/>
      <c r="U510" s="9"/>
      <c r="V510" s="9"/>
      <c r="W510" s="9"/>
      <c r="X510" s="9"/>
      <c r="Y510" s="9"/>
      <c r="Z510" s="9"/>
      <c r="AA510" s="9"/>
      <c r="AB510" s="9"/>
    </row>
    <row r="511" spans="1:28">
      <c r="A511" s="9"/>
      <c r="B511" s="9"/>
      <c r="C511" s="9"/>
      <c r="D511" s="9"/>
      <c r="E511" s="36"/>
      <c r="F511" s="36"/>
      <c r="G511" s="36"/>
      <c r="H511" s="257"/>
      <c r="I511" s="264"/>
      <c r="J511" s="256"/>
      <c r="K511" s="264"/>
      <c r="L511" s="256"/>
      <c r="M511" s="109"/>
      <c r="N511" s="297"/>
      <c r="O511" s="297"/>
      <c r="P511" s="297"/>
      <c r="Q511" s="297"/>
      <c r="R511" s="9"/>
      <c r="S511" s="9"/>
      <c r="T511" s="9"/>
      <c r="U511" s="9"/>
      <c r="V511" s="9"/>
      <c r="W511" s="9"/>
      <c r="X511" s="9"/>
      <c r="Y511" s="9"/>
      <c r="Z511" s="9"/>
      <c r="AA511" s="9"/>
      <c r="AB511" s="9"/>
    </row>
    <row r="512" spans="1:28">
      <c r="A512" s="9"/>
      <c r="B512" s="9"/>
      <c r="C512" s="9"/>
      <c r="D512" s="9"/>
      <c r="E512" s="36"/>
      <c r="F512" s="36"/>
      <c r="G512" s="36"/>
      <c r="H512" s="257"/>
      <c r="I512" s="264"/>
      <c r="J512" s="256"/>
      <c r="K512" s="264"/>
      <c r="L512" s="256"/>
      <c r="M512" s="109"/>
      <c r="N512" s="297"/>
      <c r="O512" s="297"/>
      <c r="P512" s="297"/>
      <c r="Q512" s="297"/>
      <c r="R512" s="9"/>
      <c r="S512" s="9"/>
      <c r="T512" s="9"/>
      <c r="U512" s="9"/>
      <c r="V512" s="9"/>
      <c r="W512" s="9"/>
      <c r="X512" s="9"/>
      <c r="Y512" s="9"/>
      <c r="Z512" s="9"/>
      <c r="AA512" s="9"/>
      <c r="AB512" s="9"/>
    </row>
    <row r="513" spans="1:28">
      <c r="A513" s="9"/>
      <c r="B513" s="9"/>
      <c r="C513" s="9"/>
      <c r="D513" s="9"/>
      <c r="E513" s="36"/>
      <c r="F513" s="36"/>
      <c r="G513" s="36"/>
      <c r="H513" s="257"/>
      <c r="I513" s="264"/>
      <c r="J513" s="256"/>
      <c r="K513" s="264"/>
      <c r="L513" s="256"/>
      <c r="M513" s="109"/>
      <c r="N513" s="297"/>
      <c r="O513" s="297"/>
      <c r="P513" s="297"/>
      <c r="Q513" s="297"/>
      <c r="R513" s="9"/>
      <c r="S513" s="9"/>
      <c r="T513" s="9"/>
      <c r="U513" s="9"/>
      <c r="V513" s="9"/>
      <c r="W513" s="9"/>
      <c r="X513" s="9"/>
      <c r="Y513" s="9"/>
      <c r="Z513" s="9"/>
      <c r="AA513" s="9"/>
      <c r="AB513" s="9"/>
    </row>
  </sheetData>
  <mergeCells count="42">
    <mergeCell ref="C8:D8"/>
    <mergeCell ref="C9:C18"/>
    <mergeCell ref="C22:D22"/>
    <mergeCell ref="C23:C32"/>
    <mergeCell ref="C64:D64"/>
    <mergeCell ref="C78:D78"/>
    <mergeCell ref="C79:C88"/>
    <mergeCell ref="C36:D36"/>
    <mergeCell ref="C37:C46"/>
    <mergeCell ref="C50:D50"/>
    <mergeCell ref="C51:C60"/>
    <mergeCell ref="C65:C74"/>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U547"/>
  <sheetViews>
    <sheetView zoomScale="75" zoomScaleNormal="75" workbookViewId="0"/>
  </sheetViews>
  <sheetFormatPr defaultRowHeight="12.75" outlineLevelRow="2"/>
  <cols>
    <col min="1" max="1" width="3.5703125" customWidth="1"/>
    <col min="2" max="2" width="22.85546875" customWidth="1"/>
    <col min="3" max="3" width="12.42578125" customWidth="1"/>
    <col min="5" max="5" width="3.5703125" customWidth="1"/>
    <col min="6" max="6" width="10" customWidth="1"/>
    <col min="7" max="7" width="13.140625" bestFit="1" customWidth="1"/>
    <col min="8" max="9" width="12.7109375" bestFit="1" customWidth="1"/>
    <col min="10" max="10" width="13.140625" bestFit="1" customWidth="1"/>
    <col min="11" max="11" width="15.5703125" customWidth="1"/>
    <col min="12" max="12" width="13.140625" bestFit="1" customWidth="1"/>
    <col min="13" max="18" width="9.5703125" customWidth="1"/>
    <col min="19" max="19" width="15.140625" customWidth="1"/>
    <col min="20" max="20" width="26.8554687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185"/>
      <c r="BJ1" s="185"/>
      <c r="BK1" s="185"/>
      <c r="BL1" s="185"/>
      <c r="BM1" s="185"/>
      <c r="BN1" s="185"/>
    </row>
    <row r="2" spans="1:255" ht="15.75">
      <c r="A2" s="9"/>
      <c r="B2" s="55" t="s">
        <v>76</v>
      </c>
      <c r="C2" s="9"/>
      <c r="D2" s="9"/>
      <c r="E2" s="9"/>
      <c r="F2" s="9"/>
      <c r="G2" s="9"/>
      <c r="H2" s="9"/>
      <c r="I2" s="9"/>
      <c r="J2" s="9"/>
      <c r="K2" s="9"/>
      <c r="L2" s="9"/>
      <c r="M2" s="9"/>
      <c r="N2" s="9"/>
      <c r="O2" s="9"/>
      <c r="P2" s="9"/>
      <c r="Q2" s="9"/>
      <c r="R2" s="9"/>
      <c r="S2" s="9"/>
      <c r="T2" s="9"/>
      <c r="U2" s="9"/>
      <c r="V2" s="9"/>
      <c r="W2" s="9"/>
      <c r="X2" s="9"/>
      <c r="Y2" s="9"/>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row>
    <row r="3" spans="1:255" s="1" customFormat="1">
      <c r="A3" s="56"/>
      <c r="B3" s="57"/>
      <c r="C3" s="56"/>
      <c r="D3" s="56"/>
      <c r="E3" s="56"/>
      <c r="F3" s="278">
        <v>0</v>
      </c>
      <c r="G3" s="457">
        <v>1</v>
      </c>
      <c r="H3" s="457">
        <f>G3+1</f>
        <v>2</v>
      </c>
      <c r="I3" s="457">
        <f t="shared" ref="I3:L3" si="0">H3+1</f>
        <v>3</v>
      </c>
      <c r="J3" s="457">
        <f t="shared" si="0"/>
        <v>4</v>
      </c>
      <c r="K3" s="457">
        <f t="shared" si="0"/>
        <v>5</v>
      </c>
      <c r="L3" s="457">
        <f t="shared" si="0"/>
        <v>6</v>
      </c>
      <c r="M3" s="56">
        <f>L3+1</f>
        <v>7</v>
      </c>
      <c r="N3" s="56">
        <f>M3+1</f>
        <v>8</v>
      </c>
      <c r="O3" s="56">
        <f>N3+1</f>
        <v>9</v>
      </c>
      <c r="P3" s="56">
        <f>O3+1</f>
        <v>10</v>
      </c>
      <c r="Q3" s="56">
        <f>P3+1</f>
        <v>11</v>
      </c>
      <c r="R3" s="15"/>
      <c r="S3" s="15"/>
      <c r="T3" s="15"/>
      <c r="U3" s="15"/>
      <c r="V3" s="15"/>
      <c r="W3" s="15"/>
      <c r="X3" s="15"/>
      <c r="Y3" s="15"/>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5"/>
      <c r="BJ3" s="205"/>
      <c r="BK3" s="205"/>
      <c r="BL3" s="205"/>
      <c r="BM3" s="205"/>
      <c r="BN3" s="205"/>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4" t="str">
        <f>Input!G41</f>
        <v>2008-09</v>
      </c>
      <c r="G4" s="144" t="str">
        <f>Input!H41</f>
        <v>2009-10</v>
      </c>
      <c r="H4" s="144" t="str">
        <f>Input!I41</f>
        <v>2010-11</v>
      </c>
      <c r="I4" s="144" t="str">
        <f>Input!J41</f>
        <v>2011-12</v>
      </c>
      <c r="J4" s="144" t="str">
        <f>Input!K41</f>
        <v>2012-13</v>
      </c>
      <c r="K4" s="144" t="str">
        <f>Input!L41</f>
        <v>2013-14</v>
      </c>
      <c r="L4" s="144" t="str">
        <f>Input!M41</f>
        <v>2014-15</v>
      </c>
      <c r="M4" s="144" t="str">
        <f>Input!N41</f>
        <v>2015-16</v>
      </c>
      <c r="N4" s="144" t="str">
        <f>Input!O41</f>
        <v>2016-17</v>
      </c>
      <c r="O4" s="144" t="str">
        <f>Input!P41</f>
        <v>2017-18</v>
      </c>
      <c r="P4" s="144" t="str">
        <f>Input!Q41</f>
        <v>2018-19</v>
      </c>
      <c r="Q4" s="144" t="str">
        <f>CONCATENATE(LEFT(P4, 4)+1 &amp;"-" &amp;IF(P4&gt;"2007-08",,"0") &amp;RIGHT(P4,2)+1)</f>
        <v>2019-20</v>
      </c>
      <c r="R4" s="144"/>
      <c r="S4" s="16"/>
      <c r="T4" s="16"/>
      <c r="U4" s="16"/>
      <c r="V4" s="16"/>
      <c r="W4" s="16"/>
      <c r="X4" s="16"/>
      <c r="Y4" s="1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185"/>
      <c r="BJ4" s="185"/>
      <c r="BK4" s="185"/>
      <c r="BL4" s="185"/>
      <c r="BM4" s="185"/>
      <c r="BN4" s="185"/>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5" customFormat="1">
      <c r="A5" s="72"/>
      <c r="B5" s="79" t="s">
        <v>68</v>
      </c>
      <c r="C5" s="72"/>
      <c r="D5" s="72"/>
      <c r="E5" s="72"/>
      <c r="F5" s="83"/>
      <c r="G5" s="83"/>
      <c r="H5" s="83"/>
      <c r="I5" s="83"/>
      <c r="J5" s="83"/>
      <c r="K5" s="83"/>
      <c r="L5" s="83"/>
      <c r="M5" s="83"/>
      <c r="N5" s="83"/>
      <c r="O5" s="83"/>
      <c r="P5" s="83"/>
      <c r="Q5" s="83"/>
      <c r="R5" s="83"/>
      <c r="S5" s="105"/>
      <c r="T5" s="105"/>
      <c r="U5" s="105"/>
      <c r="V5" s="105"/>
      <c r="W5" s="105"/>
      <c r="X5" s="105"/>
      <c r="Y5" s="105"/>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row>
    <row r="6" spans="1:255" s="185" customFormat="1">
      <c r="A6" s="11"/>
      <c r="B6" s="16"/>
      <c r="C6" s="11"/>
      <c r="D6" s="11"/>
      <c r="E6" s="11"/>
      <c r="F6" s="105"/>
      <c r="G6" s="105"/>
      <c r="H6" s="105"/>
      <c r="I6" s="105"/>
      <c r="J6" s="105"/>
      <c r="K6" s="105"/>
      <c r="L6" s="105"/>
      <c r="M6" s="105"/>
      <c r="N6" s="105"/>
      <c r="O6" s="105"/>
      <c r="P6" s="105"/>
      <c r="Q6" s="105"/>
      <c r="R6" s="105"/>
      <c r="S6" s="105"/>
      <c r="T6" s="105"/>
      <c r="U6" s="105"/>
      <c r="V6" s="105"/>
      <c r="W6" s="105"/>
      <c r="X6" s="105"/>
      <c r="Y6" s="105"/>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255" s="185" customFormat="1">
      <c r="A7" s="9"/>
      <c r="B7" s="44" t="s">
        <v>67</v>
      </c>
      <c r="C7" s="9"/>
      <c r="D7" s="9"/>
      <c r="E7" s="9"/>
      <c r="F7" s="198"/>
      <c r="G7" s="438">
        <f>SUM(G8:G37)</f>
        <v>4659.4054719824499</v>
      </c>
      <c r="H7" s="114">
        <f t="shared" ref="H7:L7" si="1">SUM(H8:H37)</f>
        <v>5485.1167716916707</v>
      </c>
      <c r="I7" s="114">
        <f t="shared" si="1"/>
        <v>6573.8273019669896</v>
      </c>
      <c r="J7" s="114">
        <f t="shared" si="1"/>
        <v>7709.267444966601</v>
      </c>
      <c r="K7" s="114">
        <f t="shared" si="1"/>
        <v>8487.6449646134442</v>
      </c>
      <c r="L7" s="114">
        <f t="shared" si="1"/>
        <v>8805.1803112018351</v>
      </c>
      <c r="M7" s="114">
        <f>SUM(M8:M27)</f>
        <v>0</v>
      </c>
      <c r="N7" s="114">
        <f>SUM(N8:N27)</f>
        <v>0</v>
      </c>
      <c r="O7" s="114">
        <f>SUM(O8:O27)</f>
        <v>0</v>
      </c>
      <c r="P7" s="114">
        <f>SUM(P8:P27)</f>
        <v>0</v>
      </c>
      <c r="Q7" s="114">
        <f>SUM(Q8:Q27)</f>
        <v>0</v>
      </c>
      <c r="R7" s="105"/>
      <c r="S7" s="105"/>
      <c r="T7" s="105"/>
      <c r="U7" s="105"/>
      <c r="V7" s="105"/>
      <c r="W7" s="105"/>
      <c r="X7" s="105"/>
      <c r="Y7" s="105"/>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row>
    <row r="8" spans="1:255" s="185" customFormat="1" ht="12.75" customHeight="1" outlineLevel="1">
      <c r="A8" s="9"/>
      <c r="B8" s="9"/>
      <c r="C8" s="128" t="str">
        <f>Asset1</f>
        <v>Sub-transmission lines and cables</v>
      </c>
      <c r="D8" s="9"/>
      <c r="E8" s="9"/>
      <c r="F8" s="191"/>
      <c r="G8" s="109">
        <f>A1taxvalue-F475+F40</f>
        <v>527.0841032026857</v>
      </c>
      <c r="H8" s="109">
        <f>G8+G40+G84</f>
        <v>615.20866482432177</v>
      </c>
      <c r="I8" s="109">
        <f>H8+H40+H84</f>
        <v>718.00877033645372</v>
      </c>
      <c r="J8" s="109">
        <f>I8+I40+I84</f>
        <v>826.19708345675008</v>
      </c>
      <c r="K8" s="109">
        <f>J8+J40+J84</f>
        <v>902.26932808319953</v>
      </c>
      <c r="L8" s="109">
        <f>K8+K40+K84</f>
        <v>934.37997282641049</v>
      </c>
      <c r="M8" s="109">
        <f>IF(Input!M$174&gt;0, L8+L40+L84, 0)</f>
        <v>0</v>
      </c>
      <c r="N8" s="109">
        <f>IF(Input!N$174&gt;0, M8+M40+M84, 0)</f>
        <v>0</v>
      </c>
      <c r="O8" s="109">
        <f>IF(Input!O$174&gt;0, N8+N40+N84, 0)</f>
        <v>0</v>
      </c>
      <c r="P8" s="109">
        <f>IF(Input!P$174&gt;0, O8+O40+O84, 0)</f>
        <v>0</v>
      </c>
      <c r="Q8" s="109">
        <f>IF(Input!Q$174&gt;0, P8+P40+P84, 0)</f>
        <v>0</v>
      </c>
      <c r="R8" s="105"/>
      <c r="S8" s="119"/>
      <c r="T8" s="105"/>
      <c r="U8" s="105"/>
      <c r="V8" s="105"/>
      <c r="W8" s="105"/>
      <c r="X8" s="105"/>
      <c r="Y8" s="105"/>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row>
    <row r="9" spans="1:255" s="185" customFormat="1" ht="12.75" customHeight="1" outlineLevel="1">
      <c r="A9" s="9"/>
      <c r="B9" s="44"/>
      <c r="C9" s="128" t="str">
        <f>Asset2</f>
        <v>Cable tunnel (dx)</v>
      </c>
      <c r="D9" s="9"/>
      <c r="E9" s="9"/>
      <c r="F9" s="191"/>
      <c r="G9" s="109">
        <f>A2taxvalue-F476+F41</f>
        <v>31.716960502499997</v>
      </c>
      <c r="H9" s="109">
        <f>G9+G41+G97</f>
        <v>31.942509984999994</v>
      </c>
      <c r="I9" s="109">
        <f>H9+H41+H97</f>
        <v>31.341601435499992</v>
      </c>
      <c r="J9" s="109">
        <f>I9+I41+I97</f>
        <v>30.536222901749994</v>
      </c>
      <c r="K9" s="109">
        <f>J9+J41+J97</f>
        <v>86.609682595249993</v>
      </c>
      <c r="L9" s="109">
        <f>K9+K41+K97</f>
        <v>128.85613054089143</v>
      </c>
      <c r="M9" s="109">
        <f>IF(Input!M$174&gt;0, L9+L41+L97, 0)</f>
        <v>0</v>
      </c>
      <c r="N9" s="109">
        <f>IF(Input!N$174&gt;0, M9+M41+M97, 0)</f>
        <v>0</v>
      </c>
      <c r="O9" s="109">
        <f>IF(Input!O$174&gt;0, N9+N41+N97, 0)</f>
        <v>0</v>
      </c>
      <c r="P9" s="109">
        <f>IF(Input!P$174&gt;0, O9+O41+O97, 0)</f>
        <v>0</v>
      </c>
      <c r="Q9" s="109">
        <f>IF(Input!Q$174&gt;0, P9+P41+P97, 0)</f>
        <v>0</v>
      </c>
      <c r="R9" s="105"/>
      <c r="S9" s="119"/>
      <c r="T9" s="105"/>
      <c r="U9" s="105"/>
      <c r="V9" s="105"/>
      <c r="W9" s="105"/>
      <c r="X9" s="105"/>
      <c r="Y9" s="105"/>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55" s="185" customFormat="1" ht="12.75" customHeight="1" outlineLevel="1">
      <c r="A10" s="9"/>
      <c r="B10" s="44"/>
      <c r="C10" s="128" t="str">
        <f>Asset3</f>
        <v>Distribution lines and cables</v>
      </c>
      <c r="D10" s="9"/>
      <c r="E10" s="9"/>
      <c r="F10" s="191"/>
      <c r="G10" s="109">
        <f>A3taxvalue-F477+F42</f>
        <v>821.67118720057306</v>
      </c>
      <c r="H10" s="109">
        <f>G10+G42+G110</f>
        <v>935.82412204745219</v>
      </c>
      <c r="I10" s="109">
        <f>H10+H42+H110</f>
        <v>1200.0306289936013</v>
      </c>
      <c r="J10" s="109">
        <f>I10+I42+I110</f>
        <v>1476.2280946531546</v>
      </c>
      <c r="K10" s="109">
        <f>J10+J42+J110</f>
        <v>1714.8380989588536</v>
      </c>
      <c r="L10" s="109">
        <f>K10+K42+K110</f>
        <v>1867.02702410344</v>
      </c>
      <c r="M10" s="109">
        <f>IF(Input!M$174&gt;0, L10+L42+L110, 0)</f>
        <v>0</v>
      </c>
      <c r="N10" s="109">
        <f>IF(Input!N$174&gt;0, M10+M42+M110, 0)</f>
        <v>0</v>
      </c>
      <c r="O10" s="109">
        <f>IF(Input!O$174&gt;0, N10+N42+N110, 0)</f>
        <v>0</v>
      </c>
      <c r="P10" s="109">
        <f>IF(Input!P$174&gt;0, O10+O42+O110, 0)</f>
        <v>0</v>
      </c>
      <c r="Q10" s="109">
        <f>IF(Input!Q$174&gt;0, P10+P42+P110, 0)</f>
        <v>0</v>
      </c>
      <c r="R10" s="105"/>
      <c r="S10" s="119"/>
      <c r="T10" s="105"/>
      <c r="U10" s="105"/>
      <c r="V10" s="105"/>
      <c r="W10" s="105"/>
      <c r="X10" s="105"/>
      <c r="Y10" s="105"/>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55" s="185" customFormat="1" ht="12.75" customHeight="1" outlineLevel="1">
      <c r="A11" s="9"/>
      <c r="B11" s="44"/>
      <c r="C11" s="128" t="str">
        <f>Asset4</f>
        <v>Substations</v>
      </c>
      <c r="D11" s="9"/>
      <c r="E11" s="9"/>
      <c r="F11" s="191"/>
      <c r="G11" s="109">
        <f>A4taxvalue-F478+F43</f>
        <v>1393.8978414677931</v>
      </c>
      <c r="H11" s="109">
        <f>G11+G43+G123</f>
        <v>1624.4837781970612</v>
      </c>
      <c r="I11" s="109">
        <f>H11+H43+H123</f>
        <v>1908.7115294668949</v>
      </c>
      <c r="J11" s="109">
        <f>I11+I43+I123</f>
        <v>2265.4895504243154</v>
      </c>
      <c r="K11" s="109">
        <f>J11+J43+J123</f>
        <v>2472.5415948674408</v>
      </c>
      <c r="L11" s="109">
        <f>K11+K43+K123</f>
        <v>2568.6717638234641</v>
      </c>
      <c r="M11" s="109">
        <f>IF(Input!M$174&gt;0, L11+L43+L123, 0)</f>
        <v>0</v>
      </c>
      <c r="N11" s="109">
        <f>IF(Input!N$174&gt;0, M11+M43+M123, 0)</f>
        <v>0</v>
      </c>
      <c r="O11" s="109">
        <f>IF(Input!O$174&gt;0, N11+N43+N123, 0)</f>
        <v>0</v>
      </c>
      <c r="P11" s="109">
        <f>IF(Input!P$174&gt;0, O11+O43+O123, 0)</f>
        <v>0</v>
      </c>
      <c r="Q11" s="109">
        <f>IF(Input!Q$174&gt;0, P11+P43+P123, 0)</f>
        <v>0</v>
      </c>
      <c r="R11" s="105"/>
      <c r="S11" s="119"/>
      <c r="T11" s="105"/>
      <c r="U11" s="105"/>
      <c r="V11" s="105"/>
      <c r="W11" s="105"/>
      <c r="X11" s="105"/>
      <c r="Y11" s="105"/>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row>
    <row r="12" spans="1:255" s="185" customFormat="1" ht="12.75" customHeight="1" outlineLevel="1">
      <c r="A12" s="9"/>
      <c r="B12" s="44"/>
      <c r="C12" s="128" t="str">
        <f>Asset5</f>
        <v>Transformers</v>
      </c>
      <c r="D12" s="9"/>
      <c r="E12" s="9"/>
      <c r="F12" s="191"/>
      <c r="G12" s="109">
        <f>A5taxvalue-F479+F44</f>
        <v>277.19961157291311</v>
      </c>
      <c r="H12" s="109">
        <f>G12+G44+G136</f>
        <v>310.27819066352794</v>
      </c>
      <c r="I12" s="109">
        <f>H12+H44+H136</f>
        <v>377.19946941431965</v>
      </c>
      <c r="J12" s="109">
        <f>I12+I44+I136</f>
        <v>417.47094049916888</v>
      </c>
      <c r="K12" s="109">
        <f>J12+J44+J136</f>
        <v>445.08156326526091</v>
      </c>
      <c r="L12" s="109">
        <f>K12+K44+K136</f>
        <v>463.21478969842332</v>
      </c>
      <c r="M12" s="109">
        <f>IF(Input!M$174&gt;0, L12+L44+L136, 0)</f>
        <v>0</v>
      </c>
      <c r="N12" s="109">
        <f>IF(Input!N$174&gt;0, M12+M44+M136, 0)</f>
        <v>0</v>
      </c>
      <c r="O12" s="109">
        <f>IF(Input!O$174&gt;0, N12+N44+N136, 0)</f>
        <v>0</v>
      </c>
      <c r="P12" s="109">
        <f>IF(Input!P$174&gt;0, O12+O44+O136, 0)</f>
        <v>0</v>
      </c>
      <c r="Q12" s="109">
        <f>IF(Input!Q$174&gt;0, P12+P44+P136, 0)</f>
        <v>0</v>
      </c>
      <c r="R12" s="105"/>
      <c r="S12" s="119"/>
      <c r="T12" s="105"/>
      <c r="U12" s="105"/>
      <c r="V12" s="105"/>
      <c r="W12" s="105"/>
      <c r="X12" s="105"/>
      <c r="Y12" s="105"/>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row>
    <row r="13" spans="1:255" s="185" customFormat="1" ht="12.75" customHeight="1" outlineLevel="1">
      <c r="A13" s="9"/>
      <c r="B13" s="44"/>
      <c r="C13" s="128" t="str">
        <f>Asset6</f>
        <v>Low Voltage Lines and Cables</v>
      </c>
      <c r="D13" s="9"/>
      <c r="E13" s="9"/>
      <c r="F13" s="191"/>
      <c r="G13" s="109">
        <f>A6taxvalue-F480+F45</f>
        <v>548.10804469000345</v>
      </c>
      <c r="H13" s="109">
        <f>G13+G45+G149</f>
        <v>666.6679923523028</v>
      </c>
      <c r="I13" s="109">
        <f>H13+H45+H149</f>
        <v>826.16333186390239</v>
      </c>
      <c r="J13" s="109">
        <f>I13+I45+I149</f>
        <v>1020.4824240324975</v>
      </c>
      <c r="K13" s="109">
        <f>J13+J45+J149</f>
        <v>1169.0556250777433</v>
      </c>
      <c r="L13" s="109">
        <f>K13+K45+K149</f>
        <v>1294.2362362398121</v>
      </c>
      <c r="M13" s="109">
        <f>IF(Input!M$174&gt;0, L13+L45+L149, 0)</f>
        <v>0</v>
      </c>
      <c r="N13" s="109">
        <f>IF(Input!N$174&gt;0, M13+M45+M149, 0)</f>
        <v>0</v>
      </c>
      <c r="O13" s="109">
        <f>IF(Input!O$174&gt;0, N13+N45+N149, 0)</f>
        <v>0</v>
      </c>
      <c r="P13" s="109">
        <f>IF(Input!P$174&gt;0, O13+O45+O149, 0)</f>
        <v>0</v>
      </c>
      <c r="Q13" s="109">
        <f>IF(Input!Q$174&gt;0, P13+P45+P149, 0)</f>
        <v>0</v>
      </c>
      <c r="R13" s="105"/>
      <c r="S13" s="119"/>
      <c r="T13" s="105"/>
      <c r="U13" s="105"/>
      <c r="V13" s="105"/>
      <c r="W13" s="105"/>
      <c r="X13" s="105"/>
      <c r="Y13" s="105"/>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255" s="185" customFormat="1" ht="12.75" customHeight="1" outlineLevel="1">
      <c r="A14" s="9"/>
      <c r="B14" s="44"/>
      <c r="C14" s="128" t="str">
        <f>Asset7</f>
        <v>Customer Metering and Load Control</v>
      </c>
      <c r="D14" s="9"/>
      <c r="E14" s="9"/>
      <c r="F14" s="191"/>
      <c r="G14" s="109">
        <f>A7taxvalue-F481+F46</f>
        <v>184.49259776120002</v>
      </c>
      <c r="H14" s="109">
        <f>G14+G46+G162</f>
        <v>177.02396538760001</v>
      </c>
      <c r="I14" s="109">
        <f>H14+H46+H162</f>
        <v>169.7083678692</v>
      </c>
      <c r="J14" s="109">
        <f>I14+I46+I162</f>
        <v>162.73197610080001</v>
      </c>
      <c r="K14" s="109">
        <f>J14+J46+J162</f>
        <v>156.06270167240001</v>
      </c>
      <c r="L14" s="109">
        <f>K14+K46+K162</f>
        <v>149.697364034</v>
      </c>
      <c r="M14" s="109">
        <f>IF(Input!M$174&gt;0, L14+L46+L162, 0)</f>
        <v>0</v>
      </c>
      <c r="N14" s="109">
        <f>IF(Input!N$174&gt;0, M14+M46+M162, 0)</f>
        <v>0</v>
      </c>
      <c r="O14" s="109">
        <f>IF(Input!O$174&gt;0, N14+N46+N162, 0)</f>
        <v>0</v>
      </c>
      <c r="P14" s="109">
        <f>IF(Input!P$174&gt;0, O14+O46+O162, 0)</f>
        <v>0</v>
      </c>
      <c r="Q14" s="109">
        <f>IF(Input!Q$174&gt;0, P14+P46+P162, 0)</f>
        <v>0</v>
      </c>
      <c r="R14" s="105"/>
      <c r="S14" s="119"/>
      <c r="T14" s="105"/>
      <c r="U14" s="105"/>
      <c r="V14" s="105"/>
      <c r="W14" s="105"/>
      <c r="X14" s="105"/>
      <c r="Y14" s="105"/>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row>
    <row r="15" spans="1:255" s="185" customFormat="1" ht="12.75" customHeight="1" outlineLevel="1">
      <c r="A15" s="9"/>
      <c r="B15" s="44"/>
      <c r="C15" s="128" t="str">
        <f>Asset8</f>
        <v>Customer Metering (digital)</v>
      </c>
      <c r="D15" s="9"/>
      <c r="E15" s="9"/>
      <c r="F15" s="191"/>
      <c r="G15" s="109">
        <f>A8taxvalue-F482+F47</f>
        <v>0</v>
      </c>
      <c r="H15" s="109">
        <f>G15+G47+G175</f>
        <v>22.539909299999998</v>
      </c>
      <c r="I15" s="109">
        <f>H15+H47+H175</f>
        <v>50.91155517</v>
      </c>
      <c r="J15" s="109">
        <f>I15+I47+I175</f>
        <v>71.599876257333321</v>
      </c>
      <c r="K15" s="109">
        <f>J15+J47+J175</f>
        <v>85.291308328666673</v>
      </c>
      <c r="L15" s="109">
        <f>K15+K47+K175</f>
        <v>96.565858490349655</v>
      </c>
      <c r="M15" s="109">
        <f>IF(Input!M$174&gt;0, L15+L47+L175, 0)</f>
        <v>0</v>
      </c>
      <c r="N15" s="109">
        <f>IF(Input!N$174&gt;0, M15+M47+M175, 0)</f>
        <v>0</v>
      </c>
      <c r="O15" s="109">
        <f>IF(Input!O$174&gt;0, N15+N47+N175, 0)</f>
        <v>0</v>
      </c>
      <c r="P15" s="109">
        <f>IF(Input!P$174&gt;0, O15+O47+O175, 0)</f>
        <v>0</v>
      </c>
      <c r="Q15" s="109">
        <f>IF(Input!Q$174&gt;0, P15+P47+P175, 0)</f>
        <v>0</v>
      </c>
      <c r="R15" s="105"/>
      <c r="S15" s="119"/>
      <c r="T15" s="105"/>
      <c r="U15" s="105"/>
      <c r="V15" s="105"/>
      <c r="W15" s="105"/>
      <c r="X15" s="105"/>
      <c r="Y15" s="105"/>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row>
    <row r="16" spans="1:255" s="185" customFormat="1" ht="12.75" customHeight="1" outlineLevel="1">
      <c r="A16" s="9"/>
      <c r="B16" s="44"/>
      <c r="C16" s="128" t="str">
        <f>Asset9</f>
        <v>Communications (digital) - dx</v>
      </c>
      <c r="D16" s="9"/>
      <c r="E16" s="9"/>
      <c r="F16" s="191"/>
      <c r="G16" s="109">
        <f>A9taxvalue-F483+F48</f>
        <v>0</v>
      </c>
      <c r="H16" s="109">
        <f>G16+G48+G188</f>
        <v>21.705821874249995</v>
      </c>
      <c r="I16" s="109">
        <f>H16+H48+H188</f>
        <v>20.695474646824998</v>
      </c>
      <c r="J16" s="109">
        <f>I16+I48+I188</f>
        <v>19.4482725254</v>
      </c>
      <c r="K16" s="109">
        <f>J16+J48+J188</f>
        <v>18.226727435775</v>
      </c>
      <c r="L16" s="109">
        <f>K16+K48+K188</f>
        <v>17.004905441150001</v>
      </c>
      <c r="M16" s="109">
        <f>IF(Input!M$174&gt;0, L16+L48+L188, 0)</f>
        <v>0</v>
      </c>
      <c r="N16" s="109">
        <f>IF(Input!N$174&gt;0, M16+M48+M188, 0)</f>
        <v>0</v>
      </c>
      <c r="O16" s="109">
        <f>IF(Input!O$174&gt;0, N16+N48+N188, 0)</f>
        <v>0</v>
      </c>
      <c r="P16" s="109">
        <f>IF(Input!P$174&gt;0, O16+O48+O188, 0)</f>
        <v>0</v>
      </c>
      <c r="Q16" s="109">
        <f>IF(Input!Q$174&gt;0, P16+P48+P188, 0)</f>
        <v>0</v>
      </c>
      <c r="R16" s="105"/>
      <c r="S16" s="119"/>
      <c r="T16" s="105"/>
      <c r="U16" s="105"/>
      <c r="V16" s="105"/>
      <c r="W16" s="105"/>
      <c r="X16" s="105"/>
      <c r="Y16" s="105"/>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row>
    <row r="17" spans="1:60" s="185" customFormat="1" ht="12.75" customHeight="1" outlineLevel="1">
      <c r="A17" s="9"/>
      <c r="B17" s="44"/>
      <c r="C17" s="128" t="str">
        <f>Asset10</f>
        <v>Total Communications</v>
      </c>
      <c r="D17" s="9"/>
      <c r="E17" s="9"/>
      <c r="F17" s="191"/>
      <c r="G17" s="109">
        <f>A10taxvalue-F484+F49</f>
        <v>83.856379530131335</v>
      </c>
      <c r="H17" s="109">
        <f>G17+G49+G201</f>
        <v>69.475136883442403</v>
      </c>
      <c r="I17" s="109">
        <f>H17+H49+H201</f>
        <v>55.875682158066986</v>
      </c>
      <c r="J17" s="109">
        <f>I17+I49+I201</f>
        <v>44.692349045731568</v>
      </c>
      <c r="K17" s="109">
        <f>J17+J49+J201</f>
        <v>36.210948346316144</v>
      </c>
      <c r="L17" s="109">
        <f>K17+K49+K201</f>
        <v>30.497520606900721</v>
      </c>
      <c r="M17" s="109">
        <f>IF(Input!M$174&gt;0, L17+L49+L201, 0)</f>
        <v>0</v>
      </c>
      <c r="N17" s="109">
        <f>IF(Input!N$174&gt;0, M17+M49+M201, 0)</f>
        <v>0</v>
      </c>
      <c r="O17" s="109">
        <f>IF(Input!O$174&gt;0, N17+N49+N201, 0)</f>
        <v>0</v>
      </c>
      <c r="P17" s="109">
        <f>IF(Input!P$174&gt;0, O17+O49+O201, 0)</f>
        <v>0</v>
      </c>
      <c r="Q17" s="109">
        <f>IF(Input!Q$174&gt;0, P17+P49+P201, 0)</f>
        <v>0</v>
      </c>
      <c r="R17" s="105"/>
      <c r="S17" s="119"/>
      <c r="T17" s="105"/>
      <c r="U17" s="105"/>
      <c r="V17" s="105"/>
      <c r="W17" s="105"/>
      <c r="X17" s="105"/>
      <c r="Y17" s="105"/>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row>
    <row r="18" spans="1:60" s="185" customFormat="1" ht="12.75" customHeight="1" outlineLevel="1">
      <c r="A18" s="9"/>
      <c r="B18" s="44"/>
      <c r="C18" s="128" t="str">
        <f>Asset11</f>
        <v>System IT (dx)</v>
      </c>
      <c r="D18" s="9"/>
      <c r="E18" s="9"/>
      <c r="F18" s="191"/>
      <c r="G18" s="109">
        <f>A11taxvalue-F485+F50</f>
        <v>0</v>
      </c>
      <c r="H18" s="109">
        <f>G18+G50+G214</f>
        <v>28.899759730695003</v>
      </c>
      <c r="I18" s="109">
        <f>H18+H50+H214</f>
        <v>129.03919838728501</v>
      </c>
      <c r="J18" s="109">
        <f>I18+I50+I214</f>
        <v>227.20188510608932</v>
      </c>
      <c r="K18" s="109">
        <f>J18+J50+J214</f>
        <v>248.35457866077931</v>
      </c>
      <c r="L18" s="109">
        <f>K18+K50+K214</f>
        <v>214.34132411381216</v>
      </c>
      <c r="M18" s="109">
        <f>IF(Input!M$174&gt;0, L18+L50+L214, 0)</f>
        <v>0</v>
      </c>
      <c r="N18" s="109">
        <f>IF(Input!N$174&gt;0, M18+M50+M214, 0)</f>
        <v>0</v>
      </c>
      <c r="O18" s="109">
        <f>IF(Input!O$174&gt;0, N18+N50+N214, 0)</f>
        <v>0</v>
      </c>
      <c r="P18" s="109">
        <f>IF(Input!P$174&gt;0, O18+O50+O214, 0)</f>
        <v>0</v>
      </c>
      <c r="Q18" s="109">
        <f>IF(Input!Q$174&gt;0, P18+P50+P214, 0)</f>
        <v>0</v>
      </c>
      <c r="R18" s="105"/>
      <c r="S18" s="119"/>
      <c r="T18" s="105"/>
      <c r="U18" s="105"/>
      <c r="V18" s="105"/>
      <c r="W18" s="105"/>
      <c r="X18" s="105"/>
      <c r="Y18" s="105"/>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s="185" customFormat="1" ht="12.75" customHeight="1" outlineLevel="1">
      <c r="A19" s="9"/>
      <c r="B19" s="44"/>
      <c r="C19" s="128" t="str">
        <f>Asset12</f>
        <v>Ancillary substation equipment (dx)</v>
      </c>
      <c r="D19" s="9"/>
      <c r="E19" s="9"/>
      <c r="F19" s="191"/>
      <c r="G19" s="109">
        <f>A12taxvalue-F486+F51</f>
        <v>0</v>
      </c>
      <c r="H19" s="109">
        <f>G19+G51+G227</f>
        <v>26.98692426381</v>
      </c>
      <c r="I19" s="109">
        <f>H19+H51+H227</f>
        <v>32.164556886031001</v>
      </c>
      <c r="J19" s="109">
        <f>I19+I51+I227</f>
        <v>44.399471972116999</v>
      </c>
      <c r="K19" s="109">
        <f>J19+J51+J227</f>
        <v>49.993451189691008</v>
      </c>
      <c r="L19" s="109">
        <f>K19+K51+K227</f>
        <v>51.410485750058932</v>
      </c>
      <c r="M19" s="109">
        <f>IF(Input!M$174&gt;0, L19+L51+L227, 0)</f>
        <v>0</v>
      </c>
      <c r="N19" s="109">
        <f>IF(Input!N$174&gt;0, M19+M51+M227, 0)</f>
        <v>0</v>
      </c>
      <c r="O19" s="109">
        <f>IF(Input!O$174&gt;0, N19+N51+N227, 0)</f>
        <v>0</v>
      </c>
      <c r="P19" s="109">
        <f>IF(Input!P$174&gt;0, O19+O51+O227, 0)</f>
        <v>0</v>
      </c>
      <c r="Q19" s="109">
        <f>IF(Input!Q$174&gt;0, P19+P51+P227, 0)</f>
        <v>0</v>
      </c>
      <c r="R19" s="105"/>
      <c r="S19" s="119"/>
      <c r="T19" s="105"/>
      <c r="U19" s="105"/>
      <c r="V19" s="105"/>
      <c r="W19" s="105"/>
      <c r="X19" s="105"/>
      <c r="Y19" s="105"/>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row>
    <row r="20" spans="1:60" s="185" customFormat="1" ht="12.75" customHeight="1" outlineLevel="1">
      <c r="A20" s="9"/>
      <c r="B20" s="44"/>
      <c r="C20" s="128" t="str">
        <f>Asset13</f>
        <v>Land and Easements</v>
      </c>
      <c r="D20" s="9"/>
      <c r="E20" s="9"/>
      <c r="F20" s="191"/>
      <c r="G20" s="109">
        <f>A13taxvalue-F487+F52</f>
        <v>338.81781295772134</v>
      </c>
      <c r="H20" s="109">
        <f>G20+G52+G240</f>
        <v>371.86040248772133</v>
      </c>
      <c r="I20" s="109">
        <f>H20+H52+H240</f>
        <v>388.30235654772133</v>
      </c>
      <c r="J20" s="109">
        <f>I20+I52+I240</f>
        <v>403.52539936772132</v>
      </c>
      <c r="K20" s="109">
        <f>J20+J52+J240</f>
        <v>413.17948154492132</v>
      </c>
      <c r="L20" s="109">
        <f>K20+K52+K240</f>
        <v>420.48625605611659</v>
      </c>
      <c r="M20" s="109">
        <f>IF(Input!M$174&gt;0, L20+L52+L240, 0)</f>
        <v>0</v>
      </c>
      <c r="N20" s="109">
        <f>IF(Input!N$174&gt;0, M20+M52+M240, 0)</f>
        <v>0</v>
      </c>
      <c r="O20" s="109">
        <f>IF(Input!O$174&gt;0, N20+N52+N240, 0)</f>
        <v>0</v>
      </c>
      <c r="P20" s="109">
        <f>IF(Input!P$174&gt;0, O20+O52+O240, 0)</f>
        <v>0</v>
      </c>
      <c r="Q20" s="109">
        <f>IF(Input!Q$174&gt;0, P20+P52+P240, 0)</f>
        <v>0</v>
      </c>
      <c r="R20" s="105"/>
      <c r="S20" s="105"/>
      <c r="T20" s="105"/>
      <c r="U20" s="105"/>
      <c r="V20" s="105"/>
      <c r="W20" s="105"/>
      <c r="X20" s="105"/>
      <c r="Y20" s="105"/>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row>
    <row r="21" spans="1:60" s="185" customFormat="1" ht="12.75" customHeight="1" outlineLevel="1">
      <c r="A21" s="9"/>
      <c r="B21" s="44"/>
      <c r="C21" s="128" t="str">
        <f>Asset14</f>
        <v>Emergency Spares (Major Plant, Excludes Inventory)</v>
      </c>
      <c r="D21" s="9"/>
      <c r="E21" s="9"/>
      <c r="F21" s="191"/>
      <c r="G21" s="109">
        <f>A14taxvalue-F488+F53</f>
        <v>0</v>
      </c>
      <c r="H21" s="109">
        <f>G21+G53+G253</f>
        <v>0</v>
      </c>
      <c r="I21" s="109">
        <f>H21+H53+H253</f>
        <v>0</v>
      </c>
      <c r="J21" s="109">
        <f>I21+I53+I253</f>
        <v>0</v>
      </c>
      <c r="K21" s="109">
        <f>J21+J53+J253</f>
        <v>0</v>
      </c>
      <c r="L21" s="109">
        <f>K21+K53+K253</f>
        <v>0</v>
      </c>
      <c r="M21" s="109">
        <f>IF(Input!M$174&gt;0, L21+L53+L253, 0)</f>
        <v>0</v>
      </c>
      <c r="N21" s="109">
        <f>IF(Input!N$174&gt;0, M21+M53+M253, 0)</f>
        <v>0</v>
      </c>
      <c r="O21" s="109">
        <f>IF(Input!O$174&gt;0, N21+N53+N253, 0)</f>
        <v>0</v>
      </c>
      <c r="P21" s="109">
        <f>IF(Input!P$174&gt;0, O21+O53+O253, 0)</f>
        <v>0</v>
      </c>
      <c r="Q21" s="109">
        <f>IF(Input!Q$174&gt;0, P21+P53+P253, 0)</f>
        <v>0</v>
      </c>
      <c r="R21" s="105"/>
      <c r="S21" s="105"/>
      <c r="T21" s="105"/>
      <c r="U21" s="105"/>
      <c r="V21" s="105"/>
      <c r="W21" s="105"/>
      <c r="X21" s="105"/>
      <c r="Y21" s="105"/>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row>
    <row r="22" spans="1:60" s="185" customFormat="1" ht="12.75" customHeight="1" outlineLevel="1">
      <c r="A22" s="9"/>
      <c r="B22" s="44"/>
      <c r="C22" s="128" t="str">
        <f>Asset15</f>
        <v>Furniture, fittings, plant and equipment</v>
      </c>
      <c r="D22" s="9"/>
      <c r="E22" s="9"/>
      <c r="F22" s="191"/>
      <c r="G22" s="109">
        <f>A15taxvalue-F489+F54</f>
        <v>21.811086014270931</v>
      </c>
      <c r="H22" s="109">
        <f>G22+G54+G266</f>
        <v>25.920896046881872</v>
      </c>
      <c r="I22" s="109">
        <f>H22+H54+H266</f>
        <v>29.018548173557239</v>
      </c>
      <c r="J22" s="109">
        <f>I22+I54+I266</f>
        <v>31.75969702421569</v>
      </c>
      <c r="K22" s="109">
        <f>J22+J54+J266</f>
        <v>31.529719333636258</v>
      </c>
      <c r="L22" s="109">
        <f>K22+K54+K266</f>
        <v>30.731741131043918</v>
      </c>
      <c r="M22" s="109">
        <f>IF(Input!M$174&gt;0, L22+L54+L266, 0)</f>
        <v>0</v>
      </c>
      <c r="N22" s="109">
        <f>IF(Input!N$174&gt;0, M22+M54+M266, 0)</f>
        <v>0</v>
      </c>
      <c r="O22" s="109">
        <f>IF(Input!O$174&gt;0, N22+N54+N266, 0)</f>
        <v>0</v>
      </c>
      <c r="P22" s="109">
        <f>IF(Input!P$174&gt;0, O22+O54+O266, 0)</f>
        <v>0</v>
      </c>
      <c r="Q22" s="109">
        <f>IF(Input!Q$174&gt;0, P22+P54+P266, 0)</f>
        <v>0</v>
      </c>
      <c r="R22" s="105"/>
      <c r="S22" s="119"/>
      <c r="T22" s="105"/>
      <c r="U22" s="105"/>
      <c r="V22" s="105"/>
      <c r="W22" s="105"/>
      <c r="X22" s="105"/>
      <c r="Y22" s="105"/>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row>
    <row r="23" spans="1:60" s="185" customFormat="1" ht="12.75" customHeight="1" outlineLevel="1">
      <c r="A23" s="9"/>
      <c r="B23" s="44"/>
      <c r="C23" s="128" t="str">
        <f>Asset16</f>
        <v>Land (non-system)</v>
      </c>
      <c r="D23" s="9"/>
      <c r="E23" s="9"/>
      <c r="F23" s="191"/>
      <c r="G23" s="109">
        <f>A16taxvalue-F490+F55</f>
        <v>77.03502862546685</v>
      </c>
      <c r="H23" s="109">
        <f>G23+G55+G279</f>
        <v>95.661530125466854</v>
      </c>
      <c r="I23" s="109">
        <f>H23+H55+H279</f>
        <v>101.84786712546685</v>
      </c>
      <c r="J23" s="109">
        <f>I23+I55+I279</f>
        <v>109.78745896968489</v>
      </c>
      <c r="K23" s="109">
        <f>J23+J55+J279</f>
        <v>109.67647174767488</v>
      </c>
      <c r="L23" s="109">
        <f>K23+K55+K279</f>
        <v>55.619465611794794</v>
      </c>
      <c r="M23" s="109">
        <f>IF(Input!M$174&gt;0, L23+L55+L279, 0)</f>
        <v>0</v>
      </c>
      <c r="N23" s="109">
        <f>IF(Input!N$174&gt;0, M23+M55+M279, 0)</f>
        <v>0</v>
      </c>
      <c r="O23" s="109">
        <f>IF(Input!O$174&gt;0, N23+N55+N279, 0)</f>
        <v>0</v>
      </c>
      <c r="P23" s="109">
        <f>IF(Input!P$174&gt;0, O23+O55+O279, 0)</f>
        <v>0</v>
      </c>
      <c r="Q23" s="109">
        <f>IF(Input!Q$174&gt;0, P23+P55+P279, 0)</f>
        <v>0</v>
      </c>
      <c r="R23" s="105"/>
      <c r="S23" s="105"/>
      <c r="T23" s="105"/>
      <c r="U23" s="105"/>
      <c r="V23" s="105"/>
      <c r="W23" s="105"/>
      <c r="X23" s="105"/>
      <c r="Y23" s="105"/>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row>
    <row r="24" spans="1:60" s="185" customFormat="1" ht="12.75" customHeight="1" outlineLevel="1">
      <c r="A24" s="9"/>
      <c r="B24" s="44"/>
      <c r="C24" s="128" t="str">
        <f>Asset17</f>
        <v>Other non system assets</v>
      </c>
      <c r="D24" s="9"/>
      <c r="E24" s="9"/>
      <c r="F24" s="191"/>
      <c r="G24" s="109">
        <f>A17taxvalue-F491+F56</f>
        <v>2.4158400813501419</v>
      </c>
      <c r="H24" s="109">
        <f>G24+G56+G292</f>
        <v>2.418914474645232</v>
      </c>
      <c r="I24" s="109">
        <f>H24+H56+H292</f>
        <v>2.1390428428710377</v>
      </c>
      <c r="J24" s="109">
        <f>I24+I56+I292</f>
        <v>2.8585384418111639</v>
      </c>
      <c r="K24" s="109">
        <f>J24+J56+J292</f>
        <v>2.5999244442154898</v>
      </c>
      <c r="L24" s="109">
        <f>K24+K56+K292</f>
        <v>2.6858049450676882</v>
      </c>
      <c r="M24" s="109">
        <f>IF(Input!M$174&gt;0, L24+L56+L292, 0)</f>
        <v>0</v>
      </c>
      <c r="N24" s="109">
        <f>IF(Input!N$174&gt;0, M24+M56+M292, 0)</f>
        <v>0</v>
      </c>
      <c r="O24" s="109">
        <f>IF(Input!O$174&gt;0, N24+N56+N292, 0)</f>
        <v>0</v>
      </c>
      <c r="P24" s="109">
        <f>IF(Input!P$174&gt;0, O24+O56+O292, 0)</f>
        <v>0</v>
      </c>
      <c r="Q24" s="109">
        <f>IF(Input!Q$174&gt;0, P24+P56+P292, 0)</f>
        <v>0</v>
      </c>
      <c r="R24" s="105"/>
      <c r="S24" s="119"/>
      <c r="T24" s="105"/>
      <c r="U24" s="105"/>
      <c r="V24" s="105"/>
      <c r="W24" s="105"/>
      <c r="X24" s="105"/>
      <c r="Y24" s="105"/>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row>
    <row r="25" spans="1:60" s="185" customFormat="1" ht="12.75" customHeight="1" outlineLevel="1">
      <c r="A25" s="9"/>
      <c r="B25" s="44"/>
      <c r="C25" s="128" t="str">
        <f>Asset18</f>
        <v>IT systems</v>
      </c>
      <c r="D25" s="9"/>
      <c r="E25" s="9"/>
      <c r="F25" s="191"/>
      <c r="G25" s="109">
        <f>A18taxvalue-F492+F57</f>
        <v>136.26965741312142</v>
      </c>
      <c r="H25" s="109">
        <f>G25+G57+G305</f>
        <v>147.81614511591749</v>
      </c>
      <c r="I25" s="109">
        <f>H25+H57+H305</f>
        <v>156.51120064208231</v>
      </c>
      <c r="J25" s="109">
        <f>I25+I57+I305</f>
        <v>140.99854347547688</v>
      </c>
      <c r="K25" s="109">
        <f>J25+J57+J305</f>
        <v>121.52228090953635</v>
      </c>
      <c r="L25" s="109">
        <f>K25+K57+K305</f>
        <v>102.61667223223097</v>
      </c>
      <c r="M25" s="109">
        <f>IF(Input!M$174&gt;0, L25+L57+L305, 0)</f>
        <v>0</v>
      </c>
      <c r="N25" s="109">
        <f>IF(Input!N$174&gt;0, M25+M57+M305, 0)</f>
        <v>0</v>
      </c>
      <c r="O25" s="109">
        <f>IF(Input!O$174&gt;0, N25+N57+N305, 0)</f>
        <v>0</v>
      </c>
      <c r="P25" s="109">
        <f>IF(Input!P$174&gt;0, O25+O57+O305, 0)</f>
        <v>0</v>
      </c>
      <c r="Q25" s="109">
        <f>IF(Input!Q$174&gt;0, P25+P57+P305, 0)</f>
        <v>0</v>
      </c>
      <c r="R25" s="105"/>
      <c r="S25" s="119"/>
      <c r="T25" s="105"/>
      <c r="U25" s="105"/>
      <c r="V25" s="105"/>
      <c r="W25" s="105"/>
      <c r="X25" s="105"/>
      <c r="Y25" s="105"/>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row>
    <row r="26" spans="1:60" s="185" customFormat="1" ht="12.75" customHeight="1" outlineLevel="1">
      <c r="A26" s="9"/>
      <c r="B26" s="44"/>
      <c r="C26" s="128" t="str">
        <f>Asset19</f>
        <v>Motor vehicles</v>
      </c>
      <c r="D26" s="9"/>
      <c r="E26" s="9"/>
      <c r="F26" s="191"/>
      <c r="G26" s="109">
        <f>A19taxvalue-F493+F58</f>
        <v>74.771991028294082</v>
      </c>
      <c r="H26" s="109">
        <f>G26+G58+G318</f>
        <v>87.607517567613158</v>
      </c>
      <c r="I26" s="109">
        <f>H26+H58+H318</f>
        <v>102.242639607432</v>
      </c>
      <c r="J26" s="109">
        <f>I26+I58+I318</f>
        <v>119.49442540193003</v>
      </c>
      <c r="K26" s="109">
        <f>J26+J58+J318</f>
        <v>121.94383267213286</v>
      </c>
      <c r="L26" s="109">
        <f>K26+K58+K318</f>
        <v>121.49124256500124</v>
      </c>
      <c r="M26" s="109">
        <f>IF(Input!M$174&gt;0, L26+L58+L318, 0)</f>
        <v>0</v>
      </c>
      <c r="N26" s="109">
        <f>IF(Input!N$174&gt;0, M26+M58+M318, 0)</f>
        <v>0</v>
      </c>
      <c r="O26" s="109">
        <f>IF(Input!O$174&gt;0, N26+N58+N318, 0)</f>
        <v>0</v>
      </c>
      <c r="P26" s="109">
        <f>IF(Input!P$174&gt;0, O26+O58+O318, 0)</f>
        <v>0</v>
      </c>
      <c r="Q26" s="109">
        <f>IF(Input!Q$174&gt;0, P26+P58+P318, 0)</f>
        <v>0</v>
      </c>
      <c r="R26" s="105"/>
      <c r="S26" s="119"/>
      <c r="T26" s="105"/>
      <c r="U26" s="105"/>
      <c r="V26" s="105"/>
      <c r="W26" s="105"/>
      <c r="X26" s="105"/>
      <c r="Y26" s="105"/>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row>
    <row r="27" spans="1:60" s="185" customFormat="1" ht="12.75" customHeight="1" outlineLevel="1">
      <c r="A27" s="9"/>
      <c r="B27" s="44"/>
      <c r="C27" s="128" t="str">
        <f>Asset20</f>
        <v>Buildings</v>
      </c>
      <c r="D27" s="9"/>
      <c r="E27" s="9"/>
      <c r="F27" s="191"/>
      <c r="G27" s="109">
        <f>A20taxvalue-F494+F59</f>
        <v>140.25732993442472</v>
      </c>
      <c r="H27" s="109">
        <f>G27+G59+G331</f>
        <v>196.97637798387862</v>
      </c>
      <c r="I27" s="109">
        <f>H27+H59+H331</f>
        <v>248.64163272084545</v>
      </c>
      <c r="J27" s="109">
        <f>I27+I59+I331</f>
        <v>269.63575233286781</v>
      </c>
      <c r="K27" s="109">
        <f>J27+J59+J331</f>
        <v>278.47252720331545</v>
      </c>
      <c r="L27" s="109">
        <f>K27+K59+K331</f>
        <v>232.00499941638125</v>
      </c>
      <c r="M27" s="109">
        <f>IF(Input!M$174&gt;0, L27+L59+L331, 0)</f>
        <v>0</v>
      </c>
      <c r="N27" s="109">
        <f>IF(Input!N$174&gt;0, M27+M59+M331, 0)</f>
        <v>0</v>
      </c>
      <c r="O27" s="109">
        <f>IF(Input!O$174&gt;0, N27+N59+N331, 0)</f>
        <v>0</v>
      </c>
      <c r="P27" s="109">
        <f>IF(Input!P$174&gt;0, O27+O59+O331, 0)</f>
        <v>0</v>
      </c>
      <c r="Q27" s="109">
        <f>IF(Input!Q$174&gt;0, P27+P59+P331, 0)</f>
        <v>0</v>
      </c>
      <c r="R27" s="105"/>
      <c r="S27" s="119"/>
      <c r="T27" s="105"/>
      <c r="U27" s="105"/>
      <c r="V27" s="105"/>
      <c r="W27" s="105"/>
      <c r="X27" s="105"/>
      <c r="Y27" s="105"/>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row>
    <row r="28" spans="1:60" s="185" customFormat="1" ht="13.5" customHeight="1" outlineLevel="1">
      <c r="A28" s="9"/>
      <c r="B28" s="44"/>
      <c r="C28" s="128" t="str">
        <f>Asset21</f>
        <v>Equity raising costs</v>
      </c>
      <c r="D28" s="9"/>
      <c r="E28" s="9"/>
      <c r="F28" s="191"/>
      <c r="G28" s="109">
        <f>A21taxvalue-F495+F60</f>
        <v>0</v>
      </c>
      <c r="H28" s="109">
        <f>G28+G60+G344</f>
        <v>25.818212380082496</v>
      </c>
      <c r="I28" s="109">
        <f>H28+H60+H344</f>
        <v>25.273847678933222</v>
      </c>
      <c r="J28" s="109">
        <f>I28+I60+I344</f>
        <v>24.729482977783949</v>
      </c>
      <c r="K28" s="109">
        <f>J28+J60+J344</f>
        <v>24.185118276634675</v>
      </c>
      <c r="L28" s="109">
        <f>K28+K60+K344</f>
        <v>23.640753575485402</v>
      </c>
      <c r="M28" s="109">
        <f>IF(Input!M$174&gt;0, L28+L60+L332, 0)</f>
        <v>0</v>
      </c>
      <c r="N28" s="109">
        <f>IF(Input!N$174&gt;0, M28+M60+M344, 0)</f>
        <v>0</v>
      </c>
      <c r="O28" s="109">
        <f>IF(Input!O$174&gt;0, N28+N60+N344, 0)</f>
        <v>0</v>
      </c>
      <c r="P28" s="109">
        <f>IF(Input!P$174&gt;0, O28+O60+O344, 0)</f>
        <v>0</v>
      </c>
      <c r="Q28" s="109">
        <f>IF(Input!Q$174&gt;0, P28+P60+P344, 0)</f>
        <v>0</v>
      </c>
      <c r="R28" s="105"/>
      <c r="S28" s="119"/>
      <c r="T28" s="105"/>
      <c r="U28" s="105"/>
      <c r="V28" s="105"/>
      <c r="W28" s="105"/>
      <c r="X28" s="105"/>
      <c r="Y28" s="105"/>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row>
    <row r="29" spans="1:60" s="185" customFormat="1" ht="13.5" customHeight="1" outlineLevel="1">
      <c r="A29" s="9"/>
      <c r="B29" s="44"/>
      <c r="C29" s="128">
        <f>Asset22</f>
        <v>0</v>
      </c>
      <c r="D29" s="9"/>
      <c r="E29" s="9"/>
      <c r="F29" s="191"/>
      <c r="G29" s="109">
        <f t="shared" ref="G29:L29" si="2">F29+F61+F358</f>
        <v>0</v>
      </c>
      <c r="H29" s="109">
        <f t="shared" si="2"/>
        <v>0</v>
      </c>
      <c r="I29" s="109">
        <f t="shared" si="2"/>
        <v>0</v>
      </c>
      <c r="J29" s="109">
        <f t="shared" si="2"/>
        <v>0</v>
      </c>
      <c r="K29" s="109">
        <f t="shared" si="2"/>
        <v>0</v>
      </c>
      <c r="L29" s="109">
        <f t="shared" si="2"/>
        <v>0</v>
      </c>
      <c r="M29" s="109">
        <f>IF(Input!M$174&gt;0, L29+L61+L333, 0)</f>
        <v>0</v>
      </c>
      <c r="N29" s="109">
        <f>IF(Input!N$174&gt;0, M29+M61+M358, 0)</f>
        <v>0</v>
      </c>
      <c r="O29" s="109">
        <f>IF(Input!O$174&gt;0, N29+N61+N358, 0)</f>
        <v>0</v>
      </c>
      <c r="P29" s="109">
        <f>IF(Input!P$174&gt;0, O29+O61+O358, 0)</f>
        <v>0</v>
      </c>
      <c r="Q29" s="109">
        <f>IF(Input!Q$174&gt;0, P29+P61+P358, 0)</f>
        <v>0</v>
      </c>
      <c r="R29" s="105"/>
      <c r="S29" s="105"/>
      <c r="T29" s="105"/>
      <c r="U29" s="105"/>
      <c r="V29" s="105"/>
      <c r="W29" s="105"/>
      <c r="X29" s="105"/>
      <c r="Y29" s="105"/>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row>
    <row r="30" spans="1:60" s="185" customFormat="1" ht="13.5" customHeight="1" outlineLevel="1">
      <c r="A30" s="9"/>
      <c r="B30" s="44"/>
      <c r="C30" s="128">
        <f>Asset23</f>
        <v>0</v>
      </c>
      <c r="D30" s="9"/>
      <c r="E30" s="9"/>
      <c r="F30" s="191"/>
      <c r="G30" s="109">
        <f t="shared" ref="G30:L30" si="3">F30+F62+F372</f>
        <v>0</v>
      </c>
      <c r="H30" s="109">
        <f t="shared" si="3"/>
        <v>0</v>
      </c>
      <c r="I30" s="109">
        <f t="shared" si="3"/>
        <v>0</v>
      </c>
      <c r="J30" s="109">
        <f t="shared" si="3"/>
        <v>0</v>
      </c>
      <c r="K30" s="109">
        <f t="shared" si="3"/>
        <v>0</v>
      </c>
      <c r="L30" s="109">
        <f t="shared" si="3"/>
        <v>0</v>
      </c>
      <c r="M30" s="109">
        <f>IF(Input!M$174&gt;0, L30+L62+#REF!, 0)</f>
        <v>0</v>
      </c>
      <c r="N30" s="109">
        <f>IF(Input!N$174&gt;0, M30+M62+M372, 0)</f>
        <v>0</v>
      </c>
      <c r="O30" s="109">
        <f>IF(Input!O$174&gt;0, N30+N62+N372, 0)</f>
        <v>0</v>
      </c>
      <c r="P30" s="109">
        <f>IF(Input!P$174&gt;0, O30+O62+O372, 0)</f>
        <v>0</v>
      </c>
      <c r="Q30" s="109">
        <f>IF(Input!Q$174&gt;0, P30+P62+P372, 0)</f>
        <v>0</v>
      </c>
      <c r="R30" s="105"/>
      <c r="S30" s="105"/>
      <c r="T30" s="105"/>
      <c r="U30" s="105"/>
      <c r="V30" s="105"/>
      <c r="W30" s="105"/>
      <c r="X30" s="105"/>
      <c r="Y30" s="105"/>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row>
    <row r="31" spans="1:60" s="185" customFormat="1" ht="13.5" customHeight="1" outlineLevel="1">
      <c r="A31" s="9"/>
      <c r="B31" s="44"/>
      <c r="C31" s="128">
        <f>Asset24</f>
        <v>0</v>
      </c>
      <c r="D31" s="9"/>
      <c r="E31" s="9"/>
      <c r="F31" s="191"/>
      <c r="G31" s="109">
        <f t="shared" ref="G31:L31" si="4">F31+F63+F386</f>
        <v>0</v>
      </c>
      <c r="H31" s="109">
        <f t="shared" si="4"/>
        <v>0</v>
      </c>
      <c r="I31" s="109">
        <f t="shared" si="4"/>
        <v>0</v>
      </c>
      <c r="J31" s="109">
        <f t="shared" si="4"/>
        <v>0</v>
      </c>
      <c r="K31" s="109">
        <f t="shared" si="4"/>
        <v>0</v>
      </c>
      <c r="L31" s="109">
        <f t="shared" si="4"/>
        <v>0</v>
      </c>
      <c r="M31" s="109">
        <f>IF(Input!M$174&gt;0, L31+L63+L334, 0)</f>
        <v>0</v>
      </c>
      <c r="N31" s="109">
        <f>IF(Input!N$174&gt;0, M31+M63+M386, 0)</f>
        <v>0</v>
      </c>
      <c r="O31" s="109">
        <f>IF(Input!O$174&gt;0, N31+N63+N386, 0)</f>
        <v>0</v>
      </c>
      <c r="P31" s="109">
        <f>IF(Input!P$174&gt;0, O31+O63+O386, 0)</f>
        <v>0</v>
      </c>
      <c r="Q31" s="109">
        <f>IF(Input!Q$174&gt;0, P31+P63+P386, 0)</f>
        <v>0</v>
      </c>
      <c r="R31" s="105"/>
      <c r="S31" s="105"/>
      <c r="T31" s="105"/>
      <c r="U31" s="105"/>
      <c r="V31" s="105"/>
      <c r="W31" s="105"/>
      <c r="X31" s="105"/>
      <c r="Y31" s="105"/>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row>
    <row r="32" spans="1:60" s="185" customFormat="1" ht="13.5" customHeight="1" outlineLevel="1">
      <c r="A32" s="9"/>
      <c r="B32" s="44"/>
      <c r="C32" s="128">
        <f>Asset25</f>
        <v>0</v>
      </c>
      <c r="D32" s="9"/>
      <c r="E32" s="9"/>
      <c r="F32" s="191"/>
      <c r="G32" s="109">
        <f t="shared" ref="G32:L32" si="5">F32+F64+F400</f>
        <v>0</v>
      </c>
      <c r="H32" s="109">
        <f t="shared" si="5"/>
        <v>0</v>
      </c>
      <c r="I32" s="109">
        <f t="shared" si="5"/>
        <v>0</v>
      </c>
      <c r="J32" s="109">
        <f t="shared" si="5"/>
        <v>0</v>
      </c>
      <c r="K32" s="109">
        <f t="shared" si="5"/>
        <v>0</v>
      </c>
      <c r="L32" s="109">
        <f t="shared" si="5"/>
        <v>0</v>
      </c>
      <c r="M32" s="109">
        <f>IF(Input!M$174&gt;0, L32+L64+L335, 0)</f>
        <v>0</v>
      </c>
      <c r="N32" s="109">
        <f>IF(Input!N$174&gt;0, M32+M64+M400, 0)</f>
        <v>0</v>
      </c>
      <c r="O32" s="109">
        <f>IF(Input!O$174&gt;0, N32+N64+N400, 0)</f>
        <v>0</v>
      </c>
      <c r="P32" s="109">
        <f>IF(Input!P$174&gt;0, O32+O64+O400, 0)</f>
        <v>0</v>
      </c>
      <c r="Q32" s="109">
        <f>IF(Input!Q$174&gt;0, P32+P64+P400, 0)</f>
        <v>0</v>
      </c>
      <c r="R32" s="105"/>
      <c r="S32" s="105"/>
      <c r="T32" s="105"/>
      <c r="U32" s="105"/>
      <c r="V32" s="105"/>
      <c r="W32" s="105"/>
      <c r="X32" s="105"/>
      <c r="Y32" s="105"/>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row>
    <row r="33" spans="1:60" s="185" customFormat="1" ht="13.5" customHeight="1" outlineLevel="1">
      <c r="A33" s="9"/>
      <c r="B33" s="44"/>
      <c r="C33" s="128">
        <f>Asset26</f>
        <v>0</v>
      </c>
      <c r="D33" s="9"/>
      <c r="E33" s="9"/>
      <c r="F33" s="191"/>
      <c r="G33" s="109">
        <f t="shared" ref="G33:L33" si="6">F33+F65+F414</f>
        <v>0</v>
      </c>
      <c r="H33" s="109">
        <f t="shared" si="6"/>
        <v>0</v>
      </c>
      <c r="I33" s="109">
        <f t="shared" si="6"/>
        <v>0</v>
      </c>
      <c r="J33" s="109">
        <f t="shared" si="6"/>
        <v>0</v>
      </c>
      <c r="K33" s="109">
        <f t="shared" si="6"/>
        <v>0</v>
      </c>
      <c r="L33" s="109">
        <f t="shared" si="6"/>
        <v>0</v>
      </c>
      <c r="M33" s="109">
        <f>IF(Input!M$174&gt;0, L33+L65+L336, 0)</f>
        <v>0</v>
      </c>
      <c r="N33" s="109">
        <f>IF(Input!N$174&gt;0, M33+M65+M414, 0)</f>
        <v>0</v>
      </c>
      <c r="O33" s="109">
        <f>IF(Input!O$174&gt;0, N33+N65+N414, 0)</f>
        <v>0</v>
      </c>
      <c r="P33" s="109">
        <f>IF(Input!P$174&gt;0, O33+O65+O414, 0)</f>
        <v>0</v>
      </c>
      <c r="Q33" s="109">
        <f>IF(Input!Q$174&gt;0, P33+P65+P414, 0)</f>
        <v>0</v>
      </c>
      <c r="R33" s="105"/>
      <c r="S33" s="105"/>
      <c r="T33" s="105"/>
      <c r="U33" s="105"/>
      <c r="V33" s="105"/>
      <c r="W33" s="105"/>
      <c r="X33" s="105"/>
      <c r="Y33" s="105"/>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row>
    <row r="34" spans="1:60" s="185" customFormat="1" ht="13.5" customHeight="1" outlineLevel="1">
      <c r="A34" s="9"/>
      <c r="B34" s="44"/>
      <c r="C34" s="128">
        <f>Asset27</f>
        <v>0</v>
      </c>
      <c r="D34" s="9"/>
      <c r="E34" s="9"/>
      <c r="F34" s="191"/>
      <c r="G34" s="109">
        <f t="shared" ref="G34:L34" si="7">F34+F66+F428</f>
        <v>0</v>
      </c>
      <c r="H34" s="109">
        <f t="shared" si="7"/>
        <v>0</v>
      </c>
      <c r="I34" s="109">
        <f t="shared" si="7"/>
        <v>0</v>
      </c>
      <c r="J34" s="109">
        <f t="shared" si="7"/>
        <v>0</v>
      </c>
      <c r="K34" s="109">
        <f t="shared" si="7"/>
        <v>0</v>
      </c>
      <c r="L34" s="109">
        <f t="shared" si="7"/>
        <v>0</v>
      </c>
      <c r="M34" s="109">
        <f>IF(Input!M$174&gt;0, L34+L66+L337, 0)</f>
        <v>0</v>
      </c>
      <c r="N34" s="109">
        <f>IF(Input!N$174&gt;0, M34+M66+M428, 0)</f>
        <v>0</v>
      </c>
      <c r="O34" s="109">
        <f>IF(Input!O$174&gt;0, N34+N66+N428, 0)</f>
        <v>0</v>
      </c>
      <c r="P34" s="109">
        <f>IF(Input!P$174&gt;0, O34+O66+O428, 0)</f>
        <v>0</v>
      </c>
      <c r="Q34" s="109">
        <f>IF(Input!Q$174&gt;0, P34+P66+P428, 0)</f>
        <v>0</v>
      </c>
      <c r="R34" s="105"/>
      <c r="S34" s="105"/>
      <c r="T34" s="105"/>
      <c r="U34" s="105"/>
      <c r="V34" s="105"/>
      <c r="W34" s="105"/>
      <c r="X34" s="105"/>
      <c r="Y34" s="105"/>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row>
    <row r="35" spans="1:60" s="185" customFormat="1" ht="13.5" customHeight="1" outlineLevel="1">
      <c r="A35" s="9"/>
      <c r="B35" s="44"/>
      <c r="C35" s="128">
        <f>Asset28</f>
        <v>0</v>
      </c>
      <c r="D35" s="9"/>
      <c r="E35" s="9"/>
      <c r="F35" s="191"/>
      <c r="G35" s="109">
        <f t="shared" ref="G35:L35" si="8">F35+F67+F442</f>
        <v>0</v>
      </c>
      <c r="H35" s="109">
        <f t="shared" si="8"/>
        <v>0</v>
      </c>
      <c r="I35" s="109">
        <f t="shared" si="8"/>
        <v>0</v>
      </c>
      <c r="J35" s="109">
        <f t="shared" si="8"/>
        <v>0</v>
      </c>
      <c r="K35" s="109">
        <f t="shared" si="8"/>
        <v>0</v>
      </c>
      <c r="L35" s="109">
        <f t="shared" si="8"/>
        <v>0</v>
      </c>
      <c r="M35" s="109">
        <f>IF(Input!M$174&gt;0, L35+L67+L338, 0)</f>
        <v>0</v>
      </c>
      <c r="N35" s="109">
        <f>IF(Input!N$174&gt;0, M35+M67+M442, 0)</f>
        <v>0</v>
      </c>
      <c r="O35" s="109">
        <f>IF(Input!O$174&gt;0, N35+N67+N442, 0)</f>
        <v>0</v>
      </c>
      <c r="P35" s="109">
        <f>IF(Input!P$174&gt;0, O35+O67+O442, 0)</f>
        <v>0</v>
      </c>
      <c r="Q35" s="109">
        <f>IF(Input!Q$174&gt;0, P35+P67+P442, 0)</f>
        <v>0</v>
      </c>
      <c r="R35" s="105"/>
      <c r="S35" s="105"/>
      <c r="T35" s="105"/>
      <c r="U35" s="105"/>
      <c r="V35" s="105"/>
      <c r="W35" s="105"/>
      <c r="X35" s="105"/>
      <c r="Y35" s="105"/>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row>
    <row r="36" spans="1:60" s="185" customFormat="1" ht="13.5" customHeight="1" outlineLevel="1">
      <c r="A36" s="9"/>
      <c r="B36" s="44"/>
      <c r="C36" s="128">
        <f>Asset29</f>
        <v>0</v>
      </c>
      <c r="D36" s="9"/>
      <c r="E36" s="9"/>
      <c r="F36" s="191"/>
      <c r="G36" s="109">
        <f t="shared" ref="G36:L36" si="9">F36+F68+F456</f>
        <v>0</v>
      </c>
      <c r="H36" s="109">
        <f t="shared" si="9"/>
        <v>0</v>
      </c>
      <c r="I36" s="109">
        <f t="shared" si="9"/>
        <v>0</v>
      </c>
      <c r="J36" s="109">
        <f t="shared" si="9"/>
        <v>0</v>
      </c>
      <c r="K36" s="109">
        <f t="shared" si="9"/>
        <v>0</v>
      </c>
      <c r="L36" s="109">
        <f t="shared" si="9"/>
        <v>0</v>
      </c>
      <c r="M36" s="109">
        <f>IF(Input!M$174&gt;0, L36+L68+L339, 0)</f>
        <v>0</v>
      </c>
      <c r="N36" s="109">
        <f>IF(Input!N$174&gt;0, M36+M68+M456, 0)</f>
        <v>0</v>
      </c>
      <c r="O36" s="109">
        <f>IF(Input!O$174&gt;0, N36+N68+N456, 0)</f>
        <v>0</v>
      </c>
      <c r="P36" s="109">
        <f>IF(Input!P$174&gt;0, O36+O68+O456, 0)</f>
        <v>0</v>
      </c>
      <c r="Q36" s="109">
        <f>IF(Input!Q$174&gt;0, P36+P68+P456, 0)</f>
        <v>0</v>
      </c>
      <c r="R36" s="105"/>
      <c r="S36" s="105"/>
      <c r="T36" s="105"/>
      <c r="U36" s="105"/>
      <c r="V36" s="105"/>
      <c r="W36" s="105"/>
      <c r="X36" s="105"/>
      <c r="Y36" s="105"/>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row>
    <row r="37" spans="1:60" s="185" customFormat="1" ht="13.5" customHeight="1" outlineLevel="1">
      <c r="A37" s="9"/>
      <c r="B37" s="44"/>
      <c r="C37" s="128">
        <f>Asset30</f>
        <v>0</v>
      </c>
      <c r="D37" s="9"/>
      <c r="E37" s="9"/>
      <c r="F37" s="191"/>
      <c r="G37" s="109">
        <f t="shared" ref="G37:L37" si="10">F37+F69+F470</f>
        <v>0</v>
      </c>
      <c r="H37" s="109">
        <f t="shared" si="10"/>
        <v>0</v>
      </c>
      <c r="I37" s="109">
        <f t="shared" si="10"/>
        <v>0</v>
      </c>
      <c r="J37" s="109">
        <f t="shared" si="10"/>
        <v>0</v>
      </c>
      <c r="K37" s="109">
        <f t="shared" si="10"/>
        <v>0</v>
      </c>
      <c r="L37" s="109">
        <f t="shared" si="10"/>
        <v>0</v>
      </c>
      <c r="M37" s="109">
        <f>IF(Input!M$174&gt;0, L37+L69+L340, 0)</f>
        <v>0</v>
      </c>
      <c r="N37" s="109">
        <f>IF(Input!N$174&gt;0, M37+M69+M470, 0)</f>
        <v>0</v>
      </c>
      <c r="O37" s="109">
        <f>IF(Input!O$174&gt;0, N37+N69+N470, 0)</f>
        <v>0</v>
      </c>
      <c r="P37" s="109">
        <f>IF(Input!P$174&gt;0, O37+O69+O470, 0)</f>
        <v>0</v>
      </c>
      <c r="Q37" s="109">
        <f>IF(Input!Q$174&gt;0, P37+P69+P470, 0)</f>
        <v>0</v>
      </c>
      <c r="R37" s="105"/>
      <c r="S37" s="105"/>
      <c r="T37" s="105"/>
      <c r="U37" s="105"/>
      <c r="V37" s="105"/>
      <c r="W37" s="105"/>
      <c r="X37" s="105"/>
      <c r="Y37" s="105"/>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row>
    <row r="38" spans="1:60" s="185" customFormat="1" ht="13.5" customHeight="1">
      <c r="A38" s="11"/>
      <c r="B38" s="16"/>
      <c r="C38" s="11"/>
      <c r="D38" s="11"/>
      <c r="E38" s="11"/>
      <c r="F38" s="203"/>
      <c r="G38" s="105"/>
      <c r="H38" s="105"/>
      <c r="I38" s="105"/>
      <c r="J38" s="105"/>
      <c r="K38" s="105"/>
      <c r="L38" s="105"/>
      <c r="M38" s="105"/>
      <c r="N38" s="105"/>
      <c r="O38" s="105"/>
      <c r="P38" s="105"/>
      <c r="Q38" s="105"/>
      <c r="R38" s="105"/>
      <c r="S38" s="105"/>
      <c r="T38" s="105"/>
      <c r="U38" s="105"/>
      <c r="V38" s="105"/>
      <c r="W38" s="105"/>
      <c r="X38" s="105"/>
      <c r="Y38" s="105"/>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row>
    <row r="39" spans="1:60" s="185" customFormat="1">
      <c r="A39" s="11"/>
      <c r="B39" s="44" t="s">
        <v>66</v>
      </c>
      <c r="C39" s="9"/>
      <c r="D39" s="11"/>
      <c r="E39" s="11"/>
      <c r="F39" s="458">
        <f>SUM(F40:F60)</f>
        <v>1180.649909370301</v>
      </c>
      <c r="G39" s="208">
        <f>SUM(G40:G60)</f>
        <v>1124.4689651193298</v>
      </c>
      <c r="H39" s="105">
        <f t="shared" ref="H39:L39" si="11">SUM(H40:H60)</f>
        <v>1313.3087145270035</v>
      </c>
      <c r="I39" s="105">
        <f t="shared" si="11"/>
        <v>1398.0892520199379</v>
      </c>
      <c r="J39" s="105">
        <f t="shared" si="11"/>
        <v>1077.8380875824441</v>
      </c>
      <c r="K39" s="105">
        <f t="shared" si="11"/>
        <v>634.1969553369637</v>
      </c>
      <c r="L39" s="105">
        <f t="shared" si="11"/>
        <v>0</v>
      </c>
      <c r="M39" s="105">
        <f t="shared" ref="M39:P39" si="12">SUM(M40:M59)</f>
        <v>0</v>
      </c>
      <c r="N39" s="105">
        <f t="shared" si="12"/>
        <v>0</v>
      </c>
      <c r="O39" s="105">
        <f t="shared" si="12"/>
        <v>0</v>
      </c>
      <c r="P39" s="105">
        <f t="shared" si="12"/>
        <v>0</v>
      </c>
      <c r="Q39" s="105"/>
      <c r="R39" s="105"/>
      <c r="S39" s="105"/>
      <c r="T39" s="105"/>
      <c r="U39" s="105"/>
      <c r="V39" s="105"/>
      <c r="W39" s="105"/>
      <c r="X39" s="105"/>
      <c r="Y39" s="105"/>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row>
    <row r="40" spans="1:60" s="185" customFormat="1" ht="12.75" hidden="1" customHeight="1" outlineLevel="1">
      <c r="A40" s="11"/>
      <c r="B40" s="9"/>
      <c r="C40" s="128" t="str">
        <f>Asset1</f>
        <v>Sub-transmission lines and cables</v>
      </c>
      <c r="D40" s="11"/>
      <c r="E40" s="11"/>
      <c r="F40" s="458">
        <f>Input!G42-Input!G76</f>
        <v>162.595</v>
      </c>
      <c r="G40" s="208">
        <f>Input!H42-Input!H76</f>
        <v>115.637323314965</v>
      </c>
      <c r="H40" s="105">
        <f>Input!I42-Input!I76</f>
        <v>118.17192321181</v>
      </c>
      <c r="I40" s="105">
        <f>Input!J42-Input!J76</f>
        <v>125.71548624700002</v>
      </c>
      <c r="J40" s="105">
        <f>Input!K42-Input!K76</f>
        <v>96.18287772959998</v>
      </c>
      <c r="K40" s="105">
        <f>Input!L42-Input!L76</f>
        <v>53.906705853951017</v>
      </c>
      <c r="L40" s="105">
        <f>Input!M42-Input!M76</f>
        <v>0</v>
      </c>
      <c r="M40" s="105">
        <f>Input!N42-Input!N76</f>
        <v>0</v>
      </c>
      <c r="N40" s="105">
        <f>Input!O42-Input!O76</f>
        <v>0</v>
      </c>
      <c r="O40" s="105">
        <f>Input!P42-Input!P76</f>
        <v>0</v>
      </c>
      <c r="P40" s="105">
        <f>Input!Q42-Input!Q76</f>
        <v>0</v>
      </c>
      <c r="Q40" s="105"/>
      <c r="R40" s="105"/>
      <c r="S40" s="105"/>
      <c r="T40" s="105"/>
      <c r="U40" s="105"/>
      <c r="V40" s="105"/>
      <c r="W40" s="105"/>
      <c r="X40" s="105"/>
      <c r="Y40" s="105"/>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row>
    <row r="41" spans="1:60" s="185" customFormat="1" ht="12.75" hidden="1" customHeight="1" outlineLevel="1">
      <c r="A41" s="11"/>
      <c r="B41" s="44"/>
      <c r="C41" s="128" t="str">
        <f>Asset2</f>
        <v>Cable tunnel (dx)</v>
      </c>
      <c r="D41" s="11"/>
      <c r="E41" s="11"/>
      <c r="F41" s="458">
        <f>Input!G43-Input!G77</f>
        <v>0</v>
      </c>
      <c r="G41" s="208">
        <f>Input!H43-Input!H77</f>
        <v>1.03880488</v>
      </c>
      <c r="H41" s="105">
        <f>Input!I43-Input!I77</f>
        <v>0.23831696999999999</v>
      </c>
      <c r="I41" s="105">
        <f>Input!J43-Input!J77</f>
        <v>3.9804910000000006E-2</v>
      </c>
      <c r="J41" s="105">
        <f>Input!K43-Input!K77</f>
        <v>56.919638259999999</v>
      </c>
      <c r="K41" s="105">
        <f>Input!L43-Input!L77</f>
        <v>44.51561746864143</v>
      </c>
      <c r="L41" s="105">
        <f>Input!M43-Input!M77</f>
        <v>0</v>
      </c>
      <c r="M41" s="105">
        <f>Input!N43-Input!N77</f>
        <v>0</v>
      </c>
      <c r="N41" s="105">
        <f>Input!O43-Input!O77</f>
        <v>0</v>
      </c>
      <c r="O41" s="105">
        <f>Input!P43-Input!P77</f>
        <v>0</v>
      </c>
      <c r="P41" s="105">
        <f>Input!Q43-Input!Q77</f>
        <v>0</v>
      </c>
      <c r="Q41" s="105"/>
      <c r="R41" s="105"/>
      <c r="S41" s="105"/>
      <c r="T41" s="105"/>
      <c r="U41" s="105"/>
      <c r="V41" s="105"/>
      <c r="W41" s="105"/>
      <c r="X41" s="105"/>
      <c r="Y41" s="105"/>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row>
    <row r="42" spans="1:60" s="185" customFormat="1" ht="12.75" hidden="1" customHeight="1" outlineLevel="1">
      <c r="A42" s="11"/>
      <c r="B42" s="44"/>
      <c r="C42" s="128" t="str">
        <f>Asset3</f>
        <v>Distribution lines and cables</v>
      </c>
      <c r="D42" s="11"/>
      <c r="E42" s="11"/>
      <c r="F42" s="458">
        <f>Input!G44-Input!G78</f>
        <v>193.45869004000002</v>
      </c>
      <c r="G42" s="208">
        <f>Input!H44-Input!H78</f>
        <v>184.52154811448969</v>
      </c>
      <c r="H42" s="105">
        <f>Input!I44-Input!I78</f>
        <v>290.98387194399999</v>
      </c>
      <c r="I42" s="105">
        <f>Input!J44-Input!J78</f>
        <v>308.60391237613015</v>
      </c>
      <c r="J42" s="105">
        <f>Input!K44-Input!K78</f>
        <v>276.99586638626988</v>
      </c>
      <c r="K42" s="105">
        <f>Input!L44-Input!L78</f>
        <v>193.28807641491812</v>
      </c>
      <c r="L42" s="105">
        <f>Input!M44-Input!M78</f>
        <v>0</v>
      </c>
      <c r="M42" s="105">
        <f>Input!N44-Input!N78</f>
        <v>0</v>
      </c>
      <c r="N42" s="105">
        <f>Input!O44-Input!O78</f>
        <v>0</v>
      </c>
      <c r="O42" s="105">
        <f>Input!P44-Input!P78</f>
        <v>0</v>
      </c>
      <c r="P42" s="105">
        <f>Input!Q44-Input!Q78</f>
        <v>0</v>
      </c>
      <c r="Q42" s="105"/>
      <c r="R42" s="105"/>
      <c r="S42" s="105"/>
      <c r="T42" s="105"/>
      <c r="U42" s="105"/>
      <c r="V42" s="105"/>
      <c r="W42" s="105"/>
      <c r="X42" s="105"/>
      <c r="Y42" s="105"/>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row>
    <row r="43" spans="1:60" s="185" customFormat="1" ht="12.75" hidden="1" customHeight="1" outlineLevel="1">
      <c r="A43" s="11"/>
      <c r="B43" s="44"/>
      <c r="C43" s="128" t="str">
        <f>Asset4</f>
        <v>Substations</v>
      </c>
      <c r="D43" s="11"/>
      <c r="E43" s="11"/>
      <c r="F43" s="458">
        <f>Input!G45-Input!G79</f>
        <v>286.03801247999996</v>
      </c>
      <c r="G43" s="208">
        <f>Input!H45-Input!H79</f>
        <v>301.62418128934968</v>
      </c>
      <c r="H43" s="105">
        <f>Input!I45-Input!I79</f>
        <v>343.08434250633394</v>
      </c>
      <c r="I43" s="105">
        <f>Input!J45-Input!J79</f>
        <v>417.66179004413061</v>
      </c>
      <c r="J43" s="105">
        <f>Input!K45-Input!K79</f>
        <v>277.52553368266439</v>
      </c>
      <c r="K43" s="105">
        <f>Input!L45-Input!L79</f>
        <v>170.53987451806853</v>
      </c>
      <c r="L43" s="105">
        <f>Input!M45-Input!M79</f>
        <v>0</v>
      </c>
      <c r="M43" s="105">
        <f>Input!N45-Input!N79</f>
        <v>0</v>
      </c>
      <c r="N43" s="105">
        <f>Input!O45-Input!O79</f>
        <v>0</v>
      </c>
      <c r="O43" s="105">
        <f>Input!P45-Input!P79</f>
        <v>0</v>
      </c>
      <c r="P43" s="105">
        <f>Input!Q45-Input!Q79</f>
        <v>0</v>
      </c>
      <c r="Q43" s="105"/>
      <c r="R43" s="105"/>
      <c r="S43" s="105"/>
      <c r="T43" s="105"/>
      <c r="U43" s="105"/>
      <c r="V43" s="105"/>
      <c r="W43" s="105"/>
      <c r="X43" s="105"/>
      <c r="Y43" s="105"/>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row>
    <row r="44" spans="1:60" s="185" customFormat="1" ht="12.75" hidden="1" customHeight="1" outlineLevel="1">
      <c r="A44" s="11"/>
      <c r="B44" s="44"/>
      <c r="C44" s="128" t="str">
        <f>Asset5</f>
        <v>Transformers</v>
      </c>
      <c r="D44" s="11"/>
      <c r="E44" s="11"/>
      <c r="F44" s="458">
        <f>Input!G46-Input!G80</f>
        <v>53.933070549999997</v>
      </c>
      <c r="G44" s="208">
        <f>Input!H46-Input!H80</f>
        <v>56.580855487594988</v>
      </c>
      <c r="H44" s="105">
        <f>Input!I46-Input!I80</f>
        <v>77.678815170956696</v>
      </c>
      <c r="I44" s="105">
        <f>Input!J46-Input!J80</f>
        <v>52.349621493335306</v>
      </c>
      <c r="J44" s="105">
        <f>Input!K46-Input!K80</f>
        <v>40.344574905424722</v>
      </c>
      <c r="K44" s="105">
        <f>Input!L46-Input!L80</f>
        <v>30.819467554495823</v>
      </c>
      <c r="L44" s="105">
        <f>Input!M46-Input!M80</f>
        <v>0</v>
      </c>
      <c r="M44" s="105">
        <f>Input!N46-Input!N80</f>
        <v>0</v>
      </c>
      <c r="N44" s="105">
        <f>Input!O46-Input!O80</f>
        <v>0</v>
      </c>
      <c r="O44" s="105">
        <f>Input!P46-Input!P80</f>
        <v>0</v>
      </c>
      <c r="P44" s="105">
        <f>Input!Q46-Input!Q80</f>
        <v>0</v>
      </c>
      <c r="Q44" s="105"/>
      <c r="R44" s="105"/>
      <c r="S44" s="105"/>
      <c r="T44" s="105"/>
      <c r="U44" s="105"/>
      <c r="V44" s="105"/>
      <c r="W44" s="105"/>
      <c r="X44" s="105"/>
      <c r="Y44" s="105"/>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row>
    <row r="45" spans="1:60" s="185" customFormat="1" ht="12.75" hidden="1" customHeight="1" outlineLevel="1">
      <c r="A45" s="11"/>
      <c r="B45" s="44"/>
      <c r="C45" s="128" t="str">
        <f>Asset6</f>
        <v>Low Voltage Lines and Cables</v>
      </c>
      <c r="D45" s="11"/>
      <c r="E45" s="11"/>
      <c r="F45" s="458">
        <f>Input!G47-Input!G81</f>
        <v>136.73957485000003</v>
      </c>
      <c r="G45" s="208">
        <f>Input!H47-Input!H81</f>
        <v>147.30042034196501</v>
      </c>
      <c r="H45" s="105">
        <f>Input!I47-Input!I81</f>
        <v>177.96745040999997</v>
      </c>
      <c r="I45" s="105">
        <f>Input!J47-Input!J81</f>
        <v>217.11089568227627</v>
      </c>
      <c r="J45" s="105">
        <f>Input!K47-Input!K81</f>
        <v>176.0086795781236</v>
      </c>
      <c r="K45" s="105">
        <f>Input!L47-Input!L81</f>
        <v>154.78061115978869</v>
      </c>
      <c r="L45" s="105">
        <f>Input!M47-Input!M81</f>
        <v>0</v>
      </c>
      <c r="M45" s="105">
        <f>Input!N47-Input!N81</f>
        <v>0</v>
      </c>
      <c r="N45" s="105">
        <f>Input!O47-Input!O81</f>
        <v>0</v>
      </c>
      <c r="O45" s="105">
        <f>Input!P47-Input!P81</f>
        <v>0</v>
      </c>
      <c r="P45" s="105">
        <f>Input!Q47-Input!Q81</f>
        <v>0</v>
      </c>
      <c r="Q45" s="105"/>
      <c r="R45" s="105"/>
      <c r="S45" s="105"/>
      <c r="T45" s="105"/>
      <c r="U45" s="105"/>
      <c r="V45" s="105"/>
      <c r="W45" s="105"/>
      <c r="X45" s="105"/>
      <c r="Y45" s="105"/>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row>
    <row r="46" spans="1:60" s="185" customFormat="1" ht="12.75" hidden="1" customHeight="1" outlineLevel="1">
      <c r="A46" s="11"/>
      <c r="B46" s="44"/>
      <c r="C46" s="128" t="str">
        <f>Asset7</f>
        <v>Customer Metering and Load Control</v>
      </c>
      <c r="D46" s="11"/>
      <c r="E46" s="11"/>
      <c r="F46" s="458">
        <f>Input!G48-Input!G82</f>
        <v>23.878879999999999</v>
      </c>
      <c r="G46" s="208">
        <f>Input!H48-Input!H82</f>
        <v>0.42458137000000001</v>
      </c>
      <c r="H46" s="105">
        <f>Input!I48-Input!I82</f>
        <v>0</v>
      </c>
      <c r="I46" s="105">
        <f>Input!J48-Input!J82</f>
        <v>0</v>
      </c>
      <c r="J46" s="105">
        <f>Input!K48-Input!K82</f>
        <v>0</v>
      </c>
      <c r="K46" s="105">
        <f>Input!L48-Input!L82</f>
        <v>0</v>
      </c>
      <c r="L46" s="105">
        <f>Input!M48-Input!M82</f>
        <v>0</v>
      </c>
      <c r="M46" s="105">
        <f>Input!N48-Input!N82</f>
        <v>0</v>
      </c>
      <c r="N46" s="105">
        <f>Input!O48-Input!O82</f>
        <v>0</v>
      </c>
      <c r="O46" s="105">
        <f>Input!P48-Input!P82</f>
        <v>0</v>
      </c>
      <c r="P46" s="105">
        <f>Input!Q48-Input!Q82</f>
        <v>0</v>
      </c>
      <c r="Q46" s="105"/>
      <c r="R46" s="105"/>
      <c r="S46" s="105"/>
      <c r="T46" s="105"/>
      <c r="U46" s="105"/>
      <c r="V46" s="105"/>
      <c r="W46" s="105"/>
      <c r="X46" s="105"/>
      <c r="Y46" s="105"/>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row>
    <row r="47" spans="1:60" s="185" customFormat="1" ht="12.75" hidden="1" customHeight="1" outlineLevel="1">
      <c r="A47" s="11"/>
      <c r="B47" s="44"/>
      <c r="C47" s="128" t="str">
        <f>Asset8</f>
        <v>Customer Metering (digital)</v>
      </c>
      <c r="D47" s="11"/>
      <c r="E47" s="11"/>
      <c r="F47" s="458">
        <f>Input!G49-Input!G83</f>
        <v>0</v>
      </c>
      <c r="G47" s="208">
        <f>Input!H49-Input!H83</f>
        <v>22.539909299999998</v>
      </c>
      <c r="H47" s="105">
        <f>Input!I49-Input!I83</f>
        <v>29.874306489999999</v>
      </c>
      <c r="I47" s="105">
        <f>Input!J49-Input!J83</f>
        <v>24.182602139999993</v>
      </c>
      <c r="J47" s="105">
        <f>Input!K49-Input!K83</f>
        <v>18.797886600000005</v>
      </c>
      <c r="K47" s="105">
        <f>Input!L49-Input!L83</f>
        <v>17.634197130349651</v>
      </c>
      <c r="L47" s="105">
        <f>Input!M49-Input!M83</f>
        <v>0</v>
      </c>
      <c r="M47" s="105">
        <f>Input!N49-Input!N83</f>
        <v>0</v>
      </c>
      <c r="N47" s="105">
        <f>Input!O49-Input!O83</f>
        <v>0</v>
      </c>
      <c r="O47" s="105">
        <f>Input!P49-Input!P83</f>
        <v>0</v>
      </c>
      <c r="P47" s="105">
        <f>Input!Q49-Input!Q83</f>
        <v>0</v>
      </c>
      <c r="Q47" s="105"/>
      <c r="R47" s="105"/>
      <c r="S47" s="105"/>
      <c r="T47" s="105"/>
      <c r="U47" s="105"/>
      <c r="V47" s="105"/>
      <c r="W47" s="105"/>
      <c r="X47" s="105"/>
      <c r="Y47" s="105"/>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row>
    <row r="48" spans="1:60" s="185" customFormat="1" ht="12.75" hidden="1" customHeight="1" outlineLevel="1">
      <c r="A48" s="11"/>
      <c r="B48" s="44"/>
      <c r="C48" s="128" t="str">
        <f>Asset9</f>
        <v>Communications (digital) - dx</v>
      </c>
      <c r="D48" s="11"/>
      <c r="E48" s="11"/>
      <c r="F48" s="458">
        <f>Input!G50-Input!G84</f>
        <v>0</v>
      </c>
      <c r="G48" s="208">
        <f>Input!H50-Input!H84</f>
        <v>21.705821874249995</v>
      </c>
      <c r="H48" s="105">
        <f>Input!I50-Input!I84</f>
        <v>1.1602349599999999</v>
      </c>
      <c r="I48" s="105">
        <f>Input!J50-Input!J84</f>
        <v>1.0394035620000002</v>
      </c>
      <c r="J48" s="105">
        <f>Input!K50-Input!K84</f>
        <v>1.1690009500000009</v>
      </c>
      <c r="K48" s="105">
        <f>Input!L50-Input!L84</f>
        <v>1.2856241399999999</v>
      </c>
      <c r="L48" s="105">
        <f>Input!M50-Input!M84</f>
        <v>0</v>
      </c>
      <c r="M48" s="105">
        <f>Input!N50-Input!N84</f>
        <v>0</v>
      </c>
      <c r="N48" s="105">
        <f>Input!O50-Input!O84</f>
        <v>0</v>
      </c>
      <c r="O48" s="105">
        <f>Input!P50-Input!P84</f>
        <v>0</v>
      </c>
      <c r="P48" s="105">
        <f>Input!Q50-Input!Q84</f>
        <v>0</v>
      </c>
      <c r="Q48" s="105"/>
      <c r="R48" s="105"/>
      <c r="S48" s="105"/>
      <c r="T48" s="105"/>
      <c r="U48" s="105"/>
      <c r="V48" s="105"/>
      <c r="W48" s="105"/>
      <c r="X48" s="105"/>
      <c r="Y48" s="105"/>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row>
    <row r="49" spans="1:60" s="185" customFormat="1" ht="12.75" hidden="1" customHeight="1" outlineLevel="1">
      <c r="A49" s="11"/>
      <c r="B49" s="44"/>
      <c r="C49" s="128" t="str">
        <f>Asset10</f>
        <v>Total Communications</v>
      </c>
      <c r="D49" s="11"/>
      <c r="E49" s="11"/>
      <c r="F49" s="458">
        <f>Input!G51-Input!G85</f>
        <v>37.599999999999994</v>
      </c>
      <c r="G49" s="208">
        <f>Input!H51-Input!H85</f>
        <v>2.1727705100000003</v>
      </c>
      <c r="H49" s="105">
        <f>Input!I51-Input!I85</f>
        <v>0</v>
      </c>
      <c r="I49" s="105">
        <f>Input!J51-Input!J85</f>
        <v>0</v>
      </c>
      <c r="J49" s="105">
        <f>Input!K51-Input!K85</f>
        <v>0</v>
      </c>
      <c r="K49" s="105">
        <f>Input!L51-Input!L85</f>
        <v>0</v>
      </c>
      <c r="L49" s="105">
        <f>Input!M51-Input!M85</f>
        <v>0</v>
      </c>
      <c r="M49" s="105">
        <f>Input!N51-Input!N85</f>
        <v>0</v>
      </c>
      <c r="N49" s="105">
        <f>Input!O51-Input!O85</f>
        <v>0</v>
      </c>
      <c r="O49" s="105">
        <f>Input!P51-Input!P85</f>
        <v>0</v>
      </c>
      <c r="P49" s="105">
        <f>Input!Q51-Input!Q85</f>
        <v>0</v>
      </c>
      <c r="Q49" s="105"/>
      <c r="R49" s="105"/>
      <c r="S49" s="105"/>
      <c r="T49" s="105"/>
      <c r="U49" s="105"/>
      <c r="V49" s="105"/>
      <c r="W49" s="105"/>
      <c r="X49" s="105"/>
      <c r="Y49" s="105"/>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row>
    <row r="50" spans="1:60" s="185" customFormat="1" ht="12.75" hidden="1" customHeight="1" outlineLevel="1">
      <c r="A50" s="11"/>
      <c r="B50" s="44"/>
      <c r="C50" s="128" t="str">
        <f>Asset11</f>
        <v>System IT (dx)</v>
      </c>
      <c r="D50" s="11"/>
      <c r="E50" s="11"/>
      <c r="F50" s="458">
        <f>Input!G52-Input!G86</f>
        <v>0</v>
      </c>
      <c r="G50" s="208">
        <f>Input!H52-Input!H86</f>
        <v>28.899759730695003</v>
      </c>
      <c r="H50" s="105">
        <f>Input!I52-Input!I86</f>
        <v>104.26797576097501</v>
      </c>
      <c r="I50" s="105">
        <f>Input!J52-Input!J86</f>
        <v>117.18664893190001</v>
      </c>
      <c r="J50" s="105">
        <f>Input!K52-Input!K86</f>
        <v>56.917605615199996</v>
      </c>
      <c r="K50" s="105">
        <f>Input!L52-Input!L86</f>
        <v>9.8827440300000013</v>
      </c>
      <c r="L50" s="105">
        <f>Input!M52-Input!M86</f>
        <v>0</v>
      </c>
      <c r="M50" s="105">
        <f>Input!N52-Input!N86</f>
        <v>0</v>
      </c>
      <c r="N50" s="105">
        <f>Input!O52-Input!O86</f>
        <v>0</v>
      </c>
      <c r="O50" s="105">
        <f>Input!P52-Input!P86</f>
        <v>0</v>
      </c>
      <c r="P50" s="105">
        <f>Input!Q52-Input!Q86</f>
        <v>0</v>
      </c>
      <c r="Q50" s="105"/>
      <c r="R50" s="105"/>
      <c r="S50" s="105"/>
      <c r="T50" s="105"/>
      <c r="U50" s="105"/>
      <c r="V50" s="105"/>
      <c r="W50" s="105"/>
      <c r="X50" s="105"/>
      <c r="Y50" s="105"/>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row>
    <row r="51" spans="1:60" s="185" customFormat="1" ht="12.75" hidden="1" customHeight="1" outlineLevel="1">
      <c r="A51" s="11"/>
      <c r="B51" s="44"/>
      <c r="C51" s="128" t="str">
        <f>Asset12</f>
        <v>Ancillary substation equipment (dx)</v>
      </c>
      <c r="D51" s="11"/>
      <c r="E51" s="11"/>
      <c r="F51" s="458">
        <f>Input!G53-Input!G87</f>
        <v>0</v>
      </c>
      <c r="G51" s="208">
        <f>Input!H53-Input!H87</f>
        <v>26.98692426381</v>
      </c>
      <c r="H51" s="105">
        <f>Input!I53-Input!I87</f>
        <v>6.9767609064750005</v>
      </c>
      <c r="I51" s="105">
        <f>Input!J53-Input!J87</f>
        <v>14.499160764104998</v>
      </c>
      <c r="J51" s="105">
        <f>Input!K53-Input!K87</f>
        <v>8.8248356132000048</v>
      </c>
      <c r="K51" s="105">
        <f>Input!L53-Input!L87</f>
        <v>5.2362133302072547</v>
      </c>
      <c r="L51" s="105">
        <f>Input!M53-Input!M87</f>
        <v>0</v>
      </c>
      <c r="M51" s="105">
        <f>Input!N53-Input!N87</f>
        <v>0</v>
      </c>
      <c r="N51" s="105">
        <f>Input!O53-Input!O87</f>
        <v>0</v>
      </c>
      <c r="O51" s="105">
        <f>Input!P53-Input!P87</f>
        <v>0</v>
      </c>
      <c r="P51" s="105">
        <f>Input!Q53-Input!Q87</f>
        <v>0</v>
      </c>
      <c r="Q51" s="105"/>
      <c r="R51" s="105"/>
      <c r="S51" s="105"/>
      <c r="T51" s="105"/>
      <c r="U51" s="105"/>
      <c r="V51" s="105"/>
      <c r="W51" s="105"/>
      <c r="X51" s="105"/>
      <c r="Y51" s="105"/>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row>
    <row r="52" spans="1:60" s="185" customFormat="1" ht="12.75" hidden="1" customHeight="1" outlineLevel="1">
      <c r="A52" s="11"/>
      <c r="B52" s="44"/>
      <c r="C52" s="128" t="str">
        <f>Asset13</f>
        <v>Land and Easements</v>
      </c>
      <c r="D52" s="11"/>
      <c r="E52" s="11"/>
      <c r="F52" s="458">
        <f>Input!G54-Input!G88</f>
        <v>106.25104311999999</v>
      </c>
      <c r="G52" s="208">
        <f>Input!H54-Input!H88</f>
        <v>33.042589530000008</v>
      </c>
      <c r="H52" s="105">
        <f>Input!I54-Input!I88</f>
        <v>16.44195406</v>
      </c>
      <c r="I52" s="105">
        <f>Input!J54-Input!J88</f>
        <v>15.223042819999998</v>
      </c>
      <c r="J52" s="105">
        <f>Input!K54-Input!K88</f>
        <v>9.6540821771999994</v>
      </c>
      <c r="K52" s="105">
        <f>Input!L54-Input!L88</f>
        <v>7.3067745111952966</v>
      </c>
      <c r="L52" s="105">
        <f>Input!M54-Input!M88</f>
        <v>0</v>
      </c>
      <c r="M52" s="105">
        <f>Input!N54-Input!N88</f>
        <v>0</v>
      </c>
      <c r="N52" s="105">
        <f>Input!O54-Input!O88</f>
        <v>0</v>
      </c>
      <c r="O52" s="105">
        <f>Input!P54-Input!P88</f>
        <v>0</v>
      </c>
      <c r="P52" s="105">
        <f>Input!Q54-Input!Q88</f>
        <v>0</v>
      </c>
      <c r="Q52" s="105"/>
      <c r="R52" s="105"/>
      <c r="S52" s="105"/>
      <c r="T52" s="105"/>
      <c r="U52" s="105"/>
      <c r="V52" s="105"/>
      <c r="W52" s="105"/>
      <c r="X52" s="105"/>
      <c r="Y52" s="105"/>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row>
    <row r="53" spans="1:60" s="185" customFormat="1" ht="12.75" hidden="1" customHeight="1" outlineLevel="1">
      <c r="A53" s="11"/>
      <c r="B53" s="44"/>
      <c r="C53" s="128" t="str">
        <f>Asset14</f>
        <v>Emergency Spares (Major Plant, Excludes Inventory)</v>
      </c>
      <c r="D53" s="11"/>
      <c r="E53" s="11"/>
      <c r="F53" s="458">
        <f>Input!G55-Input!G89</f>
        <v>0</v>
      </c>
      <c r="G53" s="208">
        <f>Input!H55-Input!H89</f>
        <v>0</v>
      </c>
      <c r="H53" s="105">
        <f>Input!I55-Input!I89</f>
        <v>0</v>
      </c>
      <c r="I53" s="105">
        <f>Input!J55-Input!J89</f>
        <v>0</v>
      </c>
      <c r="J53" s="105">
        <f>Input!K55-Input!K89</f>
        <v>0</v>
      </c>
      <c r="K53" s="105">
        <f>Input!L55-Input!L89</f>
        <v>0</v>
      </c>
      <c r="L53" s="105">
        <f>Input!M55-Input!M89</f>
        <v>0</v>
      </c>
      <c r="M53" s="105">
        <f>Input!N55-Input!N89</f>
        <v>0</v>
      </c>
      <c r="N53" s="105">
        <f>Input!O55-Input!O89</f>
        <v>0</v>
      </c>
      <c r="O53" s="105">
        <f>Input!P55-Input!P89</f>
        <v>0</v>
      </c>
      <c r="P53" s="105">
        <f>Input!Q55-Input!Q89</f>
        <v>0</v>
      </c>
      <c r="Q53" s="105"/>
      <c r="R53" s="105"/>
      <c r="S53" s="105"/>
      <c r="T53" s="105"/>
      <c r="U53" s="105"/>
      <c r="V53" s="105"/>
      <c r="W53" s="105"/>
      <c r="X53" s="105"/>
      <c r="Y53" s="105"/>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row>
    <row r="54" spans="1:60" s="185" customFormat="1" ht="12.75" hidden="1" customHeight="1" outlineLevel="1">
      <c r="A54" s="11"/>
      <c r="B54" s="44"/>
      <c r="C54" s="128" t="str">
        <f>Asset15</f>
        <v>Furniture, fittings, plant and equipment</v>
      </c>
      <c r="D54" s="11"/>
      <c r="E54" s="11"/>
      <c r="F54" s="458">
        <f>Input!G56-Input!G90</f>
        <v>5.1463040990344</v>
      </c>
      <c r="G54" s="208">
        <f>Input!H56-Input!H90</f>
        <v>7.0695196098252646</v>
      </c>
      <c r="H54" s="105">
        <f>Input!I56-Input!I90</f>
        <v>6.5889059939300099</v>
      </c>
      <c r="I54" s="105">
        <f>Input!J56-Input!J90</f>
        <v>6.7902933273198061</v>
      </c>
      <c r="J54" s="105">
        <f>Input!K56-Input!K90</f>
        <v>4.2078227211102588</v>
      </c>
      <c r="K54" s="105">
        <f>Input!L56-Input!L90</f>
        <v>3.8512281100000001</v>
      </c>
      <c r="L54" s="105">
        <f>Input!M56-Input!M90</f>
        <v>0</v>
      </c>
      <c r="M54" s="105">
        <f>Input!N56-Input!N90</f>
        <v>0</v>
      </c>
      <c r="N54" s="105">
        <f>Input!O56-Input!O90</f>
        <v>0</v>
      </c>
      <c r="O54" s="105">
        <f>Input!P56-Input!P90</f>
        <v>0</v>
      </c>
      <c r="P54" s="105">
        <f>Input!Q56-Input!Q90</f>
        <v>0</v>
      </c>
      <c r="Q54" s="105"/>
      <c r="R54" s="105"/>
      <c r="S54" s="105"/>
      <c r="T54" s="105"/>
      <c r="U54" s="105"/>
      <c r="V54" s="105"/>
      <c r="W54" s="105"/>
      <c r="X54" s="105"/>
      <c r="Y54" s="105"/>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row>
    <row r="55" spans="1:60" s="185" customFormat="1" ht="12.75" hidden="1" customHeight="1" outlineLevel="1">
      <c r="A55" s="11"/>
      <c r="B55" s="44"/>
      <c r="C55" s="128" t="str">
        <f>Asset16</f>
        <v>Land (non-system)</v>
      </c>
      <c r="D55" s="11"/>
      <c r="E55" s="11"/>
      <c r="F55" s="458">
        <f>Input!G57-Input!G91</f>
        <v>11.2</v>
      </c>
      <c r="G55" s="208">
        <f>Input!H57-Input!H91</f>
        <v>18.6265015</v>
      </c>
      <c r="H55" s="105">
        <f>Input!I57-Input!I91</f>
        <v>6.186337</v>
      </c>
      <c r="I55" s="105">
        <f>Input!J57-Input!J91</f>
        <v>7.9395918442180458</v>
      </c>
      <c r="J55" s="105">
        <f>Input!K57-Input!K91</f>
        <v>-0.11098722201000327</v>
      </c>
      <c r="K55" s="105">
        <f>Input!L57-Input!L91</f>
        <v>-54.057006135880087</v>
      </c>
      <c r="L55" s="105">
        <f>Input!M57-Input!M91</f>
        <v>0</v>
      </c>
      <c r="M55" s="105">
        <f>Input!N57-Input!N91</f>
        <v>0</v>
      </c>
      <c r="N55" s="105">
        <f>Input!O57-Input!O91</f>
        <v>0</v>
      </c>
      <c r="O55" s="105">
        <f>Input!P57-Input!P91</f>
        <v>0</v>
      </c>
      <c r="P55" s="105">
        <f>Input!Q57-Input!Q91</f>
        <v>0</v>
      </c>
      <c r="Q55" s="105"/>
      <c r="R55" s="105"/>
      <c r="S55" s="105"/>
      <c r="T55" s="105"/>
      <c r="U55" s="105"/>
      <c r="V55" s="105"/>
      <c r="W55" s="105"/>
      <c r="X55" s="105"/>
      <c r="Y55" s="105"/>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row>
    <row r="56" spans="1:60" s="185" customFormat="1" ht="12.75" hidden="1" customHeight="1" outlineLevel="1">
      <c r="A56" s="11"/>
      <c r="B56" s="44"/>
      <c r="C56" s="128" t="str">
        <f>Asset17</f>
        <v>Other non system assets</v>
      </c>
      <c r="D56" s="11"/>
      <c r="E56" s="11"/>
      <c r="F56" s="458">
        <f>Input!G58-Input!G92</f>
        <v>0.7</v>
      </c>
      <c r="G56" s="208">
        <f>Input!H58-Input!H92</f>
        <v>0.33585530122773799</v>
      </c>
      <c r="H56" s="105">
        <f>Input!I58-Input!I92</f>
        <v>8.4895495322999989E-2</v>
      </c>
      <c r="I56" s="105">
        <f>Input!J58-Input!J92</f>
        <v>1.0888254988163675</v>
      </c>
      <c r="J56" s="105">
        <f>Input!K58-Input!K92</f>
        <v>0.16062966013500002</v>
      </c>
      <c r="K56" s="105">
        <f>Input!L58-Input!L92</f>
        <v>0.55486943000000011</v>
      </c>
      <c r="L56" s="105">
        <f>Input!M58-Input!M92</f>
        <v>0</v>
      </c>
      <c r="M56" s="105">
        <f>Input!N58-Input!N92</f>
        <v>0</v>
      </c>
      <c r="N56" s="105">
        <f>Input!O58-Input!O92</f>
        <v>0</v>
      </c>
      <c r="O56" s="105">
        <f>Input!P58-Input!P92</f>
        <v>0</v>
      </c>
      <c r="P56" s="105">
        <f>Input!Q58-Input!Q92</f>
        <v>0</v>
      </c>
      <c r="Q56" s="105"/>
      <c r="R56" s="105"/>
      <c r="S56" s="105"/>
      <c r="T56" s="105"/>
      <c r="U56" s="105"/>
      <c r="V56" s="105"/>
      <c r="W56" s="105"/>
      <c r="X56" s="105"/>
      <c r="Y56" s="105"/>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row>
    <row r="57" spans="1:60" s="185" customFormat="1" ht="12.75" hidden="1" customHeight="1" outlineLevel="1">
      <c r="A57" s="11"/>
      <c r="B57" s="44"/>
      <c r="C57" s="128" t="str">
        <f>Asset18</f>
        <v>IT systems</v>
      </c>
      <c r="D57" s="11"/>
      <c r="E57" s="11"/>
      <c r="F57" s="458">
        <f>Input!G59-Input!G93</f>
        <v>85.238499999999988</v>
      </c>
      <c r="G57" s="208">
        <f>Input!H59-Input!H93</f>
        <v>44.322597436834201</v>
      </c>
      <c r="H57" s="105">
        <f>Input!I59-Input!I93</f>
        <v>49.983254761561</v>
      </c>
      <c r="I57" s="105">
        <f>Input!J59-Input!J93</f>
        <v>32.238231489576044</v>
      </c>
      <c r="J57" s="105">
        <f>Input!K59-Input!K93</f>
        <v>24.906676623142236</v>
      </c>
      <c r="K57" s="105">
        <f>Input!L59-Input!L93</f>
        <v>24.951590285770937</v>
      </c>
      <c r="L57" s="105">
        <f>Input!M59-Input!M93</f>
        <v>0</v>
      </c>
      <c r="M57" s="105">
        <f>Input!N59-Input!N93</f>
        <v>0</v>
      </c>
      <c r="N57" s="105">
        <f>Input!O59-Input!O93</f>
        <v>0</v>
      </c>
      <c r="O57" s="105">
        <f>Input!P59-Input!P93</f>
        <v>0</v>
      </c>
      <c r="P57" s="105">
        <f>Input!Q59-Input!Q93</f>
        <v>0</v>
      </c>
      <c r="Q57" s="105"/>
      <c r="R57" s="105"/>
      <c r="S57" s="105"/>
      <c r="T57" s="105"/>
      <c r="U57" s="105"/>
      <c r="V57" s="105"/>
      <c r="W57" s="105"/>
      <c r="X57" s="105"/>
      <c r="Y57" s="105"/>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row>
    <row r="58" spans="1:60" s="185" customFormat="1" ht="12.75" hidden="1" customHeight="1" outlineLevel="1">
      <c r="A58" s="11"/>
      <c r="B58" s="44"/>
      <c r="C58" s="128" t="str">
        <f>Asset19</f>
        <v>Motor vehicles</v>
      </c>
      <c r="D58" s="11"/>
      <c r="E58" s="11"/>
      <c r="F58" s="458">
        <f>Input!G60-Input!G94</f>
        <v>22.870834231266599</v>
      </c>
      <c r="G58" s="208">
        <f>Input!H60-Input!H94</f>
        <v>23.043586890681382</v>
      </c>
      <c r="H58" s="105">
        <f>Input!I60-Input!I94</f>
        <v>24.618382467554888</v>
      </c>
      <c r="I58" s="105">
        <f>Input!J60-Input!J94</f>
        <v>26.896424514740964</v>
      </c>
      <c r="J58" s="105">
        <f>Input!K60-Input!K94</f>
        <v>11.405670229099176</v>
      </c>
      <c r="K58" s="105">
        <f>Input!L60-Input!L94</f>
        <v>6.825999304656416</v>
      </c>
      <c r="L58" s="105">
        <f>Input!M60-Input!M94</f>
        <v>0</v>
      </c>
      <c r="M58" s="105">
        <f>Input!N60-Input!N94</f>
        <v>0</v>
      </c>
      <c r="N58" s="105">
        <f>Input!O60-Input!O94</f>
        <v>0</v>
      </c>
      <c r="O58" s="105">
        <f>Input!P60-Input!P94</f>
        <v>0</v>
      </c>
      <c r="P58" s="105">
        <f>Input!Q60-Input!Q94</f>
        <v>0</v>
      </c>
      <c r="Q58" s="105"/>
      <c r="R58" s="105"/>
      <c r="S58" s="105"/>
      <c r="T58" s="105"/>
      <c r="U58" s="105"/>
      <c r="V58" s="105"/>
      <c r="W58" s="105"/>
      <c r="X58" s="105"/>
      <c r="Y58" s="105"/>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row>
    <row r="59" spans="1:60" s="185" customFormat="1" ht="12.75" hidden="1" customHeight="1" outlineLevel="1">
      <c r="A59" s="11"/>
      <c r="B59" s="44"/>
      <c r="C59" s="128" t="str">
        <f>Asset20</f>
        <v>Buildings</v>
      </c>
      <c r="D59" s="11"/>
      <c r="E59" s="11"/>
      <c r="F59" s="458">
        <f>Input!G61-Input!G95</f>
        <v>55</v>
      </c>
      <c r="G59" s="208">
        <f>Input!H61-Input!H95</f>
        <v>62.777201993559125</v>
      </c>
      <c r="H59" s="105">
        <f>Input!I61-Input!I95</f>
        <v>59.000986418083798</v>
      </c>
      <c r="I59" s="105">
        <f>Input!J61-Input!J95</f>
        <v>29.523516374389207</v>
      </c>
      <c r="J59" s="105">
        <f>Input!K61-Input!K95</f>
        <v>17.927694073285</v>
      </c>
      <c r="K59" s="105">
        <f>Input!L61-Input!L95</f>
        <v>-37.125631769199408</v>
      </c>
      <c r="L59" s="105">
        <f>Input!M61-Input!M95</f>
        <v>0</v>
      </c>
      <c r="M59" s="105">
        <f>Input!N61-Input!N95</f>
        <v>0</v>
      </c>
      <c r="N59" s="105">
        <f>Input!O61-Input!O95</f>
        <v>0</v>
      </c>
      <c r="O59" s="105">
        <f>Input!P61-Input!P95</f>
        <v>0</v>
      </c>
      <c r="P59" s="105">
        <f>Input!Q61-Input!Q95</f>
        <v>0</v>
      </c>
      <c r="Q59" s="105"/>
      <c r="R59" s="105"/>
      <c r="S59" s="105"/>
      <c r="T59" s="105"/>
      <c r="U59" s="105"/>
      <c r="V59" s="105"/>
      <c r="W59" s="105"/>
      <c r="X59" s="105"/>
      <c r="Y59" s="105"/>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row>
    <row r="60" spans="1:60" s="185" customFormat="1" ht="12" hidden="1" customHeight="1" outlineLevel="1">
      <c r="A60" s="11"/>
      <c r="B60" s="44"/>
      <c r="C60" s="128" t="str">
        <f>Asset21</f>
        <v>Equity raising costs</v>
      </c>
      <c r="D60" s="11"/>
      <c r="E60" s="11"/>
      <c r="F60" s="458">
        <f>Input!G62-Input!G96</f>
        <v>0</v>
      </c>
      <c r="G60" s="208">
        <f>Input!H62-Input!H96</f>
        <v>25.818212380082496</v>
      </c>
      <c r="H60" s="105">
        <f>Input!I62-Input!I96</f>
        <v>0</v>
      </c>
      <c r="I60" s="105">
        <f>Input!J62-Input!J96</f>
        <v>0</v>
      </c>
      <c r="J60" s="105">
        <f>Input!K62-Input!K96</f>
        <v>0</v>
      </c>
      <c r="K60" s="105">
        <f>Input!L62-Input!L96</f>
        <v>0</v>
      </c>
      <c r="L60" s="105">
        <f>Input!M62-Input!M96</f>
        <v>0</v>
      </c>
      <c r="M60" s="105">
        <f>Input!N62-Input!N96</f>
        <v>0</v>
      </c>
      <c r="N60" s="105">
        <f>Input!O62-Input!O96</f>
        <v>0</v>
      </c>
      <c r="O60" s="105">
        <f>Input!P62-Input!P96</f>
        <v>0</v>
      </c>
      <c r="P60" s="105">
        <f>Input!Q62-Input!Q96</f>
        <v>0</v>
      </c>
      <c r="Q60" s="105"/>
      <c r="R60" s="105"/>
      <c r="S60" s="105"/>
      <c r="T60" s="105"/>
      <c r="U60" s="105"/>
      <c r="V60" s="105"/>
      <c r="W60" s="105"/>
      <c r="X60" s="105"/>
      <c r="Y60" s="105"/>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row>
    <row r="61" spans="1:60" s="185" customFormat="1" ht="4.5" hidden="1" customHeight="1" outlineLevel="1">
      <c r="A61" s="11"/>
      <c r="B61" s="44"/>
      <c r="C61" s="128">
        <f>Asset22</f>
        <v>0</v>
      </c>
      <c r="D61" s="11"/>
      <c r="E61" s="11"/>
      <c r="F61" s="458"/>
      <c r="G61" s="208">
        <f>Input!H63-Input!H97</f>
        <v>0</v>
      </c>
      <c r="H61" s="105">
        <f>Input!I63-Input!I97</f>
        <v>0</v>
      </c>
      <c r="I61" s="105">
        <f>Input!J63-Input!J97</f>
        <v>0</v>
      </c>
      <c r="J61" s="105">
        <f>Input!K63-Input!K97</f>
        <v>0</v>
      </c>
      <c r="K61" s="105">
        <f>Input!L63-Input!L97</f>
        <v>0</v>
      </c>
      <c r="L61" s="105">
        <f>Input!M63-Input!M97</f>
        <v>0</v>
      </c>
      <c r="M61" s="105">
        <f>Input!N63-Input!N97</f>
        <v>0</v>
      </c>
      <c r="N61" s="105">
        <f>Input!O63-Input!O97</f>
        <v>0</v>
      </c>
      <c r="O61" s="105">
        <f>Input!P63-Input!P97</f>
        <v>0</v>
      </c>
      <c r="P61" s="105">
        <f>Input!Q63-Input!Q97</f>
        <v>0</v>
      </c>
      <c r="Q61" s="105"/>
      <c r="R61" s="105"/>
      <c r="S61" s="105"/>
      <c r="T61" s="105"/>
      <c r="U61" s="105"/>
      <c r="V61" s="105"/>
      <c r="W61" s="105"/>
      <c r="X61" s="105"/>
      <c r="Y61" s="105"/>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row>
    <row r="62" spans="1:60" s="185" customFormat="1" ht="4.5" hidden="1" customHeight="1" outlineLevel="1">
      <c r="A62" s="11"/>
      <c r="B62" s="44"/>
      <c r="C62" s="128">
        <f>Asset23</f>
        <v>0</v>
      </c>
      <c r="D62" s="11"/>
      <c r="E62" s="11"/>
      <c r="F62" s="458"/>
      <c r="G62" s="208">
        <f>Input!H64-Input!H98</f>
        <v>0</v>
      </c>
      <c r="H62" s="105">
        <f>Input!I64-Input!I98</f>
        <v>0</v>
      </c>
      <c r="I62" s="105">
        <f>Input!J64-Input!J98</f>
        <v>0</v>
      </c>
      <c r="J62" s="105">
        <f>Input!K64-Input!K98</f>
        <v>0</v>
      </c>
      <c r="K62" s="105">
        <f>Input!L64-Input!L98</f>
        <v>0</v>
      </c>
      <c r="L62" s="105">
        <f>Input!M64-Input!M98</f>
        <v>0</v>
      </c>
      <c r="M62" s="105">
        <f>Input!N64-Input!N98</f>
        <v>0</v>
      </c>
      <c r="N62" s="105">
        <f>Input!O64-Input!O98</f>
        <v>0</v>
      </c>
      <c r="O62" s="105">
        <f>Input!P64-Input!P98</f>
        <v>0</v>
      </c>
      <c r="P62" s="105">
        <f>Input!Q64-Input!Q98</f>
        <v>0</v>
      </c>
      <c r="Q62" s="105"/>
      <c r="R62" s="105"/>
      <c r="S62" s="105"/>
      <c r="T62" s="105"/>
      <c r="U62" s="105"/>
      <c r="V62" s="105"/>
      <c r="W62" s="105"/>
      <c r="X62" s="105"/>
      <c r="Y62" s="105"/>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row>
    <row r="63" spans="1:60" s="185" customFormat="1" ht="4.5" hidden="1" customHeight="1" outlineLevel="1">
      <c r="A63" s="11"/>
      <c r="B63" s="44"/>
      <c r="C63" s="128">
        <f>Asset24</f>
        <v>0</v>
      </c>
      <c r="D63" s="11"/>
      <c r="E63" s="11"/>
      <c r="F63" s="203"/>
      <c r="G63" s="105">
        <f>Input!H65-Input!H99</f>
        <v>0</v>
      </c>
      <c r="H63" s="105">
        <f>Input!I65-Input!I99</f>
        <v>0</v>
      </c>
      <c r="I63" s="105">
        <f>Input!J65-Input!J99</f>
        <v>0</v>
      </c>
      <c r="J63" s="105">
        <f>Input!K65-Input!K99</f>
        <v>0</v>
      </c>
      <c r="K63" s="105">
        <f>Input!L65-Input!L99</f>
        <v>0</v>
      </c>
      <c r="L63" s="105">
        <f>Input!M65-Input!M99</f>
        <v>0</v>
      </c>
      <c r="M63" s="105">
        <f>Input!N65-Input!N99</f>
        <v>0</v>
      </c>
      <c r="N63" s="105">
        <f>Input!O65-Input!O99</f>
        <v>0</v>
      </c>
      <c r="O63" s="105">
        <f>Input!P65-Input!P99</f>
        <v>0</v>
      </c>
      <c r="P63" s="105">
        <f>Input!Q65-Input!Q99</f>
        <v>0</v>
      </c>
      <c r="Q63" s="105"/>
      <c r="R63" s="105"/>
      <c r="S63" s="105"/>
      <c r="T63" s="105"/>
      <c r="U63" s="105"/>
      <c r="V63" s="105"/>
      <c r="W63" s="105"/>
      <c r="X63" s="105"/>
      <c r="Y63" s="105"/>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4" s="11"/>
      <c r="B64" s="44"/>
      <c r="C64" s="128">
        <f>Asset25</f>
        <v>0</v>
      </c>
      <c r="D64" s="11"/>
      <c r="E64" s="11"/>
      <c r="F64" s="203"/>
      <c r="G64" s="105">
        <f>Input!H66-Input!H100</f>
        <v>0</v>
      </c>
      <c r="H64" s="105">
        <f>Input!I66-Input!I100</f>
        <v>0</v>
      </c>
      <c r="I64" s="105">
        <f>Input!J66-Input!J100</f>
        <v>0</v>
      </c>
      <c r="J64" s="105">
        <f>Input!K66-Input!K100</f>
        <v>0</v>
      </c>
      <c r="K64" s="105">
        <f>Input!L66-Input!L100</f>
        <v>0</v>
      </c>
      <c r="L64" s="105">
        <f>Input!M66-Input!M100</f>
        <v>0</v>
      </c>
      <c r="M64" s="105">
        <f>Input!N66-Input!N100</f>
        <v>0</v>
      </c>
      <c r="N64" s="105">
        <f>Input!O66-Input!O100</f>
        <v>0</v>
      </c>
      <c r="O64" s="105">
        <f>Input!P66-Input!P100</f>
        <v>0</v>
      </c>
      <c r="P64" s="105">
        <f>Input!Q66-Input!Q100</f>
        <v>0</v>
      </c>
      <c r="Q64" s="105"/>
      <c r="R64" s="105"/>
      <c r="S64" s="105"/>
      <c r="T64" s="105"/>
      <c r="U64" s="105"/>
      <c r="V64" s="105"/>
      <c r="W64" s="105"/>
      <c r="X64" s="105"/>
      <c r="Y64" s="105"/>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row>
    <row r="65" spans="1:60" s="185" customFormat="1" ht="4.5" hidden="1" customHeight="1" outlineLevel="1">
      <c r="A65" s="11"/>
      <c r="B65" s="44"/>
      <c r="C65" s="128">
        <f>Asset26</f>
        <v>0</v>
      </c>
      <c r="D65" s="11"/>
      <c r="E65" s="11"/>
      <c r="F65" s="203"/>
      <c r="G65" s="105">
        <f>Input!H67-Input!H101</f>
        <v>0</v>
      </c>
      <c r="H65" s="105">
        <f>Input!I67-Input!I101</f>
        <v>0</v>
      </c>
      <c r="I65" s="105">
        <f>Input!J67-Input!J101</f>
        <v>0</v>
      </c>
      <c r="J65" s="105">
        <f>Input!K67-Input!K101</f>
        <v>0</v>
      </c>
      <c r="K65" s="105">
        <f>Input!L67-Input!L101</f>
        <v>0</v>
      </c>
      <c r="L65" s="105">
        <f>Input!M67-Input!M101</f>
        <v>0</v>
      </c>
      <c r="M65" s="105">
        <f>Input!N67-Input!N101</f>
        <v>0</v>
      </c>
      <c r="N65" s="105">
        <f>Input!O67-Input!O101</f>
        <v>0</v>
      </c>
      <c r="O65" s="105">
        <f>Input!P67-Input!P101</f>
        <v>0</v>
      </c>
      <c r="P65" s="105">
        <f>Input!Q67-Input!Q101</f>
        <v>0</v>
      </c>
      <c r="Q65" s="105"/>
      <c r="R65" s="105"/>
      <c r="S65" s="105"/>
      <c r="T65" s="105"/>
      <c r="U65" s="105"/>
      <c r="V65" s="105"/>
      <c r="W65" s="105"/>
      <c r="X65" s="105"/>
      <c r="Y65" s="105"/>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row>
    <row r="66" spans="1:60" s="185" customFormat="1" ht="4.5" hidden="1" customHeight="1" outlineLevel="1">
      <c r="A66" s="11"/>
      <c r="B66" s="44"/>
      <c r="C66" s="128">
        <f>Asset27</f>
        <v>0</v>
      </c>
      <c r="D66" s="11"/>
      <c r="E66" s="11"/>
      <c r="F66" s="203"/>
      <c r="G66" s="105">
        <f>Input!H68-Input!H102</f>
        <v>0</v>
      </c>
      <c r="H66" s="105">
        <f>Input!I68-Input!I102</f>
        <v>0</v>
      </c>
      <c r="I66" s="105">
        <f>Input!J68-Input!J102</f>
        <v>0</v>
      </c>
      <c r="J66" s="105">
        <f>Input!K68-Input!K102</f>
        <v>0</v>
      </c>
      <c r="K66" s="105">
        <f>Input!L68-Input!L102</f>
        <v>0</v>
      </c>
      <c r="L66" s="105">
        <f>Input!M68-Input!M102</f>
        <v>0</v>
      </c>
      <c r="M66" s="105">
        <f>Input!N68-Input!N102</f>
        <v>0</v>
      </c>
      <c r="N66" s="105">
        <f>Input!O68-Input!O102</f>
        <v>0</v>
      </c>
      <c r="O66" s="105">
        <f>Input!P68-Input!P102</f>
        <v>0</v>
      </c>
      <c r="P66" s="105">
        <f>Input!Q68-Input!Q102</f>
        <v>0</v>
      </c>
      <c r="Q66" s="105"/>
      <c r="R66" s="105"/>
      <c r="S66" s="105"/>
      <c r="T66" s="105"/>
      <c r="U66" s="105"/>
      <c r="V66" s="105"/>
      <c r="W66" s="105"/>
      <c r="X66" s="105"/>
      <c r="Y66" s="105"/>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row>
    <row r="67" spans="1:60" s="185" customFormat="1" ht="4.5" hidden="1" customHeight="1" outlineLevel="1">
      <c r="A67" s="11"/>
      <c r="B67" s="44"/>
      <c r="C67" s="128">
        <f>Asset28</f>
        <v>0</v>
      </c>
      <c r="D67" s="11"/>
      <c r="E67" s="11"/>
      <c r="F67" s="203"/>
      <c r="G67" s="105">
        <f>Input!H69-Input!H103</f>
        <v>0</v>
      </c>
      <c r="H67" s="105">
        <f>Input!I69-Input!I103</f>
        <v>0</v>
      </c>
      <c r="I67" s="105">
        <f>Input!J69-Input!J103</f>
        <v>0</v>
      </c>
      <c r="J67" s="105">
        <f>Input!K69-Input!K103</f>
        <v>0</v>
      </c>
      <c r="K67" s="105">
        <f>Input!L69-Input!L103</f>
        <v>0</v>
      </c>
      <c r="L67" s="105">
        <f>Input!M69-Input!M103</f>
        <v>0</v>
      </c>
      <c r="M67" s="105">
        <f>Input!N69-Input!N103</f>
        <v>0</v>
      </c>
      <c r="N67" s="105">
        <f>Input!O69-Input!O103</f>
        <v>0</v>
      </c>
      <c r="O67" s="105">
        <f>Input!P69-Input!P103</f>
        <v>0</v>
      </c>
      <c r="P67" s="105">
        <f>Input!Q69-Input!Q103</f>
        <v>0</v>
      </c>
      <c r="Q67" s="105"/>
      <c r="R67" s="105"/>
      <c r="S67" s="105"/>
      <c r="T67" s="105"/>
      <c r="U67" s="105"/>
      <c r="V67" s="105"/>
      <c r="W67" s="105"/>
      <c r="X67" s="105"/>
      <c r="Y67" s="105"/>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row>
    <row r="68" spans="1:60" s="185" customFormat="1" ht="4.5" hidden="1" customHeight="1" outlineLevel="1">
      <c r="A68" s="11"/>
      <c r="B68" s="44"/>
      <c r="C68" s="128">
        <f>Asset29</f>
        <v>0</v>
      </c>
      <c r="D68" s="11"/>
      <c r="E68" s="11"/>
      <c r="F68" s="203"/>
      <c r="G68" s="105">
        <f>Input!H70-Input!H104</f>
        <v>0</v>
      </c>
      <c r="H68" s="105">
        <f>Input!I70-Input!I104</f>
        <v>0</v>
      </c>
      <c r="I68" s="105">
        <f>Input!J70-Input!J104</f>
        <v>0</v>
      </c>
      <c r="J68" s="105">
        <f>Input!K70-Input!K104</f>
        <v>0</v>
      </c>
      <c r="K68" s="105">
        <f>Input!L70-Input!L104</f>
        <v>0</v>
      </c>
      <c r="L68" s="105">
        <f>Input!M70-Input!M104</f>
        <v>0</v>
      </c>
      <c r="M68" s="105">
        <f>Input!N70-Input!N104</f>
        <v>0</v>
      </c>
      <c r="N68" s="105">
        <f>Input!O70-Input!O104</f>
        <v>0</v>
      </c>
      <c r="O68" s="105">
        <f>Input!P70-Input!P104</f>
        <v>0</v>
      </c>
      <c r="P68" s="105">
        <f>Input!Q70-Input!Q104</f>
        <v>0</v>
      </c>
      <c r="Q68" s="105"/>
      <c r="R68" s="105"/>
      <c r="S68" s="105"/>
      <c r="T68" s="105"/>
      <c r="U68" s="105"/>
      <c r="V68" s="105"/>
      <c r="W68" s="105"/>
      <c r="X68" s="105"/>
      <c r="Y68" s="105"/>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row>
    <row r="69" spans="1:60" s="185" customFormat="1" ht="4.5" hidden="1" customHeight="1" outlineLevel="1">
      <c r="A69" s="11"/>
      <c r="B69" s="44"/>
      <c r="C69" s="128">
        <f>Asset30</f>
        <v>0</v>
      </c>
      <c r="D69" s="11"/>
      <c r="E69" s="11"/>
      <c r="F69" s="203"/>
      <c r="G69" s="105">
        <f>Input!H71-Input!H105</f>
        <v>0</v>
      </c>
      <c r="H69" s="105">
        <f>Input!I71-Input!I105</f>
        <v>0</v>
      </c>
      <c r="I69" s="105">
        <f>Input!J71-Input!J105</f>
        <v>0</v>
      </c>
      <c r="J69" s="105">
        <f>Input!K71-Input!K105</f>
        <v>0</v>
      </c>
      <c r="K69" s="105">
        <f>Input!L71-Input!L105</f>
        <v>0</v>
      </c>
      <c r="L69" s="105">
        <f>Input!M71-Input!M105</f>
        <v>0</v>
      </c>
      <c r="M69" s="105">
        <f>Input!N71-Input!N105</f>
        <v>0</v>
      </c>
      <c r="N69" s="105">
        <f>Input!O71-Input!O105</f>
        <v>0</v>
      </c>
      <c r="O69" s="105">
        <f>Input!P71-Input!P105</f>
        <v>0</v>
      </c>
      <c r="P69" s="105">
        <f>Input!Q71-Input!Q105</f>
        <v>0</v>
      </c>
      <c r="Q69" s="105"/>
      <c r="R69" s="105"/>
      <c r="S69" s="105"/>
      <c r="T69" s="105"/>
      <c r="U69" s="105"/>
      <c r="V69" s="105"/>
      <c r="W69" s="105"/>
      <c r="X69" s="105"/>
      <c r="Y69" s="105"/>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s="185" customFormat="1" collapsed="1">
      <c r="A70" s="11"/>
      <c r="B70" s="16"/>
      <c r="C70" s="11"/>
      <c r="D70" s="11"/>
      <c r="E70" s="11"/>
      <c r="F70" s="203"/>
      <c r="G70" s="105"/>
      <c r="H70" s="105"/>
      <c r="I70" s="105"/>
      <c r="J70" s="105"/>
      <c r="K70" s="105"/>
      <c r="L70" s="105"/>
      <c r="M70" s="105"/>
      <c r="N70" s="105"/>
      <c r="O70" s="105"/>
      <c r="P70" s="105"/>
      <c r="Q70" s="105"/>
      <c r="R70" s="105"/>
      <c r="S70" s="105"/>
      <c r="T70" s="105"/>
      <c r="U70" s="105"/>
      <c r="V70" s="105"/>
      <c r="W70" s="105"/>
      <c r="X70" s="105"/>
      <c r="Y70" s="105"/>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row>
    <row r="71" spans="1:60" s="185" customFormat="1">
      <c r="A71" s="9"/>
      <c r="B71" s="9" t="s">
        <v>69</v>
      </c>
      <c r="C71" s="9"/>
      <c r="D71" s="9"/>
      <c r="E71" s="9"/>
      <c r="F71" s="191"/>
      <c r="G71" s="343">
        <f>G84+G97+G110+G123+G136+G149+G162+G175+G188+G201+G214+G227+G240+G253+G266+G279+G292+G305+G318+G331+G344</f>
        <v>-298.75766541010847</v>
      </c>
      <c r="H71" s="343">
        <f t="shared" ref="H71:P71" si="13">H84+H97+H110+H123+H136+H149+H162+H175+H188+H201+H214+H227+H240+H253+H266+H279+H292+H305+H318+H331+H344</f>
        <v>-224.59818425168399</v>
      </c>
      <c r="I71" s="343">
        <f t="shared" si="13"/>
        <v>-262.6491090203275</v>
      </c>
      <c r="J71" s="343">
        <f t="shared" si="13"/>
        <v>-299.46056793560024</v>
      </c>
      <c r="K71" s="343">
        <f t="shared" si="13"/>
        <v>-316.66160874857246</v>
      </c>
      <c r="L71" s="343">
        <f t="shared" si="13"/>
        <v>0</v>
      </c>
      <c r="M71" s="343">
        <f t="shared" si="13"/>
        <v>0</v>
      </c>
      <c r="N71" s="343">
        <f t="shared" si="13"/>
        <v>0</v>
      </c>
      <c r="O71" s="343">
        <f t="shared" si="13"/>
        <v>0</v>
      </c>
      <c r="P71" s="343">
        <f t="shared" si="13"/>
        <v>0</v>
      </c>
      <c r="Q71" s="110"/>
      <c r="R71" s="188"/>
      <c r="S71" s="301"/>
      <c r="T71" s="301"/>
      <c r="U71" s="188"/>
      <c r="V71" s="188"/>
      <c r="W71" s="188"/>
      <c r="X71" s="188"/>
      <c r="Y71" s="188"/>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s="185" customFormat="1" ht="12.75" hidden="1" customHeight="1" outlineLevel="2">
      <c r="A72" s="9"/>
      <c r="B72" s="31" t="str">
        <f>Asset1</f>
        <v>Sub-transmission lines and cables</v>
      </c>
      <c r="C72" s="32"/>
      <c r="D72" s="33" t="s">
        <v>65</v>
      </c>
      <c r="E72" s="32"/>
      <c r="F72" s="191"/>
      <c r="G72" s="459">
        <f>'Tax asset base adjustments'!Q35</f>
        <v>27.512761693328919</v>
      </c>
      <c r="H72" s="459">
        <f>'Tax asset base adjustments'!R35</f>
        <v>12.937347735152414</v>
      </c>
      <c r="I72" s="459">
        <f>'Tax asset base adjustments'!S35</f>
        <v>12.604873199824224</v>
      </c>
      <c r="J72" s="459">
        <f>'Tax asset base adjustments'!T35</f>
        <v>12.541691360544791</v>
      </c>
      <c r="K72" s="459">
        <f>'Tax asset base adjustments'!U35</f>
        <v>12.202216679090052</v>
      </c>
      <c r="L72" s="344"/>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2"/>
      <c r="S72" s="301">
        <f>SUM(K72:K77)</f>
        <v>21.796061110740052</v>
      </c>
      <c r="T72" s="301"/>
      <c r="U72" s="102"/>
      <c r="V72" s="102"/>
      <c r="W72" s="102"/>
      <c r="X72" s="102"/>
      <c r="Y72" s="102"/>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s="185" customFormat="1" ht="12.75" hidden="1" customHeight="1" outlineLevel="2">
      <c r="A73" s="9"/>
      <c r="B73" s="25"/>
      <c r="C73" s="24"/>
      <c r="D73" s="491" t="s">
        <v>83</v>
      </c>
      <c r="E73" s="85">
        <v>0</v>
      </c>
      <c r="F73" s="302"/>
      <c r="G73" s="67"/>
      <c r="H73" s="67"/>
      <c r="I73" s="67"/>
      <c r="J73" s="67"/>
      <c r="K73" s="67"/>
      <c r="L73" s="67"/>
      <c r="M73" s="67"/>
      <c r="N73" s="67"/>
      <c r="O73" s="67"/>
      <c r="P73" s="67"/>
      <c r="Q73" s="67"/>
      <c r="R73" s="102"/>
      <c r="S73" s="102"/>
      <c r="T73" s="102"/>
      <c r="U73" s="102"/>
      <c r="V73" s="102"/>
      <c r="W73" s="102"/>
      <c r="X73" s="102"/>
      <c r="Y73" s="102"/>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s="185" customFormat="1" ht="12.75" hidden="1" customHeight="1" outlineLevel="2">
      <c r="A74" s="9"/>
      <c r="B74" s="25"/>
      <c r="C74" s="24"/>
      <c r="D74" s="492"/>
      <c r="E74" s="85">
        <v>1</v>
      </c>
      <c r="F74" s="191"/>
      <c r="G74" s="147"/>
      <c r="H74" s="67">
        <f>IF(A1taxstdlife="n/a","n/a",IF(H$3&gt;(A1taxstdlife+$E74),(Input!$H$42-Input!$H$76)-SUM($G74:G74),(Input!$H$42-Input!$H$76)/A1taxstdlife))</f>
        <v>2.434469964525579</v>
      </c>
      <c r="I74" s="67">
        <f>IF(A1taxstdlife="n/a","n/a",IF(I$3&gt;(A1taxstdlife+$E74),(Input!$H$42-Input!$H$76)-SUM($G74:H74),(Input!$H$42-Input!$H$76)/A1taxstdlife))</f>
        <v>2.434469964525579</v>
      </c>
      <c r="J74" s="67">
        <f>IF(A1taxstdlife="n/a","n/a",IF(J$3&gt;(A1taxstdlife+$E74),(Input!$H$42-Input!$H$76)-SUM($G74:I74),(Input!$H$42-Input!$H$76)/A1taxstdlife))</f>
        <v>2.434469964525579</v>
      </c>
      <c r="K74" s="67">
        <f>IF(A1taxstdlife="n/a","n/a",IF(K$3&gt;(A1taxstdlife+$E74),(Input!$H$42-Input!$H$76)-SUM($G74:J74),(Input!$H$42-Input!$H$76)/A1taxstdlife))</f>
        <v>2.434469964525579</v>
      </c>
      <c r="L74" s="67"/>
      <c r="M74" s="67">
        <f>IF(A1taxstdlife="n/a","n/a",IF(M$3&gt;(A1taxstdlife+$E74),(Input!$H$42-Input!$H$76)-SUM($G74:L74),(Input!$H$42-Input!$H$76)/A1taxstdlife))</f>
        <v>2.434469964525579</v>
      </c>
      <c r="N74" s="67">
        <f>IF(A1taxstdlife="n/a","n/a",IF(N$3&gt;(A1taxstdlife+$E74),(Input!$H$42-Input!$H$76)-SUM($G74:M74),(Input!$H$42-Input!$H$76)/A1taxstdlife))</f>
        <v>2.434469964525579</v>
      </c>
      <c r="O74" s="67">
        <f>IF(A1taxstdlife="n/a","n/a",IF(O$3&gt;(A1taxstdlife+$E74),(Input!$H$42-Input!$H$76)-SUM($G74:N74),(Input!$H$42-Input!$H$76)/A1taxstdlife))</f>
        <v>2.434469964525579</v>
      </c>
      <c r="P74" s="67">
        <f>IF(A1taxstdlife="n/a","n/a",IF(P$3&gt;(A1taxstdlife+$E74),(Input!$H$42-Input!$H$76)-SUM($G74:O74),(Input!$H$42-Input!$H$76)/A1taxstdlife))</f>
        <v>2.434469964525579</v>
      </c>
      <c r="Q74" s="67"/>
      <c r="R74" s="102"/>
      <c r="S74" s="102"/>
      <c r="T74" s="102"/>
      <c r="U74" s="102"/>
      <c r="V74" s="102"/>
      <c r="W74" s="102"/>
      <c r="X74" s="102"/>
      <c r="Y74" s="102"/>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s="185" customFormat="1" ht="12.75" hidden="1" customHeight="1" outlineLevel="2">
      <c r="A75" s="9"/>
      <c r="B75" s="25"/>
      <c r="C75" s="24"/>
      <c r="D75" s="492"/>
      <c r="E75" s="85">
        <v>2</v>
      </c>
      <c r="F75" s="191"/>
      <c r="G75" s="148"/>
      <c r="H75" s="147"/>
      <c r="I75" s="67">
        <f>IF(A1taxstdlife="n/a","n/a",IF(I$3&gt;(A1taxstdlife+$E75),(Input!$I$42-Input!$I$76)-SUM($H75:H75),(Input!$I$42-Input!$I$76)/A1taxstdlife))</f>
        <v>2.4878299623538949</v>
      </c>
      <c r="J75" s="67">
        <f>IF(A1taxstdlife="n/a","n/a",IF(J$3&gt;(A1taxstdlife+$E75),(Input!$I$42-Input!$I$76)-SUM($H75:I75),(Input!$I$42-Input!$I$76)/A1taxstdlife))</f>
        <v>2.4878299623538949</v>
      </c>
      <c r="K75" s="67">
        <f>IF(A1taxstdlife="n/a","n/a",IF(K$3&gt;(A1taxstdlife+$E75),(Input!$I$42-Input!$I$76)-SUM($H75:J75),(Input!$I$42-Input!$I$76)/A1taxstdlife))</f>
        <v>2.4878299623538949</v>
      </c>
      <c r="L75" s="67"/>
      <c r="M75" s="67">
        <f>IF(A1taxstdlife="n/a","n/a",IF(M$3&gt;(A1taxstdlife+$E75),(Input!$I$42-Input!$I$76)-SUM($H75:L75),(Input!$I$42-Input!$I$76)/A1taxstdlife))</f>
        <v>2.4878299623538949</v>
      </c>
      <c r="N75" s="67">
        <f>IF(A1taxstdlife="n/a","n/a",IF(N$3&gt;(A1taxstdlife+$E75),(Input!$I$42-Input!$I$76)-SUM($H75:M75),(Input!$I$42-Input!$I$76)/A1taxstdlife))</f>
        <v>2.4878299623538949</v>
      </c>
      <c r="O75" s="67">
        <f>IF(A1taxstdlife="n/a","n/a",IF(O$3&gt;(A1taxstdlife+$E75),(Input!$I$42-Input!$I$76)-SUM($H75:N75),(Input!$I$42-Input!$I$76)/A1taxstdlife))</f>
        <v>2.4878299623538949</v>
      </c>
      <c r="P75" s="67">
        <f>IF(A1taxstdlife="n/a","n/a",IF(P$3&gt;(A1taxstdlife+$E75),(Input!$I$42-Input!$I$76)-SUM($H75:O75),(Input!$I$42-Input!$I$76)/A1taxstdlife))</f>
        <v>2.4878299623538949</v>
      </c>
      <c r="Q75" s="67"/>
      <c r="R75" s="102"/>
      <c r="S75" s="102"/>
      <c r="T75" s="102"/>
      <c r="U75" s="102"/>
      <c r="V75" s="102"/>
      <c r="W75" s="102"/>
      <c r="X75" s="102"/>
      <c r="Y75" s="102"/>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s="185" customFormat="1" ht="12.75" hidden="1" customHeight="1" outlineLevel="2">
      <c r="A76" s="9"/>
      <c r="B76" s="25"/>
      <c r="C76" s="24"/>
      <c r="D76" s="492"/>
      <c r="E76" s="85">
        <v>3</v>
      </c>
      <c r="F76" s="191"/>
      <c r="G76" s="148"/>
      <c r="H76" s="148"/>
      <c r="I76" s="147"/>
      <c r="J76" s="67">
        <f>IF(A1taxstdlife="n/a","n/a",IF(J$3&gt;(A1taxstdlife+$E76),(Input!$J$42-Input!$J$76)-SUM($I76:I76),(Input!$J$42-Input!$J$76)/A1taxstdlife))</f>
        <v>2.6466418157263161</v>
      </c>
      <c r="K76" s="67">
        <f>IF(A1taxstdlife="n/a","n/a",IF(K$3&gt;(A1taxstdlife+$E76),(Input!$J$42-Input!$J$76)-SUM($I76:J76),(Input!$J$42-Input!$J$76)/A1taxstdlife))</f>
        <v>2.6466418157263161</v>
      </c>
      <c r="L76" s="67"/>
      <c r="M76" s="67">
        <f>IF(A1taxstdlife="n/a","n/a",IF(M$3&gt;(A1taxstdlife+$E76),(Input!$J$42-Input!$J$76)-SUM($I76:L76),(Input!$J$42-Input!$J$76)/A1taxstdlife))</f>
        <v>2.6466418157263161</v>
      </c>
      <c r="N76" s="67">
        <f>IF(A1taxstdlife="n/a","n/a",IF(N$3&gt;(A1taxstdlife+$E76),(Input!$J$42-Input!$J$76)-SUM($I76:M76),(Input!$J$42-Input!$J$76)/A1taxstdlife))</f>
        <v>2.6466418157263161</v>
      </c>
      <c r="O76" s="67">
        <f>IF(A1taxstdlife="n/a","n/a",IF(O$3&gt;(A1taxstdlife+$E76),(Input!$J$42-Input!$J$76)-SUM($I76:N76),(Input!$J$42-Input!$J$76)/A1taxstdlife))</f>
        <v>2.6466418157263161</v>
      </c>
      <c r="P76" s="67">
        <f>IF(A1taxstdlife="n/a","n/a",IF(P$3&gt;(A1taxstdlife+$E76),(Input!$J$42-Input!$J$76)-SUM($I76:O76),(Input!$J$42-Input!$J$76)/A1taxstdlife))</f>
        <v>2.6466418157263161</v>
      </c>
      <c r="Q76" s="67"/>
      <c r="R76" s="102"/>
      <c r="S76" s="102"/>
      <c r="T76" s="102"/>
      <c r="U76" s="102"/>
      <c r="V76" s="102"/>
      <c r="W76" s="102"/>
      <c r="X76" s="102"/>
      <c r="Y76" s="102"/>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s="185" customFormat="1" ht="12.75" hidden="1" customHeight="1" outlineLevel="2">
      <c r="A77" s="9"/>
      <c r="B77" s="25"/>
      <c r="C77" s="24"/>
      <c r="D77" s="492"/>
      <c r="E77" s="85">
        <v>4</v>
      </c>
      <c r="F77" s="191"/>
      <c r="G77" s="148"/>
      <c r="H77" s="148"/>
      <c r="I77" s="148"/>
      <c r="J77" s="147"/>
      <c r="K77" s="67">
        <f>IF(A1taxstdlife="n/a","n/a",IF(K$3&gt;(A1taxstdlife+$E77),(Input!$K$42-Input!$K$76)-SUM($J77:J77),(Input!$K$42-Input!$K$76)/A1taxstdlife))</f>
        <v>2.0249026890442101</v>
      </c>
      <c r="L77" s="67"/>
      <c r="M77" s="67">
        <f>IF(A1taxstdlife="n/a","n/a",IF(M$3&gt;(A1taxstdlife+$E77),(Input!$K$42-Input!$K$76)-SUM($J77:L77),(Input!$K$42-Input!$K$76)/A1taxstdlife))</f>
        <v>2.0249026890442101</v>
      </c>
      <c r="N77" s="67">
        <f>IF(A1taxstdlife="n/a","n/a",IF(N$3&gt;(A1taxstdlife+$E77),(Input!$K$42-Input!$K$76)-SUM($J77:M77),(Input!$K$42-Input!$K$76)/A1taxstdlife))</f>
        <v>2.0249026890442101</v>
      </c>
      <c r="O77" s="67">
        <f>IF(A1taxstdlife="n/a","n/a",IF(O$3&gt;(A1taxstdlife+$E77),(Input!$K$42-Input!$K$76)-SUM($J77:N77),(Input!$K$42-Input!$K$76)/A1taxstdlife))</f>
        <v>2.0249026890442101</v>
      </c>
      <c r="P77" s="67">
        <f>IF(A1taxstdlife="n/a","n/a",IF(P$3&gt;(A1taxstdlife+$E77),(Input!$K$42-Input!$K$76)-SUM($J77:O77),(Input!$K$42-Input!$K$76)/A1taxstdlife))</f>
        <v>2.0249026890442101</v>
      </c>
      <c r="Q77" s="67"/>
      <c r="R77" s="102"/>
      <c r="S77" s="102"/>
      <c r="T77" s="102"/>
      <c r="U77" s="102"/>
      <c r="V77" s="102"/>
      <c r="W77" s="102"/>
      <c r="X77" s="102"/>
      <c r="Y77" s="102"/>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s="185" customFormat="1" ht="12.75" hidden="1" customHeight="1" outlineLevel="2">
      <c r="A78" s="9"/>
      <c r="B78" s="25"/>
      <c r="C78" s="24"/>
      <c r="D78" s="492"/>
      <c r="E78" s="85">
        <v>5</v>
      </c>
      <c r="F78" s="191"/>
      <c r="G78" s="148"/>
      <c r="H78" s="148"/>
      <c r="I78" s="148"/>
      <c r="J78" s="148"/>
      <c r="K78" s="147"/>
      <c r="L78" s="67"/>
      <c r="M78" s="67">
        <f>IF(A1taxstdlife="n/a","n/a",IF(M$3&gt;(A1taxstdlife+$E78),(Input!$L$42-Input!$L$76)-SUM($K78:L78),(Input!$L$42-Input!$L$76)/A1taxstdlife))</f>
        <v>1.1348780179779161</v>
      </c>
      <c r="N78" s="67">
        <f>IF(A1taxstdlife="n/a","n/a",IF(N$3&gt;(A1taxstdlife+$E78),(Input!$L$42-Input!$L$76)-SUM($K78:M78),(Input!$L$42-Input!$L$76)/A1taxstdlife))</f>
        <v>1.1348780179779161</v>
      </c>
      <c r="O78" s="67">
        <f>IF(A1taxstdlife="n/a","n/a",IF(O$3&gt;(A1taxstdlife+$E78),(Input!$L$42-Input!$L$76)-SUM($K78:N78),(Input!$L$42-Input!$L$76)/A1taxstdlife))</f>
        <v>1.1348780179779161</v>
      </c>
      <c r="P78" s="67">
        <f>IF(A1taxstdlife="n/a","n/a",IF(P$3&gt;(A1taxstdlife+$E78),(Input!$L$42-Input!$L$76)-SUM($K78:O78),(Input!$L$42-Input!$L$76)/A1taxstdlife))</f>
        <v>1.1348780179779161</v>
      </c>
      <c r="Q78" s="67"/>
      <c r="R78" s="102"/>
      <c r="S78" s="102"/>
      <c r="T78" s="102"/>
      <c r="U78" s="102"/>
      <c r="V78" s="102"/>
      <c r="W78" s="102"/>
      <c r="X78" s="102"/>
      <c r="Y78" s="102"/>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s="185" customFormat="1" ht="12.75" hidden="1" customHeight="1" outlineLevel="2">
      <c r="A79" s="9"/>
      <c r="B79" s="25"/>
      <c r="C79" s="24"/>
      <c r="D79" s="492"/>
      <c r="E79" s="85">
        <v>6</v>
      </c>
      <c r="F79" s="191"/>
      <c r="G79" s="148"/>
      <c r="H79" s="148"/>
      <c r="I79" s="148"/>
      <c r="J79" s="148"/>
      <c r="K79" s="148"/>
      <c r="L79" s="147"/>
      <c r="M79" s="67">
        <f>IF(A1taxstdlife="n/a","n/a",IF(M$3&gt;(A1taxstdlife+$E79),(Input!$M$42-Input!$M$76)-SUM($L79:L79),(Input!$M$42-Input!$M$76)/A1taxstdlife))</f>
        <v>0</v>
      </c>
      <c r="N79" s="67">
        <f>IF(A1taxstdlife="n/a","n/a",IF(N$3&gt;(A1taxstdlife+$E79),(Input!$M$42-Input!$M$76)-SUM($L79:M79),(Input!$M$42-Input!$M$76)/A1taxstdlife))</f>
        <v>0</v>
      </c>
      <c r="O79" s="67">
        <f>IF(A1taxstdlife="n/a","n/a",IF(O$3&gt;(A1taxstdlife+$E79),(Input!$M$42-Input!$M$76)-SUM($L79:N79),(Input!$M$42-Input!$M$76)/A1taxstdlife))</f>
        <v>0</v>
      </c>
      <c r="P79" s="67">
        <f>IF(A1taxstdlife="n/a","n/a",IF(P$3&gt;(A1taxstdlife+$E79),(Input!$M$42-Input!$M$76)-SUM($L79:O79),(Input!$M$42-Input!$M$76)/A1taxstdlife))</f>
        <v>0</v>
      </c>
      <c r="Q79" s="67"/>
      <c r="R79" s="102"/>
      <c r="S79" s="102"/>
      <c r="T79" s="102"/>
      <c r="U79" s="102"/>
      <c r="V79" s="102"/>
      <c r="W79" s="102"/>
      <c r="X79" s="102"/>
      <c r="Y79" s="102"/>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s="185" customFormat="1" ht="12.75" hidden="1" customHeight="1" outlineLevel="2">
      <c r="A80" s="9"/>
      <c r="B80" s="25"/>
      <c r="C80" s="24"/>
      <c r="D80" s="492"/>
      <c r="E80" s="85">
        <v>7</v>
      </c>
      <c r="F80" s="191"/>
      <c r="G80" s="148"/>
      <c r="H80" s="148"/>
      <c r="I80" s="148"/>
      <c r="J80" s="148"/>
      <c r="K80" s="148"/>
      <c r="L80" s="148"/>
      <c r="M80" s="147"/>
      <c r="N80" s="67">
        <f>IF(A1taxstdlife="n/a","n/a",IF(N$3&gt;(A1taxstdlife+$E80),(Input!$N$42-Input!$N$76)-SUM($M80:M80),(Input!$N$42-Input!$N$76)/A1taxstdlife))</f>
        <v>0</v>
      </c>
      <c r="O80" s="67">
        <f>IF(A1taxstdlife="n/a","n/a",IF(O$3&gt;(A1taxstdlife+$E80),(Input!$N$42-Input!$N$76)-SUM($M80:N80),(Input!$N$42-Input!$N$76)/A1taxstdlife))</f>
        <v>0</v>
      </c>
      <c r="P80" s="67">
        <f>IF(A1taxstdlife="n/a","n/a",IF(P$3&gt;(A1taxstdlife+$E80),(Input!$N$42-Input!$N$76)-SUM($M80:O80),(Input!$N$42-Input!$N$76)/A1taxstdlife))</f>
        <v>0</v>
      </c>
      <c r="Q80" s="67"/>
      <c r="R80" s="102"/>
      <c r="S80" s="102"/>
      <c r="T80" s="102"/>
      <c r="U80" s="102"/>
      <c r="V80" s="102"/>
      <c r="W80" s="102"/>
      <c r="X80" s="102"/>
      <c r="Y80" s="102"/>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1" s="185" customFormat="1" ht="12.75" hidden="1" customHeight="1" outlineLevel="2">
      <c r="A81" s="9"/>
      <c r="B81" s="25"/>
      <c r="C81" s="24"/>
      <c r="D81" s="492"/>
      <c r="E81" s="85">
        <v>8</v>
      </c>
      <c r="F81" s="191"/>
      <c r="G81" s="148"/>
      <c r="H81" s="148"/>
      <c r="I81" s="148"/>
      <c r="J81" s="148"/>
      <c r="K81" s="148"/>
      <c r="L81" s="148"/>
      <c r="M81" s="148"/>
      <c r="N81" s="147"/>
      <c r="O81" s="67">
        <f>IF(A1taxstdlife="n/a","n/a",IF(O$3&gt;(A1taxstdlife+$E81),(Input!$O$42-Input!$O$76)-SUM($N81:N81),(Input!$O$42-Input!$O$76)/A1taxstdlife))</f>
        <v>0</v>
      </c>
      <c r="P81" s="67">
        <f>IF(A1taxstdlife="n/a","n/a",IF(P$3&gt;(A1taxstdlife+$E81),(Input!$O$42-Input!$O$76)-SUM($N81:O81),(Input!$O$42-Input!$O$76)/A1taxstdlife))</f>
        <v>0</v>
      </c>
      <c r="Q81" s="67"/>
      <c r="R81" s="102"/>
      <c r="S81" s="102"/>
      <c r="T81" s="102"/>
      <c r="U81" s="102"/>
      <c r="V81" s="102"/>
      <c r="W81" s="102"/>
      <c r="X81" s="102"/>
      <c r="Y81" s="102"/>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1" s="185" customFormat="1" ht="12.75" hidden="1" customHeight="1" outlineLevel="2">
      <c r="A82" s="9"/>
      <c r="B82" s="25"/>
      <c r="C82" s="24"/>
      <c r="D82" s="492"/>
      <c r="E82" s="85">
        <v>9</v>
      </c>
      <c r="F82" s="191"/>
      <c r="G82" s="148"/>
      <c r="H82" s="148"/>
      <c r="I82" s="148"/>
      <c r="J82" s="148"/>
      <c r="K82" s="148"/>
      <c r="L82" s="148"/>
      <c r="M82" s="148"/>
      <c r="N82" s="148"/>
      <c r="O82" s="147"/>
      <c r="P82" s="67">
        <f>IF(A1taxstdlife="n/a","n/a",IF(P$3&gt;(A1taxstdlife+$E82),(Input!$P$42-Input!$P$76)-SUM($O82:O82),(Input!$P$42-Input!$P$76)/A1taxstdlife))</f>
        <v>0</v>
      </c>
      <c r="Q82" s="67"/>
      <c r="R82" s="102"/>
      <c r="S82" s="102"/>
      <c r="T82" s="102"/>
      <c r="U82" s="102"/>
      <c r="V82" s="102"/>
      <c r="W82" s="102"/>
      <c r="X82" s="102"/>
      <c r="Y82" s="102"/>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1" s="185" customFormat="1" ht="12.75" hidden="1" customHeight="1" outlineLevel="2">
      <c r="A83" s="9"/>
      <c r="B83" s="25"/>
      <c r="C83" s="24"/>
      <c r="D83" s="492"/>
      <c r="E83" s="86">
        <v>10</v>
      </c>
      <c r="F83" s="191"/>
      <c r="G83" s="148"/>
      <c r="H83" s="148"/>
      <c r="I83" s="148"/>
      <c r="J83" s="148"/>
      <c r="K83" s="148"/>
      <c r="L83" s="148"/>
      <c r="M83" s="148"/>
      <c r="N83" s="148"/>
      <c r="O83" s="187"/>
      <c r="P83" s="147"/>
      <c r="Q83" s="67"/>
      <c r="R83" s="102"/>
      <c r="S83" s="102"/>
      <c r="T83" s="102"/>
      <c r="U83" s="102"/>
      <c r="V83" s="102"/>
      <c r="W83" s="102"/>
      <c r="X83" s="102"/>
      <c r="Y83" s="102"/>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1" s="185" customFormat="1" hidden="1" outlineLevel="1">
      <c r="A84" s="9"/>
      <c r="B84" s="9"/>
      <c r="C84" s="25" t="str">
        <f>Asset1</f>
        <v>Sub-transmission lines and cables</v>
      </c>
      <c r="D84" s="9"/>
      <c r="E84" s="9"/>
      <c r="F84" s="191"/>
      <c r="G84" s="164">
        <f>-SUM(G72:G83)</f>
        <v>-27.512761693328919</v>
      </c>
      <c r="H84" s="164">
        <f>-SUM(H72:H83)</f>
        <v>-15.371817699677994</v>
      </c>
      <c r="I84" s="164">
        <f>-SUM(I72:I83)</f>
        <v>-17.527173126703698</v>
      </c>
      <c r="J84" s="164">
        <f>-SUM(J72:J83)</f>
        <v>-20.11063310315058</v>
      </c>
      <c r="K84" s="164">
        <f>-SUM(K72:K83)</f>
        <v>-21.796061110740052</v>
      </c>
      <c r="L84" s="164"/>
      <c r="M84" s="164">
        <f>IF(Input!N174&gt;0, -SUM(M72:M83), 0)</f>
        <v>0</v>
      </c>
      <c r="N84" s="164">
        <f>IF(Input!O174&gt;0, -SUM(N72:N83), 0)</f>
        <v>0</v>
      </c>
      <c r="O84" s="164">
        <f>IF(Input!P174&gt;0, -SUM(O72:O83), 0)</f>
        <v>0</v>
      </c>
      <c r="P84" s="164">
        <f>IF(Input!Q174&gt;0, -SUM(P72:P83), 0)</f>
        <v>0</v>
      </c>
      <c r="Q84" s="63"/>
      <c r="R84" s="101"/>
      <c r="S84" s="301"/>
      <c r="T84" s="301"/>
      <c r="U84" s="101"/>
      <c r="V84" s="101"/>
      <c r="W84" s="101"/>
      <c r="X84" s="101"/>
      <c r="Y84" s="10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1" s="185" customFormat="1" ht="12.75" hidden="1" customHeight="1" outlineLevel="2">
      <c r="A85" s="9"/>
      <c r="B85" s="31" t="str">
        <f>Asset2</f>
        <v>Cable tunnel (dx)</v>
      </c>
      <c r="C85" s="32"/>
      <c r="D85" s="33" t="s">
        <v>65</v>
      </c>
      <c r="E85" s="32"/>
      <c r="F85" s="191"/>
      <c r="G85" s="459">
        <f>'Tax asset base adjustments'!Q36</f>
        <v>0.81325539749999998</v>
      </c>
      <c r="H85" s="459">
        <f>'Tax asset base adjustments'!R36</f>
        <v>0.81325539749999998</v>
      </c>
      <c r="I85" s="459">
        <f>'Tax asset base adjustments'!S36</f>
        <v>0.81325539749999998</v>
      </c>
      <c r="J85" s="459">
        <f>'Tax asset base adjustments'!T36</f>
        <v>0.81325539749999998</v>
      </c>
      <c r="K85" s="459">
        <f>'Tax asset base adjustments'!U36</f>
        <v>0.81325539749999998</v>
      </c>
      <c r="L85" s="344"/>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2"/>
      <c r="S85" s="301">
        <f>SUM(K85:K90)</f>
        <v>2.269169523</v>
      </c>
      <c r="T85" s="301"/>
      <c r="U85" s="102"/>
      <c r="V85" s="102"/>
      <c r="W85" s="102"/>
      <c r="X85" s="102"/>
      <c r="Y85" s="102"/>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1" s="185" customFormat="1" ht="12.75" hidden="1" customHeight="1" outlineLevel="2">
      <c r="A86" s="9"/>
      <c r="B86" s="9"/>
      <c r="C86" s="25"/>
      <c r="D86" s="491" t="s">
        <v>83</v>
      </c>
      <c r="E86" s="85"/>
      <c r="F86" s="302"/>
      <c r="G86" s="67"/>
      <c r="H86" s="67"/>
      <c r="I86" s="67"/>
      <c r="J86" s="67"/>
      <c r="K86" s="67"/>
      <c r="L86" s="67"/>
      <c r="M86" s="67"/>
      <c r="N86" s="67"/>
      <c r="O86" s="67"/>
      <c r="P86" s="67"/>
      <c r="Q86" s="67"/>
      <c r="R86" s="102"/>
      <c r="S86" s="102"/>
      <c r="T86" s="102"/>
      <c r="U86" s="102"/>
      <c r="V86" s="102"/>
      <c r="W86" s="102"/>
      <c r="X86" s="102"/>
      <c r="Y86" s="102"/>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1" s="185" customFormat="1" ht="12.75" hidden="1" customHeight="1" outlineLevel="2">
      <c r="A87" s="9"/>
      <c r="B87" s="9"/>
      <c r="C87" s="25"/>
      <c r="D87" s="492"/>
      <c r="E87" s="85">
        <v>1</v>
      </c>
      <c r="F87" s="191"/>
      <c r="G87" s="147"/>
      <c r="H87" s="67">
        <f>IF(A2taxstdlife="n/a","n/a",IF(H$3&gt;(A2taxstdlife+$E87),(Input!$H$43-Input!$H$77)-SUM($G87:G87),(Input!$H$43-Input!$H$77)/A2taxstdlife))</f>
        <v>2.5970122000000002E-2</v>
      </c>
      <c r="I87" s="67">
        <f>IF(A2taxstdlife="n/a","n/a",IF(I$3&gt;(A2taxstdlife+$E87),(Input!$H$43-Input!$H$77)-SUM($G87:H87),(Input!$H$43-Input!$H$77)/A2taxstdlife))</f>
        <v>2.5970122000000002E-2</v>
      </c>
      <c r="J87" s="67">
        <f>IF(A2taxstdlife="n/a","n/a",IF(J$3&gt;(A2taxstdlife+$E87),(Input!$H$43-Input!$H$77)-SUM($G87:I87),(Input!$H$43-Input!$H$77)/A2taxstdlife))</f>
        <v>2.5970122000000002E-2</v>
      </c>
      <c r="K87" s="67">
        <f>IF(A2taxstdlife="n/a","n/a",IF(K$3&gt;(A2taxstdlife+$E87),(Input!$H$43-Input!$H$77)-SUM($G87:J87),(Input!$H$43-Input!$H$77)/A2taxstdlife))</f>
        <v>2.5970122000000002E-2</v>
      </c>
      <c r="L87" s="67"/>
      <c r="M87" s="67">
        <f>IF(A2taxstdlife="n/a","n/a",IF(M$3&gt;(A2taxstdlife+$E87),(Input!$H$43-Input!$H$77)-SUM($G87:L87),(Input!$H$43-Input!$H$77)/A2taxstdlife))</f>
        <v>2.5970122000000002E-2</v>
      </c>
      <c r="N87" s="67">
        <f>IF(A2taxstdlife="n/a","n/a",IF(N$3&gt;(A2taxstdlife+$E87),(Input!$H$43-Input!$H$77)-SUM($G87:M87),(Input!$H$43-Input!$H$77)/A2taxstdlife))</f>
        <v>2.5970122000000002E-2</v>
      </c>
      <c r="O87" s="67">
        <f>IF(A2taxstdlife="n/a","n/a",IF(O$3&gt;(A2taxstdlife+$E87),(Input!$H$43-Input!$H$77)-SUM($G87:N87),(Input!$H$43-Input!$H$77)/A2taxstdlife))</f>
        <v>2.5970122000000002E-2</v>
      </c>
      <c r="P87" s="67">
        <f>IF(A2taxstdlife="n/a","n/a",IF(P$3&gt;(A2taxstdlife+$E87),(Input!$H$43-Input!$H$77)-SUM($G87:O87),(Input!$H$43-Input!$H$77)/A2taxstdlife))</f>
        <v>2.5970122000000002E-2</v>
      </c>
      <c r="Q87" s="67"/>
      <c r="R87" s="102"/>
      <c r="S87" s="102"/>
      <c r="T87" s="102"/>
      <c r="U87" s="102"/>
      <c r="V87" s="102"/>
      <c r="W87" s="102"/>
      <c r="X87" s="102"/>
      <c r="Y87" s="102"/>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2"/>
    </row>
    <row r="88" spans="1:61" s="185" customFormat="1" ht="12.75" hidden="1" customHeight="1" outlineLevel="2">
      <c r="A88" s="9"/>
      <c r="B88" s="9"/>
      <c r="C88" s="25"/>
      <c r="D88" s="492"/>
      <c r="E88" s="85">
        <v>2</v>
      </c>
      <c r="F88" s="191"/>
      <c r="G88" s="148"/>
      <c r="H88" s="147"/>
      <c r="I88" s="67">
        <f>IF(A2taxstdlife="n/a","n/a",IF(I$3&gt;(A2taxstdlife+$E88),(Input!$I$43-Input!$I$77)-SUM($H88:H88),(Input!$I$43-Input!$I$77)/A2taxstdlife))</f>
        <v>5.9579242499999997E-3</v>
      </c>
      <c r="J88" s="67">
        <f>IF(A2taxstdlife="n/a","n/a",IF(J$3&gt;(A2taxstdlife+$E88),(Input!$I$43-Input!$I$77)-SUM($H88:I88),(Input!$I$43-Input!$I$77)/A2taxstdlife))</f>
        <v>5.9579242499999997E-3</v>
      </c>
      <c r="K88" s="67">
        <f>IF(A2taxstdlife="n/a","n/a",IF(K$3&gt;(A2taxstdlife+$E88),(Input!$I$43-Input!$I$77)-SUM($H88:J88),(Input!$I$43-Input!$I$77)/A2taxstdlife))</f>
        <v>5.9579242499999997E-3</v>
      </c>
      <c r="L88" s="67"/>
      <c r="M88" s="67">
        <f>IF(A2taxstdlife="n/a","n/a",IF(M$3&gt;(A2taxstdlife+$E88),(Input!$I$43-Input!$I$77)-SUM($H88:L88),(Input!$I$43-Input!$I$77)/A2taxstdlife))</f>
        <v>5.9579242499999997E-3</v>
      </c>
      <c r="N88" s="67">
        <f>IF(A2taxstdlife="n/a","n/a",IF(N$3&gt;(A2taxstdlife+$E88),(Input!$I$43-Input!$I$77)-SUM($H88:M88),(Input!$I$43-Input!$I$77)/A2taxstdlife))</f>
        <v>5.9579242499999997E-3</v>
      </c>
      <c r="O88" s="67">
        <f>IF(A2taxstdlife="n/a","n/a",IF(O$3&gt;(A2taxstdlife+$E88),(Input!$I$43-Input!$I$77)-SUM($H88:N88),(Input!$I$43-Input!$I$77)/A2taxstdlife))</f>
        <v>5.9579242499999997E-3</v>
      </c>
      <c r="P88" s="67">
        <f>IF(A2taxstdlife="n/a","n/a",IF(P$3&gt;(A2taxstdlife+$E88),(Input!$I$43-Input!$I$77)-SUM($H88:O88),(Input!$I$43-Input!$I$77)/A2taxstdlife))</f>
        <v>5.9579242499999997E-3</v>
      </c>
      <c r="Q88" s="67"/>
      <c r="R88" s="102"/>
      <c r="S88" s="102"/>
      <c r="T88" s="102"/>
      <c r="U88" s="102"/>
      <c r="V88" s="102"/>
      <c r="W88" s="102"/>
      <c r="X88" s="102"/>
      <c r="Y88" s="102"/>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1" s="185" customFormat="1" ht="12.75" hidden="1" customHeight="1" outlineLevel="2">
      <c r="A89" s="9"/>
      <c r="B89" s="9"/>
      <c r="C89" s="25"/>
      <c r="D89" s="492"/>
      <c r="E89" s="85">
        <v>3</v>
      </c>
      <c r="F89" s="191"/>
      <c r="G89" s="148"/>
      <c r="H89" s="148"/>
      <c r="I89" s="147"/>
      <c r="J89" s="67">
        <f>IF(A2taxstdlife="n/a","n/a",IF(J$3&gt;(A2taxstdlife+$E89),(Input!$J$43-Input!$J$77)-SUM($I89:I89),(Input!$J$43-Input!$J$77)/A2taxstdlife))</f>
        <v>9.9512275000000023E-4</v>
      </c>
      <c r="K89" s="67">
        <f>IF(A2taxstdlife="n/a","n/a",IF(K$3&gt;(A2taxstdlife+$E89),(Input!$J$43-Input!$J$77)-SUM($I89:J89),(Input!$J$43-Input!$J$77)/A2taxstdlife))</f>
        <v>9.9512275000000023E-4</v>
      </c>
      <c r="L89" s="67"/>
      <c r="M89" s="67">
        <f>IF(A2taxstdlife="n/a","n/a",IF(M$3&gt;(A2taxstdlife+$E89),(Input!$J$43-Input!$J$77)-SUM($I89:L89),(Input!$J$43-Input!$J$77)/A2taxstdlife))</f>
        <v>9.9512275000000023E-4</v>
      </c>
      <c r="N89" s="67">
        <f>IF(A2taxstdlife="n/a","n/a",IF(N$3&gt;(A2taxstdlife+$E89),(Input!$J$43-Input!$J$77)-SUM($I89:M89),(Input!$J$43-Input!$J$77)/A2taxstdlife))</f>
        <v>9.9512275000000023E-4</v>
      </c>
      <c r="O89" s="67">
        <f>IF(A2taxstdlife="n/a","n/a",IF(O$3&gt;(A2taxstdlife+$E89),(Input!$J$43-Input!$J$77)-SUM($I89:N89),(Input!$J$43-Input!$J$77)/A2taxstdlife))</f>
        <v>9.9512275000000023E-4</v>
      </c>
      <c r="P89" s="67">
        <f>IF(A2taxstdlife="n/a","n/a",IF(P$3&gt;(A2taxstdlife+$E89),(Input!$J$43-Input!$J$77)-SUM($I89:O89),(Input!$J$43-Input!$J$77)/A2taxstdlife))</f>
        <v>9.9512275000000023E-4</v>
      </c>
      <c r="Q89" s="67"/>
      <c r="R89" s="102"/>
      <c r="S89" s="102"/>
      <c r="T89" s="102"/>
      <c r="U89" s="102"/>
      <c r="V89" s="102"/>
      <c r="W89" s="102"/>
      <c r="X89" s="102"/>
      <c r="Y89" s="102"/>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1" s="185" customFormat="1" ht="12.75" hidden="1" customHeight="1" outlineLevel="2">
      <c r="A90" s="9"/>
      <c r="B90" s="9"/>
      <c r="C90" s="25"/>
      <c r="D90" s="492"/>
      <c r="E90" s="85">
        <v>4</v>
      </c>
      <c r="F90" s="191"/>
      <c r="G90" s="148"/>
      <c r="H90" s="148"/>
      <c r="I90" s="148"/>
      <c r="J90" s="147"/>
      <c r="K90" s="67">
        <f>IF(A2taxstdlife="n/a","n/a",IF(K$3&gt;(A2taxstdlife+$E90),(Input!$K$43-Input!$K$77)-SUM($J90:J90),(Input!$K$43-Input!$K$77)/A2taxstdlife))</f>
        <v>1.4229909565000001</v>
      </c>
      <c r="L90" s="67"/>
      <c r="M90" s="67">
        <f>IF(A2taxstdlife="n/a","n/a",IF(M$3&gt;(A2taxstdlife+$E90),(Input!$K$43-Input!$K$77)-SUM($J90:L90),(Input!$K$43-Input!$K$77)/A2taxstdlife))</f>
        <v>1.4229909565000001</v>
      </c>
      <c r="N90" s="67">
        <f>IF(A2taxstdlife="n/a","n/a",IF(N$3&gt;(A2taxstdlife+$E90),(Input!$K$43-Input!$K$77)-SUM($J90:M90),(Input!$K$43-Input!$K$77)/A2taxstdlife))</f>
        <v>1.4229909565000001</v>
      </c>
      <c r="O90" s="67">
        <f>IF(A2taxstdlife="n/a","n/a",IF(O$3&gt;(A2taxstdlife+$E90),(Input!$K$43-Input!$K$77)-SUM($J90:N90),(Input!$K$43-Input!$K$77)/A2taxstdlife))</f>
        <v>1.4229909565000001</v>
      </c>
      <c r="P90" s="67">
        <f>IF(A2taxstdlife="n/a","n/a",IF(P$3&gt;(A2taxstdlife+$E90),(Input!$K$43-Input!$K$77)-SUM($J90:O90),(Input!$K$43-Input!$K$77)/A2taxstdlife))</f>
        <v>1.4229909565000001</v>
      </c>
      <c r="Q90" s="67"/>
      <c r="R90" s="102"/>
      <c r="S90" s="102"/>
      <c r="T90" s="102"/>
      <c r="U90" s="102"/>
      <c r="V90" s="102"/>
      <c r="W90" s="102"/>
      <c r="X90" s="102"/>
      <c r="Y90" s="102"/>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1" s="185" customFormat="1" ht="12.75" hidden="1" customHeight="1" outlineLevel="2">
      <c r="A91" s="9"/>
      <c r="B91" s="9"/>
      <c r="C91" s="25"/>
      <c r="D91" s="492"/>
      <c r="E91" s="85">
        <v>5</v>
      </c>
      <c r="F91" s="191"/>
      <c r="G91" s="148"/>
      <c r="H91" s="148"/>
      <c r="I91" s="148"/>
      <c r="J91" s="148"/>
      <c r="K91" s="147"/>
      <c r="L91" s="67"/>
      <c r="M91" s="67">
        <f>IF(A2taxstdlife="n/a","n/a",IF(M$3&gt;(A2taxstdlife+$E91),(Input!$L$43-Input!$L$77)-SUM($K91:L91),(Input!$L$43-Input!$L$77)/A2taxstdlife))</f>
        <v>1.1128904367160357</v>
      </c>
      <c r="N91" s="67">
        <f>IF(A2taxstdlife="n/a","n/a",IF(N$3&gt;(A2taxstdlife+$E91),(Input!$L$43-Input!$L$77)-SUM($K91:M91),(Input!$L$43-Input!$L$77)/A2taxstdlife))</f>
        <v>1.1128904367160357</v>
      </c>
      <c r="O91" s="67">
        <f>IF(A2taxstdlife="n/a","n/a",IF(O$3&gt;(A2taxstdlife+$E91),(Input!$L$43-Input!$L$77)-SUM($K91:N91),(Input!$L$43-Input!$L$77)/A2taxstdlife))</f>
        <v>1.1128904367160357</v>
      </c>
      <c r="P91" s="67">
        <f>IF(A2taxstdlife="n/a","n/a",IF(P$3&gt;(A2taxstdlife+$E91),(Input!$L$43-Input!$L$77)-SUM($K91:O91),(Input!$L$43-Input!$L$77)/A2taxstdlife))</f>
        <v>1.1128904367160357</v>
      </c>
      <c r="Q91" s="67"/>
      <c r="R91" s="102"/>
      <c r="S91" s="102"/>
      <c r="T91" s="102"/>
      <c r="U91" s="102"/>
      <c r="V91" s="102"/>
      <c r="W91" s="102"/>
      <c r="X91" s="102"/>
      <c r="Y91" s="102"/>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1" s="185" customFormat="1" ht="12.75" hidden="1" customHeight="1" outlineLevel="2">
      <c r="A92" s="9"/>
      <c r="B92" s="9"/>
      <c r="C92" s="25"/>
      <c r="D92" s="492"/>
      <c r="E92" s="85">
        <v>6</v>
      </c>
      <c r="F92" s="191"/>
      <c r="G92" s="148"/>
      <c r="H92" s="148"/>
      <c r="I92" s="148"/>
      <c r="J92" s="148"/>
      <c r="K92" s="148"/>
      <c r="L92" s="147"/>
      <c r="M92" s="67">
        <f>IF(A2taxstdlife="n/a","n/a",IF(M$3&gt;(A2taxstdlife+$E92),(Input!$M$43-Input!$M$77)-SUM($L92:L92),(Input!$M$43-Input!$M$77)/A2taxstdlife))</f>
        <v>0</v>
      </c>
      <c r="N92" s="67">
        <f>IF(A2taxstdlife="n/a","n/a",IF(N$3&gt;(A2taxstdlife+$E92),(Input!$M$43-Input!$M$77)-SUM($L92:M92),(Input!$M$43-Input!$M$77)/A2taxstdlife))</f>
        <v>0</v>
      </c>
      <c r="O92" s="67">
        <f>IF(A2taxstdlife="n/a","n/a",IF(O$3&gt;(A2taxstdlife+$E92),(Input!$M$43-Input!$M$77)-SUM($L92:N92),(Input!$M$43-Input!$M$77)/A2taxstdlife))</f>
        <v>0</v>
      </c>
      <c r="P92" s="67">
        <f>IF(A2taxstdlife="n/a","n/a",IF(P$3&gt;(A2taxstdlife+$E92),(Input!$M$43-Input!$M$77)-SUM($L92:O92),(Input!$M$43-Input!$M$77)/A2taxstdlife))</f>
        <v>0</v>
      </c>
      <c r="Q92" s="67"/>
      <c r="R92" s="102"/>
      <c r="S92" s="102"/>
      <c r="T92" s="102"/>
      <c r="U92" s="102"/>
      <c r="V92" s="102"/>
      <c r="W92" s="102"/>
      <c r="X92" s="102"/>
      <c r="Y92" s="102"/>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1" s="185" customFormat="1" ht="12.75" hidden="1" customHeight="1" outlineLevel="2">
      <c r="A93" s="9"/>
      <c r="B93" s="9"/>
      <c r="C93" s="25"/>
      <c r="D93" s="492"/>
      <c r="E93" s="85">
        <v>7</v>
      </c>
      <c r="F93" s="191"/>
      <c r="G93" s="148"/>
      <c r="H93" s="148"/>
      <c r="I93" s="148"/>
      <c r="J93" s="148"/>
      <c r="K93" s="148"/>
      <c r="L93" s="148"/>
      <c r="M93" s="147"/>
      <c r="N93" s="67">
        <f>IF(A2taxstdlife="n/a","n/a",IF(N$3&gt;(A2taxstdlife+$E93),(Input!$N$43-Input!$N$77)-SUM($M93:M93),(Input!$N$43-Input!$N$77)/A2taxstdlife))</f>
        <v>0</v>
      </c>
      <c r="O93" s="67">
        <f>IF(A2taxstdlife="n/a","n/a",IF(O$3&gt;(A2taxstdlife+$E93),(Input!$N$43-Input!$N$77)-SUM($M93:N93),(Input!$N$43-Input!$N$77)/A2taxstdlife))</f>
        <v>0</v>
      </c>
      <c r="P93" s="67">
        <f>IF(A2taxstdlife="n/a","n/a",IF(P$3&gt;(A2taxstdlife+$E93),(Input!$N$43-Input!$N$77)-SUM($M93:O93),(Input!$N$43-Input!$N$77)/A2taxstdlife))</f>
        <v>0</v>
      </c>
      <c r="Q93" s="67"/>
      <c r="R93" s="102"/>
      <c r="S93" s="102"/>
      <c r="T93" s="102"/>
      <c r="U93" s="102"/>
      <c r="V93" s="102"/>
      <c r="W93" s="102"/>
      <c r="X93" s="102"/>
      <c r="Y93" s="102"/>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1" s="185" customFormat="1" ht="12.75" hidden="1" customHeight="1" outlineLevel="2">
      <c r="A94" s="9"/>
      <c r="B94" s="9"/>
      <c r="C94" s="25"/>
      <c r="D94" s="492"/>
      <c r="E94" s="85">
        <v>8</v>
      </c>
      <c r="F94" s="191"/>
      <c r="G94" s="148"/>
      <c r="H94" s="148"/>
      <c r="I94" s="148"/>
      <c r="J94" s="148"/>
      <c r="K94" s="148"/>
      <c r="L94" s="148"/>
      <c r="M94" s="148"/>
      <c r="N94" s="147"/>
      <c r="O94" s="67">
        <f>IF(A2taxstdlife="n/a","n/a",IF(O$3&gt;(A2taxstdlife+$E94),(Input!$O$43-Input!$O$77)-SUM($N94:N94),(Input!$O$43-Input!$O$77)/A2taxstdlife))</f>
        <v>0</v>
      </c>
      <c r="P94" s="67">
        <f>IF(A2taxstdlife="n/a","n/a",IF(P$3&gt;(A2taxstdlife+$E94),(Input!$O$43-Input!$O$77)-SUM($N94:O94),(Input!$O$43-Input!$O$77)/A2taxstdlife))</f>
        <v>0</v>
      </c>
      <c r="Q94" s="67"/>
      <c r="R94" s="102"/>
      <c r="S94" s="102"/>
      <c r="T94" s="102"/>
      <c r="U94" s="102"/>
      <c r="V94" s="102"/>
      <c r="W94" s="102"/>
      <c r="X94" s="102"/>
      <c r="Y94" s="102"/>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1" s="185" customFormat="1" ht="12.75" hidden="1" customHeight="1" outlineLevel="2">
      <c r="A95" s="9"/>
      <c r="B95" s="9"/>
      <c r="C95" s="25"/>
      <c r="D95" s="492"/>
      <c r="E95" s="85">
        <v>9</v>
      </c>
      <c r="F95" s="191"/>
      <c r="G95" s="148"/>
      <c r="H95" s="148"/>
      <c r="I95" s="148"/>
      <c r="J95" s="148"/>
      <c r="K95" s="148"/>
      <c r="L95" s="148"/>
      <c r="M95" s="148"/>
      <c r="N95" s="148"/>
      <c r="O95" s="147"/>
      <c r="P95" s="67">
        <f>IF(A2taxstdlife="n/a","n/a",IF(P$3&gt;(A2taxstdlife+$E95),(Input!$P$43-Input!$P$77)-SUM($O95:O95),(Input!$P$43-Input!$P$77)/A2taxstdlife))</f>
        <v>0</v>
      </c>
      <c r="Q95" s="67"/>
      <c r="R95" s="102"/>
      <c r="S95" s="102"/>
      <c r="T95" s="102"/>
      <c r="U95" s="102"/>
      <c r="V95" s="102"/>
      <c r="W95" s="102"/>
      <c r="X95" s="102"/>
      <c r="Y95" s="102"/>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1" s="185" customFormat="1" ht="12.75" hidden="1" customHeight="1" outlineLevel="2">
      <c r="A96" s="9"/>
      <c r="B96" s="9"/>
      <c r="C96" s="25"/>
      <c r="D96" s="492"/>
      <c r="E96" s="86">
        <v>10</v>
      </c>
      <c r="F96" s="191"/>
      <c r="G96" s="148"/>
      <c r="H96" s="148"/>
      <c r="I96" s="148"/>
      <c r="J96" s="148"/>
      <c r="K96" s="148"/>
      <c r="L96" s="148"/>
      <c r="M96" s="148"/>
      <c r="N96" s="148"/>
      <c r="O96" s="187"/>
      <c r="P96" s="147"/>
      <c r="Q96" s="67"/>
      <c r="R96" s="102"/>
      <c r="S96" s="102"/>
      <c r="T96" s="102"/>
      <c r="U96" s="102"/>
      <c r="V96" s="102"/>
      <c r="W96" s="102"/>
      <c r="X96" s="102"/>
      <c r="Y96" s="102"/>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s="185" customFormat="1" hidden="1" outlineLevel="1">
      <c r="A97" s="9"/>
      <c r="B97" s="9"/>
      <c r="C97" s="25" t="str">
        <f>Asset2</f>
        <v>Cable tunnel (dx)</v>
      </c>
      <c r="D97" s="9"/>
      <c r="E97" s="9"/>
      <c r="F97" s="203"/>
      <c r="G97" s="164">
        <f>-SUM(G85:G96)</f>
        <v>-0.81325539749999998</v>
      </c>
      <c r="H97" s="164">
        <f>-SUM(H85:H96)</f>
        <v>-0.83922551950000002</v>
      </c>
      <c r="I97" s="164">
        <f>-SUM(I85:I96)</f>
        <v>-0.84518344374999999</v>
      </c>
      <c r="J97" s="164">
        <f>-SUM(J85:J96)</f>
        <v>-0.84617856650000001</v>
      </c>
      <c r="K97" s="164">
        <f>-SUM(K85:K96)</f>
        <v>-2.269169523</v>
      </c>
      <c r="L97" s="164"/>
      <c r="M97" s="164">
        <f>IF(Input!N174&gt;0, -SUM(M85:M96), 0)</f>
        <v>0</v>
      </c>
      <c r="N97" s="164">
        <f>IF(Input!O174&gt;0, -SUM(N85:N96), 0)</f>
        <v>0</v>
      </c>
      <c r="O97" s="164">
        <f>IF(Input!P174&gt;0, -SUM(O85:O96), 0)</f>
        <v>0</v>
      </c>
      <c r="P97" s="164">
        <f>IF(Input!Q174&gt;0, -SUM(P85:P96), 0)</f>
        <v>0</v>
      </c>
      <c r="Q97" s="63"/>
      <c r="R97" s="101"/>
      <c r="S97" s="101"/>
      <c r="T97" s="101"/>
      <c r="U97" s="101"/>
      <c r="V97" s="101"/>
      <c r="W97" s="101"/>
      <c r="X97" s="101"/>
      <c r="Y97" s="10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row>
    <row r="98" spans="1:60" s="185" customFormat="1" ht="12.75" hidden="1" customHeight="1" outlineLevel="2">
      <c r="A98" s="9"/>
      <c r="B98" s="31" t="str">
        <f>Asset3</f>
        <v>Distribution lines and cables</v>
      </c>
      <c r="C98" s="32"/>
      <c r="D98" s="33" t="s">
        <v>65</v>
      </c>
      <c r="E98" s="32"/>
      <c r="F98" s="203"/>
      <c r="G98" s="459">
        <f>'Tax asset base adjustments'!Q37</f>
        <v>70.368613267610442</v>
      </c>
      <c r="H98" s="459">
        <f>'Tax asset base adjustments'!R37</f>
        <v>22.988421504740003</v>
      </c>
      <c r="I98" s="459">
        <f>'Tax asset base adjustments'!S37</f>
        <v>22.642475052131481</v>
      </c>
      <c r="J98" s="459">
        <f>'Tax asset base adjustments'!T37</f>
        <v>22.285054433042788</v>
      </c>
      <c r="K98" s="459">
        <f>'Tax asset base adjustments'!U37</f>
        <v>19.310543491668692</v>
      </c>
      <c r="L98" s="344"/>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2"/>
      <c r="S98" s="301">
        <f>SUM(K98:K103)</f>
        <v>41.099151270331731</v>
      </c>
      <c r="T98" s="102"/>
      <c r="U98" s="102"/>
      <c r="V98" s="102"/>
      <c r="W98" s="102"/>
      <c r="X98" s="102"/>
      <c r="Y98" s="102"/>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s="185" customFormat="1" ht="12.75" hidden="1" customHeight="1" outlineLevel="2">
      <c r="A99" s="9"/>
      <c r="B99" s="9"/>
      <c r="C99" s="25"/>
      <c r="D99" s="491" t="s">
        <v>83</v>
      </c>
      <c r="E99" s="85"/>
      <c r="F99" s="303"/>
      <c r="G99" s="67"/>
      <c r="H99" s="67"/>
      <c r="I99" s="67"/>
      <c r="J99" s="67"/>
      <c r="K99" s="67"/>
      <c r="L99" s="67"/>
      <c r="M99" s="67"/>
      <c r="N99" s="67"/>
      <c r="O99" s="67"/>
      <c r="P99" s="67"/>
      <c r="Q99" s="67"/>
      <c r="R99" s="102"/>
      <c r="S99" s="102"/>
      <c r="T99" s="102"/>
      <c r="U99" s="102"/>
      <c r="V99" s="102"/>
      <c r="W99" s="102"/>
      <c r="X99" s="102"/>
      <c r="Y99" s="102"/>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s="185" customFormat="1" ht="12.75" hidden="1" customHeight="1" outlineLevel="2">
      <c r="A100" s="9"/>
      <c r="B100" s="9"/>
      <c r="C100" s="25"/>
      <c r="D100" s="492"/>
      <c r="E100" s="85">
        <v>1</v>
      </c>
      <c r="F100" s="203"/>
      <c r="G100" s="147"/>
      <c r="H100" s="67">
        <f>IF(A3taxstdlife="n/a","n/a",IF(H$3&gt;(A3taxstdlife+$E100),(Input!$H$44-Input!$H$78)-SUM($G100:G100),(Input!$H$44-Input!$H$78)/A3taxstdlife))</f>
        <v>3.7889434931106711</v>
      </c>
      <c r="I100" s="67">
        <f>IF(A3taxstdlife="n/a","n/a",IF(I$3&gt;(A3taxstdlife+$E100),(Input!$H$44-Input!$H$78)-SUM($G100:H100),(Input!$H$44-Input!$H$78)/A3taxstdlife))</f>
        <v>3.7889434931106711</v>
      </c>
      <c r="J100" s="67">
        <f>IF(A3taxstdlife="n/a","n/a",IF(J$3&gt;(A3taxstdlife+$E100),(Input!$H$44-Input!$H$78)-SUM($G100:I100),(Input!$H$44-Input!$H$78)/A3taxstdlife))</f>
        <v>3.7889434931106711</v>
      </c>
      <c r="K100" s="67">
        <f>IF(A3taxstdlife="n/a","n/a",IF(K$3&gt;(A3taxstdlife+$E100),(Input!$H$44-Input!$H$78)-SUM($G100:J100),(Input!$H$44-Input!$H$78)/A3taxstdlife))</f>
        <v>3.7889434931106711</v>
      </c>
      <c r="L100" s="67"/>
      <c r="M100" s="67">
        <f>IF(A3taxstdlife="n/a","n/a",IF(M$3&gt;(A3taxstdlife+$E100),(Input!$H$44-Input!$H$78)-SUM($G100:L100),(Input!$H$44-Input!$H$78)/A3taxstdlife))</f>
        <v>3.7889434931106711</v>
      </c>
      <c r="N100" s="67">
        <f>IF(A3taxstdlife="n/a","n/a",IF(N$3&gt;(A3taxstdlife+$E100),(Input!$H$44-Input!$H$78)-SUM($G100:M100),(Input!$H$44-Input!$H$78)/A3taxstdlife))</f>
        <v>3.7889434931106711</v>
      </c>
      <c r="O100" s="67">
        <f>IF(A3taxstdlife="n/a","n/a",IF(O$3&gt;(A3taxstdlife+$E100),(Input!$H$44-Input!$H$78)-SUM($G100:N100),(Input!$H$44-Input!$H$78)/A3taxstdlife))</f>
        <v>3.7889434931106711</v>
      </c>
      <c r="P100" s="67">
        <f>IF(A3taxstdlife="n/a","n/a",IF(P$3&gt;(A3taxstdlife+$E100),(Input!$H$44-Input!$H$78)-SUM($G100:O100),(Input!$H$44-Input!$H$78)/A3taxstdlife))</f>
        <v>3.7889434931106711</v>
      </c>
      <c r="Q100" s="67"/>
      <c r="R100" s="102"/>
      <c r="S100" s="102"/>
      <c r="T100" s="102"/>
      <c r="U100" s="102"/>
      <c r="V100" s="102"/>
      <c r="W100" s="102"/>
      <c r="X100" s="102"/>
      <c r="Y100" s="102"/>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s="185" customFormat="1" ht="12.75" hidden="1" customHeight="1" outlineLevel="2">
      <c r="A101" s="9"/>
      <c r="B101" s="9"/>
      <c r="C101" s="25"/>
      <c r="D101" s="492"/>
      <c r="E101" s="85">
        <v>2</v>
      </c>
      <c r="F101" s="203"/>
      <c r="G101" s="148"/>
      <c r="H101" s="147"/>
      <c r="I101" s="67">
        <f>IF(A3taxstdlife="n/a","n/a",IF(I$3&gt;(A3taxstdlife+$E101),(Input!$I$44-Input!$I$78)-SUM($H101:H101),(Input!$I$44-Input!$I$78)/A3taxstdlife))</f>
        <v>5.975028171334702</v>
      </c>
      <c r="J101" s="67">
        <f>IF(A3taxstdlife="n/a","n/a",IF(J$3&gt;(A3taxstdlife+$E101),(Input!$I$44-Input!$I$78)-SUM($H101:I101),(Input!$I$44-Input!$I$78)/A3taxstdlife))</f>
        <v>5.975028171334702</v>
      </c>
      <c r="K101" s="67">
        <f>IF(A3taxstdlife="n/a","n/a",IF(K$3&gt;(A3taxstdlife+$E101),(Input!$I$44-Input!$I$78)-SUM($H101:J101),(Input!$I$44-Input!$I$78)/A3taxstdlife))</f>
        <v>5.975028171334702</v>
      </c>
      <c r="L101" s="67"/>
      <c r="M101" s="67">
        <f>IF(A3taxstdlife="n/a","n/a",IF(M$3&gt;(A3taxstdlife+$E101),(Input!$I$44-Input!$I$78)-SUM($H101:L101),(Input!$I$44-Input!$I$78)/A3taxstdlife))</f>
        <v>5.975028171334702</v>
      </c>
      <c r="N101" s="67">
        <f>IF(A3taxstdlife="n/a","n/a",IF(N$3&gt;(A3taxstdlife+$E101),(Input!$I$44-Input!$I$78)-SUM($H101:M101),(Input!$I$44-Input!$I$78)/A3taxstdlife))</f>
        <v>5.975028171334702</v>
      </c>
      <c r="O101" s="67">
        <f>IF(A3taxstdlife="n/a","n/a",IF(O$3&gt;(A3taxstdlife+$E101),(Input!$I$44-Input!$I$78)-SUM($H101:N101),(Input!$I$44-Input!$I$78)/A3taxstdlife))</f>
        <v>5.975028171334702</v>
      </c>
      <c r="P101" s="67">
        <f>IF(A3taxstdlife="n/a","n/a",IF(P$3&gt;(A3taxstdlife+$E101),(Input!$I$44-Input!$I$78)-SUM($H101:O101),(Input!$I$44-Input!$I$78)/A3taxstdlife))</f>
        <v>5.975028171334702</v>
      </c>
      <c r="Q101" s="67"/>
      <c r="R101" s="102"/>
      <c r="S101" s="102"/>
      <c r="T101" s="102"/>
      <c r="U101" s="102"/>
      <c r="V101" s="102"/>
      <c r="W101" s="102"/>
      <c r="X101" s="102"/>
      <c r="Y101" s="102"/>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s="185" customFormat="1" ht="12.75" hidden="1" customHeight="1" outlineLevel="2">
      <c r="A102" s="9"/>
      <c r="B102" s="9"/>
      <c r="C102" s="25"/>
      <c r="D102" s="492"/>
      <c r="E102" s="85">
        <v>3</v>
      </c>
      <c r="F102" s="203"/>
      <c r="G102" s="148"/>
      <c r="H102" s="148"/>
      <c r="I102" s="147"/>
      <c r="J102" s="67">
        <f>IF(A3taxstdlife="n/a","n/a",IF(J$3&gt;(A3taxstdlife+$E102),(Input!$J$44-Input!$J$78)-SUM($I102:I102),(Input!$J$44-Input!$J$78)/A3taxstdlife))</f>
        <v>6.3368359830827545</v>
      </c>
      <c r="K102" s="67">
        <f>IF(A3taxstdlife="n/a","n/a",IF(K$3&gt;(A3taxstdlife+$E102),(Input!$J$44-Input!$J$78)-SUM($I102:J102),(Input!$J$44-Input!$J$78)/A3taxstdlife))</f>
        <v>6.3368359830827545</v>
      </c>
      <c r="L102" s="67"/>
      <c r="M102" s="67">
        <f>IF(A3taxstdlife="n/a","n/a",IF(M$3&gt;(A3taxstdlife+$E102),(Input!$J$44-Input!$J$78)-SUM($I102:L102),(Input!$J$44-Input!$J$78)/A3taxstdlife))</f>
        <v>6.3368359830827545</v>
      </c>
      <c r="N102" s="67">
        <f>IF(A3taxstdlife="n/a","n/a",IF(N$3&gt;(A3taxstdlife+$E102),(Input!$J$44-Input!$J$78)-SUM($I102:M102),(Input!$J$44-Input!$J$78)/A3taxstdlife))</f>
        <v>6.3368359830827545</v>
      </c>
      <c r="O102" s="67">
        <f>IF(A3taxstdlife="n/a","n/a",IF(O$3&gt;(A3taxstdlife+$E102),(Input!$J$44-Input!$J$78)-SUM($I102:N102),(Input!$J$44-Input!$J$78)/A3taxstdlife))</f>
        <v>6.3368359830827545</v>
      </c>
      <c r="P102" s="67">
        <f>IF(A3taxstdlife="n/a","n/a",IF(P$3&gt;(A3taxstdlife+$E102),(Input!$J$44-Input!$J$78)-SUM($I102:O102),(Input!$J$44-Input!$J$78)/A3taxstdlife))</f>
        <v>6.3368359830827545</v>
      </c>
      <c r="Q102" s="67"/>
      <c r="R102" s="102"/>
      <c r="S102" s="102"/>
      <c r="T102" s="102"/>
      <c r="U102" s="102"/>
      <c r="V102" s="102"/>
      <c r="W102" s="102"/>
      <c r="X102" s="102"/>
      <c r="Y102" s="102"/>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s="185" customFormat="1" ht="12.75" hidden="1" customHeight="1" outlineLevel="2">
      <c r="A103" s="9"/>
      <c r="B103" s="9"/>
      <c r="C103" s="25"/>
      <c r="D103" s="492"/>
      <c r="E103" s="85">
        <v>4</v>
      </c>
      <c r="F103" s="203"/>
      <c r="G103" s="148"/>
      <c r="H103" s="148"/>
      <c r="I103" s="148"/>
      <c r="J103" s="147"/>
      <c r="K103" s="67">
        <f>IF(A3taxstdlife="n/a","n/a",IF(K$3&gt;(A3taxstdlife+$E103),(Input!$K$44-Input!$K$78)-SUM($J103:J103),(Input!$K$44-Input!$K$78)/A3taxstdlife))</f>
        <v>5.6878001311349049</v>
      </c>
      <c r="L103" s="67"/>
      <c r="M103" s="67">
        <f>IF(A3taxstdlife="n/a","n/a",IF(M$3&gt;(A3taxstdlife+$E103),(Input!$K$44-Input!$K$78)-SUM($J103:L103),(Input!$K$44-Input!$K$78)/A3taxstdlife))</f>
        <v>5.6878001311349049</v>
      </c>
      <c r="N103" s="67">
        <f>IF(A3taxstdlife="n/a","n/a",IF(N$3&gt;(A3taxstdlife+$E103),(Input!$K$44-Input!$K$78)-SUM($J103:M103),(Input!$K$44-Input!$K$78)/A3taxstdlife))</f>
        <v>5.6878001311349049</v>
      </c>
      <c r="O103" s="67">
        <f>IF(A3taxstdlife="n/a","n/a",IF(O$3&gt;(A3taxstdlife+$E103),(Input!$K$44-Input!$K$78)-SUM($J103:N103),(Input!$K$44-Input!$K$78)/A3taxstdlife))</f>
        <v>5.6878001311349049</v>
      </c>
      <c r="P103" s="67">
        <f>IF(A3taxstdlife="n/a","n/a",IF(P$3&gt;(A3taxstdlife+$E103),(Input!$K$44-Input!$K$78)-SUM($J103:O103),(Input!$K$44-Input!$K$78)/A3taxstdlife))</f>
        <v>5.6878001311349049</v>
      </c>
      <c r="Q103" s="67"/>
      <c r="R103" s="102"/>
      <c r="S103" s="102"/>
      <c r="T103" s="102"/>
      <c r="U103" s="102"/>
      <c r="V103" s="102"/>
      <c r="W103" s="102"/>
      <c r="X103" s="102"/>
      <c r="Y103" s="102"/>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s="185" customFormat="1" ht="12.75" hidden="1" customHeight="1" outlineLevel="2">
      <c r="A104" s="9"/>
      <c r="B104" s="9"/>
      <c r="C104" s="25"/>
      <c r="D104" s="492"/>
      <c r="E104" s="85">
        <v>5</v>
      </c>
      <c r="F104" s="203"/>
      <c r="G104" s="148"/>
      <c r="H104" s="148"/>
      <c r="I104" s="148"/>
      <c r="J104" s="148"/>
      <c r="K104" s="147"/>
      <c r="L104" s="67"/>
      <c r="M104" s="67">
        <f>IF(A3taxstdlife="n/a","n/a",IF(M$3&gt;(A3taxstdlife+$E104),(Input!$L$44-Input!$L$78)-SUM($K104:L104),(Input!$L$44-Input!$L$78)/A3taxstdlife))</f>
        <v>3.9689543411687498</v>
      </c>
      <c r="N104" s="67">
        <f>IF(A3taxstdlife="n/a","n/a",IF(N$3&gt;(A3taxstdlife+$E104),(Input!$L$44-Input!$L$78)-SUM($K104:M104),(Input!$L$44-Input!$L$78)/A3taxstdlife))</f>
        <v>3.9689543411687498</v>
      </c>
      <c r="O104" s="67">
        <f>IF(A3taxstdlife="n/a","n/a",IF(O$3&gt;(A3taxstdlife+$E104),(Input!$L$44-Input!$L$78)-SUM($K104:N104),(Input!$L$44-Input!$L$78)/A3taxstdlife))</f>
        <v>3.9689543411687498</v>
      </c>
      <c r="P104" s="67">
        <f>IF(A3taxstdlife="n/a","n/a",IF(P$3&gt;(A3taxstdlife+$E104),(Input!$L$44-Input!$L$78)-SUM($K104:O104),(Input!$L$44-Input!$L$78)/A3taxstdlife))</f>
        <v>3.9689543411687498</v>
      </c>
      <c r="Q104" s="67"/>
      <c r="R104" s="102"/>
      <c r="S104" s="102"/>
      <c r="T104" s="102"/>
      <c r="U104" s="102"/>
      <c r="V104" s="102"/>
      <c r="W104" s="102"/>
      <c r="X104" s="102"/>
      <c r="Y104" s="102"/>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s="185" customFormat="1" ht="12.75" hidden="1" customHeight="1" outlineLevel="2">
      <c r="A105" s="9"/>
      <c r="B105" s="9"/>
      <c r="C105" s="25"/>
      <c r="D105" s="492"/>
      <c r="E105" s="85">
        <v>6</v>
      </c>
      <c r="F105" s="203"/>
      <c r="G105" s="148"/>
      <c r="H105" s="148"/>
      <c r="I105" s="148"/>
      <c r="J105" s="148"/>
      <c r="K105" s="148"/>
      <c r="L105" s="147"/>
      <c r="M105" s="67">
        <f>IF(A3taxstdlife="n/a","n/a",IF(M$3&gt;(A3taxstdlife+$E105),(Input!$M$44-Input!$M$78)-SUM($L105:L105),(Input!$M$44-Input!$M$78)/A3taxstdlife))</f>
        <v>0</v>
      </c>
      <c r="N105" s="67">
        <f>IF(A3taxstdlife="n/a","n/a",IF(N$3&gt;(A3taxstdlife+$E105),(Input!$M$44-Input!$M$78)-SUM($L105:M105),(Input!$M$44-Input!$M$78)/A3taxstdlife))</f>
        <v>0</v>
      </c>
      <c r="O105" s="67">
        <f>IF(A3taxstdlife="n/a","n/a",IF(O$3&gt;(A3taxstdlife+$E105),(Input!$M$44-Input!$M$78)-SUM($L105:N105),(Input!$M$44-Input!$M$78)/A3taxstdlife))</f>
        <v>0</v>
      </c>
      <c r="P105" s="67">
        <f>IF(A3taxstdlife="n/a","n/a",IF(P$3&gt;(A3taxstdlife+$E105),(Input!$M$44-Input!$M$78)-SUM($L105:O105),(Input!$M$44-Input!$M$78)/A3taxstdlife))</f>
        <v>0</v>
      </c>
      <c r="Q105" s="67"/>
      <c r="R105" s="102"/>
      <c r="S105" s="102"/>
      <c r="T105" s="102"/>
      <c r="U105" s="102"/>
      <c r="V105" s="102"/>
      <c r="W105" s="102"/>
      <c r="X105" s="102"/>
      <c r="Y105" s="102"/>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s="185" customFormat="1" ht="12.75" hidden="1" customHeight="1" outlineLevel="2">
      <c r="A106" s="9"/>
      <c r="B106" s="9"/>
      <c r="C106" s="25"/>
      <c r="D106" s="492"/>
      <c r="E106" s="85">
        <v>7</v>
      </c>
      <c r="F106" s="203"/>
      <c r="G106" s="148"/>
      <c r="H106" s="148"/>
      <c r="I106" s="148"/>
      <c r="J106" s="148"/>
      <c r="K106" s="148"/>
      <c r="L106" s="148"/>
      <c r="M106" s="147"/>
      <c r="N106" s="67">
        <f>IF(A3taxstdlife="n/a","n/a",IF(N$3&gt;(A3taxstdlife+$E106),(Input!$N$44-Input!$N$78)-SUM($M106:M106),(Input!$N$44-Input!$N$78)/A3taxstdlife))</f>
        <v>0</v>
      </c>
      <c r="O106" s="67">
        <f>IF(A3taxstdlife="n/a","n/a",IF(O$3&gt;(A3taxstdlife+$E106),(Input!$N$44-Input!$N$78)-SUM($M106:N106),(Input!$N$44-Input!$N$78)/A3taxstdlife))</f>
        <v>0</v>
      </c>
      <c r="P106" s="67">
        <f>IF(A3taxstdlife="n/a","n/a",IF(P$3&gt;(A3taxstdlife+$E106),(Input!$N$44-Input!$N$78)-SUM($M106:O106),(Input!$N$44-Input!$N$78)/A3taxstdlife))</f>
        <v>0</v>
      </c>
      <c r="Q106" s="67"/>
      <c r="R106" s="102"/>
      <c r="S106" s="102"/>
      <c r="T106" s="102"/>
      <c r="U106" s="102"/>
      <c r="V106" s="102"/>
      <c r="W106" s="102"/>
      <c r="X106" s="102"/>
      <c r="Y106" s="102"/>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s="185" customFormat="1" ht="12.75" hidden="1" customHeight="1" outlineLevel="2">
      <c r="A107" s="9"/>
      <c r="B107" s="9"/>
      <c r="C107" s="25"/>
      <c r="D107" s="492"/>
      <c r="E107" s="85">
        <v>8</v>
      </c>
      <c r="F107" s="203"/>
      <c r="G107" s="148"/>
      <c r="H107" s="148"/>
      <c r="I107" s="148"/>
      <c r="J107" s="148"/>
      <c r="K107" s="148"/>
      <c r="L107" s="148"/>
      <c r="M107" s="148"/>
      <c r="N107" s="147"/>
      <c r="O107" s="67">
        <f>IF(A3taxstdlife="n/a","n/a",IF(O$3&gt;(A3taxstdlife+$E107),(Input!$O$44-Input!$O$78)-SUM($N107:N107),(Input!$O$44-Input!$O$78)/A3taxstdlife))</f>
        <v>0</v>
      </c>
      <c r="P107" s="67">
        <f>IF(A3taxstdlife="n/a","n/a",IF(P$3&gt;(A3taxstdlife+$E107),(Input!$O$44-Input!$O$78)-SUM($N107:O107),(Input!$O$44-Input!$O$78)/A3taxstdlife))</f>
        <v>0</v>
      </c>
      <c r="Q107" s="67"/>
      <c r="R107" s="102"/>
      <c r="S107" s="102"/>
      <c r="T107" s="102"/>
      <c r="U107" s="102"/>
      <c r="V107" s="102"/>
      <c r="W107" s="102"/>
      <c r="X107" s="102"/>
      <c r="Y107" s="102"/>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s="185" customFormat="1" ht="12.75" hidden="1" customHeight="1" outlineLevel="2">
      <c r="A108" s="9"/>
      <c r="B108" s="9"/>
      <c r="C108" s="25"/>
      <c r="D108" s="492"/>
      <c r="E108" s="85">
        <v>9</v>
      </c>
      <c r="F108" s="203"/>
      <c r="G108" s="148"/>
      <c r="H108" s="148"/>
      <c r="I108" s="148"/>
      <c r="J108" s="148"/>
      <c r="K108" s="148"/>
      <c r="L108" s="148"/>
      <c r="M108" s="148"/>
      <c r="N108" s="148"/>
      <c r="O108" s="147"/>
      <c r="P108" s="67">
        <f>IF(A3taxstdlife="n/a","n/a",IF(P$3&gt;(A3taxstdlife+$E108),(Input!$P$44-Input!$P$78)-SUM($O108:O108),(Input!$P$44-Input!$P$78)/A3taxstdlife))</f>
        <v>0</v>
      </c>
      <c r="Q108" s="67"/>
      <c r="R108" s="102"/>
      <c r="S108" s="102"/>
      <c r="T108" s="102"/>
      <c r="U108" s="102"/>
      <c r="V108" s="102"/>
      <c r="W108" s="102"/>
      <c r="X108" s="102"/>
      <c r="Y108" s="102"/>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s="185" customFormat="1" ht="12.75" hidden="1" customHeight="1" outlineLevel="2">
      <c r="A109" s="9"/>
      <c r="B109" s="9"/>
      <c r="C109" s="25"/>
      <c r="D109" s="492"/>
      <c r="E109" s="86">
        <v>10</v>
      </c>
      <c r="F109" s="203"/>
      <c r="G109" s="148"/>
      <c r="H109" s="148"/>
      <c r="I109" s="148"/>
      <c r="J109" s="148"/>
      <c r="K109" s="148"/>
      <c r="L109" s="148"/>
      <c r="M109" s="148"/>
      <c r="N109" s="148"/>
      <c r="O109" s="187"/>
      <c r="P109" s="147"/>
      <c r="Q109" s="67"/>
      <c r="R109" s="102"/>
      <c r="S109" s="102"/>
      <c r="T109" s="102"/>
      <c r="U109" s="102"/>
      <c r="V109" s="102"/>
      <c r="W109" s="102"/>
      <c r="X109" s="102"/>
      <c r="Y109" s="102"/>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s="185" customFormat="1" hidden="1" outlineLevel="1">
      <c r="A110" s="9"/>
      <c r="B110" s="9"/>
      <c r="C110" s="25" t="str">
        <f>Asset3</f>
        <v>Distribution lines and cables</v>
      </c>
      <c r="D110" s="9"/>
      <c r="E110" s="9"/>
      <c r="F110" s="203"/>
      <c r="G110" s="164">
        <f>-SUM(G98:G109)</f>
        <v>-70.368613267610442</v>
      </c>
      <c r="H110" s="164">
        <f>-SUM(H98:H109)</f>
        <v>-26.777364997850675</v>
      </c>
      <c r="I110" s="164">
        <f>-SUM(I98:I109)</f>
        <v>-32.406446716576852</v>
      </c>
      <c r="J110" s="164">
        <f>-SUM(J98:J109)</f>
        <v>-38.385862080570917</v>
      </c>
      <c r="K110" s="164">
        <f>-SUM(K98:K109)</f>
        <v>-41.099151270331731</v>
      </c>
      <c r="L110" s="164"/>
      <c r="M110" s="164">
        <f>IF(Input!N174&gt;0, -SUM(M98:M109), 0)</f>
        <v>0</v>
      </c>
      <c r="N110" s="164">
        <f>IF(Input!O174&gt;0, -SUM(N98:N109), 0)</f>
        <v>0</v>
      </c>
      <c r="O110" s="164">
        <f>IF(Input!P174&gt;0, -SUM(O98:O109), 0)</f>
        <v>0</v>
      </c>
      <c r="P110" s="164">
        <f>IF(Input!Q174&gt;0, -SUM(P98:P109), 0)</f>
        <v>0</v>
      </c>
      <c r="Q110" s="63"/>
      <c r="R110" s="101"/>
      <c r="S110" s="301"/>
      <c r="T110" s="101"/>
      <c r="U110" s="101"/>
      <c r="V110" s="101"/>
      <c r="W110" s="101"/>
      <c r="X110" s="101"/>
      <c r="Y110" s="10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row>
    <row r="111" spans="1:60" s="185" customFormat="1" ht="12.75" hidden="1" customHeight="1" outlineLevel="2">
      <c r="A111" s="9"/>
      <c r="B111" s="31" t="str">
        <f>Asset4</f>
        <v>Substations</v>
      </c>
      <c r="C111" s="32"/>
      <c r="D111" s="33" t="s">
        <v>65</v>
      </c>
      <c r="E111" s="32"/>
      <c r="F111" s="203"/>
      <c r="G111" s="459">
        <f>'Tax asset base adjustments'!Q38</f>
        <v>71.038244560081708</v>
      </c>
      <c r="H111" s="459">
        <f>'Tax asset base adjustments'!R38</f>
        <v>51.315986704266557</v>
      </c>
      <c r="I111" s="459">
        <f>'Tax asset base adjustments'!S38</f>
        <v>44.76605599181768</v>
      </c>
      <c r="J111" s="459">
        <f>'Tax asset base adjustments'!T38</f>
        <v>43.914231393543588</v>
      </c>
      <c r="K111" s="459">
        <f>'Tax asset base adjustments'!U38</f>
        <v>40.912309373983334</v>
      </c>
      <c r="L111" s="344"/>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2"/>
      <c r="S111" s="301">
        <f>SUM(K111:K116)</f>
        <v>74.409705562045303</v>
      </c>
      <c r="T111" s="102"/>
      <c r="U111" s="102"/>
      <c r="V111" s="102"/>
      <c r="W111" s="102"/>
      <c r="X111" s="102"/>
      <c r="Y111" s="102"/>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s="185" customFormat="1" ht="12.75" hidden="1" customHeight="1" outlineLevel="2">
      <c r="A112" s="9"/>
      <c r="B112" s="9"/>
      <c r="C112" s="25"/>
      <c r="D112" s="491" t="s">
        <v>83</v>
      </c>
      <c r="E112" s="85"/>
      <c r="F112" s="302"/>
      <c r="G112" s="67"/>
      <c r="H112" s="67"/>
      <c r="I112" s="67"/>
      <c r="J112" s="67"/>
      <c r="K112" s="67"/>
      <c r="L112" s="67"/>
      <c r="M112" s="67"/>
      <c r="N112" s="67"/>
      <c r="O112" s="67"/>
      <c r="P112" s="67"/>
      <c r="Q112" s="67"/>
      <c r="R112" s="102"/>
      <c r="S112" s="102"/>
      <c r="T112" s="102"/>
      <c r="U112" s="102"/>
      <c r="V112" s="102"/>
      <c r="W112" s="102"/>
      <c r="X112" s="102"/>
      <c r="Y112" s="102"/>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s="185" customFormat="1" ht="12.75" hidden="1" customHeight="1" outlineLevel="2">
      <c r="A113" s="9"/>
      <c r="B113" s="9"/>
      <c r="C113" s="25"/>
      <c r="D113" s="492"/>
      <c r="E113" s="85">
        <v>1</v>
      </c>
      <c r="F113" s="191"/>
      <c r="G113" s="147"/>
      <c r="H113" s="67">
        <f>IF(A4taxstdlife="n/a","n/a",IF(H$3&gt;(A4taxstdlife+$E113),(Input!$H$45-Input!$H$79)-SUM($G113:G113),(Input!$H$45-Input!$H$79)/A4taxstdlife))</f>
        <v>7.5406045322337416</v>
      </c>
      <c r="I113" s="67">
        <f>IF(A4taxstdlife="n/a","n/a",IF(I$3&gt;(A4taxstdlife+$E113),(Input!$H$45-Input!$H$79)-SUM($G113:H113),(Input!$H$45-Input!$H$79)/A4taxstdlife))</f>
        <v>7.5406045322337416</v>
      </c>
      <c r="J113" s="67">
        <f>IF(A4taxstdlife="n/a","n/a",IF(J$3&gt;(A4taxstdlife+$E113),(Input!$H$45-Input!$H$79)-SUM($G113:I113),(Input!$H$45-Input!$H$79)/A4taxstdlife))</f>
        <v>7.5406045322337416</v>
      </c>
      <c r="K113" s="67">
        <f>IF(A4taxstdlife="n/a","n/a",IF(K$3&gt;(A4taxstdlife+$E113),(Input!$H$45-Input!$H$79)-SUM($G113:J113),(Input!$H$45-Input!$H$79)/A4taxstdlife))</f>
        <v>7.5406045322337416</v>
      </c>
      <c r="L113" s="67"/>
      <c r="M113" s="67">
        <f>IF(A4taxstdlife="n/a","n/a",IF(M$3&gt;(A4taxstdlife+$E113),(Input!$H$45-Input!$H$79)-SUM($G113:L113),(Input!$H$45-Input!$H$79)/A4taxstdlife))</f>
        <v>7.5406045322337416</v>
      </c>
      <c r="N113" s="67">
        <f>IF(A4taxstdlife="n/a","n/a",IF(N$3&gt;(A4taxstdlife+$E113),(Input!$H$45-Input!$H$79)-SUM($G113:M113),(Input!$H$45-Input!$H$79)/A4taxstdlife))</f>
        <v>7.5406045322337416</v>
      </c>
      <c r="O113" s="67">
        <f>IF(A4taxstdlife="n/a","n/a",IF(O$3&gt;(A4taxstdlife+$E113),(Input!$H$45-Input!$H$79)-SUM($G113:N113),(Input!$H$45-Input!$H$79)/A4taxstdlife))</f>
        <v>7.5406045322337416</v>
      </c>
      <c r="P113" s="67">
        <f>IF(A4taxstdlife="n/a","n/a",IF(P$3&gt;(A4taxstdlife+$E113),(Input!$H$45-Input!$H$79)-SUM($G113:O113),(Input!$H$45-Input!$H$79)/A4taxstdlife))</f>
        <v>7.5406045322337416</v>
      </c>
      <c r="Q113" s="67"/>
      <c r="R113" s="102"/>
      <c r="S113" s="102"/>
      <c r="T113" s="102"/>
      <c r="U113" s="102"/>
      <c r="V113" s="102"/>
      <c r="W113" s="102"/>
      <c r="X113" s="102"/>
      <c r="Y113" s="102"/>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s="185" customFormat="1" ht="12.75" hidden="1" customHeight="1" outlineLevel="2">
      <c r="A114" s="9"/>
      <c r="B114" s="9"/>
      <c r="C114" s="25"/>
      <c r="D114" s="492"/>
      <c r="E114" s="85">
        <v>2</v>
      </c>
      <c r="F114" s="191"/>
      <c r="G114" s="148"/>
      <c r="H114" s="147"/>
      <c r="I114" s="67">
        <f>IF(A4taxstdlife="n/a","n/a",IF(I$3&gt;(A4taxstdlife+$E114),(Input!$I$45-Input!$I$79)-SUM($H114:H114),(Input!$I$45-Input!$I$79)/A4taxstdlife))</f>
        <v>8.5771085626583492</v>
      </c>
      <c r="J114" s="67">
        <f>IF(A4taxstdlife="n/a","n/a",IF(J$3&gt;(A4taxstdlife+$E114),(Input!$I$45-Input!$I$79)-SUM($H114:I114),(Input!$I$45-Input!$I$79)/A4taxstdlife))</f>
        <v>8.5771085626583492</v>
      </c>
      <c r="K114" s="67">
        <f>IF(A4taxstdlife="n/a","n/a",IF(K$3&gt;(A4taxstdlife+$E114),(Input!$I$45-Input!$I$79)-SUM($H114:J114),(Input!$I$45-Input!$I$79)/A4taxstdlife))</f>
        <v>8.5771085626583492</v>
      </c>
      <c r="L114" s="67"/>
      <c r="M114" s="67">
        <f>IF(A4taxstdlife="n/a","n/a",IF(M$3&gt;(A4taxstdlife+$E114),(Input!$I$45-Input!$I$79)-SUM($H114:L114),(Input!$I$45-Input!$I$79)/A4taxstdlife))</f>
        <v>8.5771085626583492</v>
      </c>
      <c r="N114" s="67">
        <f>IF(A4taxstdlife="n/a","n/a",IF(N$3&gt;(A4taxstdlife+$E114),(Input!$I$45-Input!$I$79)-SUM($H114:M114),(Input!$I$45-Input!$I$79)/A4taxstdlife))</f>
        <v>8.5771085626583492</v>
      </c>
      <c r="O114" s="67">
        <f>IF(A4taxstdlife="n/a","n/a",IF(O$3&gt;(A4taxstdlife+$E114),(Input!$I$45-Input!$I$79)-SUM($H114:N114),(Input!$I$45-Input!$I$79)/A4taxstdlife))</f>
        <v>8.5771085626583492</v>
      </c>
      <c r="P114" s="67">
        <f>IF(A4taxstdlife="n/a","n/a",IF(P$3&gt;(A4taxstdlife+$E114),(Input!$I$45-Input!$I$79)-SUM($H114:O114),(Input!$I$45-Input!$I$79)/A4taxstdlife))</f>
        <v>8.5771085626583492</v>
      </c>
      <c r="Q114" s="67"/>
      <c r="R114" s="102"/>
      <c r="S114" s="102"/>
      <c r="T114" s="102"/>
      <c r="U114" s="102"/>
      <c r="V114" s="102"/>
      <c r="W114" s="102"/>
      <c r="X114" s="102"/>
      <c r="Y114" s="102"/>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s="185" customFormat="1" ht="12.75" hidden="1" customHeight="1" outlineLevel="2">
      <c r="A115" s="9"/>
      <c r="B115" s="9"/>
      <c r="C115" s="25"/>
      <c r="D115" s="492"/>
      <c r="E115" s="85">
        <v>3</v>
      </c>
      <c r="F115" s="191"/>
      <c r="G115" s="148"/>
      <c r="H115" s="148"/>
      <c r="I115" s="147"/>
      <c r="J115" s="67">
        <f>IF(A4taxstdlife="n/a","n/a",IF(J$3&gt;(A4taxstdlife+$E115),(Input!$J$45-Input!$J$79)-SUM($I115:I115),(Input!$J$45-Input!$J$79)/A4taxstdlife))</f>
        <v>10.441544751103265</v>
      </c>
      <c r="K115" s="67">
        <f>IF(A4taxstdlife="n/a","n/a",IF(K$3&gt;(A4taxstdlife+$E115),(Input!$J$45-Input!$J$79)-SUM($I115:J115),(Input!$J$45-Input!$J$79)/A4taxstdlife))</f>
        <v>10.441544751103265</v>
      </c>
      <c r="L115" s="67"/>
      <c r="M115" s="67">
        <f>IF(A4taxstdlife="n/a","n/a",IF(M$3&gt;(A4taxstdlife+$E115),(Input!$J$45-Input!$J$79)-SUM($I115:L115),(Input!$J$45-Input!$J$79)/A4taxstdlife))</f>
        <v>10.441544751103265</v>
      </c>
      <c r="N115" s="67">
        <f>IF(A4taxstdlife="n/a","n/a",IF(N$3&gt;(A4taxstdlife+$E115),(Input!$J$45-Input!$J$79)-SUM($I115:M115),(Input!$J$45-Input!$J$79)/A4taxstdlife))</f>
        <v>10.441544751103265</v>
      </c>
      <c r="O115" s="67">
        <f>IF(A4taxstdlife="n/a","n/a",IF(O$3&gt;(A4taxstdlife+$E115),(Input!$J$45-Input!$J$79)-SUM($I115:N115),(Input!$J$45-Input!$J$79)/A4taxstdlife))</f>
        <v>10.441544751103265</v>
      </c>
      <c r="P115" s="67">
        <f>IF(A4taxstdlife="n/a","n/a",IF(P$3&gt;(A4taxstdlife+$E115),(Input!$J$45-Input!$J$79)-SUM($I115:O115),(Input!$J$45-Input!$J$79)/A4taxstdlife))</f>
        <v>10.441544751103265</v>
      </c>
      <c r="Q115" s="67"/>
      <c r="R115" s="102"/>
      <c r="S115" s="102"/>
      <c r="T115" s="102"/>
      <c r="U115" s="102"/>
      <c r="V115" s="102"/>
      <c r="W115" s="102"/>
      <c r="X115" s="102"/>
      <c r="Y115" s="102"/>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s="185" customFormat="1" ht="12.75" hidden="1" customHeight="1" outlineLevel="2">
      <c r="A116" s="9"/>
      <c r="B116" s="9"/>
      <c r="C116" s="25"/>
      <c r="D116" s="492"/>
      <c r="E116" s="85">
        <v>4</v>
      </c>
      <c r="F116" s="191"/>
      <c r="G116" s="148"/>
      <c r="H116" s="148"/>
      <c r="I116" s="148"/>
      <c r="J116" s="147"/>
      <c r="K116" s="67">
        <f>IF(A4taxstdlife="n/a","n/a",IF(K$3&gt;(A4taxstdlife+$E116),(Input!$K$45-Input!$K$79)-SUM($J116:J116),(Input!$K$45-Input!$K$79)/A4taxstdlife))</f>
        <v>6.9381383420666101</v>
      </c>
      <c r="L116" s="67"/>
      <c r="M116" s="67">
        <f>IF(A4taxstdlife="n/a","n/a",IF(M$3&gt;(A4taxstdlife+$E116),(Input!$K$45-Input!$K$79)-SUM($J116:L116),(Input!$K$45-Input!$K$79)/A4taxstdlife))</f>
        <v>6.9381383420666101</v>
      </c>
      <c r="N116" s="67">
        <f>IF(A4taxstdlife="n/a","n/a",IF(N$3&gt;(A4taxstdlife+$E116),(Input!$K$45-Input!$K$79)-SUM($J116:M116),(Input!$K$45-Input!$K$79)/A4taxstdlife))</f>
        <v>6.9381383420666101</v>
      </c>
      <c r="O116" s="67">
        <f>IF(A4taxstdlife="n/a","n/a",IF(O$3&gt;(A4taxstdlife+$E116),(Input!$K$45-Input!$K$79)-SUM($J116:N116),(Input!$K$45-Input!$K$79)/A4taxstdlife))</f>
        <v>6.9381383420666101</v>
      </c>
      <c r="P116" s="67">
        <f>IF(A4taxstdlife="n/a","n/a",IF(P$3&gt;(A4taxstdlife+$E116),(Input!$K$45-Input!$K$79)-SUM($J116:O116),(Input!$K$45-Input!$K$79)/A4taxstdlife))</f>
        <v>6.9381383420666101</v>
      </c>
      <c r="Q116" s="67"/>
      <c r="R116" s="102"/>
      <c r="S116" s="102"/>
      <c r="T116" s="102"/>
      <c r="U116" s="102"/>
      <c r="V116" s="102"/>
      <c r="W116" s="102"/>
      <c r="X116" s="102"/>
      <c r="Y116" s="102"/>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s="185" customFormat="1" ht="12.75" hidden="1" customHeight="1" outlineLevel="2">
      <c r="A117" s="9"/>
      <c r="B117" s="9"/>
      <c r="C117" s="25"/>
      <c r="D117" s="492"/>
      <c r="E117" s="85">
        <v>5</v>
      </c>
      <c r="F117" s="191"/>
      <c r="G117" s="148"/>
      <c r="H117" s="148"/>
      <c r="I117" s="148"/>
      <c r="J117" s="148"/>
      <c r="K117" s="147"/>
      <c r="L117" s="67"/>
      <c r="M117" s="67">
        <f>IF(A4taxstdlife="n/a","n/a",IF(M$3&gt;(A4taxstdlife+$E117),(Input!$L$45-Input!$L$79)-SUM($K117:L117),(Input!$L$45-Input!$L$79)/A4taxstdlife))</f>
        <v>4.2634968629517136</v>
      </c>
      <c r="N117" s="67">
        <f>IF(A4taxstdlife="n/a","n/a",IF(N$3&gt;(A4taxstdlife+$E117),(Input!$L$45-Input!$L$79)-SUM($K117:M117),(Input!$L$45-Input!$L$79)/A4taxstdlife))</f>
        <v>4.2634968629517136</v>
      </c>
      <c r="O117" s="67">
        <f>IF(A4taxstdlife="n/a","n/a",IF(O$3&gt;(A4taxstdlife+$E117),(Input!$L$45-Input!$L$79)-SUM($K117:N117),(Input!$L$45-Input!$L$79)/A4taxstdlife))</f>
        <v>4.2634968629517136</v>
      </c>
      <c r="P117" s="67">
        <f>IF(A4taxstdlife="n/a","n/a",IF(P$3&gt;(A4taxstdlife+$E117),(Input!$L$45-Input!$L$79)-SUM($K117:O117),(Input!$L$45-Input!$L$79)/A4taxstdlife))</f>
        <v>4.2634968629517136</v>
      </c>
      <c r="Q117" s="67"/>
      <c r="R117" s="102"/>
      <c r="S117" s="102"/>
      <c r="T117" s="102"/>
      <c r="U117" s="102"/>
      <c r="V117" s="102"/>
      <c r="W117" s="102"/>
      <c r="X117" s="102"/>
      <c r="Y117" s="102"/>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s="185" customFormat="1" ht="12.75" hidden="1" customHeight="1" outlineLevel="2">
      <c r="A118" s="9"/>
      <c r="B118" s="9"/>
      <c r="C118" s="25"/>
      <c r="D118" s="492"/>
      <c r="E118" s="85">
        <v>6</v>
      </c>
      <c r="F118" s="191"/>
      <c r="G118" s="148"/>
      <c r="H118" s="148"/>
      <c r="I118" s="148"/>
      <c r="J118" s="148"/>
      <c r="K118" s="148"/>
      <c r="L118" s="147"/>
      <c r="M118" s="67">
        <f>IF(A4taxstdlife="n/a","n/a",IF(M$3&gt;(A4taxstdlife+$E118),(Input!$M$45-Input!$M$79)-SUM($L118:L118),(Input!$M$45-Input!$M$79)/A4taxstdlife))</f>
        <v>0</v>
      </c>
      <c r="N118" s="67">
        <f>IF(A4taxstdlife="n/a","n/a",IF(N$3&gt;(A4taxstdlife+$E118),(Input!$M$45-Input!$M$79)-SUM($L118:M118),(Input!$M$45-Input!$M$79)/A4taxstdlife))</f>
        <v>0</v>
      </c>
      <c r="O118" s="67">
        <f>IF(A4taxstdlife="n/a","n/a",IF(O$3&gt;(A4taxstdlife+$E118),(Input!$M$45-Input!$M$79)-SUM($L118:N118),(Input!$M$45-Input!$M$79)/A4taxstdlife))</f>
        <v>0</v>
      </c>
      <c r="P118" s="67">
        <f>IF(A4taxstdlife="n/a","n/a",IF(P$3&gt;(A4taxstdlife+$E118),(Input!$M$45-Input!$M$79)-SUM($L118:O118),(Input!$M$45-Input!$M$79)/A4taxstdlife))</f>
        <v>0</v>
      </c>
      <c r="Q118" s="67"/>
      <c r="R118" s="102"/>
      <c r="S118" s="102"/>
      <c r="T118" s="102"/>
      <c r="U118" s="102"/>
      <c r="V118" s="102"/>
      <c r="W118" s="102"/>
      <c r="X118" s="102"/>
      <c r="Y118" s="102"/>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s="185" customFormat="1" ht="12.75" hidden="1" customHeight="1" outlineLevel="2">
      <c r="A119" s="9"/>
      <c r="B119" s="9"/>
      <c r="C119" s="25"/>
      <c r="D119" s="492"/>
      <c r="E119" s="85">
        <v>7</v>
      </c>
      <c r="F119" s="191"/>
      <c r="G119" s="148"/>
      <c r="H119" s="148"/>
      <c r="I119" s="148"/>
      <c r="J119" s="148"/>
      <c r="K119" s="148"/>
      <c r="L119" s="148"/>
      <c r="M119" s="147"/>
      <c r="N119" s="67">
        <f>IF(A4taxstdlife="n/a","n/a",IF(N$3&gt;(A4taxstdlife+$E119),(Input!$N$45-Input!$N$79)-SUM($M119:M119),(Input!$N$45-Input!$N$79)/A4taxstdlife))</f>
        <v>0</v>
      </c>
      <c r="O119" s="67">
        <f>IF(A4taxstdlife="n/a","n/a",IF(O$3&gt;(A4taxstdlife+$E119),(Input!$N$45-Input!$N$79)-SUM($M119:N119),(Input!$N$45-Input!$N$79)/A4taxstdlife))</f>
        <v>0</v>
      </c>
      <c r="P119" s="67">
        <f>IF(A4taxstdlife="n/a","n/a",IF(P$3&gt;(A4taxstdlife+$E119),(Input!$N$45-Input!$N$79)-SUM($M119:O119),(Input!$N$45-Input!$N$79)/A4taxstdlife))</f>
        <v>0</v>
      </c>
      <c r="Q119" s="67"/>
      <c r="R119" s="102"/>
      <c r="S119" s="102"/>
      <c r="T119" s="102"/>
      <c r="U119" s="102"/>
      <c r="V119" s="102"/>
      <c r="W119" s="102"/>
      <c r="X119" s="102"/>
      <c r="Y119" s="102"/>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s="185" customFormat="1" ht="12.75" hidden="1" customHeight="1" outlineLevel="2">
      <c r="A120" s="9"/>
      <c r="B120" s="9"/>
      <c r="C120" s="25"/>
      <c r="D120" s="492"/>
      <c r="E120" s="85">
        <v>8</v>
      </c>
      <c r="F120" s="191"/>
      <c r="G120" s="148"/>
      <c r="H120" s="148"/>
      <c r="I120" s="148"/>
      <c r="J120" s="148"/>
      <c r="K120" s="148"/>
      <c r="L120" s="148"/>
      <c r="M120" s="148"/>
      <c r="N120" s="147"/>
      <c r="O120" s="67">
        <f>IF(A4taxstdlife="n/a","n/a",IF(O$3&gt;(A4taxstdlife+$E120),(Input!$O$45-Input!$O$79)-SUM($N120:N120),(Input!$O$45-Input!$O$79)/A4taxstdlife))</f>
        <v>0</v>
      </c>
      <c r="P120" s="67">
        <f>IF(A4taxstdlife="n/a","n/a",IF(P$3&gt;(A4taxstdlife+$E120),(Input!$O$45-Input!$O$79)-SUM($N120:O120),(Input!$O$45-Input!$O$79)/A4taxstdlife))</f>
        <v>0</v>
      </c>
      <c r="Q120" s="67"/>
      <c r="R120" s="102"/>
      <c r="S120" s="102"/>
      <c r="T120" s="102"/>
      <c r="U120" s="102"/>
      <c r="V120" s="102"/>
      <c r="W120" s="102"/>
      <c r="X120" s="102"/>
      <c r="Y120" s="102"/>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s="185" customFormat="1" ht="12.75" hidden="1" customHeight="1" outlineLevel="2">
      <c r="A121" s="9"/>
      <c r="B121" s="9"/>
      <c r="C121" s="25"/>
      <c r="D121" s="492"/>
      <c r="E121" s="85">
        <v>9</v>
      </c>
      <c r="F121" s="191"/>
      <c r="G121" s="148"/>
      <c r="H121" s="148"/>
      <c r="I121" s="148"/>
      <c r="J121" s="148"/>
      <c r="K121" s="148"/>
      <c r="L121" s="148"/>
      <c r="M121" s="148"/>
      <c r="N121" s="148"/>
      <c r="O121" s="147"/>
      <c r="P121" s="67">
        <f>IF(A4taxstdlife="n/a","n/a",IF(P$3&gt;(A4taxstdlife+$E121),(Input!$P$45-Input!$P$79)-SUM($O121:O121),(Input!$P$45-Input!$P$79)/A4taxstdlife))</f>
        <v>0</v>
      </c>
      <c r="Q121" s="67"/>
      <c r="R121" s="102"/>
      <c r="S121" s="102"/>
      <c r="T121" s="102"/>
      <c r="U121" s="102"/>
      <c r="V121" s="102"/>
      <c r="W121" s="102"/>
      <c r="X121" s="102"/>
      <c r="Y121" s="102"/>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s="185" customFormat="1" ht="12.75" hidden="1" customHeight="1" outlineLevel="2">
      <c r="A122" s="9"/>
      <c r="B122" s="9"/>
      <c r="C122" s="25"/>
      <c r="D122" s="492"/>
      <c r="E122" s="86">
        <v>10</v>
      </c>
      <c r="F122" s="191"/>
      <c r="G122" s="148"/>
      <c r="H122" s="148"/>
      <c r="I122" s="148"/>
      <c r="J122" s="148"/>
      <c r="K122" s="148"/>
      <c r="L122" s="148"/>
      <c r="M122" s="148"/>
      <c r="N122" s="148"/>
      <c r="O122" s="187"/>
      <c r="P122" s="147"/>
      <c r="Q122" s="67"/>
      <c r="R122" s="102"/>
      <c r="S122" s="102"/>
      <c r="T122" s="102"/>
      <c r="U122" s="102"/>
      <c r="V122" s="102"/>
      <c r="W122" s="102"/>
      <c r="X122" s="102"/>
      <c r="Y122" s="102"/>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s="185" customFormat="1" hidden="1" outlineLevel="1">
      <c r="A123" s="9"/>
      <c r="B123" s="9"/>
      <c r="C123" s="25" t="str">
        <f>Asset4</f>
        <v>Substations</v>
      </c>
      <c r="D123" s="9"/>
      <c r="E123" s="9"/>
      <c r="F123" s="191"/>
      <c r="G123" s="164">
        <f>-SUM(G111:G122)</f>
        <v>-71.038244560081708</v>
      </c>
      <c r="H123" s="164">
        <f>-SUM(H111:H122)</f>
        <v>-58.8565912365003</v>
      </c>
      <c r="I123" s="164">
        <f>-SUM(I111:I122)</f>
        <v>-60.883769086709776</v>
      </c>
      <c r="J123" s="164">
        <f>-SUM(J111:J122)</f>
        <v>-70.473489239538949</v>
      </c>
      <c r="K123" s="164">
        <f>-SUM(K111:K122)</f>
        <v>-74.409705562045303</v>
      </c>
      <c r="L123" s="164"/>
      <c r="M123" s="164">
        <f>IF(Input!N174&gt;0, -SUM(M111:M122), 0)</f>
        <v>0</v>
      </c>
      <c r="N123" s="164">
        <f>IF(Input!O174&gt;0, -SUM(N111:N122), 0)</f>
        <v>0</v>
      </c>
      <c r="O123" s="164">
        <f>IF(Input!P174&gt;0, -SUM(O111:O122), 0)</f>
        <v>0</v>
      </c>
      <c r="P123" s="164">
        <f>IF(Input!Q174&gt;0, -SUM(P111:P122), 0)</f>
        <v>0</v>
      </c>
      <c r="Q123" s="63"/>
      <c r="R123" s="101"/>
      <c r="S123" s="101"/>
      <c r="T123" s="101"/>
      <c r="U123" s="101"/>
      <c r="V123" s="101"/>
      <c r="W123" s="101"/>
      <c r="X123" s="101"/>
      <c r="Y123" s="10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row>
    <row r="124" spans="1:60" s="185" customFormat="1" ht="12.75" hidden="1" customHeight="1" outlineLevel="2">
      <c r="A124" s="9"/>
      <c r="B124" s="31" t="str">
        <f>Asset5</f>
        <v>Transformers</v>
      </c>
      <c r="C124" s="32"/>
      <c r="D124" s="33" t="s">
        <v>65</v>
      </c>
      <c r="E124" s="32"/>
      <c r="F124" s="191"/>
      <c r="G124" s="459">
        <f>'Tax asset base adjustments'!Q39</f>
        <v>23.502276396980186</v>
      </c>
      <c r="H124" s="459">
        <f>'Tax asset base adjustments'!R39</f>
        <v>9.4103731942698214</v>
      </c>
      <c r="I124" s="459">
        <f>'Tax asset base adjustments'!S39</f>
        <v>8.8814915832824504</v>
      </c>
      <c r="J124" s="459">
        <f>'Tax asset base adjustments'!T39</f>
        <v>8.2908737547639859</v>
      </c>
      <c r="K124" s="459">
        <f>'Tax asset base adjustments'!U39</f>
        <v>7.2825776199688512</v>
      </c>
      <c r="L124" s="344"/>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2"/>
      <c r="S124" s="301">
        <f>SUM(K124:K129)</f>
        <v>12.686241121333417</v>
      </c>
      <c r="T124" s="102"/>
      <c r="U124" s="102"/>
      <c r="V124" s="102"/>
      <c r="W124" s="102"/>
      <c r="X124" s="102"/>
      <c r="Y124" s="102"/>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s="185" customFormat="1" ht="12.75" hidden="1" customHeight="1" outlineLevel="2">
      <c r="A125" s="9"/>
      <c r="B125" s="9"/>
      <c r="C125" s="25"/>
      <c r="D125" s="491" t="s">
        <v>83</v>
      </c>
      <c r="E125" s="85"/>
      <c r="F125" s="302"/>
      <c r="G125" s="67"/>
      <c r="H125" s="67"/>
      <c r="I125" s="67"/>
      <c r="J125" s="67"/>
      <c r="K125" s="67"/>
      <c r="L125" s="67"/>
      <c r="M125" s="67"/>
      <c r="N125" s="67"/>
      <c r="O125" s="67"/>
      <c r="P125" s="67"/>
      <c r="Q125" s="67"/>
      <c r="R125" s="102"/>
      <c r="S125" s="102"/>
      <c r="T125" s="102"/>
      <c r="U125" s="102"/>
      <c r="V125" s="102"/>
      <c r="W125" s="102"/>
      <c r="X125" s="102"/>
      <c r="Y125" s="102"/>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s="185" customFormat="1" ht="12.75" hidden="1" customHeight="1" outlineLevel="2">
      <c r="A126" s="9"/>
      <c r="B126" s="9"/>
      <c r="C126" s="25"/>
      <c r="D126" s="492"/>
      <c r="E126" s="85">
        <v>1</v>
      </c>
      <c r="F126" s="191"/>
      <c r="G126" s="147"/>
      <c r="H126" s="67">
        <f>IF(A5taxstdlife="n/a","n/a",IF(H$3&gt;(A5taxstdlife+$E126),(Input!$H$46-Input!$H$80)-SUM($G126:G126),(Input!$H$46-Input!$H$80)/A5taxstdlife))</f>
        <v>1.3471632258951187</v>
      </c>
      <c r="I126" s="67">
        <f>IF(A5taxstdlife="n/a","n/a",IF(I$3&gt;(A5taxstdlife+$E126),(Input!$H$46-Input!$H$80)-SUM($G126:H126),(Input!$H$46-Input!$H$80)/A5taxstdlife))</f>
        <v>1.3471632258951187</v>
      </c>
      <c r="J126" s="67">
        <f>IF(A5taxstdlife="n/a","n/a",IF(J$3&gt;(A5taxstdlife+$E126),(Input!$H$46-Input!$H$80)-SUM($G126:I126),(Input!$H$46-Input!$H$80)/A5taxstdlife))</f>
        <v>1.3471632258951187</v>
      </c>
      <c r="K126" s="67">
        <f>IF(A5taxstdlife="n/a","n/a",IF(K$3&gt;(A5taxstdlife+$E126),(Input!$H$46-Input!$H$80)-SUM($G126:J126),(Input!$H$46-Input!$H$80)/A5taxstdlife))</f>
        <v>1.3471632258951187</v>
      </c>
      <c r="L126" s="67"/>
      <c r="M126" s="67">
        <f>IF(A5taxstdlife="n/a","n/a",IF(M$3&gt;(A5taxstdlife+$E126),(Input!$H$46-Input!$H$80)-SUM($G126:L126),(Input!$H$46-Input!$H$80)/A5taxstdlife))</f>
        <v>1.3471632258951187</v>
      </c>
      <c r="N126" s="67">
        <f>IF(A5taxstdlife="n/a","n/a",IF(N$3&gt;(A5taxstdlife+$E126),(Input!$H$46-Input!$H$80)-SUM($G126:M126),(Input!$H$46-Input!$H$80)/A5taxstdlife))</f>
        <v>1.3471632258951187</v>
      </c>
      <c r="O126" s="67">
        <f>IF(A5taxstdlife="n/a","n/a",IF(O$3&gt;(A5taxstdlife+$E126),(Input!$H$46-Input!$H$80)-SUM($G126:N126),(Input!$H$46-Input!$H$80)/A5taxstdlife))</f>
        <v>1.3471632258951187</v>
      </c>
      <c r="P126" s="67">
        <f>IF(A5taxstdlife="n/a","n/a",IF(P$3&gt;(A5taxstdlife+$E126),(Input!$H$46-Input!$H$80)-SUM($G126:O126),(Input!$H$46-Input!$H$80)/A5taxstdlife))</f>
        <v>1.3471632258951187</v>
      </c>
      <c r="Q126" s="67"/>
      <c r="R126" s="102"/>
      <c r="S126" s="102"/>
      <c r="T126" s="102"/>
      <c r="U126" s="102"/>
      <c r="V126" s="102"/>
      <c r="W126" s="102"/>
      <c r="X126" s="102"/>
      <c r="Y126" s="102"/>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s="185" customFormat="1" ht="12.75" hidden="1" customHeight="1" outlineLevel="2">
      <c r="A127" s="9"/>
      <c r="B127" s="9"/>
      <c r="C127" s="25"/>
      <c r="D127" s="492"/>
      <c r="E127" s="85">
        <v>2</v>
      </c>
      <c r="F127" s="191"/>
      <c r="G127" s="148"/>
      <c r="H127" s="147"/>
      <c r="I127" s="67">
        <f>IF(A5taxstdlife="n/a","n/a",IF(I$3&gt;(A5taxstdlife+$E127),(Input!$I$46-Input!$I$80)-SUM($H127:H127),(Input!$I$46-Input!$I$80)/A5taxstdlife))</f>
        <v>1.8494955993084927</v>
      </c>
      <c r="J127" s="67">
        <f>IF(A5taxstdlife="n/a","n/a",IF(J$3&gt;(A5taxstdlife+$E127),(Input!$I$46-Input!$I$80)-SUM($H127:I127),(Input!$I$46-Input!$I$80)/A5taxstdlife))</f>
        <v>1.8494955993084927</v>
      </c>
      <c r="K127" s="67">
        <f>IF(A5taxstdlife="n/a","n/a",IF(K$3&gt;(A5taxstdlife+$E127),(Input!$I$46-Input!$I$80)-SUM($H127:J127),(Input!$I$46-Input!$I$80)/A5taxstdlife))</f>
        <v>1.8494955993084927</v>
      </c>
      <c r="L127" s="67"/>
      <c r="M127" s="67">
        <f>IF(A5taxstdlife="n/a","n/a",IF(M$3&gt;(A5taxstdlife+$E127),(Input!$I$46-Input!$I$80)-SUM($H127:L127),(Input!$I$46-Input!$I$80)/A5taxstdlife))</f>
        <v>1.8494955993084927</v>
      </c>
      <c r="N127" s="67">
        <f>IF(A5taxstdlife="n/a","n/a",IF(N$3&gt;(A5taxstdlife+$E127),(Input!$I$46-Input!$I$80)-SUM($H127:M127),(Input!$I$46-Input!$I$80)/A5taxstdlife))</f>
        <v>1.8494955993084927</v>
      </c>
      <c r="O127" s="67">
        <f>IF(A5taxstdlife="n/a","n/a",IF(O$3&gt;(A5taxstdlife+$E127),(Input!$I$46-Input!$I$80)-SUM($H127:N127),(Input!$I$46-Input!$I$80)/A5taxstdlife))</f>
        <v>1.8494955993084927</v>
      </c>
      <c r="P127" s="67">
        <f>IF(A5taxstdlife="n/a","n/a",IF(P$3&gt;(A5taxstdlife+$E127),(Input!$I$46-Input!$I$80)-SUM($H127:O127),(Input!$I$46-Input!$I$80)/A5taxstdlife))</f>
        <v>1.8494955993084927</v>
      </c>
      <c r="Q127" s="67"/>
      <c r="R127" s="102"/>
      <c r="S127" s="102"/>
      <c r="T127" s="102"/>
      <c r="U127" s="102"/>
      <c r="V127" s="102"/>
      <c r="W127" s="102"/>
      <c r="X127" s="102"/>
      <c r="Y127" s="102"/>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s="185" customFormat="1" ht="12.75" hidden="1" customHeight="1" outlineLevel="2">
      <c r="A128" s="9"/>
      <c r="B128" s="9"/>
      <c r="C128" s="25"/>
      <c r="D128" s="492"/>
      <c r="E128" s="85">
        <v>3</v>
      </c>
      <c r="F128" s="191"/>
      <c r="G128" s="148"/>
      <c r="H128" s="148"/>
      <c r="I128" s="147"/>
      <c r="J128" s="67">
        <f>IF(A5taxstdlife="n/a","n/a",IF(J$3&gt;(A5taxstdlife+$E128),(Input!$J$46-Input!$J$80)-SUM($I128:I128),(Input!$J$46-Input!$J$80)/A5taxstdlife))</f>
        <v>1.2464195593651264</v>
      </c>
      <c r="K128" s="67">
        <f>IF(A5taxstdlife="n/a","n/a",IF(K$3&gt;(A5taxstdlife+$E128),(Input!$J$46-Input!$J$80)-SUM($I128:J128),(Input!$J$46-Input!$J$80)/A5taxstdlife))</f>
        <v>1.2464195593651264</v>
      </c>
      <c r="L128" s="67"/>
      <c r="M128" s="67">
        <f>IF(A5taxstdlife="n/a","n/a",IF(M$3&gt;(A5taxstdlife+$E128),(Input!$J$46-Input!$J$80)-SUM($I128:L128),(Input!$J$46-Input!$J$80)/A5taxstdlife))</f>
        <v>1.2464195593651264</v>
      </c>
      <c r="N128" s="67">
        <f>IF(A5taxstdlife="n/a","n/a",IF(N$3&gt;(A5taxstdlife+$E128),(Input!$J$46-Input!$J$80)-SUM($I128:M128),(Input!$J$46-Input!$J$80)/A5taxstdlife))</f>
        <v>1.2464195593651264</v>
      </c>
      <c r="O128" s="67">
        <f>IF(A5taxstdlife="n/a","n/a",IF(O$3&gt;(A5taxstdlife+$E128),(Input!$J$46-Input!$J$80)-SUM($I128:N128),(Input!$J$46-Input!$J$80)/A5taxstdlife))</f>
        <v>1.2464195593651264</v>
      </c>
      <c r="P128" s="67">
        <f>IF(A5taxstdlife="n/a","n/a",IF(P$3&gt;(A5taxstdlife+$E128),(Input!$J$46-Input!$J$80)-SUM($I128:O128),(Input!$J$46-Input!$J$80)/A5taxstdlife))</f>
        <v>1.2464195593651264</v>
      </c>
      <c r="Q128" s="67"/>
      <c r="R128" s="102"/>
      <c r="S128" s="102"/>
      <c r="T128" s="102"/>
      <c r="U128" s="102"/>
      <c r="V128" s="102"/>
      <c r="W128" s="102"/>
      <c r="X128" s="102"/>
      <c r="Y128" s="102"/>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255" s="185" customFormat="1" ht="12.75" hidden="1" customHeight="1" outlineLevel="2">
      <c r="A129" s="9"/>
      <c r="B129" s="9"/>
      <c r="C129" s="25"/>
      <c r="D129" s="492"/>
      <c r="E129" s="85">
        <v>4</v>
      </c>
      <c r="F129" s="191"/>
      <c r="G129" s="148"/>
      <c r="H129" s="148"/>
      <c r="I129" s="148"/>
      <c r="J129" s="147"/>
      <c r="K129" s="67">
        <f>IF(A5taxstdlife="n/a","n/a",IF(K$3&gt;(A5taxstdlife+$E129),(Input!$K$46-Input!$K$80)-SUM($J129:J129),(Input!$K$46-Input!$K$80)/A5taxstdlife))</f>
        <v>0.9605851167958267</v>
      </c>
      <c r="L129" s="67"/>
      <c r="M129" s="67">
        <f>IF(A5taxstdlife="n/a","n/a",IF(M$3&gt;(A5taxstdlife+$E129),(Input!$K$46-Input!$K$80)-SUM($J129:L129),(Input!$K$46-Input!$K$80)/A5taxstdlife))</f>
        <v>0.9605851167958267</v>
      </c>
      <c r="N129" s="67">
        <f>IF(A5taxstdlife="n/a","n/a",IF(N$3&gt;(A5taxstdlife+$E129),(Input!$K$46-Input!$K$80)-SUM($J129:M129),(Input!$K$46-Input!$K$80)/A5taxstdlife))</f>
        <v>0.9605851167958267</v>
      </c>
      <c r="O129" s="67">
        <f>IF(A5taxstdlife="n/a","n/a",IF(O$3&gt;(A5taxstdlife+$E129),(Input!$K$46-Input!$K$80)-SUM($J129:N129),(Input!$K$46-Input!$K$80)/A5taxstdlife))</f>
        <v>0.9605851167958267</v>
      </c>
      <c r="P129" s="67">
        <f>IF(A5taxstdlife="n/a","n/a",IF(P$3&gt;(A5taxstdlife+$E129),(Input!$K$46-Input!$K$80)-SUM($J129:O129),(Input!$K$46-Input!$K$80)/A5taxstdlife))</f>
        <v>0.9605851167958267</v>
      </c>
      <c r="Q129" s="67"/>
      <c r="R129" s="102"/>
      <c r="S129" s="102"/>
      <c r="T129" s="102"/>
      <c r="U129" s="102"/>
      <c r="V129" s="102"/>
      <c r="W129" s="102"/>
      <c r="X129" s="102"/>
      <c r="Y129" s="102"/>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255" s="185" customFormat="1" ht="12.75" hidden="1" customHeight="1" outlineLevel="2">
      <c r="A130" s="9"/>
      <c r="B130" s="9"/>
      <c r="C130" s="25"/>
      <c r="D130" s="492"/>
      <c r="E130" s="85">
        <v>5</v>
      </c>
      <c r="F130" s="191"/>
      <c r="G130" s="148"/>
      <c r="H130" s="148"/>
      <c r="I130" s="148"/>
      <c r="J130" s="148"/>
      <c r="K130" s="147"/>
      <c r="L130" s="67"/>
      <c r="M130" s="67">
        <f>IF(A5taxstdlife="n/a","n/a",IF(M$3&gt;(A5taxstdlife+$E130),(Input!$L$46-Input!$L$80)-SUM($K130:L130),(Input!$L$46-Input!$L$80)/A5taxstdlife))</f>
        <v>0.73379684653561483</v>
      </c>
      <c r="N130" s="67">
        <f>IF(A5taxstdlife="n/a","n/a",IF(N$3&gt;(A5taxstdlife+$E130),(Input!$L$46-Input!$L$80)-SUM($K130:M130),(Input!$L$46-Input!$L$80)/A5taxstdlife))</f>
        <v>0.73379684653561483</v>
      </c>
      <c r="O130" s="67">
        <f>IF(A5taxstdlife="n/a","n/a",IF(O$3&gt;(A5taxstdlife+$E130),(Input!$L$46-Input!$L$80)-SUM($K130:N130),(Input!$L$46-Input!$L$80)/A5taxstdlife))</f>
        <v>0.73379684653561483</v>
      </c>
      <c r="P130" s="67">
        <f>IF(A5taxstdlife="n/a","n/a",IF(P$3&gt;(A5taxstdlife+$E130),(Input!$L$46-Input!$L$80)-SUM($K130:O130),(Input!$L$46-Input!$L$80)/A5taxstdlife))</f>
        <v>0.73379684653561483</v>
      </c>
      <c r="Q130" s="67"/>
      <c r="R130" s="102"/>
      <c r="S130" s="102"/>
      <c r="T130" s="102"/>
      <c r="U130" s="102"/>
      <c r="V130" s="102"/>
      <c r="W130" s="102"/>
      <c r="X130" s="102"/>
      <c r="Y130" s="102"/>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255" s="185" customFormat="1" ht="12.75" hidden="1" customHeight="1" outlineLevel="2">
      <c r="A131" s="9"/>
      <c r="B131" s="9"/>
      <c r="C131" s="25"/>
      <c r="D131" s="492"/>
      <c r="E131" s="85">
        <v>6</v>
      </c>
      <c r="F131" s="191"/>
      <c r="G131" s="148"/>
      <c r="H131" s="148"/>
      <c r="I131" s="148"/>
      <c r="J131" s="148"/>
      <c r="K131" s="148"/>
      <c r="L131" s="147"/>
      <c r="M131" s="67">
        <f>IF(A5taxstdlife="n/a","n/a",IF(M$3&gt;(A5taxstdlife+$E131),(Input!$M$46-Input!$M$80)-SUM($L131:L131),(Input!$M$46-Input!$M$80)/A5taxstdlife))</f>
        <v>0</v>
      </c>
      <c r="N131" s="67">
        <f>IF(A5taxstdlife="n/a","n/a",IF(N$3&gt;(A5taxstdlife+$E131),(Input!$M$46-Input!$M$80)-SUM($L131:M131),(Input!$M$46-Input!$M$80)/A5taxstdlife))</f>
        <v>0</v>
      </c>
      <c r="O131" s="67">
        <f>IF(A5taxstdlife="n/a","n/a",IF(O$3&gt;(A5taxstdlife+$E131),(Input!$M$46-Input!$M$80)-SUM($L131:N131),(Input!$M$46-Input!$M$80)/A5taxstdlife))</f>
        <v>0</v>
      </c>
      <c r="P131" s="67">
        <f>IF(A5taxstdlife="n/a","n/a",IF(P$3&gt;(A5taxstdlife+$E131),(Input!$M$46-Input!$M$80)-SUM($L131:O131),(Input!$M$46-Input!$M$80)/A5taxstdlife))</f>
        <v>0</v>
      </c>
      <c r="Q131" s="67"/>
      <c r="R131" s="102"/>
      <c r="S131" s="102"/>
      <c r="T131" s="102"/>
      <c r="U131" s="102"/>
      <c r="V131" s="102"/>
      <c r="W131" s="102"/>
      <c r="X131" s="102"/>
      <c r="Y131" s="102"/>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255" s="185" customFormat="1" ht="12.75" hidden="1" customHeight="1" outlineLevel="2">
      <c r="A132" s="9"/>
      <c r="B132" s="9"/>
      <c r="C132" s="25"/>
      <c r="D132" s="492"/>
      <c r="E132" s="85">
        <v>7</v>
      </c>
      <c r="F132" s="191"/>
      <c r="G132" s="148"/>
      <c r="H132" s="148"/>
      <c r="I132" s="148"/>
      <c r="J132" s="148"/>
      <c r="K132" s="148"/>
      <c r="L132" s="148"/>
      <c r="M132" s="147"/>
      <c r="N132" s="67">
        <f>IF(A5taxstdlife="n/a","n/a",IF(N$3&gt;(A5taxstdlife+$E132),(Input!$N$46-Input!$N$80)-SUM($M132:M132),(Input!$N$46-Input!$N$80)/A5taxstdlife))</f>
        <v>0</v>
      </c>
      <c r="O132" s="67">
        <f>IF(A5taxstdlife="n/a","n/a",IF(O$3&gt;(A5taxstdlife+$E132),(Input!$N$46-Input!$N$80)-SUM($M132:N132),(Input!$N$46-Input!$N$80)/A5taxstdlife))</f>
        <v>0</v>
      </c>
      <c r="P132" s="67">
        <f>IF(A5taxstdlife="n/a","n/a",IF(P$3&gt;(A5taxstdlife+$E132),(Input!$N$46-Input!$N$80)-SUM($M132:O132),(Input!$N$46-Input!$N$80)/A5taxstdlife))</f>
        <v>0</v>
      </c>
      <c r="Q132" s="67"/>
      <c r="R132" s="102"/>
      <c r="S132" s="102"/>
      <c r="T132" s="102"/>
      <c r="U132" s="102"/>
      <c r="V132" s="102"/>
      <c r="W132" s="102"/>
      <c r="X132" s="102"/>
      <c r="Y132" s="102"/>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255" s="185" customFormat="1" ht="12.75" hidden="1" customHeight="1" outlineLevel="2">
      <c r="A133" s="9"/>
      <c r="B133" s="9"/>
      <c r="C133" s="25"/>
      <c r="D133" s="492"/>
      <c r="E133" s="85">
        <v>8</v>
      </c>
      <c r="F133" s="191"/>
      <c r="G133" s="148"/>
      <c r="H133" s="148"/>
      <c r="I133" s="148"/>
      <c r="J133" s="148"/>
      <c r="K133" s="148"/>
      <c r="L133" s="148"/>
      <c r="M133" s="148"/>
      <c r="N133" s="147"/>
      <c r="O133" s="67">
        <f>IF(A5taxstdlife="n/a","n/a",IF(O$3&gt;(A5taxstdlife+$E133),(Input!$O$46-Input!$O$80)-SUM($N133:N133),(Input!$O$46-Input!$O$80)/A5taxstdlife))</f>
        <v>0</v>
      </c>
      <c r="P133" s="67">
        <f>IF(A5taxstdlife="n/a","n/a",IF(P$3&gt;(A5taxstdlife+$E133),(Input!$O$46-Input!$O$80)-SUM($N133:O133),(Input!$O$46-Input!$O$80)/A5taxstdlife))</f>
        <v>0</v>
      </c>
      <c r="Q133" s="67"/>
      <c r="R133" s="102"/>
      <c r="S133" s="102"/>
      <c r="T133" s="102"/>
      <c r="U133" s="102"/>
      <c r="V133" s="102"/>
      <c r="W133" s="102"/>
      <c r="X133" s="102"/>
      <c r="Y133" s="102"/>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255" s="185" customFormat="1" ht="12.75" hidden="1" customHeight="1" outlineLevel="2">
      <c r="A134" s="9"/>
      <c r="B134" s="9"/>
      <c r="C134" s="25"/>
      <c r="D134" s="492"/>
      <c r="E134" s="85">
        <v>9</v>
      </c>
      <c r="F134" s="191"/>
      <c r="G134" s="148"/>
      <c r="H134" s="148"/>
      <c r="I134" s="148"/>
      <c r="J134" s="148"/>
      <c r="K134" s="148"/>
      <c r="L134" s="148"/>
      <c r="M134" s="148"/>
      <c r="N134" s="148"/>
      <c r="O134" s="147"/>
      <c r="P134" s="67">
        <f>IF(A5taxstdlife="n/a","n/a",IF(P$3&gt;(A5taxstdlife+$E134),(Input!$P$46-Input!$P$80)-SUM($O134:O134),(Input!$P$46-Input!$P$80)/A5taxstdlife))</f>
        <v>0</v>
      </c>
      <c r="Q134" s="67"/>
      <c r="R134" s="102"/>
      <c r="S134" s="102"/>
      <c r="T134" s="102"/>
      <c r="U134" s="102"/>
      <c r="V134" s="102"/>
      <c r="W134" s="102"/>
      <c r="X134" s="102"/>
      <c r="Y134" s="102"/>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255" s="185" customFormat="1" ht="12.75" hidden="1" customHeight="1" outlineLevel="2">
      <c r="A135" s="9"/>
      <c r="B135" s="9"/>
      <c r="C135" s="25"/>
      <c r="D135" s="492"/>
      <c r="E135" s="86">
        <v>10</v>
      </c>
      <c r="F135" s="191"/>
      <c r="G135" s="148"/>
      <c r="H135" s="148"/>
      <c r="I135" s="148"/>
      <c r="J135" s="148"/>
      <c r="K135" s="148"/>
      <c r="L135" s="148"/>
      <c r="M135" s="148"/>
      <c r="N135" s="148"/>
      <c r="O135" s="187"/>
      <c r="P135" s="147"/>
      <c r="Q135" s="67"/>
      <c r="R135" s="102"/>
      <c r="S135" s="102"/>
      <c r="T135" s="102"/>
      <c r="U135" s="102"/>
      <c r="V135" s="102"/>
      <c r="W135" s="102"/>
      <c r="X135" s="102"/>
      <c r="Y135" s="102"/>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255" s="185" customFormat="1" hidden="1" outlineLevel="1">
      <c r="A136" s="9"/>
      <c r="B136" s="9"/>
      <c r="C136" s="25" t="str">
        <f>Asset5</f>
        <v>Transformers</v>
      </c>
      <c r="D136" s="9"/>
      <c r="E136" s="9"/>
      <c r="F136" s="203"/>
      <c r="G136" s="164">
        <f>-SUM(G124:G135)</f>
        <v>-23.502276396980186</v>
      </c>
      <c r="H136" s="164">
        <f>-SUM(H124:H135)</f>
        <v>-10.757536420164939</v>
      </c>
      <c r="I136" s="164">
        <f>-SUM(I124:I135)</f>
        <v>-12.078150408486064</v>
      </c>
      <c r="J136" s="164">
        <f>-SUM(J124:J135)</f>
        <v>-12.733952139332725</v>
      </c>
      <c r="K136" s="164">
        <f>-SUM(K124:K135)</f>
        <v>-12.686241121333417</v>
      </c>
      <c r="L136" s="164"/>
      <c r="M136" s="164">
        <f>IF(Input!N174&gt;0, -SUM(M124:M135), 0)</f>
        <v>0</v>
      </c>
      <c r="N136" s="164">
        <f>IF(Input!O174&gt;0, -SUM(N124:N135), 0)</f>
        <v>0</v>
      </c>
      <c r="O136" s="164">
        <f>IF(Input!P174&gt;0, -SUM(O124:O135), 0)</f>
        <v>0</v>
      </c>
      <c r="P136" s="164">
        <f>IF(Input!Q174&gt;0, -SUM(P124:P135), 0)</f>
        <v>0</v>
      </c>
      <c r="Q136" s="63"/>
      <c r="R136" s="101"/>
      <c r="S136" s="301"/>
      <c r="T136" s="101"/>
      <c r="U136" s="101"/>
      <c r="V136" s="101"/>
      <c r="W136" s="101"/>
      <c r="X136" s="101"/>
      <c r="Y136" s="10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row>
    <row r="137" spans="1:255" s="5" customFormat="1" ht="12.75" hidden="1" customHeight="1" outlineLevel="2">
      <c r="A137" s="9"/>
      <c r="B137" s="31" t="str">
        <f>Asset6</f>
        <v>Low Voltage Lines and Cables</v>
      </c>
      <c r="C137" s="32"/>
      <c r="D137" s="33" t="s">
        <v>65</v>
      </c>
      <c r="E137" s="32"/>
      <c r="F137" s="203"/>
      <c r="G137" s="459">
        <f>'Tax asset base adjustments'!Q40</f>
        <v>28.740472679665707</v>
      </c>
      <c r="H137" s="459">
        <f>'Tax asset base adjustments'!R40</f>
        <v>15.255944515388018</v>
      </c>
      <c r="I137" s="459">
        <f>'Tax asset base adjustments'!S40</f>
        <v>15.689884938310774</v>
      </c>
      <c r="J137" s="459">
        <f>'Tax asset base adjustments'!T40</f>
        <v>15.593147388025434</v>
      </c>
      <c r="K137" s="459">
        <f>'Tax asset base adjustments'!U40</f>
        <v>13.914684582602693</v>
      </c>
      <c r="L137" s="344"/>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2"/>
      <c r="S137" s="301">
        <f>SUM(K137:K142)</f>
        <v>29.599999997719831</v>
      </c>
      <c r="T137" s="102"/>
      <c r="U137" s="102"/>
      <c r="V137" s="102"/>
      <c r="W137" s="102"/>
      <c r="X137" s="102"/>
      <c r="Y137" s="102"/>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185"/>
      <c r="BJ137" s="185"/>
      <c r="BK137" s="185"/>
      <c r="BL137" s="185"/>
      <c r="BM137" s="185"/>
      <c r="BN137" s="185"/>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5"/>
      <c r="D138" s="491" t="s">
        <v>83</v>
      </c>
      <c r="E138" s="85"/>
      <c r="F138" s="303"/>
      <c r="G138" s="67"/>
      <c r="H138" s="67"/>
      <c r="I138" s="67"/>
      <c r="J138" s="67"/>
      <c r="K138" s="67"/>
      <c r="L138" s="67"/>
      <c r="M138" s="67"/>
      <c r="N138" s="67"/>
      <c r="O138" s="67"/>
      <c r="P138" s="67"/>
      <c r="Q138" s="67"/>
      <c r="R138" s="102"/>
      <c r="S138" s="102"/>
      <c r="T138" s="102"/>
      <c r="U138" s="102"/>
      <c r="V138" s="102"/>
      <c r="W138" s="102"/>
      <c r="X138" s="102"/>
      <c r="Y138" s="102"/>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185"/>
      <c r="BJ138" s="185"/>
      <c r="BK138" s="185"/>
      <c r="BL138" s="185"/>
      <c r="BM138" s="185"/>
      <c r="BN138" s="185"/>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hidden="1" customHeight="1" outlineLevel="2">
      <c r="A139" s="9"/>
      <c r="B139" s="9"/>
      <c r="C139" s="25"/>
      <c r="D139" s="492"/>
      <c r="E139" s="85">
        <v>1</v>
      </c>
      <c r="F139" s="203"/>
      <c r="G139" s="147"/>
      <c r="H139" s="67">
        <f>IF(A6taxstdlife="n/a","n/a",IF(H$3&gt;(A6taxstdlife+$E139),(Input!$H$47-Input!$H$81)-SUM($G139:G139),(Input!$H$47-Input!$H$81)/A6taxstdlife))</f>
        <v>3.2161663830123368</v>
      </c>
      <c r="I139" s="67">
        <f>IF(A6taxstdlife="n/a","n/a",IF(I$3&gt;(A6taxstdlife+$E139),(Input!$H$47-Input!$H$81)-SUM($G139:H139),(Input!$H$47-Input!$H$81)/A6taxstdlife))</f>
        <v>3.2161663830123368</v>
      </c>
      <c r="J139" s="67">
        <f>IF(A6taxstdlife="n/a","n/a",IF(J$3&gt;(A6taxstdlife+$E139),(Input!$H$47-Input!$H$81)-SUM($G139:I139),(Input!$H$47-Input!$H$81)/A6taxstdlife))</f>
        <v>3.2161663830123368</v>
      </c>
      <c r="K139" s="67">
        <f>IF(A6taxstdlife="n/a","n/a",IF(K$3&gt;(A6taxstdlife+$E139),(Input!$H$47-Input!$H$81)-SUM($G139:J139),(Input!$H$47-Input!$H$81)/A6taxstdlife))</f>
        <v>3.2161663830123368</v>
      </c>
      <c r="L139" s="67"/>
      <c r="M139" s="67">
        <f>IF(A6taxstdlife="n/a","n/a",IF(M$3&gt;(A6taxstdlife+$E139),(Input!$H$47-Input!$H$81)-SUM($G139:L139),(Input!$H$47-Input!$H$81)/A6taxstdlife))</f>
        <v>3.2161663830123368</v>
      </c>
      <c r="N139" s="67">
        <f>IF(A6taxstdlife="n/a","n/a",IF(N$3&gt;(A6taxstdlife+$E139),(Input!$H$47-Input!$H$81)-SUM($G139:M139),(Input!$H$47-Input!$H$81)/A6taxstdlife))</f>
        <v>3.2161663830123368</v>
      </c>
      <c r="O139" s="67">
        <f>IF(A6taxstdlife="n/a","n/a",IF(O$3&gt;(A6taxstdlife+$E139),(Input!$H$47-Input!$H$81)-SUM($G139:N139),(Input!$H$47-Input!$H$81)/A6taxstdlife))</f>
        <v>3.2161663830123368</v>
      </c>
      <c r="P139" s="67">
        <f>IF(A6taxstdlife="n/a","n/a",IF(P$3&gt;(A6taxstdlife+$E139),(Input!$H$47-Input!$H$81)-SUM($G139:O139),(Input!$H$47-Input!$H$81)/A6taxstdlife))</f>
        <v>3.2161663830123368</v>
      </c>
      <c r="Q139" s="67"/>
      <c r="R139" s="102"/>
      <c r="S139" s="102"/>
      <c r="T139" s="102"/>
      <c r="U139" s="102"/>
      <c r="V139" s="102"/>
      <c r="W139" s="102"/>
      <c r="X139" s="102"/>
      <c r="Y139" s="102"/>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185"/>
      <c r="BJ139" s="185"/>
      <c r="BK139" s="185"/>
      <c r="BL139" s="185"/>
      <c r="BM139" s="185"/>
      <c r="BN139" s="185"/>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hidden="1" customHeight="1" outlineLevel="2">
      <c r="A140" s="9"/>
      <c r="B140" s="9"/>
      <c r="C140" s="25"/>
      <c r="D140" s="492"/>
      <c r="E140" s="85">
        <v>2</v>
      </c>
      <c r="F140" s="203"/>
      <c r="G140" s="148"/>
      <c r="H140" s="147"/>
      <c r="I140" s="67">
        <f>IF(A6taxstdlife="n/a","n/a",IF(I$3&gt;(A6taxstdlife+$E140),(Input!$I$47-Input!$I$81)-SUM($H140:H140),(Input!$I$47-Input!$I$81)/A6taxstdlife))</f>
        <v>3.885752192358078</v>
      </c>
      <c r="J140" s="67">
        <f>IF(A6taxstdlife="n/a","n/a",IF(J$3&gt;(A6taxstdlife+$E140),(Input!$I$47-Input!$I$81)-SUM($H140:I140),(Input!$I$47-Input!$I$81)/A6taxstdlife))</f>
        <v>3.885752192358078</v>
      </c>
      <c r="K140" s="67">
        <f>IF(A6taxstdlife="n/a","n/a",IF(K$3&gt;(A6taxstdlife+$E140),(Input!$I$47-Input!$I$81)-SUM($H140:J140),(Input!$I$47-Input!$I$81)/A6taxstdlife))</f>
        <v>3.885752192358078</v>
      </c>
      <c r="L140" s="67"/>
      <c r="M140" s="67">
        <f>IF(A6taxstdlife="n/a","n/a",IF(M$3&gt;(A6taxstdlife+$E140),(Input!$I$47-Input!$I$81)-SUM($H140:L140),(Input!$I$47-Input!$I$81)/A6taxstdlife))</f>
        <v>3.885752192358078</v>
      </c>
      <c r="N140" s="67">
        <f>IF(A6taxstdlife="n/a","n/a",IF(N$3&gt;(A6taxstdlife+$E140),(Input!$I$47-Input!$I$81)-SUM($H140:M140),(Input!$I$47-Input!$I$81)/A6taxstdlife))</f>
        <v>3.885752192358078</v>
      </c>
      <c r="O140" s="67">
        <f>IF(A6taxstdlife="n/a","n/a",IF(O$3&gt;(A6taxstdlife+$E140),(Input!$I$47-Input!$I$81)-SUM($H140:N140),(Input!$I$47-Input!$I$81)/A6taxstdlife))</f>
        <v>3.885752192358078</v>
      </c>
      <c r="P140" s="67">
        <f>IF(A6taxstdlife="n/a","n/a",IF(P$3&gt;(A6taxstdlife+$E140),(Input!$I$47-Input!$I$81)-SUM($H140:O140),(Input!$I$47-Input!$I$81)/A6taxstdlife))</f>
        <v>3.885752192358078</v>
      </c>
      <c r="Q140" s="67"/>
      <c r="R140" s="102"/>
      <c r="S140" s="102"/>
      <c r="T140" s="102"/>
      <c r="U140" s="102"/>
      <c r="V140" s="102"/>
      <c r="W140" s="102"/>
      <c r="X140" s="102"/>
      <c r="Y140" s="102"/>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185"/>
      <c r="BJ140" s="185"/>
      <c r="BK140" s="185"/>
      <c r="BL140" s="185"/>
      <c r="BM140" s="185"/>
      <c r="BN140" s="185"/>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hidden="1" customHeight="1" outlineLevel="2">
      <c r="A141" s="9"/>
      <c r="B141" s="9"/>
      <c r="C141" s="25"/>
      <c r="D141" s="492"/>
      <c r="E141" s="85">
        <v>3</v>
      </c>
      <c r="F141" s="203"/>
      <c r="G141" s="148"/>
      <c r="H141" s="148"/>
      <c r="I141" s="147"/>
      <c r="J141" s="67">
        <f>IF(A6taxstdlife="n/a","n/a",IF(J$3&gt;(A6taxstdlife+$E141),(Input!$J$47-Input!$J$81)-SUM($I141:I141),(Input!$J$47-Input!$J$81)/A6taxstdlife))</f>
        <v>4.7404125694820145</v>
      </c>
      <c r="K141" s="67">
        <f>IF(A6taxstdlife="n/a","n/a",IF(K$3&gt;(A6taxstdlife+$E141),(Input!$J$47-Input!$J$81)-SUM($I141:J141),(Input!$J$47-Input!$J$81)/A6taxstdlife))</f>
        <v>4.7404125694820145</v>
      </c>
      <c r="L141" s="67"/>
      <c r="M141" s="67">
        <f>IF(A6taxstdlife="n/a","n/a",IF(M$3&gt;(A6taxstdlife+$E141),(Input!$J$47-Input!$J$81)-SUM($I141:L141),(Input!$J$47-Input!$J$81)/A6taxstdlife))</f>
        <v>4.7404125694820145</v>
      </c>
      <c r="N141" s="67">
        <f>IF(A6taxstdlife="n/a","n/a",IF(N$3&gt;(A6taxstdlife+$E141),(Input!$J$47-Input!$J$81)-SUM($I141:M141),(Input!$J$47-Input!$J$81)/A6taxstdlife))</f>
        <v>4.7404125694820145</v>
      </c>
      <c r="O141" s="67">
        <f>IF(A6taxstdlife="n/a","n/a",IF(O$3&gt;(A6taxstdlife+$E141),(Input!$J$47-Input!$J$81)-SUM($I141:N141),(Input!$J$47-Input!$J$81)/A6taxstdlife))</f>
        <v>4.7404125694820145</v>
      </c>
      <c r="P141" s="67">
        <f>IF(A6taxstdlife="n/a","n/a",IF(P$3&gt;(A6taxstdlife+$E141),(Input!$J$47-Input!$J$81)-SUM($I141:O141),(Input!$J$47-Input!$J$81)/A6taxstdlife))</f>
        <v>4.7404125694820145</v>
      </c>
      <c r="Q141" s="67"/>
      <c r="R141" s="102"/>
      <c r="S141" s="102"/>
      <c r="T141" s="102"/>
      <c r="U141" s="102"/>
      <c r="V141" s="102"/>
      <c r="W141" s="102"/>
      <c r="X141" s="102"/>
      <c r="Y141" s="102"/>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185"/>
      <c r="BJ141" s="185"/>
      <c r="BK141" s="185"/>
      <c r="BL141" s="185"/>
      <c r="BM141" s="185"/>
      <c r="BN141" s="185"/>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hidden="1" customHeight="1" outlineLevel="2">
      <c r="A142" s="9"/>
      <c r="B142" s="9"/>
      <c r="C142" s="25"/>
      <c r="D142" s="492"/>
      <c r="E142" s="85">
        <v>4</v>
      </c>
      <c r="F142" s="203"/>
      <c r="G142" s="148"/>
      <c r="H142" s="148"/>
      <c r="I142" s="148"/>
      <c r="J142" s="147"/>
      <c r="K142" s="67">
        <f>IF(A6taxstdlife="n/a","n/a",IF(K$3&gt;(A6taxstdlife+$E142),(Input!$K$47-Input!$K$81)-SUM($J142:J142),(Input!$K$47-Input!$K$81)/A6taxstdlife))</f>
        <v>3.8429842702647079</v>
      </c>
      <c r="L142" s="67"/>
      <c r="M142" s="67">
        <f>IF(A6taxstdlife="n/a","n/a",IF(M$3&gt;(A6taxstdlife+$E142),(Input!$K$47-Input!$K$81)-SUM($J142:L142),(Input!$K$47-Input!$K$81)/A6taxstdlife))</f>
        <v>3.8429842702647079</v>
      </c>
      <c r="N142" s="67">
        <f>IF(A6taxstdlife="n/a","n/a",IF(N$3&gt;(A6taxstdlife+$E142),(Input!$K$47-Input!$K$81)-SUM($J142:M142),(Input!$K$47-Input!$K$81)/A6taxstdlife))</f>
        <v>3.8429842702647079</v>
      </c>
      <c r="O142" s="67">
        <f>IF(A6taxstdlife="n/a","n/a",IF(O$3&gt;(A6taxstdlife+$E142),(Input!$K$47-Input!$K$81)-SUM($J142:N142),(Input!$K$47-Input!$K$81)/A6taxstdlife))</f>
        <v>3.8429842702647079</v>
      </c>
      <c r="P142" s="67">
        <f>IF(A6taxstdlife="n/a","n/a",IF(P$3&gt;(A6taxstdlife+$E142),(Input!$K$47-Input!$K$81)-SUM($J142:O142),(Input!$K$47-Input!$K$81)/A6taxstdlife))</f>
        <v>3.8429842702647079</v>
      </c>
      <c r="Q142" s="67"/>
      <c r="R142" s="102"/>
      <c r="S142" s="102"/>
      <c r="T142" s="102"/>
      <c r="U142" s="102"/>
      <c r="V142" s="102"/>
      <c r="W142" s="102"/>
      <c r="X142" s="102"/>
      <c r="Y142" s="102"/>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185"/>
      <c r="BJ142" s="185"/>
      <c r="BK142" s="185"/>
      <c r="BL142" s="185"/>
      <c r="BM142" s="185"/>
      <c r="BN142" s="185"/>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hidden="1" customHeight="1" outlineLevel="2">
      <c r="A143" s="9"/>
      <c r="B143" s="9"/>
      <c r="C143" s="25"/>
      <c r="D143" s="492"/>
      <c r="E143" s="85">
        <v>5</v>
      </c>
      <c r="F143" s="203"/>
      <c r="G143" s="148"/>
      <c r="H143" s="148"/>
      <c r="I143" s="148"/>
      <c r="J143" s="148"/>
      <c r="K143" s="147"/>
      <c r="L143" s="67"/>
      <c r="M143" s="67">
        <f>IF(A6taxstdlife="n/a","n/a",IF(M$3&gt;(A6taxstdlife+$E143),(Input!$L$47-Input!$L$81)-SUM($K143:L143),(Input!$L$47-Input!$L$81)/A6taxstdlife))</f>
        <v>3.3794893266329411</v>
      </c>
      <c r="N143" s="67">
        <f>IF(A6taxstdlife="n/a","n/a",IF(N$3&gt;(A6taxstdlife+$E143),(Input!$L$47-Input!$L$81)-SUM($K143:M143),(Input!$L$47-Input!$L$81)/A6taxstdlife))</f>
        <v>3.3794893266329411</v>
      </c>
      <c r="O143" s="67">
        <f>IF(A6taxstdlife="n/a","n/a",IF(O$3&gt;(A6taxstdlife+$E143),(Input!$L$47-Input!$L$81)-SUM($K143:N143),(Input!$L$47-Input!$L$81)/A6taxstdlife))</f>
        <v>3.3794893266329411</v>
      </c>
      <c r="P143" s="67">
        <f>IF(A6taxstdlife="n/a","n/a",IF(P$3&gt;(A6taxstdlife+$E143),(Input!$L$47-Input!$L$81)-SUM($K143:O143),(Input!$L$47-Input!$L$81)/A6taxstdlife))</f>
        <v>3.3794893266329411</v>
      </c>
      <c r="Q143" s="67"/>
      <c r="R143" s="102"/>
      <c r="S143" s="102"/>
      <c r="T143" s="102"/>
      <c r="U143" s="102"/>
      <c r="V143" s="102"/>
      <c r="W143" s="102"/>
      <c r="X143" s="102"/>
      <c r="Y143" s="102"/>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185"/>
      <c r="BJ143" s="185"/>
      <c r="BK143" s="185"/>
      <c r="BL143" s="185"/>
      <c r="BM143" s="185"/>
      <c r="BN143" s="185"/>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hidden="1" customHeight="1" outlineLevel="2">
      <c r="A144" s="9"/>
      <c r="B144" s="9"/>
      <c r="C144" s="25"/>
      <c r="D144" s="492"/>
      <c r="E144" s="85">
        <v>6</v>
      </c>
      <c r="F144" s="203"/>
      <c r="G144" s="148"/>
      <c r="H144" s="148"/>
      <c r="I144" s="148"/>
      <c r="J144" s="148"/>
      <c r="K144" s="148"/>
      <c r="L144" s="147"/>
      <c r="M144" s="67">
        <f>IF(A6taxstdlife="n/a","n/a",IF(M$3&gt;(A6taxstdlife+$E144),(Input!$M$47-Input!$M$81)-SUM($L144:L144),(Input!$M$47-Input!$M$81)/A6taxstdlife))</f>
        <v>0</v>
      </c>
      <c r="N144" s="67">
        <f>IF(A6taxstdlife="n/a","n/a",IF(N$3&gt;(A6taxstdlife+$E144),(Input!$M$47-Input!$M$81)-SUM($L144:M144),(Input!$M$47-Input!$M$81)/A6taxstdlife))</f>
        <v>0</v>
      </c>
      <c r="O144" s="67">
        <f>IF(A6taxstdlife="n/a","n/a",IF(O$3&gt;(A6taxstdlife+$E144),(Input!$M$47-Input!$M$81)-SUM($L144:N144),(Input!$M$47-Input!$M$81)/A6taxstdlife))</f>
        <v>0</v>
      </c>
      <c r="P144" s="67">
        <f>IF(A6taxstdlife="n/a","n/a",IF(P$3&gt;(A6taxstdlife+$E144),(Input!$M$47-Input!$M$81)-SUM($L144:O144),(Input!$M$47-Input!$M$81)/A6taxstdlife))</f>
        <v>0</v>
      </c>
      <c r="Q144" s="67"/>
      <c r="R144" s="102"/>
      <c r="S144" s="102"/>
      <c r="T144" s="102"/>
      <c r="U144" s="102"/>
      <c r="V144" s="102"/>
      <c r="W144" s="102"/>
      <c r="X144" s="102"/>
      <c r="Y144" s="102"/>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185"/>
      <c r="BJ144" s="185"/>
      <c r="BK144" s="185"/>
      <c r="BL144" s="185"/>
      <c r="BM144" s="185"/>
      <c r="BN144" s="185"/>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hidden="1" customHeight="1" outlineLevel="2">
      <c r="A145" s="9"/>
      <c r="B145" s="9"/>
      <c r="C145" s="25"/>
      <c r="D145" s="492"/>
      <c r="E145" s="85">
        <v>7</v>
      </c>
      <c r="F145" s="203"/>
      <c r="G145" s="148"/>
      <c r="H145" s="148"/>
      <c r="I145" s="148"/>
      <c r="J145" s="148"/>
      <c r="K145" s="148"/>
      <c r="L145" s="148"/>
      <c r="M145" s="147"/>
      <c r="N145" s="67">
        <f>IF(A6taxstdlife="n/a","n/a",IF(N$3&gt;(A6taxstdlife+$E145),(Input!$N$47-Input!$N$81)-SUM($M145:M145),(Input!$N$47-Input!$N$81)/A6taxstdlife))</f>
        <v>0</v>
      </c>
      <c r="O145" s="67">
        <f>IF(A6taxstdlife="n/a","n/a",IF(O$3&gt;(A6taxstdlife+$E145),(Input!$N$47-Input!$N$81)-SUM($M145:N145),(Input!$N$47-Input!$N$81)/A6taxstdlife))</f>
        <v>0</v>
      </c>
      <c r="P145" s="67">
        <f>IF(A6taxstdlife="n/a","n/a",IF(P$3&gt;(A6taxstdlife+$E145),(Input!$N$47-Input!$N$81)-SUM($M145:O145),(Input!$N$47-Input!$N$81)/A6taxstdlife))</f>
        <v>0</v>
      </c>
      <c r="Q145" s="67"/>
      <c r="R145" s="102"/>
      <c r="S145" s="102"/>
      <c r="T145" s="102"/>
      <c r="U145" s="102"/>
      <c r="V145" s="102"/>
      <c r="W145" s="102"/>
      <c r="X145" s="102"/>
      <c r="Y145" s="102"/>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185"/>
      <c r="BJ145" s="185"/>
      <c r="BK145" s="185"/>
      <c r="BL145" s="185"/>
      <c r="BM145" s="185"/>
      <c r="BN145" s="18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hidden="1" customHeight="1" outlineLevel="2">
      <c r="A146" s="9"/>
      <c r="B146" s="9"/>
      <c r="C146" s="25"/>
      <c r="D146" s="492"/>
      <c r="E146" s="85">
        <v>8</v>
      </c>
      <c r="F146" s="203"/>
      <c r="G146" s="148"/>
      <c r="H146" s="148"/>
      <c r="I146" s="148"/>
      <c r="J146" s="148"/>
      <c r="K146" s="148"/>
      <c r="L146" s="148"/>
      <c r="M146" s="148"/>
      <c r="N146" s="147"/>
      <c r="O146" s="67">
        <f>IF(A6taxstdlife="n/a","n/a",IF(O$3&gt;(A6taxstdlife+$E146),(Input!$O$47-Input!$O$81)-SUM($N146:N146),(Input!$O$47-Input!$O$81)/A6taxstdlife))</f>
        <v>0</v>
      </c>
      <c r="P146" s="67">
        <f>IF(A6taxstdlife="n/a","n/a",IF(P$3&gt;(A6taxstdlife+$E146),(Input!$O$47-Input!$O$81)-SUM($N146:O146),(Input!$O$47-Input!$O$81)/A6taxstdlife))</f>
        <v>0</v>
      </c>
      <c r="Q146" s="67"/>
      <c r="R146" s="102"/>
      <c r="S146" s="102"/>
      <c r="T146" s="102"/>
      <c r="U146" s="102"/>
      <c r="V146" s="102"/>
      <c r="W146" s="102"/>
      <c r="X146" s="102"/>
      <c r="Y146" s="102"/>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185"/>
      <c r="BJ146" s="185"/>
      <c r="BK146" s="185"/>
      <c r="BL146" s="185"/>
      <c r="BM146" s="185"/>
      <c r="BN146" s="185"/>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hidden="1" customHeight="1" outlineLevel="2">
      <c r="A147" s="9"/>
      <c r="B147" s="9"/>
      <c r="C147" s="25"/>
      <c r="D147" s="492"/>
      <c r="E147" s="85">
        <v>9</v>
      </c>
      <c r="F147" s="203"/>
      <c r="G147" s="148"/>
      <c r="H147" s="148"/>
      <c r="I147" s="148"/>
      <c r="J147" s="148"/>
      <c r="K147" s="148"/>
      <c r="L147" s="148"/>
      <c r="M147" s="148"/>
      <c r="N147" s="148"/>
      <c r="O147" s="147"/>
      <c r="P147" s="67">
        <f>IF(A6taxstdlife="n/a","n/a",IF(P$3&gt;(A6taxstdlife+$E147),(Input!$P$47-Input!$P$81)-SUM($O147:O147),(Input!$P$47-Input!$P$81)/A6taxstdlife))</f>
        <v>0</v>
      </c>
      <c r="Q147" s="67"/>
      <c r="R147" s="102"/>
      <c r="S147" s="102"/>
      <c r="T147" s="102"/>
      <c r="U147" s="102"/>
      <c r="V147" s="102"/>
      <c r="W147" s="102"/>
      <c r="X147" s="102"/>
      <c r="Y147" s="102"/>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185"/>
      <c r="BJ147" s="185"/>
      <c r="BK147" s="185"/>
      <c r="BL147" s="185"/>
      <c r="BM147" s="185"/>
      <c r="BN147" s="185"/>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hidden="1" customHeight="1" outlineLevel="2">
      <c r="A148" s="9"/>
      <c r="B148" s="9"/>
      <c r="C148" s="25"/>
      <c r="D148" s="492"/>
      <c r="E148" s="86">
        <v>10</v>
      </c>
      <c r="F148" s="203"/>
      <c r="G148" s="148"/>
      <c r="H148" s="148"/>
      <c r="I148" s="148"/>
      <c r="J148" s="148"/>
      <c r="K148" s="148"/>
      <c r="L148" s="148"/>
      <c r="M148" s="148"/>
      <c r="N148" s="148"/>
      <c r="O148" s="187"/>
      <c r="P148" s="147"/>
      <c r="Q148" s="67"/>
      <c r="R148" s="102"/>
      <c r="S148" s="102"/>
      <c r="T148" s="102"/>
      <c r="U148" s="102"/>
      <c r="V148" s="102"/>
      <c r="W148" s="102"/>
      <c r="X148" s="102"/>
      <c r="Y148" s="102"/>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185"/>
      <c r="BJ148" s="185"/>
      <c r="BK148" s="185"/>
      <c r="BL148" s="185"/>
      <c r="BM148" s="185"/>
      <c r="BN148" s="185"/>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 r="A149" s="9"/>
      <c r="B149" s="9"/>
      <c r="C149" s="25" t="str">
        <f>Asset6</f>
        <v>Low Voltage Lines and Cables</v>
      </c>
      <c r="D149" s="9"/>
      <c r="E149" s="9"/>
      <c r="F149" s="203"/>
      <c r="G149" s="164">
        <f>-SUM(G137:G148)</f>
        <v>-28.740472679665707</v>
      </c>
      <c r="H149" s="164">
        <f>-SUM(H137:H148)</f>
        <v>-18.472110898400356</v>
      </c>
      <c r="I149" s="164">
        <f>-SUM(I137:I148)</f>
        <v>-22.791803513681188</v>
      </c>
      <c r="J149" s="164">
        <f>-SUM(J137:J148)</f>
        <v>-27.435478532877863</v>
      </c>
      <c r="K149" s="164">
        <f>-SUM(K137:K148)</f>
        <v>-29.599999997719831</v>
      </c>
      <c r="L149" s="164"/>
      <c r="M149" s="164">
        <f>IF(Input!N174&gt;0, -SUM(M137:M148), 0)</f>
        <v>0</v>
      </c>
      <c r="N149" s="164">
        <f>IF(Input!O174&gt;0, -SUM(N137:N148), 0)</f>
        <v>0</v>
      </c>
      <c r="O149" s="164">
        <f>IF(Input!P174&gt;0, -SUM(O137:O148), 0)</f>
        <v>0</v>
      </c>
      <c r="P149" s="164">
        <f>IF(Input!Q174&gt;0, -SUM(P137:P148), 0)</f>
        <v>0</v>
      </c>
      <c r="Q149" s="63"/>
      <c r="R149" s="101"/>
      <c r="S149" s="101"/>
      <c r="T149" s="101"/>
      <c r="U149" s="101"/>
      <c r="V149" s="101"/>
      <c r="W149" s="101"/>
      <c r="X149" s="101"/>
      <c r="Y149" s="10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185"/>
      <c r="BJ149" s="185"/>
      <c r="BK149" s="185"/>
      <c r="BL149" s="185"/>
      <c r="BM149" s="185"/>
      <c r="BN149" s="185"/>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hidden="1" customHeight="1" outlineLevel="2">
      <c r="A150" s="9"/>
      <c r="B150" s="31" t="str">
        <f>Asset7</f>
        <v>Customer Metering and Load Control</v>
      </c>
      <c r="C150" s="32"/>
      <c r="D150" s="33" t="s">
        <v>65</v>
      </c>
      <c r="E150" s="32"/>
      <c r="F150" s="203"/>
      <c r="G150" s="459">
        <f>'Tax asset base adjustments'!Q41</f>
        <v>7.8932137435999996</v>
      </c>
      <c r="H150" s="459">
        <f>'Tax asset base adjustments'!R41</f>
        <v>7.2986142636000002</v>
      </c>
      <c r="I150" s="459">
        <f>'Tax asset base adjustments'!S41</f>
        <v>6.9594085135999997</v>
      </c>
      <c r="J150" s="459">
        <f>'Tax asset base adjustments'!T41</f>
        <v>6.6522911735999992</v>
      </c>
      <c r="K150" s="459">
        <f>'Tax asset base adjustments'!U41</f>
        <v>6.3483543835999994</v>
      </c>
      <c r="L150" s="344"/>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2"/>
      <c r="S150" s="301">
        <f>SUM(K150:K155)</f>
        <v>6.3653376383999998</v>
      </c>
      <c r="T150" s="102"/>
      <c r="U150" s="102"/>
      <c r="V150" s="102"/>
      <c r="W150" s="102"/>
      <c r="X150" s="102"/>
      <c r="Y150" s="102"/>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185"/>
      <c r="BJ150" s="185"/>
      <c r="BK150" s="185"/>
      <c r="BL150" s="185"/>
      <c r="BM150" s="185"/>
      <c r="BN150" s="185"/>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5"/>
      <c r="D151" s="491" t="s">
        <v>83</v>
      </c>
      <c r="E151" s="85"/>
      <c r="F151" s="302"/>
      <c r="G151" s="67"/>
      <c r="H151" s="67"/>
      <c r="I151" s="67"/>
      <c r="J151" s="67"/>
      <c r="K151" s="67"/>
      <c r="L151" s="67"/>
      <c r="M151" s="67"/>
      <c r="N151" s="67"/>
      <c r="O151" s="67"/>
      <c r="P151" s="67"/>
      <c r="Q151" s="67"/>
      <c r="R151" s="102"/>
      <c r="S151" s="102"/>
      <c r="T151" s="102"/>
      <c r="U151" s="102"/>
      <c r="V151" s="102"/>
      <c r="W151" s="102"/>
      <c r="X151" s="102"/>
      <c r="Y151" s="102"/>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185"/>
      <c r="BJ151" s="185"/>
      <c r="BK151" s="185"/>
      <c r="BL151" s="185"/>
      <c r="BM151" s="185"/>
      <c r="BN151" s="185"/>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hidden="1" customHeight="1" outlineLevel="2">
      <c r="A152" s="9"/>
      <c r="B152" s="9"/>
      <c r="C152" s="25"/>
      <c r="D152" s="492"/>
      <c r="E152" s="85">
        <v>1</v>
      </c>
      <c r="F152" s="191"/>
      <c r="G152" s="147"/>
      <c r="H152" s="67">
        <f>IF(A7taxstdlife="n/a","n/a",IF(H$3&gt;(A7taxstdlife+$E152),(Input!$H$48-Input!$H$82)-SUM($G152:G152),(Input!$H$48-Input!$H$82)/A7taxstdlife))</f>
        <v>1.69832548E-2</v>
      </c>
      <c r="I152" s="67">
        <f>IF(A7taxstdlife="n/a","n/a",IF(I$3&gt;(A7taxstdlife+$E152),(Input!$H$48-Input!$H$82)-SUM($G152:H152),(Input!$H$48-Input!$H$82)/A7taxstdlife))</f>
        <v>1.69832548E-2</v>
      </c>
      <c r="J152" s="67">
        <f>IF(A7taxstdlife="n/a","n/a",IF(J$3&gt;(A7taxstdlife+$E152),(Input!$H$48-Input!$H$82)-SUM($G152:I152),(Input!$H$48-Input!$H$82)/A7taxstdlife))</f>
        <v>1.69832548E-2</v>
      </c>
      <c r="K152" s="67">
        <f>IF(A7taxstdlife="n/a","n/a",IF(K$3&gt;(A7taxstdlife+$E152),(Input!$H$48-Input!$H$82)-SUM($G152:J152),(Input!$H$48-Input!$H$82)/A7taxstdlife))</f>
        <v>1.69832548E-2</v>
      </c>
      <c r="L152" s="67"/>
      <c r="M152" s="67">
        <f>IF(A7taxstdlife="n/a","n/a",IF(M$3&gt;(A7taxstdlife+$E152),(Input!$H$48-Input!$H$82)-SUM($G152:L152),(Input!$H$48-Input!$H$82)/A7taxstdlife))</f>
        <v>1.69832548E-2</v>
      </c>
      <c r="N152" s="67">
        <f>IF(A7taxstdlife="n/a","n/a",IF(N$3&gt;(A7taxstdlife+$E152),(Input!$H$48-Input!$H$82)-SUM($G152:M152),(Input!$H$48-Input!$H$82)/A7taxstdlife))</f>
        <v>1.69832548E-2</v>
      </c>
      <c r="O152" s="67">
        <f>IF(A7taxstdlife="n/a","n/a",IF(O$3&gt;(A7taxstdlife+$E152),(Input!$H$48-Input!$H$82)-SUM($G152:N152),(Input!$H$48-Input!$H$82)/A7taxstdlife))</f>
        <v>1.69832548E-2</v>
      </c>
      <c r="P152" s="67">
        <f>IF(A7taxstdlife="n/a","n/a",IF(P$3&gt;(A7taxstdlife+$E152),(Input!$H$48-Input!$H$82)-SUM($G152:O152),(Input!$H$48-Input!$H$82)/A7taxstdlife))</f>
        <v>1.69832548E-2</v>
      </c>
      <c r="Q152" s="67"/>
      <c r="R152" s="102"/>
      <c r="S152" s="102"/>
      <c r="T152" s="102"/>
      <c r="U152" s="102"/>
      <c r="V152" s="102"/>
      <c r="W152" s="102"/>
      <c r="X152" s="102"/>
      <c r="Y152" s="102"/>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185"/>
      <c r="BJ152" s="185"/>
      <c r="BK152" s="185"/>
      <c r="BL152" s="185"/>
      <c r="BM152" s="185"/>
      <c r="BN152" s="185"/>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hidden="1" customHeight="1" outlineLevel="2">
      <c r="A153" s="9"/>
      <c r="B153" s="9"/>
      <c r="C153" s="25"/>
      <c r="D153" s="492"/>
      <c r="E153" s="85">
        <v>2</v>
      </c>
      <c r="F153" s="191"/>
      <c r="G153" s="148"/>
      <c r="H153" s="147"/>
      <c r="I153" s="67">
        <f>IF(A7taxstdlife="n/a","n/a",IF(I$3&gt;(A7taxstdlife+$E153),(Input!$I$48-Input!$I$82)-SUM($H153:H153),(Input!$I$48-Input!$I$82)/A7taxstdlife))</f>
        <v>0</v>
      </c>
      <c r="J153" s="67">
        <f>IF(A7taxstdlife="n/a","n/a",IF(J$3&gt;(A7taxstdlife+$E153),(Input!$I$48-Input!$I$82)-SUM($H153:I153),(Input!$I$48-Input!$I$82)/A7taxstdlife))</f>
        <v>0</v>
      </c>
      <c r="K153" s="67">
        <f>IF(A7taxstdlife="n/a","n/a",IF(K$3&gt;(A7taxstdlife+$E153),(Input!$I$48-Input!$I$82)-SUM($H153:J153),(Input!$I$48-Input!$I$82)/A7taxstdlife))</f>
        <v>0</v>
      </c>
      <c r="L153" s="67"/>
      <c r="M153" s="67">
        <f>IF(A7taxstdlife="n/a","n/a",IF(M$3&gt;(A7taxstdlife+$E153),(Input!$I$48-Input!$I$82)-SUM($H153:L153),(Input!$I$48-Input!$I$82)/A7taxstdlife))</f>
        <v>0</v>
      </c>
      <c r="N153" s="67">
        <f>IF(A7taxstdlife="n/a","n/a",IF(N$3&gt;(A7taxstdlife+$E153),(Input!$I$48-Input!$I$82)-SUM($H153:M153),(Input!$I$48-Input!$I$82)/A7taxstdlife))</f>
        <v>0</v>
      </c>
      <c r="O153" s="67">
        <f>IF(A7taxstdlife="n/a","n/a",IF(O$3&gt;(A7taxstdlife+$E153),(Input!$I$48-Input!$I$82)-SUM($H153:N153),(Input!$I$48-Input!$I$82)/A7taxstdlife))</f>
        <v>0</v>
      </c>
      <c r="P153" s="67">
        <f>IF(A7taxstdlife="n/a","n/a",IF(P$3&gt;(A7taxstdlife+$E153),(Input!$I$48-Input!$I$82)-SUM($H153:O153),(Input!$I$48-Input!$I$82)/A7taxstdlife))</f>
        <v>0</v>
      </c>
      <c r="Q153" s="67"/>
      <c r="R153" s="102"/>
      <c r="S153" s="102"/>
      <c r="T153" s="102"/>
      <c r="U153" s="102"/>
      <c r="V153" s="102"/>
      <c r="W153" s="102"/>
      <c r="X153" s="102"/>
      <c r="Y153" s="102"/>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185"/>
      <c r="BJ153" s="185"/>
      <c r="BK153" s="185"/>
      <c r="BL153" s="185"/>
      <c r="BM153" s="185"/>
      <c r="BN153" s="185"/>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hidden="1" customHeight="1" outlineLevel="2">
      <c r="A154" s="9"/>
      <c r="B154" s="9"/>
      <c r="C154" s="25"/>
      <c r="D154" s="492"/>
      <c r="E154" s="85">
        <v>3</v>
      </c>
      <c r="F154" s="191"/>
      <c r="G154" s="148"/>
      <c r="H154" s="148"/>
      <c r="I154" s="147"/>
      <c r="J154" s="67">
        <f>IF(A7taxstdlife="n/a","n/a",IF(J$3&gt;(A7taxstdlife+$E154),(Input!$J$48-Input!$J$82)-SUM($I154:I154),(Input!$J$48-Input!$J$82)/A7taxstdlife))</f>
        <v>0</v>
      </c>
      <c r="K154" s="67">
        <f>IF(A7taxstdlife="n/a","n/a",IF(K$3&gt;(A7taxstdlife+$E154),(Input!$J$48-Input!$J$82)-SUM($I154:J154),(Input!$J$48-Input!$J$82)/A7taxstdlife))</f>
        <v>0</v>
      </c>
      <c r="L154" s="67"/>
      <c r="M154" s="67">
        <f>IF(A7taxstdlife="n/a","n/a",IF(M$3&gt;(A7taxstdlife+$E154),(Input!$J$48-Input!$J$82)-SUM($I154:L154),(Input!$J$48-Input!$J$82)/A7taxstdlife))</f>
        <v>0</v>
      </c>
      <c r="N154" s="67">
        <f>IF(A7taxstdlife="n/a","n/a",IF(N$3&gt;(A7taxstdlife+$E154),(Input!$J$48-Input!$J$82)-SUM($I154:M154),(Input!$J$48-Input!$J$82)/A7taxstdlife))</f>
        <v>0</v>
      </c>
      <c r="O154" s="67">
        <f>IF(A7taxstdlife="n/a","n/a",IF(O$3&gt;(A7taxstdlife+$E154),(Input!$J$48-Input!$J$82)-SUM($I154:N154),(Input!$J$48-Input!$J$82)/A7taxstdlife))</f>
        <v>0</v>
      </c>
      <c r="P154" s="67">
        <f>IF(A7taxstdlife="n/a","n/a",IF(P$3&gt;(A7taxstdlife+$E154),(Input!$J$48-Input!$J$82)-SUM($I154:O154),(Input!$J$48-Input!$J$82)/A7taxstdlife))</f>
        <v>0</v>
      </c>
      <c r="Q154" s="67"/>
      <c r="R154" s="102"/>
      <c r="S154" s="102"/>
      <c r="T154" s="102"/>
      <c r="U154" s="102"/>
      <c r="V154" s="102"/>
      <c r="W154" s="102"/>
      <c r="X154" s="102"/>
      <c r="Y154" s="102"/>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185"/>
      <c r="BJ154" s="185"/>
      <c r="BK154" s="185"/>
      <c r="BL154" s="185"/>
      <c r="BM154" s="185"/>
      <c r="BN154" s="185"/>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hidden="1" customHeight="1" outlineLevel="2">
      <c r="A155" s="9"/>
      <c r="B155" s="9"/>
      <c r="C155" s="25"/>
      <c r="D155" s="492"/>
      <c r="E155" s="85">
        <v>4</v>
      </c>
      <c r="F155" s="191"/>
      <c r="G155" s="148"/>
      <c r="H155" s="148"/>
      <c r="I155" s="148"/>
      <c r="J155" s="147"/>
      <c r="K155" s="67">
        <f>IF(A7taxstdlife="n/a","n/a",IF(K$3&gt;(A7taxstdlife+$E155),(Input!$K$48-Input!$K$82)-SUM($J155:J155),(Input!$K$48-Input!$K$82)/A7taxstdlife))</f>
        <v>0</v>
      </c>
      <c r="L155" s="67"/>
      <c r="M155" s="67">
        <f>IF(A7taxstdlife="n/a","n/a",IF(M$3&gt;(A7taxstdlife+$E155),(Input!$K$48-Input!$K$82)-SUM($J155:L155),(Input!$K$48-Input!$K$82)/A7taxstdlife))</f>
        <v>0</v>
      </c>
      <c r="N155" s="67">
        <f>IF(A7taxstdlife="n/a","n/a",IF(N$3&gt;(A7taxstdlife+$E155),(Input!$K$48-Input!$K$82)-SUM($J155:M155),(Input!$K$48-Input!$K$82)/A7taxstdlife))</f>
        <v>0</v>
      </c>
      <c r="O155" s="67">
        <f>IF(A7taxstdlife="n/a","n/a",IF(O$3&gt;(A7taxstdlife+$E155),(Input!$K$48-Input!$K$82)-SUM($J155:N155),(Input!$K$48-Input!$K$82)/A7taxstdlife))</f>
        <v>0</v>
      </c>
      <c r="P155" s="67">
        <f>IF(A7taxstdlife="n/a","n/a",IF(P$3&gt;(A7taxstdlife+$E155),(Input!$K$48-Input!$K$82)-SUM($J155:O155),(Input!$K$48-Input!$K$82)/A7taxstdlife))</f>
        <v>0</v>
      </c>
      <c r="Q155" s="67"/>
      <c r="R155" s="102"/>
      <c r="S155" s="102"/>
      <c r="T155" s="102"/>
      <c r="U155" s="102"/>
      <c r="V155" s="102"/>
      <c r="W155" s="102"/>
      <c r="X155" s="102"/>
      <c r="Y155" s="102"/>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185"/>
      <c r="BJ155" s="185"/>
      <c r="BK155" s="185"/>
      <c r="BL155" s="185"/>
      <c r="BM155" s="185"/>
      <c r="BN155" s="18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hidden="1" customHeight="1" outlineLevel="2">
      <c r="A156" s="9"/>
      <c r="B156" s="9"/>
      <c r="C156" s="25"/>
      <c r="D156" s="492"/>
      <c r="E156" s="85">
        <v>5</v>
      </c>
      <c r="F156" s="191"/>
      <c r="G156" s="148"/>
      <c r="H156" s="148"/>
      <c r="I156" s="148"/>
      <c r="J156" s="148"/>
      <c r="K156" s="147"/>
      <c r="L156" s="67"/>
      <c r="M156" s="67">
        <f>IF(A7taxstdlife="n/a","n/a",IF(M$3&gt;(A7taxstdlife+$E156),(Input!$L$48-Input!$L$82)-SUM($K156:L156),(Input!$L$48-Input!$L$82)/A7taxstdlife))</f>
        <v>0</v>
      </c>
      <c r="N156" s="67">
        <f>IF(A7taxstdlife="n/a","n/a",IF(N$3&gt;(A7taxstdlife+$E156),(Input!$L$48-Input!$L$82)-SUM($K156:M156),(Input!$L$48-Input!$L$82)/A7taxstdlife))</f>
        <v>0</v>
      </c>
      <c r="O156" s="67">
        <f>IF(A7taxstdlife="n/a","n/a",IF(O$3&gt;(A7taxstdlife+$E156),(Input!$L$48-Input!$L$82)-SUM($K156:N156),(Input!$L$48-Input!$L$82)/A7taxstdlife))</f>
        <v>0</v>
      </c>
      <c r="P156" s="67">
        <f>IF(A7taxstdlife="n/a","n/a",IF(P$3&gt;(A7taxstdlife+$E156),(Input!$L$48-Input!$L$82)-SUM($K156:O156),(Input!$L$48-Input!$L$82)/A7taxstdlife))</f>
        <v>0</v>
      </c>
      <c r="Q156" s="67"/>
      <c r="R156" s="102"/>
      <c r="S156" s="102"/>
      <c r="T156" s="102"/>
      <c r="U156" s="102"/>
      <c r="V156" s="102"/>
      <c r="W156" s="102"/>
      <c r="X156" s="102"/>
      <c r="Y156" s="102"/>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185"/>
      <c r="BJ156" s="185"/>
      <c r="BK156" s="185"/>
      <c r="BL156" s="185"/>
      <c r="BM156" s="185"/>
      <c r="BN156" s="185"/>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hidden="1" customHeight="1" outlineLevel="2">
      <c r="A157" s="9"/>
      <c r="B157" s="9"/>
      <c r="C157" s="25"/>
      <c r="D157" s="492"/>
      <c r="E157" s="85">
        <v>6</v>
      </c>
      <c r="F157" s="191"/>
      <c r="G157" s="148"/>
      <c r="H157" s="148"/>
      <c r="I157" s="148"/>
      <c r="J157" s="148"/>
      <c r="K157" s="148"/>
      <c r="L157" s="147"/>
      <c r="M157" s="67">
        <f>IF(A7taxstdlife="n/a","n/a",IF(M$3&gt;(A7taxstdlife+$E157),(Input!$M$48-Input!$M$82)-SUM($L157:L157),(Input!$M$48-Input!$M$82)/A7taxstdlife))</f>
        <v>0</v>
      </c>
      <c r="N157" s="67">
        <f>IF(A7taxstdlife="n/a","n/a",IF(N$3&gt;(A7taxstdlife+$E157),(Input!$M$48-Input!$M$82)-SUM($L157:M157),(Input!$M$48-Input!$M$82)/A7taxstdlife))</f>
        <v>0</v>
      </c>
      <c r="O157" s="67">
        <f>IF(A7taxstdlife="n/a","n/a",IF(O$3&gt;(A7taxstdlife+$E157),(Input!$M$48-Input!$M$82)-SUM($L157:N157),(Input!$M$48-Input!$M$82)/A7taxstdlife))</f>
        <v>0</v>
      </c>
      <c r="P157" s="67">
        <f>IF(A7taxstdlife="n/a","n/a",IF(P$3&gt;(A7taxstdlife+$E157),(Input!$M$48-Input!$M$82)-SUM($L157:O157),(Input!$M$48-Input!$M$82)/A7taxstdlife))</f>
        <v>0</v>
      </c>
      <c r="Q157" s="67"/>
      <c r="R157" s="102"/>
      <c r="S157" s="102"/>
      <c r="T157" s="102"/>
      <c r="U157" s="102"/>
      <c r="V157" s="102"/>
      <c r="W157" s="102"/>
      <c r="X157" s="102"/>
      <c r="Y157" s="102"/>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185"/>
      <c r="BJ157" s="185"/>
      <c r="BK157" s="185"/>
      <c r="BL157" s="185"/>
      <c r="BM157" s="185"/>
      <c r="BN157" s="185"/>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hidden="1" customHeight="1" outlineLevel="2">
      <c r="A158" s="9"/>
      <c r="B158" s="9"/>
      <c r="C158" s="25"/>
      <c r="D158" s="492"/>
      <c r="E158" s="85">
        <v>7</v>
      </c>
      <c r="F158" s="191"/>
      <c r="G158" s="148"/>
      <c r="H158" s="148"/>
      <c r="I158" s="148"/>
      <c r="J158" s="148"/>
      <c r="K158" s="148"/>
      <c r="L158" s="148"/>
      <c r="M158" s="147"/>
      <c r="N158" s="67">
        <f>IF(A7taxstdlife="n/a","n/a",IF(N$3&gt;(A7taxstdlife+$E158),(Input!$N$48-Input!$N$82)-SUM($M158:M158),(Input!$N$48-Input!$N$82)/A7taxstdlife))</f>
        <v>0</v>
      </c>
      <c r="O158" s="67">
        <f>IF(A7taxstdlife="n/a","n/a",IF(O$3&gt;(A7taxstdlife+$E158),(Input!$N$48-Input!$N$82)-SUM($M158:N158),(Input!$N$48-Input!$N$82)/A7taxstdlife))</f>
        <v>0</v>
      </c>
      <c r="P158" s="67">
        <f>IF(A7taxstdlife="n/a","n/a",IF(P$3&gt;(A7taxstdlife+$E158),(Input!$N$48-Input!$N$82)-SUM($M158:O158),(Input!$N$48-Input!$N$82)/A7taxstdlife))</f>
        <v>0</v>
      </c>
      <c r="Q158" s="67"/>
      <c r="R158" s="102"/>
      <c r="S158" s="102"/>
      <c r="T158" s="102"/>
      <c r="U158" s="102"/>
      <c r="V158" s="102"/>
      <c r="W158" s="102"/>
      <c r="X158" s="102"/>
      <c r="Y158" s="102"/>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185"/>
      <c r="BJ158" s="185"/>
      <c r="BK158" s="185"/>
      <c r="BL158" s="185"/>
      <c r="BM158" s="185"/>
      <c r="BN158" s="185"/>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hidden="1" customHeight="1" outlineLevel="2">
      <c r="A159" s="9"/>
      <c r="B159" s="9"/>
      <c r="C159" s="25"/>
      <c r="D159" s="492"/>
      <c r="E159" s="85">
        <v>8</v>
      </c>
      <c r="F159" s="191"/>
      <c r="G159" s="148"/>
      <c r="H159" s="148"/>
      <c r="I159" s="148"/>
      <c r="J159" s="148"/>
      <c r="K159" s="148"/>
      <c r="L159" s="148"/>
      <c r="M159" s="148"/>
      <c r="N159" s="147"/>
      <c r="O159" s="67">
        <f>IF(A7taxstdlife="n/a","n/a",IF(O$3&gt;(A7taxstdlife+$E159),(Input!$O$48-Input!$O$82)-SUM($N159:N159),(Input!$O$48-Input!$O$82)/A7taxstdlife))</f>
        <v>0</v>
      </c>
      <c r="P159" s="67">
        <f>IF(A7taxstdlife="n/a","n/a",IF(P$3&gt;(A7taxstdlife+$E159),(Input!$O$48-Input!$O$82)-SUM($N159:O159),(Input!$O$48-Input!$O$82)/A7taxstdlife))</f>
        <v>0</v>
      </c>
      <c r="Q159" s="67"/>
      <c r="R159" s="102"/>
      <c r="S159" s="102"/>
      <c r="T159" s="102"/>
      <c r="U159" s="102"/>
      <c r="V159" s="102"/>
      <c r="W159" s="102"/>
      <c r="X159" s="102"/>
      <c r="Y159" s="102"/>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185"/>
      <c r="BJ159" s="185"/>
      <c r="BK159" s="185"/>
      <c r="BL159" s="185"/>
      <c r="BM159" s="185"/>
      <c r="BN159" s="185"/>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hidden="1" customHeight="1" outlineLevel="2">
      <c r="A160" s="9"/>
      <c r="B160" s="9"/>
      <c r="C160" s="25"/>
      <c r="D160" s="492"/>
      <c r="E160" s="85">
        <v>9</v>
      </c>
      <c r="F160" s="191"/>
      <c r="G160" s="148"/>
      <c r="H160" s="148"/>
      <c r="I160" s="148"/>
      <c r="J160" s="148"/>
      <c r="K160" s="148"/>
      <c r="L160" s="148"/>
      <c r="M160" s="148"/>
      <c r="N160" s="148"/>
      <c r="O160" s="147"/>
      <c r="P160" s="67">
        <f>IF(A7taxstdlife="n/a","n/a",IF(P$3&gt;(A7taxstdlife+$E160),(Input!$P$48-Input!$P$82)-SUM($O160:O160),(Input!$P$48-Input!$P$82)/A7taxstdlife))</f>
        <v>0</v>
      </c>
      <c r="Q160" s="67"/>
      <c r="R160" s="102"/>
      <c r="S160" s="102"/>
      <c r="T160" s="102"/>
      <c r="U160" s="102"/>
      <c r="V160" s="102"/>
      <c r="W160" s="102"/>
      <c r="X160" s="102"/>
      <c r="Y160" s="102"/>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185"/>
      <c r="BJ160" s="185"/>
      <c r="BK160" s="185"/>
      <c r="BL160" s="185"/>
      <c r="BM160" s="185"/>
      <c r="BN160" s="185"/>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hidden="1" customHeight="1" outlineLevel="2">
      <c r="A161" s="9"/>
      <c r="B161" s="9"/>
      <c r="C161" s="25"/>
      <c r="D161" s="492"/>
      <c r="E161" s="86">
        <v>10</v>
      </c>
      <c r="F161" s="191"/>
      <c r="G161" s="148"/>
      <c r="H161" s="148"/>
      <c r="I161" s="148"/>
      <c r="J161" s="148"/>
      <c r="K161" s="148"/>
      <c r="L161" s="148"/>
      <c r="M161" s="148"/>
      <c r="N161" s="148"/>
      <c r="O161" s="187"/>
      <c r="P161" s="147"/>
      <c r="Q161" s="67"/>
      <c r="R161" s="102"/>
      <c r="S161" s="102"/>
      <c r="T161" s="102"/>
      <c r="U161" s="102"/>
      <c r="V161" s="102"/>
      <c r="W161" s="102"/>
      <c r="X161" s="102"/>
      <c r="Y161" s="102"/>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185"/>
      <c r="BJ161" s="185"/>
      <c r="BK161" s="185"/>
      <c r="BL161" s="185"/>
      <c r="BM161" s="185"/>
      <c r="BN161" s="185"/>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 r="A162" s="9"/>
      <c r="B162" s="9"/>
      <c r="C162" s="25" t="str">
        <f>Asset7</f>
        <v>Customer Metering and Load Control</v>
      </c>
      <c r="D162" s="9"/>
      <c r="E162" s="9"/>
      <c r="F162" s="191"/>
      <c r="G162" s="164">
        <f>-SUM(G150:G161)</f>
        <v>-7.8932137435999996</v>
      </c>
      <c r="H162" s="164">
        <f>-SUM(H150:H161)</f>
        <v>-7.3155975184000006</v>
      </c>
      <c r="I162" s="164">
        <f>-SUM(I150:I161)</f>
        <v>-6.9763917684000001</v>
      </c>
      <c r="J162" s="164">
        <f>-SUM(J150:J161)</f>
        <v>-6.6692744283999996</v>
      </c>
      <c r="K162" s="164">
        <f>-SUM(K150:K161)</f>
        <v>-6.3653376383999998</v>
      </c>
      <c r="L162" s="164"/>
      <c r="M162" s="164">
        <f>IF(Input!N174&gt;0, -SUM(M150:M161), 0)</f>
        <v>0</v>
      </c>
      <c r="N162" s="164">
        <f>IF(Input!O174&gt;0, -SUM(N150:N161), 0)</f>
        <v>0</v>
      </c>
      <c r="O162" s="164">
        <f>IF(Input!P174&gt;0, -SUM(O150:O161), 0)</f>
        <v>0</v>
      </c>
      <c r="P162" s="164">
        <f>IF(Input!Q174&gt;0, -SUM(P150:P161), 0)</f>
        <v>0</v>
      </c>
      <c r="Q162" s="63"/>
      <c r="R162" s="101"/>
      <c r="S162" s="301"/>
      <c r="T162" s="101"/>
      <c r="U162" s="101"/>
      <c r="V162" s="101"/>
      <c r="W162" s="101"/>
      <c r="X162" s="101"/>
      <c r="Y162" s="10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185"/>
      <c r="BJ162" s="185"/>
      <c r="BK162" s="185"/>
      <c r="BL162" s="185"/>
      <c r="BM162" s="185"/>
      <c r="BN162" s="185"/>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hidden="1" customHeight="1" outlineLevel="2">
      <c r="A163" s="9"/>
      <c r="B163" s="31" t="str">
        <f>Asset8</f>
        <v>Customer Metering (digital)</v>
      </c>
      <c r="C163" s="32"/>
      <c r="D163" s="33" t="s">
        <v>65</v>
      </c>
      <c r="E163" s="32"/>
      <c r="F163" s="191"/>
      <c r="G163" s="459">
        <f>'Tax asset base adjustments'!Q42</f>
        <v>0</v>
      </c>
      <c r="H163" s="459">
        <f>'Tax asset base adjustments'!R42</f>
        <v>0</v>
      </c>
      <c r="I163" s="459">
        <f>'Tax asset base adjustments'!S42</f>
        <v>0</v>
      </c>
      <c r="J163" s="459">
        <f>'Tax asset base adjustments'!T42</f>
        <v>0</v>
      </c>
      <c r="K163" s="459">
        <f>'Tax asset base adjustments'!U42</f>
        <v>0</v>
      </c>
      <c r="L163" s="344"/>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2"/>
      <c r="S163" s="301">
        <f>SUM(K163:K168)</f>
        <v>6.3596469686666666</v>
      </c>
      <c r="T163" s="102"/>
      <c r="U163" s="102"/>
      <c r="V163" s="102"/>
      <c r="W163" s="102"/>
      <c r="X163" s="102"/>
      <c r="Y163" s="102"/>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185"/>
      <c r="BJ163" s="185"/>
      <c r="BK163" s="185"/>
      <c r="BL163" s="185"/>
      <c r="BM163" s="185"/>
      <c r="BN163" s="185"/>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5"/>
      <c r="D164" s="491" t="s">
        <v>83</v>
      </c>
      <c r="E164" s="85"/>
      <c r="F164" s="302"/>
      <c r="G164" s="212"/>
      <c r="H164" s="212"/>
      <c r="I164" s="212"/>
      <c r="J164" s="212"/>
      <c r="K164" s="212"/>
      <c r="L164" s="67"/>
      <c r="M164" s="67"/>
      <c r="N164" s="67"/>
      <c r="O164" s="67"/>
      <c r="P164" s="67"/>
      <c r="Q164" s="67"/>
      <c r="R164" s="102"/>
      <c r="S164" s="102"/>
      <c r="T164" s="102"/>
      <c r="U164" s="102"/>
      <c r="V164" s="102"/>
      <c r="W164" s="102"/>
      <c r="X164" s="102"/>
      <c r="Y164" s="102"/>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185"/>
      <c r="BJ164" s="185"/>
      <c r="BK164" s="185"/>
      <c r="BL164" s="185"/>
      <c r="BM164" s="185"/>
      <c r="BN164" s="185"/>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hidden="1" customHeight="1" outlineLevel="2">
      <c r="A165" s="9"/>
      <c r="B165" s="9"/>
      <c r="C165" s="25"/>
      <c r="D165" s="492"/>
      <c r="E165" s="85">
        <v>1</v>
      </c>
      <c r="F165" s="191"/>
      <c r="G165" s="147"/>
      <c r="H165" s="67">
        <f>IF(A8taxstdlife="n/a","n/a",IF(H$3&gt;(A8taxstdlife+$E165),(Input!$H$49-Input!$H$83)-SUM($G165:G165),(Input!$H$49-Input!$H$83)/A8taxstdlife))</f>
        <v>1.5026606199999999</v>
      </c>
      <c r="I165" s="67">
        <f>IF(A8taxstdlife="n/a","n/a",IF(I$3&gt;(A8taxstdlife+$E165),(Input!$H$49-Input!$H$83)-SUM($G165:H165),(Input!$H$49-Input!$H$83)/A8taxstdlife))</f>
        <v>1.5026606199999999</v>
      </c>
      <c r="J165" s="67">
        <f>IF(A8taxstdlife="n/a","n/a",IF(J$3&gt;(A8taxstdlife+$E165),(Input!$H$49-Input!$H$83)-SUM($G165:I165),(Input!$H$49-Input!$H$83)/A8taxstdlife))</f>
        <v>1.5026606199999999</v>
      </c>
      <c r="K165" s="67">
        <f>IF(A8taxstdlife="n/a","n/a",IF(K$3&gt;(A8taxstdlife+$E165),(Input!$H$49-Input!$H$83)-SUM($G165:J165),(Input!$H$49-Input!$H$83)/A8taxstdlife))</f>
        <v>1.5026606199999999</v>
      </c>
      <c r="L165" s="67"/>
      <c r="M165" s="67">
        <f>IF(A8taxstdlife="n/a","n/a",IF(M$3&gt;(A8taxstdlife+$E165),(Input!$H$49-Input!$H$83)-SUM($G165:L165),(Input!$H$49-Input!$H$83)/A8taxstdlife))</f>
        <v>1.5026606199999999</v>
      </c>
      <c r="N165" s="67">
        <f>IF(A8taxstdlife="n/a","n/a",IF(N$3&gt;(A8taxstdlife+$E165),(Input!$H$49-Input!$H$83)-SUM($G165:M165),(Input!$H$49-Input!$H$83)/A8taxstdlife))</f>
        <v>1.5026606199999999</v>
      </c>
      <c r="O165" s="67">
        <f>IF(A8taxstdlife="n/a","n/a",IF(O$3&gt;(A8taxstdlife+$E165),(Input!$H$49-Input!$H$83)-SUM($G165:N165),(Input!$H$49-Input!$H$83)/A8taxstdlife))</f>
        <v>1.5026606199999999</v>
      </c>
      <c r="P165" s="67">
        <f>IF(A8taxstdlife="n/a","n/a",IF(P$3&gt;(A8taxstdlife+$E165),(Input!$H$49-Input!$H$83)-SUM($G165:O165),(Input!$H$49-Input!$H$83)/A8taxstdlife))</f>
        <v>1.5026606199999999</v>
      </c>
      <c r="Q165" s="67"/>
      <c r="R165" s="102"/>
      <c r="S165" s="102"/>
      <c r="T165" s="102"/>
      <c r="U165" s="102"/>
      <c r="V165" s="102"/>
      <c r="W165" s="102"/>
      <c r="X165" s="102"/>
      <c r="Y165" s="102"/>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185"/>
      <c r="BJ165" s="185"/>
      <c r="BK165" s="185"/>
      <c r="BL165" s="185"/>
      <c r="BM165" s="185"/>
      <c r="BN165" s="18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hidden="1" customHeight="1" outlineLevel="2">
      <c r="A166" s="9"/>
      <c r="B166" s="9"/>
      <c r="C166" s="25"/>
      <c r="D166" s="492"/>
      <c r="E166" s="85">
        <v>2</v>
      </c>
      <c r="F166" s="191"/>
      <c r="G166" s="148"/>
      <c r="H166" s="147"/>
      <c r="I166" s="67">
        <f>IF(A8taxstdlife="n/a","n/a",IF(I$3&gt;(A8taxstdlife+$E166),(Input!$I$49-Input!$I$83)-SUM($H166:H166),(Input!$I$49-Input!$I$83)/A8taxstdlife))</f>
        <v>1.9916204326666667</v>
      </c>
      <c r="J166" s="67">
        <f>IF(A8taxstdlife="n/a","n/a",IF(J$3&gt;(A8taxstdlife+$E166),(Input!$I$49-Input!$I$83)-SUM($H166:I166),(Input!$I$49-Input!$I$83)/A8taxstdlife))</f>
        <v>1.9916204326666667</v>
      </c>
      <c r="K166" s="67">
        <f>IF(A8taxstdlife="n/a","n/a",IF(K$3&gt;(A8taxstdlife+$E166),(Input!$I$49-Input!$I$83)-SUM($H166:J166),(Input!$I$49-Input!$I$83)/A8taxstdlife))</f>
        <v>1.9916204326666667</v>
      </c>
      <c r="L166" s="67"/>
      <c r="M166" s="67">
        <f>IF(A8taxstdlife="n/a","n/a",IF(M$3&gt;(A8taxstdlife+$E166),(Input!$I$49-Input!$I$83)-SUM($H166:L166),(Input!$I$49-Input!$I$83)/A8taxstdlife))</f>
        <v>1.9916204326666667</v>
      </c>
      <c r="N166" s="67">
        <f>IF(A8taxstdlife="n/a","n/a",IF(N$3&gt;(A8taxstdlife+$E166),(Input!$I$49-Input!$I$83)-SUM($H166:M166),(Input!$I$49-Input!$I$83)/A8taxstdlife))</f>
        <v>1.9916204326666667</v>
      </c>
      <c r="O166" s="67">
        <f>IF(A8taxstdlife="n/a","n/a",IF(O$3&gt;(A8taxstdlife+$E166),(Input!$I$49-Input!$I$83)-SUM($H166:N166),(Input!$I$49-Input!$I$83)/A8taxstdlife))</f>
        <v>1.9916204326666667</v>
      </c>
      <c r="P166" s="67">
        <f>IF(A8taxstdlife="n/a","n/a",IF(P$3&gt;(A8taxstdlife+$E166),(Input!$I$49-Input!$I$83)-SUM($H166:O166),(Input!$I$49-Input!$I$83)/A8taxstdlife))</f>
        <v>1.9916204326666667</v>
      </c>
      <c r="Q166" s="67"/>
      <c r="R166" s="102"/>
      <c r="S166" s="102"/>
      <c r="T166" s="102"/>
      <c r="U166" s="102"/>
      <c r="V166" s="102"/>
      <c r="W166" s="102"/>
      <c r="X166" s="102"/>
      <c r="Y166" s="102"/>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185"/>
      <c r="BJ166" s="185"/>
      <c r="BK166" s="185"/>
      <c r="BL166" s="185"/>
      <c r="BM166" s="185"/>
      <c r="BN166" s="185"/>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hidden="1" customHeight="1" outlineLevel="2">
      <c r="A167" s="9"/>
      <c r="B167" s="9"/>
      <c r="C167" s="25"/>
      <c r="D167" s="492"/>
      <c r="E167" s="85">
        <v>3</v>
      </c>
      <c r="F167" s="191"/>
      <c r="G167" s="148"/>
      <c r="H167" s="148"/>
      <c r="I167" s="147"/>
      <c r="J167" s="67">
        <f>IF(A8taxstdlife="n/a","n/a",IF(J$3&gt;(A8taxstdlife+$E167),(Input!$J$49-Input!$J$83)-SUM($I167:I167),(Input!$J$49-Input!$J$83)/A8taxstdlife))</f>
        <v>1.6121734759999995</v>
      </c>
      <c r="K167" s="67">
        <f>IF(A8taxstdlife="n/a","n/a",IF(K$3&gt;(A8taxstdlife+$E167),(Input!$J$49-Input!$J$83)-SUM($I167:J167),(Input!$J$49-Input!$J$83)/A8taxstdlife))</f>
        <v>1.6121734759999995</v>
      </c>
      <c r="L167" s="67"/>
      <c r="M167" s="67">
        <f>IF(A8taxstdlife="n/a","n/a",IF(M$3&gt;(A8taxstdlife+$E167),(Input!$J$49-Input!$J$83)-SUM($I167:L167),(Input!$J$49-Input!$J$83)/A8taxstdlife))</f>
        <v>1.6121734759999995</v>
      </c>
      <c r="N167" s="67">
        <f>IF(A8taxstdlife="n/a","n/a",IF(N$3&gt;(A8taxstdlife+$E167),(Input!$J$49-Input!$J$83)-SUM($I167:M167),(Input!$J$49-Input!$J$83)/A8taxstdlife))</f>
        <v>1.6121734759999995</v>
      </c>
      <c r="O167" s="67">
        <f>IF(A8taxstdlife="n/a","n/a",IF(O$3&gt;(A8taxstdlife+$E167),(Input!$J$49-Input!$J$83)-SUM($I167:N167),(Input!$J$49-Input!$J$83)/A8taxstdlife))</f>
        <v>1.6121734759999995</v>
      </c>
      <c r="P167" s="67">
        <f>IF(A8taxstdlife="n/a","n/a",IF(P$3&gt;(A8taxstdlife+$E167),(Input!$J$49-Input!$J$83)-SUM($I167:O167),(Input!$J$49-Input!$J$83)/A8taxstdlife))</f>
        <v>1.6121734759999995</v>
      </c>
      <c r="Q167" s="67"/>
      <c r="R167" s="102"/>
      <c r="S167" s="102"/>
      <c r="T167" s="102"/>
      <c r="U167" s="102"/>
      <c r="V167" s="102"/>
      <c r="W167" s="102"/>
      <c r="X167" s="102"/>
      <c r="Y167" s="102"/>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185"/>
      <c r="BJ167" s="185"/>
      <c r="BK167" s="185"/>
      <c r="BL167" s="185"/>
      <c r="BM167" s="185"/>
      <c r="BN167" s="185"/>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hidden="1" customHeight="1" outlineLevel="2">
      <c r="A168" s="9"/>
      <c r="B168" s="9"/>
      <c r="C168" s="25"/>
      <c r="D168" s="492"/>
      <c r="E168" s="85">
        <v>4</v>
      </c>
      <c r="F168" s="191"/>
      <c r="G168" s="148"/>
      <c r="H168" s="148"/>
      <c r="I168" s="148"/>
      <c r="J168" s="147"/>
      <c r="K168" s="67">
        <f>IF(A8taxstdlife="n/a","n/a",IF(K$3&gt;(A8taxstdlife+$E168),(Input!$K$49-Input!$K$83)-SUM($J168:J168),(Input!$K$49-Input!$K$83)/A8taxstdlife))</f>
        <v>1.2531924400000003</v>
      </c>
      <c r="L168" s="67"/>
      <c r="M168" s="67">
        <f>IF(A8taxstdlife="n/a","n/a",IF(M$3&gt;(A8taxstdlife+$E168),(Input!$K$49-Input!$K$83)-SUM($J168:L168),(Input!$K$49-Input!$K$83)/A8taxstdlife))</f>
        <v>1.2531924400000003</v>
      </c>
      <c r="N168" s="67">
        <f>IF(A8taxstdlife="n/a","n/a",IF(N$3&gt;(A8taxstdlife+$E168),(Input!$K$49-Input!$K$83)-SUM($J168:M168),(Input!$K$49-Input!$K$83)/A8taxstdlife))</f>
        <v>1.2531924400000003</v>
      </c>
      <c r="O168" s="67">
        <f>IF(A8taxstdlife="n/a","n/a",IF(O$3&gt;(A8taxstdlife+$E168),(Input!$K$49-Input!$K$83)-SUM($J168:N168),(Input!$K$49-Input!$K$83)/A8taxstdlife))</f>
        <v>1.2531924400000003</v>
      </c>
      <c r="P168" s="67">
        <f>IF(A8taxstdlife="n/a","n/a",IF(P$3&gt;(A8taxstdlife+$E168),(Input!$K$49-Input!$K$83)-SUM($J168:O168),(Input!$K$49-Input!$K$83)/A8taxstdlife))</f>
        <v>1.2531924400000003</v>
      </c>
      <c r="Q168" s="67"/>
      <c r="R168" s="102"/>
      <c r="S168" s="102"/>
      <c r="T168" s="102"/>
      <c r="U168" s="102"/>
      <c r="V168" s="102"/>
      <c r="W168" s="102"/>
      <c r="X168" s="102"/>
      <c r="Y168" s="102"/>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185"/>
      <c r="BJ168" s="185"/>
      <c r="BK168" s="185"/>
      <c r="BL168" s="185"/>
      <c r="BM168" s="185"/>
      <c r="BN168" s="185"/>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hidden="1" customHeight="1" outlineLevel="2">
      <c r="A169" s="9"/>
      <c r="B169" s="9"/>
      <c r="C169" s="25"/>
      <c r="D169" s="492"/>
      <c r="E169" s="85">
        <v>5</v>
      </c>
      <c r="F169" s="191"/>
      <c r="G169" s="148"/>
      <c r="H169" s="148"/>
      <c r="I169" s="148"/>
      <c r="J169" s="148"/>
      <c r="K169" s="147"/>
      <c r="L169" s="67"/>
      <c r="M169" s="67">
        <f>IF(A8taxstdlife="n/a","n/a",IF(M$3&gt;(A8taxstdlife+$E169),(Input!$L$49-Input!$L$83)-SUM($K169:L169),(Input!$L$49-Input!$L$83)/A8taxstdlife))</f>
        <v>1.17561314202331</v>
      </c>
      <c r="N169" s="67">
        <f>IF(A8taxstdlife="n/a","n/a",IF(N$3&gt;(A8taxstdlife+$E169),(Input!$L$49-Input!$L$83)-SUM($K169:M169),(Input!$L$49-Input!$L$83)/A8taxstdlife))</f>
        <v>1.17561314202331</v>
      </c>
      <c r="O169" s="67">
        <f>IF(A8taxstdlife="n/a","n/a",IF(O$3&gt;(A8taxstdlife+$E169),(Input!$L$49-Input!$L$83)-SUM($K169:N169),(Input!$L$49-Input!$L$83)/A8taxstdlife))</f>
        <v>1.17561314202331</v>
      </c>
      <c r="P169" s="67">
        <f>IF(A8taxstdlife="n/a","n/a",IF(P$3&gt;(A8taxstdlife+$E169),(Input!$L$49-Input!$L$83)-SUM($K169:O169),(Input!$L$49-Input!$L$83)/A8taxstdlife))</f>
        <v>1.17561314202331</v>
      </c>
      <c r="Q169" s="67"/>
      <c r="R169" s="102"/>
      <c r="S169" s="102"/>
      <c r="T169" s="102"/>
      <c r="U169" s="102"/>
      <c r="V169" s="102"/>
      <c r="W169" s="102"/>
      <c r="X169" s="102"/>
      <c r="Y169" s="102"/>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185"/>
      <c r="BJ169" s="185"/>
      <c r="BK169" s="185"/>
      <c r="BL169" s="185"/>
      <c r="BM169" s="185"/>
      <c r="BN169" s="185"/>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hidden="1" customHeight="1" outlineLevel="2">
      <c r="A170" s="9"/>
      <c r="B170" s="9"/>
      <c r="C170" s="25"/>
      <c r="D170" s="492"/>
      <c r="E170" s="85">
        <v>6</v>
      </c>
      <c r="F170" s="191"/>
      <c r="G170" s="148"/>
      <c r="H170" s="148"/>
      <c r="I170" s="148"/>
      <c r="J170" s="148"/>
      <c r="K170" s="148"/>
      <c r="L170" s="147"/>
      <c r="M170" s="67">
        <f>IF(A8taxstdlife="n/a","n/a",IF(M$3&gt;(A8taxstdlife+$E170),(Input!$M$49-Input!$M$83)-SUM($L170:L170),(Input!$M$49-Input!$M$83)/A8taxstdlife))</f>
        <v>0</v>
      </c>
      <c r="N170" s="67">
        <f>IF(A8taxstdlife="n/a","n/a",IF(N$3&gt;(A8taxstdlife+$E170),(Input!$M$49-Input!$M$83)-SUM($L170:M170),(Input!$M$49-Input!$M$83)/A8taxstdlife))</f>
        <v>0</v>
      </c>
      <c r="O170" s="67">
        <f>IF(A8taxstdlife="n/a","n/a",IF(O$3&gt;(A8taxstdlife+$E170),(Input!$M$49-Input!$M$83)-SUM($L170:N170),(Input!$M$49-Input!$M$83)/A8taxstdlife))</f>
        <v>0</v>
      </c>
      <c r="P170" s="67">
        <f>IF(A8taxstdlife="n/a","n/a",IF(P$3&gt;(A8taxstdlife+$E170),(Input!$M$49-Input!$M$83)-SUM($L170:O170),(Input!$M$49-Input!$M$83)/A8taxstdlife))</f>
        <v>0</v>
      </c>
      <c r="Q170" s="67"/>
      <c r="R170" s="102"/>
      <c r="S170" s="102"/>
      <c r="T170" s="102"/>
      <c r="U170" s="102"/>
      <c r="V170" s="102"/>
      <c r="W170" s="102"/>
      <c r="X170" s="102"/>
      <c r="Y170" s="102"/>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185"/>
      <c r="BJ170" s="185"/>
      <c r="BK170" s="185"/>
      <c r="BL170" s="185"/>
      <c r="BM170" s="185"/>
      <c r="BN170" s="185"/>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hidden="1" customHeight="1" outlineLevel="2">
      <c r="A171" s="9"/>
      <c r="B171" s="9"/>
      <c r="C171" s="25"/>
      <c r="D171" s="492"/>
      <c r="E171" s="85">
        <v>7</v>
      </c>
      <c r="F171" s="191"/>
      <c r="G171" s="148"/>
      <c r="H171" s="148"/>
      <c r="I171" s="148"/>
      <c r="J171" s="148"/>
      <c r="K171" s="148"/>
      <c r="L171" s="148"/>
      <c r="M171" s="147"/>
      <c r="N171" s="67">
        <f>IF(A8taxstdlife="n/a","n/a",IF(N$3&gt;(A8taxstdlife+$E171),(Input!$N$49-Input!$N$83)-SUM($M171:M171),(Input!$N$49-Input!$N$83)/A8taxstdlife))</f>
        <v>0</v>
      </c>
      <c r="O171" s="67">
        <f>IF(A8taxstdlife="n/a","n/a",IF(O$3&gt;(A8taxstdlife+$E171),(Input!$N$49-Input!$N$83)-SUM($M171:N171),(Input!$N$49-Input!$N$83)/A8taxstdlife))</f>
        <v>0</v>
      </c>
      <c r="P171" s="67">
        <f>IF(A8taxstdlife="n/a","n/a",IF(P$3&gt;(A8taxstdlife+$E171),(Input!$N$49-Input!$N$83)-SUM($M171:O171),(Input!$N$49-Input!$N$83)/A8taxstdlife))</f>
        <v>0</v>
      </c>
      <c r="Q171" s="67"/>
      <c r="R171" s="102"/>
      <c r="S171" s="102"/>
      <c r="T171" s="102"/>
      <c r="U171" s="102"/>
      <c r="V171" s="102"/>
      <c r="W171" s="102"/>
      <c r="X171" s="102"/>
      <c r="Y171" s="102"/>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185"/>
      <c r="BJ171" s="185"/>
      <c r="BK171" s="185"/>
      <c r="BL171" s="185"/>
      <c r="BM171" s="185"/>
      <c r="BN171" s="185"/>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hidden="1" customHeight="1" outlineLevel="2">
      <c r="A172" s="9"/>
      <c r="B172" s="9"/>
      <c r="C172" s="25"/>
      <c r="D172" s="492"/>
      <c r="E172" s="85">
        <v>8</v>
      </c>
      <c r="F172" s="191"/>
      <c r="G172" s="148"/>
      <c r="H172" s="148"/>
      <c r="I172" s="148"/>
      <c r="J172" s="148"/>
      <c r="K172" s="148"/>
      <c r="L172" s="148"/>
      <c r="M172" s="148"/>
      <c r="N172" s="147"/>
      <c r="O172" s="67">
        <f>IF(A8taxstdlife="n/a","n/a",IF(O$3&gt;(A8taxstdlife+$E172),(Input!$O$49-Input!$O$83)-SUM($N172:N172),(Input!$O$49-Input!$O$83)/A8taxstdlife))</f>
        <v>0</v>
      </c>
      <c r="P172" s="67">
        <f>IF(A8taxstdlife="n/a","n/a",IF(P$3&gt;(A8taxstdlife+$E172),(Input!$O$49-Input!$O$83)-SUM($N172:O172),(Input!$O$49-Input!$O$83)/A8taxstdlife))</f>
        <v>0</v>
      </c>
      <c r="Q172" s="67"/>
      <c r="R172" s="102"/>
      <c r="S172" s="102"/>
      <c r="T172" s="102"/>
      <c r="U172" s="102"/>
      <c r="V172" s="102"/>
      <c r="W172" s="102"/>
      <c r="X172" s="102"/>
      <c r="Y172" s="102"/>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185"/>
      <c r="BJ172" s="185"/>
      <c r="BK172" s="185"/>
      <c r="BL172" s="185"/>
      <c r="BM172" s="185"/>
      <c r="BN172" s="185"/>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hidden="1" customHeight="1" outlineLevel="2">
      <c r="A173" s="9"/>
      <c r="B173" s="9"/>
      <c r="C173" s="25"/>
      <c r="D173" s="492"/>
      <c r="E173" s="85">
        <v>9</v>
      </c>
      <c r="F173" s="191"/>
      <c r="G173" s="148"/>
      <c r="H173" s="148"/>
      <c r="I173" s="148"/>
      <c r="J173" s="148"/>
      <c r="K173" s="148"/>
      <c r="L173" s="148"/>
      <c r="M173" s="148"/>
      <c r="N173" s="148"/>
      <c r="O173" s="147"/>
      <c r="P173" s="67">
        <f>IF(A8taxstdlife="n/a","n/a",IF(P$3&gt;(A8taxstdlife+$E173),(Input!$P$49-Input!$P$83)-SUM($O173:O173),(Input!$P$49-Input!$P$83)/A8taxstdlife))</f>
        <v>0</v>
      </c>
      <c r="Q173" s="67"/>
      <c r="R173" s="102"/>
      <c r="S173" s="102"/>
      <c r="T173" s="102"/>
      <c r="U173" s="102"/>
      <c r="V173" s="102"/>
      <c r="W173" s="102"/>
      <c r="X173" s="102"/>
      <c r="Y173" s="102"/>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185"/>
      <c r="BJ173" s="185"/>
      <c r="BK173" s="185"/>
      <c r="BL173" s="185"/>
      <c r="BM173" s="185"/>
      <c r="BN173" s="185"/>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hidden="1" customHeight="1" outlineLevel="2">
      <c r="A174" s="9"/>
      <c r="B174" s="9"/>
      <c r="C174" s="25"/>
      <c r="D174" s="492"/>
      <c r="E174" s="86">
        <v>10</v>
      </c>
      <c r="F174" s="191"/>
      <c r="G174" s="148"/>
      <c r="H174" s="148"/>
      <c r="I174" s="148"/>
      <c r="J174" s="148"/>
      <c r="K174" s="148"/>
      <c r="L174" s="148"/>
      <c r="M174" s="148"/>
      <c r="N174" s="148"/>
      <c r="O174" s="187"/>
      <c r="P174" s="147"/>
      <c r="Q174" s="67"/>
      <c r="R174" s="102"/>
      <c r="S174" s="102"/>
      <c r="T174" s="102"/>
      <c r="U174" s="102"/>
      <c r="V174" s="102"/>
      <c r="W174" s="102"/>
      <c r="X174" s="102"/>
      <c r="Y174" s="102"/>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185"/>
      <c r="BJ174" s="185"/>
      <c r="BK174" s="185"/>
      <c r="BL174" s="185"/>
      <c r="BM174" s="185"/>
      <c r="BN174" s="185"/>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 r="A175" s="9"/>
      <c r="B175" s="9"/>
      <c r="C175" s="25" t="str">
        <f>Asset8</f>
        <v>Customer Metering (digital)</v>
      </c>
      <c r="D175" s="9"/>
      <c r="E175" s="9"/>
      <c r="F175" s="203"/>
      <c r="G175" s="460">
        <f>-SUM(G163:G174)</f>
        <v>0</v>
      </c>
      <c r="H175" s="460">
        <f>-SUM(H163:H174)</f>
        <v>-1.5026606199999999</v>
      </c>
      <c r="I175" s="460">
        <f>-SUM(I163:I174)</f>
        <v>-3.4942810526666666</v>
      </c>
      <c r="J175" s="460">
        <f>-SUM(J163:J174)</f>
        <v>-5.1064545286666663</v>
      </c>
      <c r="K175" s="460">
        <f>-SUM(K163:K174)</f>
        <v>-6.3596469686666666</v>
      </c>
      <c r="L175" s="460"/>
      <c r="M175" s="164">
        <f>IF(Input!N174&gt;0, -SUM(M163:M174), 0)</f>
        <v>0</v>
      </c>
      <c r="N175" s="164">
        <f>IF(Input!O174&gt;0, -SUM(N163:N174), 0)</f>
        <v>0</v>
      </c>
      <c r="O175" s="164">
        <f>IF(Input!P174&gt;0, -SUM(O163:O174), 0)</f>
        <v>0</v>
      </c>
      <c r="P175" s="164">
        <f>IF(Input!Q174&gt;0, -SUM(P163:P174), 0)</f>
        <v>0</v>
      </c>
      <c r="Q175" s="63"/>
      <c r="R175" s="101"/>
      <c r="S175" s="101"/>
      <c r="T175" s="101"/>
      <c r="U175" s="101"/>
      <c r="V175" s="101"/>
      <c r="W175" s="101"/>
      <c r="X175" s="101"/>
      <c r="Y175" s="10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185"/>
      <c r="BJ175" s="185"/>
      <c r="BK175" s="185"/>
      <c r="BL175" s="185"/>
      <c r="BM175" s="185"/>
      <c r="BN175" s="18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hidden="1" customHeight="1" outlineLevel="2">
      <c r="A176" s="9"/>
      <c r="B176" s="31" t="str">
        <f>Asset9</f>
        <v>Communications (digital) - dx</v>
      </c>
      <c r="C176" s="32"/>
      <c r="D176" s="33" t="s">
        <v>65</v>
      </c>
      <c r="E176" s="32"/>
      <c r="F176" s="203"/>
      <c r="G176" s="459">
        <f>'Tax asset base adjustments'!Q43</f>
        <v>0</v>
      </c>
      <c r="H176" s="459">
        <f>'Tax asset base adjustments'!R43</f>
        <v>0</v>
      </c>
      <c r="I176" s="459">
        <f>'Tax asset base adjustments'!S43</f>
        <v>0</v>
      </c>
      <c r="J176" s="459">
        <f>'Tax asset base adjustments'!T43</f>
        <v>0</v>
      </c>
      <c r="K176" s="459">
        <f>'Tax asset base adjustments'!U43</f>
        <v>0</v>
      </c>
      <c r="L176" s="459"/>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2"/>
      <c r="S176" s="301">
        <f>SUM(K176:K181)</f>
        <v>2.5074461346249994</v>
      </c>
      <c r="T176" s="102"/>
      <c r="U176" s="102"/>
      <c r="V176" s="102"/>
      <c r="W176" s="102"/>
      <c r="X176" s="102"/>
      <c r="Y176" s="102"/>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185"/>
      <c r="BJ176" s="185"/>
      <c r="BK176" s="185"/>
      <c r="BL176" s="185"/>
      <c r="BM176" s="185"/>
      <c r="BN176" s="185"/>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5"/>
      <c r="D177" s="491" t="s">
        <v>83</v>
      </c>
      <c r="E177" s="85"/>
      <c r="F177" s="303"/>
      <c r="G177" s="67"/>
      <c r="H177" s="67"/>
      <c r="I177" s="67"/>
      <c r="J177" s="67"/>
      <c r="K177" s="67"/>
      <c r="L177" s="67"/>
      <c r="M177" s="67"/>
      <c r="N177" s="67"/>
      <c r="O177" s="67"/>
      <c r="P177" s="67"/>
      <c r="Q177" s="67"/>
      <c r="R177" s="102"/>
      <c r="S177" s="102"/>
      <c r="T177" s="102"/>
      <c r="U177" s="102"/>
      <c r="V177" s="102"/>
      <c r="W177" s="102"/>
      <c r="X177" s="102"/>
      <c r="Y177" s="102"/>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185"/>
      <c r="BJ177" s="185"/>
      <c r="BK177" s="185"/>
      <c r="BL177" s="185"/>
      <c r="BM177" s="185"/>
      <c r="BN177" s="185"/>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hidden="1" customHeight="1" outlineLevel="2">
      <c r="A178" s="9"/>
      <c r="B178" s="9"/>
      <c r="C178" s="25"/>
      <c r="D178" s="492"/>
      <c r="E178" s="85">
        <v>1</v>
      </c>
      <c r="F178" s="203"/>
      <c r="G178" s="147"/>
      <c r="H178" s="67">
        <f>IF(A9taxstdlife="n/a","n/a",IF(H$3&gt;(A9taxstdlife+$E178),(Input!$H$50-Input!$H$84)-SUM($G178:G178),(Input!$H$50-Input!$H$84)/A9taxstdlife))</f>
        <v>2.1705821874249995</v>
      </c>
      <c r="I178" s="67">
        <f>IF(A9taxstdlife="n/a","n/a",IF(I$3&gt;(A9taxstdlife+$E178),(Input!$H$50-Input!$H$84)-SUM($G178:H178),(Input!$H$50-Input!$H$84)/A9taxstdlife))</f>
        <v>2.1705821874249995</v>
      </c>
      <c r="J178" s="67">
        <f>IF(A9taxstdlife="n/a","n/a",IF(J$3&gt;(A9taxstdlife+$E178),(Input!$H$50-Input!$H$84)-SUM($G178:I178),(Input!$H$50-Input!$H$84)/A9taxstdlife))</f>
        <v>2.1705821874249995</v>
      </c>
      <c r="K178" s="67">
        <f>IF(A9taxstdlife="n/a","n/a",IF(K$3&gt;(A9taxstdlife+$E178),(Input!$H$50-Input!$H$84)-SUM($G178:J178),(Input!$H$50-Input!$H$84)/A9taxstdlife))</f>
        <v>2.1705821874249995</v>
      </c>
      <c r="L178" s="67"/>
      <c r="M178" s="67">
        <f>IF(A9taxstdlife="n/a","n/a",IF(M$3&gt;(A9taxstdlife+$E178),(Input!$H$50-Input!$H$84)-SUM($G178:L178),(Input!$H$50-Input!$H$84)/A9taxstdlife))</f>
        <v>2.1705821874249995</v>
      </c>
      <c r="N178" s="67">
        <f>IF(A9taxstdlife="n/a","n/a",IF(N$3&gt;(A9taxstdlife+$E178),(Input!$H$50-Input!$H$84)-SUM($G178:M178),(Input!$H$50-Input!$H$84)/A9taxstdlife))</f>
        <v>2.1705821874249995</v>
      </c>
      <c r="O178" s="67">
        <f>IF(A9taxstdlife="n/a","n/a",IF(O$3&gt;(A9taxstdlife+$E178),(Input!$H$50-Input!$H$84)-SUM($G178:N178),(Input!$H$50-Input!$H$84)/A9taxstdlife))</f>
        <v>2.1705821874249995</v>
      </c>
      <c r="P178" s="67">
        <f>IF(A9taxstdlife="n/a","n/a",IF(P$3&gt;(A9taxstdlife+$E178),(Input!$H$50-Input!$H$84)-SUM($G178:O178),(Input!$H$50-Input!$H$84)/A9taxstdlife))</f>
        <v>2.1705821874249995</v>
      </c>
      <c r="Q178" s="67"/>
      <c r="R178" s="102"/>
      <c r="S178" s="102"/>
      <c r="T178" s="102"/>
      <c r="U178" s="102"/>
      <c r="V178" s="102"/>
      <c r="W178" s="102"/>
      <c r="X178" s="102"/>
      <c r="Y178" s="102"/>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185"/>
      <c r="BJ178" s="185"/>
      <c r="BK178" s="185"/>
      <c r="BL178" s="185"/>
      <c r="BM178" s="185"/>
      <c r="BN178" s="185"/>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hidden="1" customHeight="1" outlineLevel="2">
      <c r="A179" s="9"/>
      <c r="B179" s="9"/>
      <c r="C179" s="25"/>
      <c r="D179" s="492"/>
      <c r="E179" s="85">
        <v>2</v>
      </c>
      <c r="F179" s="203"/>
      <c r="G179" s="148"/>
      <c r="H179" s="147"/>
      <c r="I179" s="67">
        <f>IF(A9taxstdlife="n/a","n/a",IF(I$3&gt;(A9taxstdlife+$E179),(Input!$I$50-Input!$I$84)-SUM($H179:H179),(Input!$I$50-Input!$I$84)/A9taxstdlife))</f>
        <v>0.11602349599999999</v>
      </c>
      <c r="J179" s="67">
        <f>IF(A9taxstdlife="n/a","n/a",IF(J$3&gt;(A9taxstdlife+$E179),(Input!$I$50-Input!$I$84)-SUM($H179:I179),(Input!$I$50-Input!$I$84)/A9taxstdlife))</f>
        <v>0.11602349599999999</v>
      </c>
      <c r="K179" s="67">
        <f>IF(A9taxstdlife="n/a","n/a",IF(K$3&gt;(A9taxstdlife+$E179),(Input!$I$50-Input!$I$84)-SUM($H179:J179),(Input!$I$50-Input!$I$84)/A9taxstdlife))</f>
        <v>0.11602349599999999</v>
      </c>
      <c r="L179" s="67"/>
      <c r="M179" s="67">
        <f>IF(A9taxstdlife="n/a","n/a",IF(M$3&gt;(A9taxstdlife+$E179),(Input!$I$50-Input!$I$84)-SUM($H179:L179),(Input!$I$50-Input!$I$84)/A9taxstdlife))</f>
        <v>0.11602349599999999</v>
      </c>
      <c r="N179" s="67">
        <f>IF(A9taxstdlife="n/a","n/a",IF(N$3&gt;(A9taxstdlife+$E179),(Input!$I$50-Input!$I$84)-SUM($H179:M179),(Input!$I$50-Input!$I$84)/A9taxstdlife))</f>
        <v>0.11602349599999999</v>
      </c>
      <c r="O179" s="67">
        <f>IF(A9taxstdlife="n/a","n/a",IF(O$3&gt;(A9taxstdlife+$E179),(Input!$I$50-Input!$I$84)-SUM($H179:N179),(Input!$I$50-Input!$I$84)/A9taxstdlife))</f>
        <v>0.11602349599999999</v>
      </c>
      <c r="P179" s="67">
        <f>IF(A9taxstdlife="n/a","n/a",IF(P$3&gt;(A9taxstdlife+$E179),(Input!$I$50-Input!$I$84)-SUM($H179:O179),(Input!$I$50-Input!$I$84)/A9taxstdlife))</f>
        <v>0.11602349599999999</v>
      </c>
      <c r="Q179" s="67"/>
      <c r="R179" s="102"/>
      <c r="S179" s="102"/>
      <c r="T179" s="102"/>
      <c r="U179" s="102"/>
      <c r="V179" s="102"/>
      <c r="W179" s="102"/>
      <c r="X179" s="102"/>
      <c r="Y179" s="102"/>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185"/>
      <c r="BJ179" s="185"/>
      <c r="BK179" s="185"/>
      <c r="BL179" s="185"/>
      <c r="BM179" s="185"/>
      <c r="BN179" s="185"/>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hidden="1" customHeight="1" outlineLevel="2">
      <c r="A180" s="9"/>
      <c r="B180" s="9"/>
      <c r="C180" s="25"/>
      <c r="D180" s="492"/>
      <c r="E180" s="85">
        <v>3</v>
      </c>
      <c r="F180" s="203"/>
      <c r="G180" s="148"/>
      <c r="H180" s="148"/>
      <c r="I180" s="147"/>
      <c r="J180" s="67">
        <f>IF(A9taxstdlife="n/a","n/a",IF(J$3&gt;(A9taxstdlife+$E180),(Input!$J$50-Input!$J$84)-SUM($I180:I180),(Input!$J$50-Input!$J$84)/A9taxstdlife))</f>
        <v>0.10394035620000001</v>
      </c>
      <c r="K180" s="67">
        <f>IF(A9taxstdlife="n/a","n/a",IF(K$3&gt;(A9taxstdlife+$E180),(Input!$J$50-Input!$J$84)-SUM($I180:J180),(Input!$J$50-Input!$J$84)/A9taxstdlife))</f>
        <v>0.10394035620000001</v>
      </c>
      <c r="L180" s="67"/>
      <c r="M180" s="67">
        <f>IF(A9taxstdlife="n/a","n/a",IF(M$3&gt;(A9taxstdlife+$E180),(Input!$J$50-Input!$J$84)-SUM($I180:L180),(Input!$J$50-Input!$J$84)/A9taxstdlife))</f>
        <v>0.10394035620000001</v>
      </c>
      <c r="N180" s="67">
        <f>IF(A9taxstdlife="n/a","n/a",IF(N$3&gt;(A9taxstdlife+$E180),(Input!$J$50-Input!$J$84)-SUM($I180:M180),(Input!$J$50-Input!$J$84)/A9taxstdlife))</f>
        <v>0.10394035620000001</v>
      </c>
      <c r="O180" s="67">
        <f>IF(A9taxstdlife="n/a","n/a",IF(O$3&gt;(A9taxstdlife+$E180),(Input!$J$50-Input!$J$84)-SUM($I180:N180),(Input!$J$50-Input!$J$84)/A9taxstdlife))</f>
        <v>0.10394035620000001</v>
      </c>
      <c r="P180" s="67">
        <f>IF(A9taxstdlife="n/a","n/a",IF(P$3&gt;(A9taxstdlife+$E180),(Input!$J$50-Input!$J$84)-SUM($I180:O180),(Input!$J$50-Input!$J$84)/A9taxstdlife))</f>
        <v>0.10394035620000001</v>
      </c>
      <c r="Q180" s="67"/>
      <c r="R180" s="102"/>
      <c r="S180" s="102"/>
      <c r="T180" s="102"/>
      <c r="U180" s="102"/>
      <c r="V180" s="102"/>
      <c r="W180" s="102"/>
      <c r="X180" s="102"/>
      <c r="Y180" s="102"/>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185"/>
      <c r="BJ180" s="185"/>
      <c r="BK180" s="185"/>
      <c r="BL180" s="185"/>
      <c r="BM180" s="185"/>
      <c r="BN180" s="185"/>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hidden="1" customHeight="1" outlineLevel="2">
      <c r="A181" s="9"/>
      <c r="B181" s="9"/>
      <c r="C181" s="25"/>
      <c r="D181" s="492"/>
      <c r="E181" s="85">
        <v>4</v>
      </c>
      <c r="F181" s="203"/>
      <c r="G181" s="148"/>
      <c r="H181" s="148"/>
      <c r="I181" s="148"/>
      <c r="J181" s="147"/>
      <c r="K181" s="67">
        <f>IF(A9taxstdlife="n/a","n/a",IF(K$3&gt;(A9taxstdlife+$E181),(Input!$K$50-Input!$K$84)-SUM($J181:J181),(Input!$K$50-Input!$K$84)/A9taxstdlife))</f>
        <v>0.11690009500000009</v>
      </c>
      <c r="L181" s="67"/>
      <c r="M181" s="67">
        <f>IF(A9taxstdlife="n/a","n/a",IF(M$3&gt;(A9taxstdlife+$E181),(Input!$K$50-Input!$K$84)-SUM($J181:L181),(Input!$K$50-Input!$K$84)/A9taxstdlife))</f>
        <v>0.11690009500000009</v>
      </c>
      <c r="N181" s="67">
        <f>IF(A9taxstdlife="n/a","n/a",IF(N$3&gt;(A9taxstdlife+$E181),(Input!$K$50-Input!$K$84)-SUM($J181:M181),(Input!$K$50-Input!$K$84)/A9taxstdlife))</f>
        <v>0.11690009500000009</v>
      </c>
      <c r="O181" s="67">
        <f>IF(A9taxstdlife="n/a","n/a",IF(O$3&gt;(A9taxstdlife+$E181),(Input!$K$50-Input!$K$84)-SUM($J181:N181),(Input!$K$50-Input!$K$84)/A9taxstdlife))</f>
        <v>0.11690009500000009</v>
      </c>
      <c r="P181" s="67">
        <f>IF(A9taxstdlife="n/a","n/a",IF(P$3&gt;(A9taxstdlife+$E181),(Input!$K$50-Input!$K$84)-SUM($J181:O181),(Input!$K$50-Input!$K$84)/A9taxstdlife))</f>
        <v>0.11690009500000009</v>
      </c>
      <c r="Q181" s="67"/>
      <c r="R181" s="102"/>
      <c r="S181" s="102"/>
      <c r="T181" s="102"/>
      <c r="U181" s="102"/>
      <c r="V181" s="102"/>
      <c r="W181" s="102"/>
      <c r="X181" s="102"/>
      <c r="Y181" s="102"/>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2"/>
      <c r="BJ181" s="185"/>
      <c r="BK181" s="185"/>
      <c r="BL181" s="185"/>
      <c r="BM181" s="185"/>
      <c r="BN181" s="185"/>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hidden="1" customHeight="1" outlineLevel="2">
      <c r="A182" s="9"/>
      <c r="B182" s="9"/>
      <c r="C182" s="25"/>
      <c r="D182" s="492"/>
      <c r="E182" s="85">
        <v>5</v>
      </c>
      <c r="F182" s="203"/>
      <c r="G182" s="148"/>
      <c r="H182" s="148"/>
      <c r="I182" s="148"/>
      <c r="J182" s="148"/>
      <c r="K182" s="147"/>
      <c r="L182" s="67"/>
      <c r="M182" s="67">
        <f>IF(A9taxstdlife="n/a","n/a",IF(M$3&gt;(A9taxstdlife+$E182),(Input!$L$50-Input!$L$84)-SUM($K182:L182),(Input!$L$50-Input!$L$84)/A9taxstdlife))</f>
        <v>0.12856241399999999</v>
      </c>
      <c r="N182" s="67">
        <f>IF(A9taxstdlife="n/a","n/a",IF(N$3&gt;(A9taxstdlife+$E182),(Input!$L$50-Input!$L$84)-SUM($K182:M182),(Input!$L$50-Input!$L$84)/A9taxstdlife))</f>
        <v>0.12856241399999999</v>
      </c>
      <c r="O182" s="67">
        <f>IF(A9taxstdlife="n/a","n/a",IF(O$3&gt;(A9taxstdlife+$E182),(Input!$L$50-Input!$L$84)-SUM($K182:N182),(Input!$L$50-Input!$L$84)/A9taxstdlife))</f>
        <v>0.12856241399999999</v>
      </c>
      <c r="P182" s="67">
        <f>IF(A9taxstdlife="n/a","n/a",IF(P$3&gt;(A9taxstdlife+$E182),(Input!$L$50-Input!$L$84)-SUM($K182:O182),(Input!$L$50-Input!$L$84)/A9taxstdlife))</f>
        <v>0.12856241399999999</v>
      </c>
      <c r="Q182" s="67"/>
      <c r="R182" s="102"/>
      <c r="S182" s="102"/>
      <c r="T182" s="102"/>
      <c r="U182" s="102"/>
      <c r="V182" s="102"/>
      <c r="W182" s="102"/>
      <c r="X182" s="102"/>
      <c r="Y182" s="102"/>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185"/>
      <c r="BJ182" s="185"/>
      <c r="BK182" s="185"/>
      <c r="BL182" s="185"/>
      <c r="BM182" s="185"/>
      <c r="BN182" s="185"/>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hidden="1" customHeight="1" outlineLevel="2">
      <c r="A183" s="9"/>
      <c r="B183" s="9"/>
      <c r="C183" s="25"/>
      <c r="D183" s="492"/>
      <c r="E183" s="85">
        <v>6</v>
      </c>
      <c r="F183" s="203"/>
      <c r="G183" s="148"/>
      <c r="H183" s="148"/>
      <c r="I183" s="148"/>
      <c r="J183" s="148"/>
      <c r="K183" s="148"/>
      <c r="L183" s="147"/>
      <c r="M183" s="67">
        <f>IF(A9taxstdlife="n/a","n/a",IF(M$3&gt;(A9taxstdlife+$E183),(Input!$M$50-Input!$M$84)-SUM($L183:L183),(Input!$M$50-Input!$M$84)/A9taxstdlife))</f>
        <v>0</v>
      </c>
      <c r="N183" s="67">
        <f>IF(A9taxstdlife="n/a","n/a",IF(N$3&gt;(A9taxstdlife+$E183),(Input!$M$50-Input!$M$84)-SUM($L183:M183),(Input!$M$50-Input!$M$84)/A9taxstdlife))</f>
        <v>0</v>
      </c>
      <c r="O183" s="67">
        <f>IF(A9taxstdlife="n/a","n/a",IF(O$3&gt;(A9taxstdlife+$E183),(Input!$M$50-Input!$M$84)-SUM($L183:N183),(Input!$M$50-Input!$M$84)/A9taxstdlife))</f>
        <v>0</v>
      </c>
      <c r="P183" s="67">
        <f>IF(A9taxstdlife="n/a","n/a",IF(P$3&gt;(A9taxstdlife+$E183),(Input!$M$50-Input!$M$84)-SUM($L183:O183),(Input!$M$50-Input!$M$84)/A9taxstdlife))</f>
        <v>0</v>
      </c>
      <c r="Q183" s="67"/>
      <c r="R183" s="102"/>
      <c r="S183" s="102"/>
      <c r="T183" s="102"/>
      <c r="U183" s="102"/>
      <c r="V183" s="102"/>
      <c r="W183" s="102"/>
      <c r="X183" s="102"/>
      <c r="Y183" s="102"/>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185"/>
      <c r="BJ183" s="185"/>
      <c r="BK183" s="185"/>
      <c r="BL183" s="185"/>
      <c r="BM183" s="185"/>
      <c r="BN183" s="185"/>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hidden="1" customHeight="1" outlineLevel="2">
      <c r="A184" s="9"/>
      <c r="B184" s="9"/>
      <c r="C184" s="25"/>
      <c r="D184" s="492"/>
      <c r="E184" s="85">
        <v>7</v>
      </c>
      <c r="F184" s="203"/>
      <c r="G184" s="148"/>
      <c r="H184" s="148"/>
      <c r="I184" s="148"/>
      <c r="J184" s="148"/>
      <c r="K184" s="148"/>
      <c r="L184" s="148"/>
      <c r="M184" s="147"/>
      <c r="N184" s="67">
        <f>IF(A9taxstdlife="n/a","n/a",IF(N$3&gt;(A9taxstdlife+$E184),(Input!$N$50-Input!$N$84)-SUM($M184:M184),(Input!$N$50-Input!$N$84)/A9taxstdlife))</f>
        <v>0</v>
      </c>
      <c r="O184" s="67">
        <f>IF(A9taxstdlife="n/a","n/a",IF(O$3&gt;(A9taxstdlife+$E184),(Input!$N$50-Input!$N$84)-SUM($M184:N184),(Input!$N$50-Input!$N$84)/A9taxstdlife))</f>
        <v>0</v>
      </c>
      <c r="P184" s="67">
        <f>IF(A9taxstdlife="n/a","n/a",IF(P$3&gt;(A9taxstdlife+$E184),(Input!$N$50-Input!$N$84)-SUM($M184:O184),(Input!$N$50-Input!$N$84)/A9taxstdlife))</f>
        <v>0</v>
      </c>
      <c r="Q184" s="67"/>
      <c r="R184" s="102"/>
      <c r="S184" s="102"/>
      <c r="T184" s="102"/>
      <c r="U184" s="102"/>
      <c r="V184" s="102"/>
      <c r="W184" s="102"/>
      <c r="X184" s="102"/>
      <c r="Y184" s="102"/>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185"/>
      <c r="BJ184" s="185"/>
      <c r="BK184" s="185"/>
      <c r="BL184" s="185"/>
      <c r="BM184" s="185"/>
      <c r="BN184" s="185"/>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hidden="1" customHeight="1" outlineLevel="2">
      <c r="A185" s="9"/>
      <c r="B185" s="9"/>
      <c r="C185" s="25"/>
      <c r="D185" s="492"/>
      <c r="E185" s="85">
        <v>8</v>
      </c>
      <c r="F185" s="203"/>
      <c r="G185" s="148"/>
      <c r="H185" s="148"/>
      <c r="I185" s="148"/>
      <c r="J185" s="148"/>
      <c r="K185" s="148"/>
      <c r="L185" s="148"/>
      <c r="M185" s="148"/>
      <c r="N185" s="147"/>
      <c r="O185" s="67">
        <f>IF(A9taxstdlife="n/a","n/a",IF(O$3&gt;(A9taxstdlife+$E185),(Input!$O$50-Input!$O$84)-SUM($N185:N185),(Input!$O$50-Input!$O$84)/A9taxstdlife))</f>
        <v>0</v>
      </c>
      <c r="P185" s="67">
        <f>IF(A9taxstdlife="n/a","n/a",IF(P$3&gt;(A9taxstdlife+$E185),(Input!$O$50-Input!$O$84)-SUM($N185:O185),(Input!$O$50-Input!$O$84)/A9taxstdlife))</f>
        <v>0</v>
      </c>
      <c r="Q185" s="67"/>
      <c r="R185" s="102"/>
      <c r="S185" s="102"/>
      <c r="T185" s="102"/>
      <c r="U185" s="102"/>
      <c r="V185" s="102"/>
      <c r="W185" s="102"/>
      <c r="X185" s="102"/>
      <c r="Y185" s="102"/>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185"/>
      <c r="BJ185" s="185"/>
      <c r="BK185" s="185"/>
      <c r="BL185" s="185"/>
      <c r="BM185" s="185"/>
      <c r="BN185" s="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hidden="1" customHeight="1" outlineLevel="2">
      <c r="A186" s="9"/>
      <c r="B186" s="9"/>
      <c r="C186" s="25"/>
      <c r="D186" s="492"/>
      <c r="E186" s="85">
        <v>9</v>
      </c>
      <c r="F186" s="203"/>
      <c r="G186" s="148"/>
      <c r="H186" s="148"/>
      <c r="I186" s="148"/>
      <c r="J186" s="148"/>
      <c r="K186" s="148"/>
      <c r="L186" s="148"/>
      <c r="M186" s="148"/>
      <c r="N186" s="148"/>
      <c r="O186" s="147"/>
      <c r="P186" s="67">
        <f>IF(A9taxstdlife="n/a","n/a",IF(P$3&gt;(A9taxstdlife+$E186),(Input!$P$50-Input!$P$84)-SUM($O186:O186),(Input!$P$50-Input!$P$84)/A9taxstdlife))</f>
        <v>0</v>
      </c>
      <c r="Q186" s="67"/>
      <c r="R186" s="102"/>
      <c r="S186" s="102"/>
      <c r="T186" s="102"/>
      <c r="U186" s="102"/>
      <c r="V186" s="102"/>
      <c r="W186" s="102"/>
      <c r="X186" s="102"/>
      <c r="Y186" s="102"/>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185"/>
      <c r="BJ186" s="185"/>
      <c r="BK186" s="185"/>
      <c r="BL186" s="185"/>
      <c r="BM186" s="185"/>
      <c r="BN186" s="185"/>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hidden="1" customHeight="1" outlineLevel="2">
      <c r="A187" s="9"/>
      <c r="B187" s="9"/>
      <c r="C187" s="25"/>
      <c r="D187" s="492"/>
      <c r="E187" s="86">
        <v>10</v>
      </c>
      <c r="F187" s="203"/>
      <c r="G187" s="148"/>
      <c r="H187" s="148"/>
      <c r="I187" s="148"/>
      <c r="J187" s="148"/>
      <c r="K187" s="148"/>
      <c r="L187" s="148"/>
      <c r="M187" s="148"/>
      <c r="N187" s="148"/>
      <c r="O187" s="187"/>
      <c r="P187" s="147"/>
      <c r="Q187" s="67"/>
      <c r="R187" s="102"/>
      <c r="S187" s="102"/>
      <c r="T187" s="102"/>
      <c r="U187" s="102"/>
      <c r="V187" s="102"/>
      <c r="W187" s="102"/>
      <c r="X187" s="102"/>
      <c r="Y187" s="102"/>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185"/>
      <c r="BJ187" s="185"/>
      <c r="BK187" s="185"/>
      <c r="BL187" s="185"/>
      <c r="BM187" s="185"/>
      <c r="BN187" s="185"/>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hidden="1" customHeight="1" outlineLevel="1">
      <c r="A188" s="9"/>
      <c r="B188" s="9"/>
      <c r="C188" s="25" t="str">
        <f>Asset9</f>
        <v>Communications (digital) - dx</v>
      </c>
      <c r="D188" s="9"/>
      <c r="E188" s="9"/>
      <c r="F188" s="203"/>
      <c r="G188" s="164">
        <f>-SUM(G176:G187)</f>
        <v>0</v>
      </c>
      <c r="H188" s="164">
        <f>-SUM(H176:H187)</f>
        <v>-2.1705821874249995</v>
      </c>
      <c r="I188" s="164">
        <f>-SUM(I176:I187)</f>
        <v>-2.2866056834249995</v>
      </c>
      <c r="J188" s="164">
        <f>-SUM(J176:J187)</f>
        <v>-2.3905460396249993</v>
      </c>
      <c r="K188" s="164">
        <f>-SUM(K176:K187)</f>
        <v>-2.5074461346249994</v>
      </c>
      <c r="L188" s="164"/>
      <c r="M188" s="164">
        <f>IF(Input!N174&gt;0, -SUM(M176:M187), 0)</f>
        <v>0</v>
      </c>
      <c r="N188" s="164">
        <f>IF(Input!O174&gt;0, -SUM(N176:N187), 0)</f>
        <v>0</v>
      </c>
      <c r="O188" s="164">
        <f>IF(Input!P174&gt;0, -SUM(O176:O187), 0)</f>
        <v>0</v>
      </c>
      <c r="P188" s="164">
        <f>IF(Input!Q174&gt;0, -SUM(P176:P187), 0)</f>
        <v>0</v>
      </c>
      <c r="Q188" s="63"/>
      <c r="R188" s="101"/>
      <c r="S188" s="301"/>
      <c r="T188" s="101"/>
      <c r="U188" s="101"/>
      <c r="V188" s="101"/>
      <c r="W188" s="101"/>
      <c r="X188" s="101"/>
      <c r="Y188" s="10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185"/>
      <c r="BJ188" s="185"/>
      <c r="BK188" s="185"/>
      <c r="BL188" s="185"/>
      <c r="BM188" s="185"/>
      <c r="BN188" s="185"/>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hidden="1" customHeight="1" outlineLevel="2">
      <c r="A189" s="9"/>
      <c r="B189" s="31" t="str">
        <f>Asset10</f>
        <v>Total Communications</v>
      </c>
      <c r="C189" s="32"/>
      <c r="D189" s="33" t="s">
        <v>65</v>
      </c>
      <c r="E189" s="32"/>
      <c r="F189" s="203"/>
      <c r="G189" s="459">
        <f>'Tax asset base adjustments'!Q44</f>
        <v>16.554013156688935</v>
      </c>
      <c r="H189" s="459">
        <f>'Tax asset base adjustments'!R44</f>
        <v>13.305837088888932</v>
      </c>
      <c r="I189" s="459">
        <f>'Tax asset base adjustments'!S44</f>
        <v>10.889715475848933</v>
      </c>
      <c r="J189" s="459">
        <f>'Tax asset base adjustments'!T44</f>
        <v>8.1877830629289345</v>
      </c>
      <c r="K189" s="459">
        <f>'Tax asset base adjustments'!U44</f>
        <v>5.4198101029289338</v>
      </c>
      <c r="L189" s="344"/>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2"/>
      <c r="S189" s="301">
        <f>SUM(K189:K194)</f>
        <v>5.7134277394154207</v>
      </c>
      <c r="T189" s="102"/>
      <c r="U189" s="102"/>
      <c r="V189" s="102"/>
      <c r="W189" s="102"/>
      <c r="X189" s="102"/>
      <c r="Y189" s="102"/>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185"/>
      <c r="BJ189" s="185"/>
      <c r="BK189" s="185"/>
      <c r="BL189" s="185"/>
      <c r="BM189" s="185"/>
      <c r="BN189" s="185"/>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5"/>
      <c r="D190" s="491" t="s">
        <v>83</v>
      </c>
      <c r="E190" s="85"/>
      <c r="F190" s="302"/>
      <c r="G190" s="67"/>
      <c r="H190" s="67"/>
      <c r="I190" s="67"/>
      <c r="J190" s="67"/>
      <c r="K190" s="67"/>
      <c r="L190" s="67"/>
      <c r="M190" s="67"/>
      <c r="N190" s="67"/>
      <c r="O190" s="67"/>
      <c r="P190" s="67"/>
      <c r="Q190" s="67"/>
      <c r="R190" s="102"/>
      <c r="S190" s="102"/>
      <c r="T190" s="102"/>
      <c r="U190" s="102"/>
      <c r="V190" s="102"/>
      <c r="W190" s="102"/>
      <c r="X190" s="102"/>
      <c r="Y190" s="102"/>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185"/>
      <c r="BJ190" s="185"/>
      <c r="BK190" s="185"/>
      <c r="BL190" s="185"/>
      <c r="BM190" s="185"/>
      <c r="BN190" s="185"/>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hidden="1" customHeight="1" outlineLevel="2">
      <c r="A191" s="9"/>
      <c r="B191" s="9"/>
      <c r="C191" s="25"/>
      <c r="D191" s="492"/>
      <c r="E191" s="85">
        <v>1</v>
      </c>
      <c r="F191" s="191"/>
      <c r="G191" s="147"/>
      <c r="H191" s="67">
        <f>IF(A10taxstdlife="n/a","n/a",IF(H$3&gt;(A10taxstdlife+$E191),(Input!$H$51-Input!$H$85)-SUM($G191:G191),(Input!$H$51-Input!$H$85)/A10taxstdlife))</f>
        <v>0.29361763648648653</v>
      </c>
      <c r="I191" s="67">
        <f>IF(A10taxstdlife="n/a","n/a",IF(I$3&gt;(A10taxstdlife+$E191),(Input!$H$51-Input!$H$85)-SUM($G191:H191),(Input!$H$51-Input!$H$85)/A10taxstdlife))</f>
        <v>0.29361763648648653</v>
      </c>
      <c r="J191" s="67">
        <f>IF(A10taxstdlife="n/a","n/a",IF(J$3&gt;(A10taxstdlife+$E191),(Input!$H$51-Input!$H$85)-SUM($G191:I191),(Input!$H$51-Input!$H$85)/A10taxstdlife))</f>
        <v>0.29361763648648653</v>
      </c>
      <c r="K191" s="67">
        <f>IF(A10taxstdlife="n/a","n/a",IF(K$3&gt;(A10taxstdlife+$E191),(Input!$H$51-Input!$H$85)-SUM($G191:J191),(Input!$H$51-Input!$H$85)/A10taxstdlife))</f>
        <v>0.29361763648648653</v>
      </c>
      <c r="L191" s="67"/>
      <c r="M191" s="67">
        <f>IF(A10taxstdlife="n/a","n/a",IF(M$3&gt;(A10taxstdlife+$E191),(Input!$H$51-Input!$H$85)-SUM($G191:L191),(Input!$H$51-Input!$H$85)/A10taxstdlife))</f>
        <v>0.29361763648648653</v>
      </c>
      <c r="N191" s="67">
        <f>IF(A10taxstdlife="n/a","n/a",IF(N$3&gt;(A10taxstdlife+$E191),(Input!$H$51-Input!$H$85)-SUM($G191:M191),(Input!$H$51-Input!$H$85)/A10taxstdlife))</f>
        <v>0.29361763648648653</v>
      </c>
      <c r="O191" s="67">
        <f>IF(A10taxstdlife="n/a","n/a",IF(O$3&gt;(A10taxstdlife+$E191),(Input!$H$51-Input!$H$85)-SUM($G191:N191),(Input!$H$51-Input!$H$85)/A10taxstdlife))</f>
        <v>0.41106469108108135</v>
      </c>
      <c r="P191" s="67">
        <f>IF(A10taxstdlife="n/a","n/a",IF(P$3&gt;(A10taxstdlife+$E191),(Input!$H$51-Input!$H$85)-SUM($G191:O191),(Input!$H$51-Input!$H$85)/A10taxstdlife))</f>
        <v>0</v>
      </c>
      <c r="Q191" s="67"/>
      <c r="R191" s="102"/>
      <c r="S191" s="102"/>
      <c r="T191" s="102"/>
      <c r="U191" s="102"/>
      <c r="V191" s="102"/>
      <c r="W191" s="102"/>
      <c r="X191" s="102"/>
      <c r="Y191" s="102"/>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185"/>
      <c r="BJ191" s="185"/>
      <c r="BK191" s="185"/>
      <c r="BL191" s="185"/>
      <c r="BM191" s="185"/>
      <c r="BN191" s="185"/>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hidden="1" customHeight="1" outlineLevel="2">
      <c r="A192" s="9"/>
      <c r="B192" s="9"/>
      <c r="C192" s="25"/>
      <c r="D192" s="492"/>
      <c r="E192" s="85">
        <v>2</v>
      </c>
      <c r="F192" s="191"/>
      <c r="G192" s="148"/>
      <c r="H192" s="147"/>
      <c r="I192" s="67">
        <f>IF(A10taxstdlife="n/a","n/a",IF(I$3&gt;(A10taxstdlife+$E192),(Input!$I$51-Input!$I$85)-SUM($H192:H192),(Input!$I$51-Input!$I$85)/A10taxstdlife))</f>
        <v>0</v>
      </c>
      <c r="J192" s="67">
        <f>IF(A10taxstdlife="n/a","n/a",IF(J$3&gt;(A10taxstdlife+$E192),(Input!$I$51-Input!$I$85)-SUM($H192:I192),(Input!$I$51-Input!$I$85)/A10taxstdlife))</f>
        <v>0</v>
      </c>
      <c r="K192" s="67">
        <f>IF(A10taxstdlife="n/a","n/a",IF(K$3&gt;(A10taxstdlife+$E192),(Input!$I$51-Input!$I$85)-SUM($H192:J192),(Input!$I$51-Input!$I$85)/A10taxstdlife))</f>
        <v>0</v>
      </c>
      <c r="L192" s="67"/>
      <c r="M192" s="67">
        <f>IF(A10taxstdlife="n/a","n/a",IF(M$3&gt;(A10taxstdlife+$E192),(Input!$I$51-Input!$I$85)-SUM($H192:L192),(Input!$I$51-Input!$I$85)/A10taxstdlife))</f>
        <v>0</v>
      </c>
      <c r="N192" s="67">
        <f>IF(A10taxstdlife="n/a","n/a",IF(N$3&gt;(A10taxstdlife+$E192),(Input!$I$51-Input!$I$85)-SUM($H192:M192),(Input!$I$51-Input!$I$85)/A10taxstdlife))</f>
        <v>0</v>
      </c>
      <c r="O192" s="67">
        <f>IF(A10taxstdlife="n/a","n/a",IF(O$3&gt;(A10taxstdlife+$E192),(Input!$I$51-Input!$I$85)-SUM($H192:N192),(Input!$I$51-Input!$I$85)/A10taxstdlife))</f>
        <v>0</v>
      </c>
      <c r="P192" s="67">
        <f>IF(A10taxstdlife="n/a","n/a",IF(P$3&gt;(A10taxstdlife+$E192),(Input!$I$51-Input!$I$85)-SUM($H192:O192),(Input!$I$51-Input!$I$85)/A10taxstdlife))</f>
        <v>0</v>
      </c>
      <c r="Q192" s="67"/>
      <c r="R192" s="102"/>
      <c r="S192" s="102"/>
      <c r="T192" s="102"/>
      <c r="U192" s="102"/>
      <c r="V192" s="102"/>
      <c r="W192" s="102"/>
      <c r="X192" s="102"/>
      <c r="Y192" s="102"/>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185"/>
      <c r="BJ192" s="185"/>
      <c r="BK192" s="185"/>
      <c r="BL192" s="185"/>
      <c r="BM192" s="185"/>
      <c r="BN192" s="185"/>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hidden="1" customHeight="1" outlineLevel="2">
      <c r="A193" s="9"/>
      <c r="B193" s="9"/>
      <c r="C193" s="25"/>
      <c r="D193" s="492"/>
      <c r="E193" s="85">
        <v>3</v>
      </c>
      <c r="F193" s="191"/>
      <c r="G193" s="148"/>
      <c r="H193" s="148"/>
      <c r="I193" s="147"/>
      <c r="J193" s="67">
        <f>IF(A10taxstdlife="n/a","n/a",IF(J$3&gt;(A10taxstdlife+$E193),(Input!$J$51-Input!$J$85)-SUM($I193:I193),(Input!$J$51-Input!$J$85)/A10taxstdlife))</f>
        <v>0</v>
      </c>
      <c r="K193" s="67">
        <f>IF(A10taxstdlife="n/a","n/a",IF(K$3&gt;(A10taxstdlife+$E193),(Input!$J$51-Input!$J$85)-SUM($I193:J193),(Input!$J$51-Input!$J$85)/A10taxstdlife))</f>
        <v>0</v>
      </c>
      <c r="L193" s="67"/>
      <c r="M193" s="67">
        <f>IF(A10taxstdlife="n/a","n/a",IF(M$3&gt;(A10taxstdlife+$E193),(Input!$J$51-Input!$J$85)-SUM($I193:L193),(Input!$J$51-Input!$J$85)/A10taxstdlife))</f>
        <v>0</v>
      </c>
      <c r="N193" s="67">
        <f>IF(A10taxstdlife="n/a","n/a",IF(N$3&gt;(A10taxstdlife+$E193),(Input!$J$51-Input!$J$85)-SUM($I193:M193),(Input!$J$51-Input!$J$85)/A10taxstdlife))</f>
        <v>0</v>
      </c>
      <c r="O193" s="67">
        <f>IF(A10taxstdlife="n/a","n/a",IF(O$3&gt;(A10taxstdlife+$E193),(Input!$J$51-Input!$J$85)-SUM($I193:N193),(Input!$J$51-Input!$J$85)/A10taxstdlife))</f>
        <v>0</v>
      </c>
      <c r="P193" s="67">
        <f>IF(A10taxstdlife="n/a","n/a",IF(P$3&gt;(A10taxstdlife+$E193),(Input!$J$51-Input!$J$85)-SUM($I193:O193),(Input!$J$51-Input!$J$85)/A10taxstdlife))</f>
        <v>0</v>
      </c>
      <c r="Q193" s="67"/>
      <c r="R193" s="102"/>
      <c r="S193" s="102"/>
      <c r="T193" s="102"/>
      <c r="U193" s="102"/>
      <c r="V193" s="102"/>
      <c r="W193" s="102"/>
      <c r="X193" s="102"/>
      <c r="Y193" s="102"/>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185"/>
      <c r="BJ193" s="185"/>
      <c r="BK193" s="185"/>
      <c r="BL193" s="185"/>
      <c r="BM193" s="185"/>
      <c r="BN193" s="185"/>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hidden="1" customHeight="1" outlineLevel="2">
      <c r="A194" s="9"/>
      <c r="B194" s="9"/>
      <c r="C194" s="25"/>
      <c r="D194" s="492"/>
      <c r="E194" s="85">
        <v>4</v>
      </c>
      <c r="F194" s="191"/>
      <c r="G194" s="148"/>
      <c r="H194" s="148"/>
      <c r="I194" s="148"/>
      <c r="J194" s="147"/>
      <c r="K194" s="67">
        <f>IF(A10taxstdlife="n/a","n/a",IF(K$3&gt;(A10taxstdlife+$E194),(Input!$K$51-Input!$K$85)-SUM($J194:J194),(Input!$K$51-Input!$K$85)/A10taxstdlife))</f>
        <v>0</v>
      </c>
      <c r="L194" s="67"/>
      <c r="M194" s="67">
        <f>IF(A10taxstdlife="n/a","n/a",IF(M$3&gt;(A10taxstdlife+$E194),(Input!$K$51-Input!$K$85)-SUM($J194:L194),(Input!$K$51-Input!$K$85)/A10taxstdlife))</f>
        <v>0</v>
      </c>
      <c r="N194" s="67">
        <f>IF(A10taxstdlife="n/a","n/a",IF(N$3&gt;(A10taxstdlife+$E194),(Input!$K$51-Input!$K$85)-SUM($J194:M194),(Input!$K$51-Input!$K$85)/A10taxstdlife))</f>
        <v>0</v>
      </c>
      <c r="O194" s="67">
        <f>IF(A10taxstdlife="n/a","n/a",IF(O$3&gt;(A10taxstdlife+$E194),(Input!$K$51-Input!$K$85)-SUM($J194:N194),(Input!$K$51-Input!$K$85)/A10taxstdlife))</f>
        <v>0</v>
      </c>
      <c r="P194" s="67">
        <f>IF(A10taxstdlife="n/a","n/a",IF(P$3&gt;(A10taxstdlife+$E194),(Input!$K$51-Input!$K$85)-SUM($J194:O194),(Input!$K$51-Input!$K$85)/A10taxstdlife))</f>
        <v>0</v>
      </c>
      <c r="Q194" s="67"/>
      <c r="R194" s="102"/>
      <c r="S194" s="102"/>
      <c r="T194" s="102"/>
      <c r="U194" s="102"/>
      <c r="V194" s="102"/>
      <c r="W194" s="102"/>
      <c r="X194" s="102"/>
      <c r="Y194" s="102"/>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185"/>
      <c r="BJ194" s="185"/>
      <c r="BK194" s="185"/>
      <c r="BL194" s="185"/>
      <c r="BM194" s="185"/>
      <c r="BN194" s="185"/>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hidden="1" customHeight="1" outlineLevel="2">
      <c r="A195" s="9"/>
      <c r="B195" s="9"/>
      <c r="C195" s="25"/>
      <c r="D195" s="492"/>
      <c r="E195" s="85">
        <v>5</v>
      </c>
      <c r="F195" s="191"/>
      <c r="G195" s="148"/>
      <c r="H195" s="148"/>
      <c r="I195" s="148"/>
      <c r="J195" s="148"/>
      <c r="K195" s="147"/>
      <c r="L195" s="67"/>
      <c r="M195" s="67">
        <f>IF(A10taxstdlife="n/a","n/a",IF(M$3&gt;(A10taxstdlife+$E195),(Input!$L$51-Input!$L$85)-SUM($K195:L195),(Input!$L$51-Input!$L$85)/A10taxstdlife))</f>
        <v>0</v>
      </c>
      <c r="N195" s="67">
        <f>IF(A10taxstdlife="n/a","n/a",IF(N$3&gt;(A10taxstdlife+$E195),(Input!$L$51-Input!$L$85)-SUM($K195:M195),(Input!$L$51-Input!$L$85)/A10taxstdlife))</f>
        <v>0</v>
      </c>
      <c r="O195" s="67">
        <f>IF(A10taxstdlife="n/a","n/a",IF(O$3&gt;(A10taxstdlife+$E195),(Input!$L$51-Input!$L$85)-SUM($K195:N195),(Input!$L$51-Input!$L$85)/A10taxstdlife))</f>
        <v>0</v>
      </c>
      <c r="P195" s="67">
        <f>IF(A10taxstdlife="n/a","n/a",IF(P$3&gt;(A10taxstdlife+$E195),(Input!$L$51-Input!$L$85)-SUM($K195:O195),(Input!$L$51-Input!$L$85)/A10taxstdlife))</f>
        <v>0</v>
      </c>
      <c r="Q195" s="67"/>
      <c r="R195" s="102"/>
      <c r="S195" s="102"/>
      <c r="T195" s="102"/>
      <c r="U195" s="102"/>
      <c r="V195" s="102"/>
      <c r="W195" s="102"/>
      <c r="X195" s="102"/>
      <c r="Y195" s="102"/>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185"/>
      <c r="BJ195" s="185"/>
      <c r="BK195" s="185"/>
      <c r="BL195" s="185"/>
      <c r="BM195" s="185"/>
      <c r="BN195" s="18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hidden="1" customHeight="1" outlineLevel="2">
      <c r="A196" s="9"/>
      <c r="B196" s="9"/>
      <c r="C196" s="25"/>
      <c r="D196" s="492"/>
      <c r="E196" s="85">
        <v>6</v>
      </c>
      <c r="F196" s="191"/>
      <c r="G196" s="148"/>
      <c r="H196" s="148"/>
      <c r="I196" s="148"/>
      <c r="J196" s="148"/>
      <c r="K196" s="148"/>
      <c r="L196" s="147"/>
      <c r="M196" s="67">
        <f>IF(A10taxstdlife="n/a","n/a",IF(M$3&gt;(A10taxstdlife+$E196),(Input!$M$51-Input!$M$85)-SUM($L196:L196),(Input!$M$51-Input!$M$85)/A10taxstdlife))</f>
        <v>0</v>
      </c>
      <c r="N196" s="67">
        <f>IF(A10taxstdlife="n/a","n/a",IF(N$3&gt;(A10taxstdlife+$E196),(Input!$M$51-Input!$M$85)-SUM($L196:M196),(Input!$M$51-Input!$M$85)/A10taxstdlife))</f>
        <v>0</v>
      </c>
      <c r="O196" s="67">
        <f>IF(A10taxstdlife="n/a","n/a",IF(O$3&gt;(A10taxstdlife+$E196),(Input!$M$51-Input!$M$85)-SUM($L196:N196),(Input!$M$51-Input!$M$85)/A10taxstdlife))</f>
        <v>0</v>
      </c>
      <c r="P196" s="67">
        <f>IF(A10taxstdlife="n/a","n/a",IF(P$3&gt;(A10taxstdlife+$E196),(Input!$M$51-Input!$M$85)-SUM($L196:O196),(Input!$M$51-Input!$M$85)/A10taxstdlife))</f>
        <v>0</v>
      </c>
      <c r="Q196" s="67"/>
      <c r="R196" s="102"/>
      <c r="S196" s="102"/>
      <c r="T196" s="102"/>
      <c r="U196" s="102"/>
      <c r="V196" s="102"/>
      <c r="W196" s="102"/>
      <c r="X196" s="102"/>
      <c r="Y196" s="102"/>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185"/>
      <c r="BJ196" s="185"/>
      <c r="BK196" s="185"/>
      <c r="BL196" s="185"/>
      <c r="BM196" s="185"/>
      <c r="BN196" s="185"/>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hidden="1" customHeight="1" outlineLevel="2">
      <c r="A197" s="9"/>
      <c r="B197" s="9"/>
      <c r="C197" s="25"/>
      <c r="D197" s="492"/>
      <c r="E197" s="85">
        <v>7</v>
      </c>
      <c r="F197" s="191"/>
      <c r="G197" s="148"/>
      <c r="H197" s="148"/>
      <c r="I197" s="148"/>
      <c r="J197" s="148"/>
      <c r="K197" s="148"/>
      <c r="L197" s="148"/>
      <c r="M197" s="147"/>
      <c r="N197" s="67">
        <f>IF(A10taxstdlife="n/a","n/a",IF(N$3&gt;(A10taxstdlife+$E197),(Input!$N$51-Input!$N$85)-SUM($M197:M197),(Input!$N$51-Input!$N$85)/A10taxstdlife))</f>
        <v>0</v>
      </c>
      <c r="O197" s="67">
        <f>IF(A10taxstdlife="n/a","n/a",IF(O$3&gt;(A10taxstdlife+$E197),(Input!$N$51-Input!$N$85)-SUM($M197:N197),(Input!$N$51-Input!$N$85)/A10taxstdlife))</f>
        <v>0</v>
      </c>
      <c r="P197" s="67">
        <f>IF(A10taxstdlife="n/a","n/a",IF(P$3&gt;(A10taxstdlife+$E197),(Input!$N$51-Input!$N$85)-SUM($M197:O197),(Input!$N$51-Input!$N$85)/A10taxstdlife))</f>
        <v>0</v>
      </c>
      <c r="Q197" s="67"/>
      <c r="R197" s="102"/>
      <c r="S197" s="102"/>
      <c r="T197" s="102"/>
      <c r="U197" s="102"/>
      <c r="V197" s="102"/>
      <c r="W197" s="102"/>
      <c r="X197" s="102"/>
      <c r="Y197" s="102"/>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185"/>
      <c r="BJ197" s="185"/>
      <c r="BK197" s="185"/>
      <c r="BL197" s="185"/>
      <c r="BM197" s="185"/>
      <c r="BN197" s="185"/>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hidden="1" customHeight="1" outlineLevel="2">
      <c r="A198" s="9"/>
      <c r="B198" s="9"/>
      <c r="C198" s="25"/>
      <c r="D198" s="492"/>
      <c r="E198" s="85">
        <v>8</v>
      </c>
      <c r="F198" s="191"/>
      <c r="G198" s="148"/>
      <c r="H198" s="148"/>
      <c r="I198" s="148"/>
      <c r="J198" s="148"/>
      <c r="K198" s="148"/>
      <c r="L198" s="148"/>
      <c r="M198" s="148"/>
      <c r="N198" s="147"/>
      <c r="O198" s="67">
        <f>IF(A10taxstdlife="n/a","n/a",IF(O$3&gt;(A10taxstdlife+$E198),(Input!$O$51-Input!$O$85)-SUM($N198:N198),(Input!$O$51-Input!$O$85)/A10taxstdlife))</f>
        <v>0</v>
      </c>
      <c r="P198" s="67">
        <f>IF(A10taxstdlife="n/a","n/a",IF(P$3&gt;(A10taxstdlife+$E198),(Input!$O$51-Input!$O$85)-SUM($N198:O198),(Input!$O$51-Input!$O$85)/A10taxstdlife))</f>
        <v>0</v>
      </c>
      <c r="Q198" s="67"/>
      <c r="R198" s="102"/>
      <c r="S198" s="102"/>
      <c r="T198" s="102"/>
      <c r="U198" s="102"/>
      <c r="V198" s="102"/>
      <c r="W198" s="102"/>
      <c r="X198" s="102"/>
      <c r="Y198" s="102"/>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3"/>
      <c r="BJ198" s="185"/>
      <c r="BK198" s="185"/>
      <c r="BL198" s="185"/>
      <c r="BM198" s="185"/>
      <c r="BN198" s="185"/>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hidden="1" customHeight="1" outlineLevel="2">
      <c r="A199" s="9"/>
      <c r="B199" s="9"/>
      <c r="C199" s="25"/>
      <c r="D199" s="492"/>
      <c r="E199" s="85">
        <v>9</v>
      </c>
      <c r="F199" s="191"/>
      <c r="G199" s="148"/>
      <c r="H199" s="148"/>
      <c r="I199" s="148"/>
      <c r="J199" s="148"/>
      <c r="K199" s="148"/>
      <c r="L199" s="148"/>
      <c r="M199" s="148"/>
      <c r="N199" s="148"/>
      <c r="O199" s="147"/>
      <c r="P199" s="67">
        <f>IF(A10taxstdlife="n/a","n/a",IF(P$3&gt;(A10taxstdlife+$E199),(Input!$P$51-Input!$P$85)-SUM($O199:O199),(Input!$P$51-Input!$P$85)/A10taxstdlife))</f>
        <v>0</v>
      </c>
      <c r="Q199" s="67"/>
      <c r="R199" s="102"/>
      <c r="S199" s="102"/>
      <c r="T199" s="102"/>
      <c r="U199" s="102"/>
      <c r="V199" s="102"/>
      <c r="W199" s="102"/>
      <c r="X199" s="102"/>
      <c r="Y199" s="102"/>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185"/>
      <c r="BJ199" s="185"/>
      <c r="BK199" s="185"/>
      <c r="BL199" s="185"/>
      <c r="BM199" s="185"/>
      <c r="BN199" s="185"/>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hidden="1" customHeight="1" outlineLevel="2">
      <c r="A200" s="9"/>
      <c r="B200" s="9"/>
      <c r="C200" s="25"/>
      <c r="D200" s="492"/>
      <c r="E200" s="86">
        <v>10</v>
      </c>
      <c r="F200" s="191"/>
      <c r="G200" s="148"/>
      <c r="H200" s="148"/>
      <c r="I200" s="148"/>
      <c r="J200" s="148"/>
      <c r="K200" s="148"/>
      <c r="L200" s="148"/>
      <c r="M200" s="148"/>
      <c r="N200" s="148"/>
      <c r="O200" s="187"/>
      <c r="P200" s="147"/>
      <c r="Q200" s="67"/>
      <c r="R200" s="102"/>
      <c r="S200" s="102"/>
      <c r="T200" s="102"/>
      <c r="U200" s="102"/>
      <c r="V200" s="102"/>
      <c r="W200" s="102"/>
      <c r="X200" s="102"/>
      <c r="Y200" s="102"/>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185"/>
      <c r="BJ200" s="185"/>
      <c r="BK200" s="185"/>
      <c r="BL200" s="185"/>
      <c r="BM200" s="185"/>
      <c r="BN200" s="185"/>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hidden="1" customHeight="1" outlineLevel="1">
      <c r="A201" s="9"/>
      <c r="B201" s="9"/>
      <c r="C201" s="25" t="str">
        <f>Asset10</f>
        <v>Total Communications</v>
      </c>
      <c r="D201" s="9"/>
      <c r="E201" s="9"/>
      <c r="F201" s="191"/>
      <c r="G201" s="164">
        <f>-SUM(G189:G200)</f>
        <v>-16.554013156688935</v>
      </c>
      <c r="H201" s="164">
        <f>-SUM(H189:H200)</f>
        <v>-13.599454725375418</v>
      </c>
      <c r="I201" s="164">
        <f>-SUM(I189:I200)</f>
        <v>-11.183333112335418</v>
      </c>
      <c r="J201" s="164">
        <f>-SUM(J189:J200)</f>
        <v>-8.4814006994154205</v>
      </c>
      <c r="K201" s="164">
        <f>-SUM(K189:K200)</f>
        <v>-5.7134277394154207</v>
      </c>
      <c r="L201" s="164"/>
      <c r="M201" s="164">
        <f>IF(Input!N174&gt;0, -SUM(M189:M200), 0)</f>
        <v>0</v>
      </c>
      <c r="N201" s="164">
        <f>IF(Input!O174&gt;0, -SUM(N189:N200), 0)</f>
        <v>0</v>
      </c>
      <c r="O201" s="164">
        <f>IF(Input!P174&gt;0, -SUM(O189:O200), 0)</f>
        <v>0</v>
      </c>
      <c r="P201" s="164">
        <f>IF(Input!Q174&gt;0, -SUM(P189:P200), 0)</f>
        <v>0</v>
      </c>
      <c r="Q201" s="63"/>
      <c r="R201" s="101"/>
      <c r="S201" s="101"/>
      <c r="T201" s="101"/>
      <c r="U201" s="101"/>
      <c r="V201" s="101"/>
      <c r="W201" s="101"/>
      <c r="X201" s="101"/>
      <c r="Y201" s="10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185"/>
      <c r="BJ201" s="185"/>
      <c r="BK201" s="185"/>
      <c r="BL201" s="185"/>
      <c r="BM201" s="185"/>
      <c r="BN201" s="185"/>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hidden="1" customHeight="1" outlineLevel="2">
      <c r="A202" s="9"/>
      <c r="B202" s="31" t="str">
        <f>Asset11</f>
        <v>System IT (dx)</v>
      </c>
      <c r="C202" s="32"/>
      <c r="D202" s="33" t="s">
        <v>65</v>
      </c>
      <c r="E202" s="32"/>
      <c r="F202" s="191"/>
      <c r="G202" s="459">
        <f>'Tax asset base adjustments'!Q45</f>
        <v>0</v>
      </c>
      <c r="H202" s="459">
        <f>'Tax asset base adjustments'!R45</f>
        <v>0</v>
      </c>
      <c r="I202" s="459">
        <f>'Tax asset base adjustments'!S45</f>
        <v>0</v>
      </c>
      <c r="J202" s="459">
        <f>'Tax asset base adjustments'!T45</f>
        <v>0</v>
      </c>
      <c r="K202" s="459">
        <f>'Tax asset base adjustments'!U45</f>
        <v>0</v>
      </c>
      <c r="L202" s="344"/>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2"/>
      <c r="S202" s="301">
        <f>SUM(K202:K207)</f>
        <v>43.895998576967145</v>
      </c>
      <c r="T202" s="102"/>
      <c r="U202" s="102"/>
      <c r="V202" s="102"/>
      <c r="W202" s="102"/>
      <c r="X202" s="102"/>
      <c r="Y202" s="102"/>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185"/>
      <c r="BJ202" s="185"/>
      <c r="BK202" s="185"/>
      <c r="BL202" s="185"/>
      <c r="BM202" s="185"/>
      <c r="BN202" s="185"/>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5"/>
      <c r="D203" s="491" t="s">
        <v>83</v>
      </c>
      <c r="E203" s="85"/>
      <c r="F203" s="302"/>
      <c r="G203" s="67"/>
      <c r="H203" s="67"/>
      <c r="I203" s="67"/>
      <c r="J203" s="67"/>
      <c r="K203" s="67"/>
      <c r="L203" s="67"/>
      <c r="M203" s="67"/>
      <c r="N203" s="67"/>
      <c r="O203" s="67"/>
      <c r="P203" s="67"/>
      <c r="Q203" s="67"/>
      <c r="R203" s="102"/>
      <c r="S203" s="102"/>
      <c r="T203" s="102"/>
      <c r="U203" s="102"/>
      <c r="V203" s="102"/>
      <c r="W203" s="102"/>
      <c r="X203" s="102"/>
      <c r="Y203" s="102"/>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185"/>
      <c r="BJ203" s="185"/>
      <c r="BK203" s="185"/>
      <c r="BL203" s="185"/>
      <c r="BM203" s="185"/>
      <c r="BN203" s="185"/>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hidden="1" customHeight="1" outlineLevel="2">
      <c r="A204" s="9"/>
      <c r="B204" s="9"/>
      <c r="C204" s="25"/>
      <c r="D204" s="492"/>
      <c r="E204" s="85">
        <v>1</v>
      </c>
      <c r="F204" s="191"/>
      <c r="G204" s="147"/>
      <c r="H204" s="67">
        <f>IF(A11taxstdlife="n/a","n/a",IF(H$3&gt;(A11taxstdlife+$E204),(Input!$H$52-Input!$H$86)-SUM($G204:G204),(Input!$H$52-Input!$H$86)/A11taxstdlife))</f>
        <v>4.1285371043850008</v>
      </c>
      <c r="I204" s="67">
        <f>IF(A11taxstdlife="n/a","n/a",IF(I$3&gt;(A11taxstdlife+$E204),(Input!$H$52-Input!$H$86)-SUM($G204:H204),(Input!$H$52-Input!$H$86)/A11taxstdlife))</f>
        <v>4.1285371043850008</v>
      </c>
      <c r="J204" s="67">
        <f>IF(A11taxstdlife="n/a","n/a",IF(J$3&gt;(A11taxstdlife+$E204),(Input!$H$52-Input!$H$86)-SUM($G204:I204),(Input!$H$52-Input!$H$86)/A11taxstdlife))</f>
        <v>4.1285371043850008</v>
      </c>
      <c r="K204" s="67">
        <f>IF(A11taxstdlife="n/a","n/a",IF(K$3&gt;(A11taxstdlife+$E204),(Input!$H$52-Input!$H$86)-SUM($G204:J204),(Input!$H$52-Input!$H$86)/A11taxstdlife))</f>
        <v>4.1285371043850008</v>
      </c>
      <c r="L204" s="67"/>
      <c r="M204" s="67">
        <f>IF(A11taxstdlife="n/a","n/a",IF(M$3&gt;(A11taxstdlife+$E204),(Input!$H$52-Input!$H$86)-SUM($G204:L204),(Input!$H$52-Input!$H$86)/A11taxstdlife))</f>
        <v>4.1285371043850008</v>
      </c>
      <c r="N204" s="67">
        <f>IF(A11taxstdlife="n/a","n/a",IF(N$3&gt;(A11taxstdlife+$E204),(Input!$H$52-Input!$H$86)-SUM($G204:M204),(Input!$H$52-Input!$H$86)/A11taxstdlife))</f>
        <v>4.1285371043850008</v>
      </c>
      <c r="O204" s="67">
        <f>IF(A11taxstdlife="n/a","n/a",IF(O$3&gt;(A11taxstdlife+$E204),(Input!$H$52-Input!$H$86)-SUM($G204:N204),(Input!$H$52-Input!$H$86)/A11taxstdlife))</f>
        <v>4.1285371043849999</v>
      </c>
      <c r="P204" s="67">
        <f>IF(A11taxstdlife="n/a","n/a",IF(P$3&gt;(A11taxstdlife+$E204),(Input!$H$52-Input!$H$86)-SUM($G204:O204),(Input!$H$52-Input!$H$86)/A11taxstdlife))</f>
        <v>0</v>
      </c>
      <c r="Q204" s="67"/>
      <c r="R204" s="102"/>
      <c r="S204" s="102"/>
      <c r="T204" s="102"/>
      <c r="U204" s="102"/>
      <c r="V204" s="102"/>
      <c r="W204" s="102"/>
      <c r="X204" s="102"/>
      <c r="Y204" s="102"/>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185"/>
      <c r="BJ204" s="185"/>
      <c r="BK204" s="185"/>
      <c r="BL204" s="185"/>
      <c r="BM204" s="185"/>
      <c r="BN204" s="185"/>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hidden="1" customHeight="1" outlineLevel="2">
      <c r="A205" s="9"/>
      <c r="B205" s="9"/>
      <c r="C205" s="25"/>
      <c r="D205" s="492"/>
      <c r="E205" s="85">
        <v>2</v>
      </c>
      <c r="F205" s="191"/>
      <c r="G205" s="148"/>
      <c r="H205" s="147"/>
      <c r="I205" s="67">
        <f>IF(A11taxstdlife="n/a","n/a",IF(I$3&gt;(A11taxstdlife+$E205),(Input!$I$52-Input!$I$86)-SUM($H205:H205),(Input!$I$52-Input!$I$86)/A11taxstdlife))</f>
        <v>14.895425108710715</v>
      </c>
      <c r="J205" s="67">
        <f>IF(A11taxstdlife="n/a","n/a",IF(J$3&gt;(A11taxstdlife+$E205),(Input!$I$52-Input!$I$86)-SUM($H205:I205),(Input!$I$52-Input!$I$86)/A11taxstdlife))</f>
        <v>14.895425108710715</v>
      </c>
      <c r="K205" s="67">
        <f>IF(A11taxstdlife="n/a","n/a",IF(K$3&gt;(A11taxstdlife+$E205),(Input!$I$52-Input!$I$86)-SUM($H205:J205),(Input!$I$52-Input!$I$86)/A11taxstdlife))</f>
        <v>14.895425108710715</v>
      </c>
      <c r="L205" s="67"/>
      <c r="M205" s="67">
        <f>IF(A11taxstdlife="n/a","n/a",IF(M$3&gt;(A11taxstdlife+$E205),(Input!$I$52-Input!$I$86)-SUM($H205:L205),(Input!$I$52-Input!$I$86)/A11taxstdlife))</f>
        <v>14.895425108710715</v>
      </c>
      <c r="N205" s="67">
        <f>IF(A11taxstdlife="n/a","n/a",IF(N$3&gt;(A11taxstdlife+$E205),(Input!$I$52-Input!$I$86)-SUM($H205:M205),(Input!$I$52-Input!$I$86)/A11taxstdlife))</f>
        <v>14.895425108710715</v>
      </c>
      <c r="O205" s="67">
        <f>IF(A11taxstdlife="n/a","n/a",IF(O$3&gt;(A11taxstdlife+$E205),(Input!$I$52-Input!$I$86)-SUM($H205:N205),(Input!$I$52-Input!$I$86)/A11taxstdlife))</f>
        <v>14.895425108710715</v>
      </c>
      <c r="P205" s="67">
        <f>IF(A11taxstdlife="n/a","n/a",IF(P$3&gt;(A11taxstdlife+$E205),(Input!$I$52-Input!$I$86)-SUM($H205:O205),(Input!$I$52-Input!$I$86)/A11taxstdlife))</f>
        <v>14.895425108710725</v>
      </c>
      <c r="Q205" s="67"/>
      <c r="R205" s="102"/>
      <c r="S205" s="102"/>
      <c r="T205" s="102"/>
      <c r="U205" s="102"/>
      <c r="V205" s="102"/>
      <c r="W205" s="102"/>
      <c r="X205" s="102"/>
      <c r="Y205" s="102"/>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185"/>
      <c r="BJ205" s="185"/>
      <c r="BK205" s="185"/>
      <c r="BL205" s="185"/>
      <c r="BM205" s="185"/>
      <c r="BN205" s="18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hidden="1" customHeight="1" outlineLevel="2">
      <c r="A206" s="9"/>
      <c r="B206" s="9"/>
      <c r="C206" s="25"/>
      <c r="D206" s="492"/>
      <c r="E206" s="85">
        <v>3</v>
      </c>
      <c r="F206" s="191"/>
      <c r="G206" s="148"/>
      <c r="H206" s="148"/>
      <c r="I206" s="147"/>
      <c r="J206" s="67">
        <f>IF(A11taxstdlife="n/a","n/a",IF(J$3&gt;(A11taxstdlife+$E206),(Input!$J$52-Input!$J$86)-SUM($I206:I206),(Input!$J$52-Input!$J$86)/A11taxstdlife))</f>
        <v>16.740949847414289</v>
      </c>
      <c r="K206" s="67">
        <f>IF(A11taxstdlife="n/a","n/a",IF(K$3&gt;(A11taxstdlife+$E206),(Input!$J$52-Input!$J$86)-SUM($I206:J206),(Input!$J$52-Input!$J$86)/A11taxstdlife))</f>
        <v>16.740949847414289</v>
      </c>
      <c r="L206" s="67"/>
      <c r="M206" s="67">
        <f>IF(A11taxstdlife="n/a","n/a",IF(M$3&gt;(A11taxstdlife+$E206),(Input!$J$52-Input!$J$86)-SUM($I206:L206),(Input!$J$52-Input!$J$86)/A11taxstdlife))</f>
        <v>16.740949847414289</v>
      </c>
      <c r="N206" s="67">
        <f>IF(A11taxstdlife="n/a","n/a",IF(N$3&gt;(A11taxstdlife+$E206),(Input!$J$52-Input!$J$86)-SUM($I206:M206),(Input!$J$52-Input!$J$86)/A11taxstdlife))</f>
        <v>16.740949847414289</v>
      </c>
      <c r="O206" s="67">
        <f>IF(A11taxstdlife="n/a","n/a",IF(O$3&gt;(A11taxstdlife+$E206),(Input!$J$52-Input!$J$86)-SUM($I206:N206),(Input!$J$52-Input!$J$86)/A11taxstdlife))</f>
        <v>16.740949847414289</v>
      </c>
      <c r="P206" s="67">
        <f>IF(A11taxstdlife="n/a","n/a",IF(P$3&gt;(A11taxstdlife+$E206),(Input!$J$52-Input!$J$86)-SUM($I206:O206),(Input!$J$52-Input!$J$86)/A11taxstdlife))</f>
        <v>16.740949847414289</v>
      </c>
      <c r="Q206" s="67"/>
      <c r="R206" s="102"/>
      <c r="S206" s="102"/>
      <c r="T206" s="102"/>
      <c r="U206" s="102"/>
      <c r="V206" s="102"/>
      <c r="W206" s="102"/>
      <c r="X206" s="102"/>
      <c r="Y206" s="102"/>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185"/>
      <c r="BJ206" s="185"/>
      <c r="BK206" s="185"/>
      <c r="BL206" s="185"/>
      <c r="BM206" s="185"/>
      <c r="BN206" s="185"/>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hidden="1" customHeight="1" outlineLevel="2">
      <c r="A207" s="9"/>
      <c r="B207" s="9"/>
      <c r="C207" s="25"/>
      <c r="D207" s="492"/>
      <c r="E207" s="85">
        <v>4</v>
      </c>
      <c r="F207" s="191"/>
      <c r="G207" s="148"/>
      <c r="H207" s="148"/>
      <c r="I207" s="148"/>
      <c r="J207" s="147"/>
      <c r="K207" s="67">
        <f>IF(A11taxstdlife="n/a","n/a",IF(K$3&gt;(A11taxstdlife+$E207),(Input!$K$52-Input!$K$86)-SUM($J207:J207),(Input!$K$52-Input!$K$86)/A11taxstdlife))</f>
        <v>8.1310865164571418</v>
      </c>
      <c r="L207" s="67"/>
      <c r="M207" s="67">
        <f>IF(A11taxstdlife="n/a","n/a",IF(M$3&gt;(A11taxstdlife+$E207),(Input!$K$52-Input!$K$86)-SUM($J207:L207),(Input!$K$52-Input!$K$86)/A11taxstdlife))</f>
        <v>8.1310865164571418</v>
      </c>
      <c r="N207" s="67">
        <f>IF(A11taxstdlife="n/a","n/a",IF(N$3&gt;(A11taxstdlife+$E207),(Input!$K$52-Input!$K$86)-SUM($J207:M207),(Input!$K$52-Input!$K$86)/A11taxstdlife))</f>
        <v>8.1310865164571418</v>
      </c>
      <c r="O207" s="67">
        <f>IF(A11taxstdlife="n/a","n/a",IF(O$3&gt;(A11taxstdlife+$E207),(Input!$K$52-Input!$K$86)-SUM($J207:N207),(Input!$K$52-Input!$K$86)/A11taxstdlife))</f>
        <v>8.1310865164571418</v>
      </c>
      <c r="P207" s="67">
        <f>IF(A11taxstdlife="n/a","n/a",IF(P$3&gt;(A11taxstdlife+$E207),(Input!$K$52-Input!$K$86)-SUM($J207:O207),(Input!$K$52-Input!$K$86)/A11taxstdlife))</f>
        <v>8.1310865164571418</v>
      </c>
      <c r="Q207" s="67"/>
      <c r="R207" s="102"/>
      <c r="S207" s="102"/>
      <c r="T207" s="102"/>
      <c r="U207" s="102"/>
      <c r="V207" s="102"/>
      <c r="W207" s="102"/>
      <c r="X207" s="102"/>
      <c r="Y207" s="102"/>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185"/>
      <c r="BJ207" s="185"/>
      <c r="BK207" s="185"/>
      <c r="BL207" s="185"/>
      <c r="BM207" s="185"/>
      <c r="BN207" s="185"/>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hidden="1" customHeight="1" outlineLevel="2">
      <c r="A208" s="9"/>
      <c r="B208" s="9"/>
      <c r="C208" s="25"/>
      <c r="D208" s="492"/>
      <c r="E208" s="85">
        <v>5</v>
      </c>
      <c r="F208" s="191"/>
      <c r="G208" s="148"/>
      <c r="H208" s="148"/>
      <c r="I208" s="148"/>
      <c r="J208" s="148"/>
      <c r="K208" s="147"/>
      <c r="L208" s="67"/>
      <c r="M208" s="67">
        <f>IF(A11taxstdlife="n/a","n/a",IF(M$3&gt;(A11taxstdlife+$E208),(Input!$L$52-Input!$L$86)-SUM($K208:L208),(Input!$L$52-Input!$L$86)/A11taxstdlife))</f>
        <v>1.4118205757142859</v>
      </c>
      <c r="N208" s="67">
        <f>IF(A11taxstdlife="n/a","n/a",IF(N$3&gt;(A11taxstdlife+$E208),(Input!$L$52-Input!$L$86)-SUM($K208:M208),(Input!$L$52-Input!$L$86)/A11taxstdlife))</f>
        <v>1.4118205757142859</v>
      </c>
      <c r="O208" s="67">
        <f>IF(A11taxstdlife="n/a","n/a",IF(O$3&gt;(A11taxstdlife+$E208),(Input!$L$52-Input!$L$86)-SUM($K208:N208),(Input!$L$52-Input!$L$86)/A11taxstdlife))</f>
        <v>1.4118205757142859</v>
      </c>
      <c r="P208" s="67">
        <f>IF(A11taxstdlife="n/a","n/a",IF(P$3&gt;(A11taxstdlife+$E208),(Input!$L$52-Input!$L$86)-SUM($K208:O208),(Input!$L$52-Input!$L$86)/A11taxstdlife))</f>
        <v>1.4118205757142859</v>
      </c>
      <c r="Q208" s="67"/>
      <c r="R208" s="102"/>
      <c r="S208" s="102"/>
      <c r="T208" s="102"/>
      <c r="U208" s="102"/>
      <c r="V208" s="102"/>
      <c r="W208" s="102"/>
      <c r="X208" s="102"/>
      <c r="Y208" s="102"/>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185"/>
      <c r="BJ208" s="185"/>
      <c r="BK208" s="185"/>
      <c r="BL208" s="185"/>
      <c r="BM208" s="185"/>
      <c r="BN208" s="185"/>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hidden="1" customHeight="1" outlineLevel="2">
      <c r="A209" s="9"/>
      <c r="B209" s="9"/>
      <c r="C209" s="25"/>
      <c r="D209" s="492"/>
      <c r="E209" s="85">
        <v>6</v>
      </c>
      <c r="F209" s="191"/>
      <c r="G209" s="148"/>
      <c r="H209" s="148"/>
      <c r="I209" s="148"/>
      <c r="J209" s="148"/>
      <c r="K209" s="148"/>
      <c r="L209" s="147"/>
      <c r="M209" s="67">
        <f>IF(A11taxstdlife="n/a","n/a",IF(M$3&gt;(A11taxstdlife+$E209),(Input!$M$52-Input!$M$86)-SUM($L209:L209),(Input!$M$52-Input!$M$86)/A11taxstdlife))</f>
        <v>0</v>
      </c>
      <c r="N209" s="67">
        <f>IF(A11taxstdlife="n/a","n/a",IF(N$3&gt;(A11taxstdlife+$E209),(Input!$M$52-Input!$M$86)-SUM($L209:M209),(Input!$M$52-Input!$M$86)/A11taxstdlife))</f>
        <v>0</v>
      </c>
      <c r="O209" s="67">
        <f>IF(A11taxstdlife="n/a","n/a",IF(O$3&gt;(A11taxstdlife+$E209),(Input!$M$52-Input!$M$86)-SUM($L209:N209),(Input!$M$52-Input!$M$86)/A11taxstdlife))</f>
        <v>0</v>
      </c>
      <c r="P209" s="67">
        <f>IF(A11taxstdlife="n/a","n/a",IF(P$3&gt;(A11taxstdlife+$E209),(Input!$M$52-Input!$M$86)-SUM($L209:O209),(Input!$M$52-Input!$M$86)/A11taxstdlife))</f>
        <v>0</v>
      </c>
      <c r="Q209" s="67"/>
      <c r="R209" s="102"/>
      <c r="S209" s="102"/>
      <c r="T209" s="102"/>
      <c r="U209" s="102"/>
      <c r="V209" s="102"/>
      <c r="W209" s="102"/>
      <c r="X209" s="102"/>
      <c r="Y209" s="102"/>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185"/>
      <c r="BJ209" s="185"/>
      <c r="BK209" s="185"/>
      <c r="BL209" s="185"/>
      <c r="BM209" s="185"/>
      <c r="BN209" s="185"/>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hidden="1" customHeight="1" outlineLevel="2">
      <c r="A210" s="9"/>
      <c r="B210" s="9"/>
      <c r="C210" s="25"/>
      <c r="D210" s="492"/>
      <c r="E210" s="85">
        <v>7</v>
      </c>
      <c r="F210" s="191"/>
      <c r="G210" s="148"/>
      <c r="H210" s="148"/>
      <c r="I210" s="148"/>
      <c r="J210" s="148"/>
      <c r="K210" s="148"/>
      <c r="L210" s="148"/>
      <c r="M210" s="147"/>
      <c r="N210" s="67">
        <f>IF(A11taxstdlife="n/a","n/a",IF(N$3&gt;(A11taxstdlife+$E210),(Input!$N$52-Input!$N$86)-SUM($M210:M210),(Input!$N$52-Input!$N$86)/A11taxstdlife))</f>
        <v>0</v>
      </c>
      <c r="O210" s="67">
        <f>IF(A11taxstdlife="n/a","n/a",IF(O$3&gt;(A11taxstdlife+$E210),(Input!$N$52-Input!$N$86)-SUM($M210:N210),(Input!$N$52-Input!$N$86)/A11taxstdlife))</f>
        <v>0</v>
      </c>
      <c r="P210" s="67">
        <f>IF(A11taxstdlife="n/a","n/a",IF(P$3&gt;(A11taxstdlife+$E210),(Input!$N$52-Input!$N$86)-SUM($M210:O210),(Input!$N$52-Input!$N$86)/A11taxstdlife))</f>
        <v>0</v>
      </c>
      <c r="Q210" s="67"/>
      <c r="R210" s="102"/>
      <c r="S210" s="102"/>
      <c r="T210" s="102"/>
      <c r="U210" s="102"/>
      <c r="V210" s="102"/>
      <c r="W210" s="102"/>
      <c r="X210" s="102"/>
      <c r="Y210" s="102"/>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185"/>
      <c r="BJ210" s="185"/>
      <c r="BK210" s="185"/>
      <c r="BL210" s="185"/>
      <c r="BM210" s="185"/>
      <c r="BN210" s="185"/>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hidden="1" customHeight="1" outlineLevel="2">
      <c r="A211" s="9"/>
      <c r="B211" s="9"/>
      <c r="C211" s="25"/>
      <c r="D211" s="492"/>
      <c r="E211" s="85">
        <v>8</v>
      </c>
      <c r="F211" s="191"/>
      <c r="G211" s="148"/>
      <c r="H211" s="148"/>
      <c r="I211" s="148"/>
      <c r="J211" s="148"/>
      <c r="K211" s="148"/>
      <c r="L211" s="148"/>
      <c r="M211" s="148"/>
      <c r="N211" s="147"/>
      <c r="O211" s="67">
        <f>IF(A11taxstdlife="n/a","n/a",IF(O$3&gt;(A11taxstdlife+$E211),(Input!$O$52-Input!$O$86)-SUM($N211:N211),(Input!$O$52-Input!$O$86)/A11taxstdlife))</f>
        <v>0</v>
      </c>
      <c r="P211" s="67">
        <f>IF(A11taxstdlife="n/a","n/a",IF(P$3&gt;(A11taxstdlife+$E211),(Input!$O$52-Input!$O$86)-SUM($N211:O211),(Input!$O$52-Input!$O$86)/A11taxstdlife))</f>
        <v>0</v>
      </c>
      <c r="Q211" s="67"/>
      <c r="R211" s="102"/>
      <c r="S211" s="102"/>
      <c r="T211" s="102"/>
      <c r="U211" s="102"/>
      <c r="V211" s="102"/>
      <c r="W211" s="102"/>
      <c r="X211" s="102"/>
      <c r="Y211" s="102"/>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185"/>
      <c r="BJ211" s="185"/>
      <c r="BK211" s="185"/>
      <c r="BL211" s="185"/>
      <c r="BM211" s="185"/>
      <c r="BN211" s="185"/>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hidden="1" customHeight="1" outlineLevel="2">
      <c r="A212" s="9"/>
      <c r="B212" s="9"/>
      <c r="C212" s="25"/>
      <c r="D212" s="492"/>
      <c r="E212" s="85">
        <v>9</v>
      </c>
      <c r="F212" s="191"/>
      <c r="G212" s="148"/>
      <c r="H212" s="148"/>
      <c r="I212" s="148"/>
      <c r="J212" s="148"/>
      <c r="K212" s="148"/>
      <c r="L212" s="148"/>
      <c r="M212" s="148"/>
      <c r="N212" s="148"/>
      <c r="O212" s="147"/>
      <c r="P212" s="67">
        <f>IF(A11taxstdlife="n/a","n/a",IF(P$3&gt;(A11taxstdlife+$E212),(Input!$P$52-Input!$P$86)-SUM($O212:O212),(Input!$P$52-Input!$P$86)/A11taxstdlife))</f>
        <v>0</v>
      </c>
      <c r="Q212" s="67"/>
      <c r="R212" s="102"/>
      <c r="S212" s="102"/>
      <c r="T212" s="102"/>
      <c r="U212" s="102"/>
      <c r="V212" s="102"/>
      <c r="W212" s="102"/>
      <c r="X212" s="102"/>
      <c r="Y212" s="102"/>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185"/>
      <c r="BJ212" s="185"/>
      <c r="BK212" s="185"/>
      <c r="BL212" s="185"/>
      <c r="BM212" s="185"/>
      <c r="BN212" s="185"/>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hidden="1" customHeight="1" outlineLevel="2">
      <c r="A213" s="9"/>
      <c r="B213" s="9"/>
      <c r="C213" s="25"/>
      <c r="D213" s="492"/>
      <c r="E213" s="86">
        <v>10</v>
      </c>
      <c r="F213" s="191"/>
      <c r="G213" s="148"/>
      <c r="H213" s="148"/>
      <c r="I213" s="148"/>
      <c r="J213" s="148"/>
      <c r="K213" s="148"/>
      <c r="L213" s="148"/>
      <c r="M213" s="148"/>
      <c r="N213" s="148"/>
      <c r="O213" s="187"/>
      <c r="P213" s="147"/>
      <c r="Q213" s="67"/>
      <c r="R213" s="102"/>
      <c r="S213" s="102"/>
      <c r="T213" s="102"/>
      <c r="U213" s="102"/>
      <c r="V213" s="102"/>
      <c r="W213" s="102"/>
      <c r="X213" s="102"/>
      <c r="Y213" s="102"/>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185"/>
      <c r="BJ213" s="185"/>
      <c r="BK213" s="185"/>
      <c r="BL213" s="185"/>
      <c r="BM213" s="185"/>
      <c r="BN213" s="185"/>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hidden="1" customHeight="1" outlineLevel="1">
      <c r="A214" s="9"/>
      <c r="B214" s="9"/>
      <c r="C214" s="25" t="str">
        <f>Asset11</f>
        <v>System IT (dx)</v>
      </c>
      <c r="D214" s="9"/>
      <c r="E214" s="9"/>
      <c r="F214" s="203"/>
      <c r="G214" s="164">
        <f>-SUM(G202:G213)</f>
        <v>0</v>
      </c>
      <c r="H214" s="164">
        <f>-SUM(H202:H213)</f>
        <v>-4.1285371043850008</v>
      </c>
      <c r="I214" s="164">
        <f>-SUM(I202:I213)</f>
        <v>-19.023962213095714</v>
      </c>
      <c r="J214" s="164">
        <f>-SUM(J202:J213)</f>
        <v>-35.764912060509999</v>
      </c>
      <c r="K214" s="164">
        <f>-SUM(K202:K213)</f>
        <v>-43.895998576967145</v>
      </c>
      <c r="L214" s="164"/>
      <c r="M214" s="164">
        <f>IF(Input!N174&gt;0, -SUM(M202:M213), 0)</f>
        <v>0</v>
      </c>
      <c r="N214" s="164">
        <f>IF(Input!O174&gt;0, -SUM(N202:N213), 0)</f>
        <v>0</v>
      </c>
      <c r="O214" s="164">
        <f>IF(Input!P174&gt;0, -SUM(O202:O213), 0)</f>
        <v>0</v>
      </c>
      <c r="P214" s="164">
        <f>IF(Input!Q174&gt;0, -SUM(P202:P213), 0)</f>
        <v>0</v>
      </c>
      <c r="Q214" s="63"/>
      <c r="R214" s="101"/>
      <c r="S214" s="301"/>
      <c r="T214" s="101"/>
      <c r="U214" s="101"/>
      <c r="V214" s="101"/>
      <c r="W214" s="101"/>
      <c r="X214" s="101"/>
      <c r="Y214" s="10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185"/>
      <c r="BJ214" s="185"/>
      <c r="BK214" s="185"/>
      <c r="BL214" s="185"/>
      <c r="BM214" s="185"/>
      <c r="BN214" s="185"/>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hidden="1" customHeight="1" outlineLevel="2">
      <c r="A215" s="9"/>
      <c r="B215" s="31" t="str">
        <f>Asset12</f>
        <v>Ancillary substation equipment (dx)</v>
      </c>
      <c r="C215" s="32"/>
      <c r="D215" s="33" t="s">
        <v>65</v>
      </c>
      <c r="E215" s="32"/>
      <c r="F215" s="203"/>
      <c r="G215" s="459">
        <f>'Tax asset base adjustments'!Q46</f>
        <v>0</v>
      </c>
      <c r="H215" s="459">
        <f>'Tax asset base adjustments'!R46</f>
        <v>0</v>
      </c>
      <c r="I215" s="459">
        <f>'Tax asset base adjustments'!S46</f>
        <v>0</v>
      </c>
      <c r="J215" s="459">
        <f>'Tax asset base adjustments'!T46</f>
        <v>0</v>
      </c>
      <c r="K215" s="459">
        <f>'Tax asset base adjustments'!U46</f>
        <v>0</v>
      </c>
      <c r="L215" s="344"/>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2"/>
      <c r="S215" s="301">
        <f>SUM(K215:K220)</f>
        <v>3.8191787698393336</v>
      </c>
      <c r="T215" s="102"/>
      <c r="U215" s="102"/>
      <c r="V215" s="102"/>
      <c r="W215" s="102"/>
      <c r="X215" s="102"/>
      <c r="Y215" s="102"/>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185"/>
      <c r="BJ215" s="185"/>
      <c r="BK215" s="185"/>
      <c r="BL215" s="185"/>
      <c r="BM215" s="185"/>
      <c r="BN215" s="18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5"/>
      <c r="D216" s="491" t="s">
        <v>83</v>
      </c>
      <c r="E216" s="85"/>
      <c r="F216" s="303"/>
      <c r="G216" s="67"/>
      <c r="H216" s="67"/>
      <c r="I216" s="67"/>
      <c r="J216" s="67"/>
      <c r="K216" s="67"/>
      <c r="L216" s="67"/>
      <c r="M216" s="67"/>
      <c r="N216" s="67"/>
      <c r="O216" s="67"/>
      <c r="P216" s="67"/>
      <c r="Q216" s="67"/>
      <c r="R216" s="102"/>
      <c r="S216" s="102"/>
      <c r="T216" s="102"/>
      <c r="U216" s="102"/>
      <c r="V216" s="102"/>
      <c r="W216" s="102"/>
      <c r="X216" s="102"/>
      <c r="Y216" s="102"/>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185"/>
      <c r="BJ216" s="185"/>
      <c r="BK216" s="185"/>
      <c r="BL216" s="185"/>
      <c r="BM216" s="185"/>
      <c r="BN216" s="185"/>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hidden="1" customHeight="1" outlineLevel="2">
      <c r="A217" s="9"/>
      <c r="B217" s="9"/>
      <c r="C217" s="25"/>
      <c r="D217" s="492"/>
      <c r="E217" s="85">
        <v>1</v>
      </c>
      <c r="F217" s="203"/>
      <c r="G217" s="147"/>
      <c r="H217" s="67">
        <f>IF(A12taxstdlife="n/a","n/a",IF(H$3&gt;(A12taxstdlife+$E217),(Input!$H$53-Input!$H$87)-SUM($G217:G217),(Input!$H$53-Input!$H$87)/A12taxstdlife))</f>
        <v>1.799128284254</v>
      </c>
      <c r="I217" s="67">
        <f>IF(A12taxstdlife="n/a","n/a",IF(I$3&gt;(A12taxstdlife+$E217),(Input!$H$53-Input!$H$87)-SUM($G217:H217),(Input!$H$53-Input!$H$87)/A12taxstdlife))</f>
        <v>1.799128284254</v>
      </c>
      <c r="J217" s="67">
        <f>IF(A12taxstdlife="n/a","n/a",IF(J$3&gt;(A12taxstdlife+$E217),(Input!$H$53-Input!$H$87)-SUM($G217:I217),(Input!$H$53-Input!$H$87)/A12taxstdlife))</f>
        <v>1.799128284254</v>
      </c>
      <c r="K217" s="67">
        <f>IF(A12taxstdlife="n/a","n/a",IF(K$3&gt;(A12taxstdlife+$E217),(Input!$H$53-Input!$H$87)-SUM($G217:J217),(Input!$H$53-Input!$H$87)/A12taxstdlife))</f>
        <v>1.799128284254</v>
      </c>
      <c r="L217" s="67"/>
      <c r="M217" s="67">
        <f>IF(A12taxstdlife="n/a","n/a",IF(M$3&gt;(A12taxstdlife+$E217),(Input!$H$53-Input!$H$87)-SUM($G217:L217),(Input!$H$53-Input!$H$87)/A12taxstdlife))</f>
        <v>1.799128284254</v>
      </c>
      <c r="N217" s="67">
        <f>IF(A12taxstdlife="n/a","n/a",IF(N$3&gt;(A12taxstdlife+$E217),(Input!$H$53-Input!$H$87)-SUM($G217:M217),(Input!$H$53-Input!$H$87)/A12taxstdlife))</f>
        <v>1.799128284254</v>
      </c>
      <c r="O217" s="67">
        <f>IF(A12taxstdlife="n/a","n/a",IF(O$3&gt;(A12taxstdlife+$E217),(Input!$H$53-Input!$H$87)-SUM($G217:N217),(Input!$H$53-Input!$H$87)/A12taxstdlife))</f>
        <v>1.799128284254</v>
      </c>
      <c r="P217" s="67">
        <f>IF(A12taxstdlife="n/a","n/a",IF(P$3&gt;(A12taxstdlife+$E217),(Input!$H$53-Input!$H$87)-SUM($G217:O217),(Input!$H$53-Input!$H$87)/A12taxstdlife))</f>
        <v>1.799128284254</v>
      </c>
      <c r="Q217" s="67"/>
      <c r="R217" s="102"/>
      <c r="S217" s="102"/>
      <c r="T217" s="102"/>
      <c r="U217" s="102"/>
      <c r="V217" s="102"/>
      <c r="W217" s="102"/>
      <c r="X217" s="102"/>
      <c r="Y217" s="102"/>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185"/>
      <c r="BJ217" s="185"/>
      <c r="BK217" s="185"/>
      <c r="BL217" s="185"/>
      <c r="BM217" s="185"/>
      <c r="BN217" s="185"/>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hidden="1" customHeight="1" outlineLevel="2">
      <c r="A218" s="9"/>
      <c r="B218" s="9"/>
      <c r="C218" s="25"/>
      <c r="D218" s="492"/>
      <c r="E218" s="85">
        <v>2</v>
      </c>
      <c r="F218" s="203"/>
      <c r="G218" s="148"/>
      <c r="H218" s="147"/>
      <c r="I218" s="67">
        <f>IF(A12taxstdlife="n/a","n/a",IF(I$3&gt;(A12taxstdlife+$E218),(Input!$I$53-Input!$I$87)-SUM($H218:H218),(Input!$I$53-Input!$I$87)/A12taxstdlife))</f>
        <v>0.46511739376500005</v>
      </c>
      <c r="J218" s="67">
        <f>IF(A12taxstdlife="n/a","n/a",IF(J$3&gt;(A12taxstdlife+$E218),(Input!$I$53-Input!$I$87)-SUM($H218:I218),(Input!$I$53-Input!$I$87)/A12taxstdlife))</f>
        <v>0.46511739376500005</v>
      </c>
      <c r="K218" s="67">
        <f>IF(A12taxstdlife="n/a","n/a",IF(K$3&gt;(A12taxstdlife+$E218),(Input!$I$53-Input!$I$87)-SUM($H218:J218),(Input!$I$53-Input!$I$87)/A12taxstdlife))</f>
        <v>0.46511739376500005</v>
      </c>
      <c r="L218" s="67"/>
      <c r="M218" s="67">
        <f>IF(A12taxstdlife="n/a","n/a",IF(M$3&gt;(A12taxstdlife+$E218),(Input!$I$53-Input!$I$87)-SUM($H218:L218),(Input!$I$53-Input!$I$87)/A12taxstdlife))</f>
        <v>0.46511739376500005</v>
      </c>
      <c r="N218" s="67">
        <f>IF(A12taxstdlife="n/a","n/a",IF(N$3&gt;(A12taxstdlife+$E218),(Input!$I$53-Input!$I$87)-SUM($H218:M218),(Input!$I$53-Input!$I$87)/A12taxstdlife))</f>
        <v>0.46511739376500005</v>
      </c>
      <c r="O218" s="67">
        <f>IF(A12taxstdlife="n/a","n/a",IF(O$3&gt;(A12taxstdlife+$E218),(Input!$I$53-Input!$I$87)-SUM($H218:N218),(Input!$I$53-Input!$I$87)/A12taxstdlife))</f>
        <v>0.46511739376500005</v>
      </c>
      <c r="P218" s="67">
        <f>IF(A12taxstdlife="n/a","n/a",IF(P$3&gt;(A12taxstdlife+$E218),(Input!$I$53-Input!$I$87)-SUM($H218:O218),(Input!$I$53-Input!$I$87)/A12taxstdlife))</f>
        <v>0.46511739376500005</v>
      </c>
      <c r="Q218" s="67"/>
      <c r="R218" s="102"/>
      <c r="S218" s="102"/>
      <c r="T218" s="102"/>
      <c r="U218" s="102"/>
      <c r="V218" s="102"/>
      <c r="W218" s="102"/>
      <c r="X218" s="102"/>
      <c r="Y218" s="102"/>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185"/>
      <c r="BJ218" s="185"/>
      <c r="BK218" s="185"/>
      <c r="BL218" s="185"/>
      <c r="BM218" s="185"/>
      <c r="BN218" s="185"/>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hidden="1" customHeight="1" outlineLevel="2">
      <c r="A219" s="9"/>
      <c r="B219" s="9"/>
      <c r="C219" s="25"/>
      <c r="D219" s="492"/>
      <c r="E219" s="85">
        <v>3</v>
      </c>
      <c r="F219" s="203"/>
      <c r="G219" s="148"/>
      <c r="H219" s="148"/>
      <c r="I219" s="147"/>
      <c r="J219" s="67">
        <f>IF(A12taxstdlife="n/a","n/a",IF(J$3&gt;(A12taxstdlife+$E219),(Input!$J$53-Input!$J$87)-SUM($I219:I219),(Input!$J$53-Input!$J$87)/A12taxstdlife))</f>
        <v>0.9666107176069999</v>
      </c>
      <c r="K219" s="67">
        <f>IF(A12taxstdlife="n/a","n/a",IF(K$3&gt;(A12taxstdlife+$E219),(Input!$J$53-Input!$J$87)-SUM($I219:J219),(Input!$J$53-Input!$J$87)/A12taxstdlife))</f>
        <v>0.9666107176069999</v>
      </c>
      <c r="L219" s="67"/>
      <c r="M219" s="67">
        <f>IF(A12taxstdlife="n/a","n/a",IF(M$3&gt;(A12taxstdlife+$E219),(Input!$J$53-Input!$J$87)-SUM($I219:L219),(Input!$J$53-Input!$J$87)/A12taxstdlife))</f>
        <v>0.9666107176069999</v>
      </c>
      <c r="N219" s="67">
        <f>IF(A12taxstdlife="n/a","n/a",IF(N$3&gt;(A12taxstdlife+$E219),(Input!$J$53-Input!$J$87)-SUM($I219:M219),(Input!$J$53-Input!$J$87)/A12taxstdlife))</f>
        <v>0.9666107176069999</v>
      </c>
      <c r="O219" s="67">
        <f>IF(A12taxstdlife="n/a","n/a",IF(O$3&gt;(A12taxstdlife+$E219),(Input!$J$53-Input!$J$87)-SUM($I219:N219),(Input!$J$53-Input!$J$87)/A12taxstdlife))</f>
        <v>0.9666107176069999</v>
      </c>
      <c r="P219" s="67">
        <f>IF(A12taxstdlife="n/a","n/a",IF(P$3&gt;(A12taxstdlife+$E219),(Input!$J$53-Input!$J$87)-SUM($I219:O219),(Input!$J$53-Input!$J$87)/A12taxstdlife))</f>
        <v>0.9666107176069999</v>
      </c>
      <c r="Q219" s="67"/>
      <c r="R219" s="102"/>
      <c r="S219" s="102"/>
      <c r="T219" s="102"/>
      <c r="U219" s="102"/>
      <c r="V219" s="102"/>
      <c r="W219" s="102"/>
      <c r="X219" s="102"/>
      <c r="Y219" s="102"/>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185"/>
      <c r="BJ219" s="185"/>
      <c r="BK219" s="185"/>
      <c r="BL219" s="185"/>
      <c r="BM219" s="185"/>
      <c r="BN219" s="185"/>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hidden="1" customHeight="1" outlineLevel="2">
      <c r="A220" s="9"/>
      <c r="B220" s="9"/>
      <c r="C220" s="25"/>
      <c r="D220" s="492"/>
      <c r="E220" s="85">
        <v>4</v>
      </c>
      <c r="F220" s="203"/>
      <c r="G220" s="148"/>
      <c r="H220" s="148"/>
      <c r="I220" s="148"/>
      <c r="J220" s="147"/>
      <c r="K220" s="67">
        <f>IF(A12taxstdlife="n/a","n/a",IF(K$3&gt;(A12taxstdlife+$E220),(Input!$K$53-Input!$K$87)-SUM($J220:J220),(Input!$K$53-Input!$K$87)/A12taxstdlife))</f>
        <v>0.58832237421333367</v>
      </c>
      <c r="L220" s="67"/>
      <c r="M220" s="67">
        <f>IF(A12taxstdlife="n/a","n/a",IF(M$3&gt;(A12taxstdlife+$E220),(Input!$K$53-Input!$K$87)-SUM($J220:L220),(Input!$K$53-Input!$K$87)/A12taxstdlife))</f>
        <v>0.58832237421333367</v>
      </c>
      <c r="N220" s="67">
        <f>IF(A12taxstdlife="n/a","n/a",IF(N$3&gt;(A12taxstdlife+$E220),(Input!$K$53-Input!$K$87)-SUM($J220:M220),(Input!$K$53-Input!$K$87)/A12taxstdlife))</f>
        <v>0.58832237421333367</v>
      </c>
      <c r="O220" s="67">
        <f>IF(A12taxstdlife="n/a","n/a",IF(O$3&gt;(A12taxstdlife+$E220),(Input!$K$53-Input!$K$87)-SUM($J220:N220),(Input!$K$53-Input!$K$87)/A12taxstdlife))</f>
        <v>0.58832237421333367</v>
      </c>
      <c r="P220" s="67">
        <f>IF(A12taxstdlife="n/a","n/a",IF(P$3&gt;(A12taxstdlife+$E220),(Input!$K$53-Input!$K$87)-SUM($J220:O220),(Input!$K$53-Input!$K$87)/A12taxstdlife))</f>
        <v>0.58832237421333367</v>
      </c>
      <c r="Q220" s="67"/>
      <c r="R220" s="102"/>
      <c r="S220" s="102"/>
      <c r="T220" s="102"/>
      <c r="U220" s="102"/>
      <c r="V220" s="102"/>
      <c r="W220" s="102"/>
      <c r="X220" s="102"/>
      <c r="Y220" s="102"/>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185"/>
      <c r="BJ220" s="185"/>
      <c r="BK220" s="185"/>
      <c r="BL220" s="185"/>
      <c r="BM220" s="185"/>
      <c r="BN220" s="185"/>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hidden="1" customHeight="1" outlineLevel="2">
      <c r="A221" s="9"/>
      <c r="B221" s="9"/>
      <c r="C221" s="25"/>
      <c r="D221" s="492"/>
      <c r="E221" s="85">
        <v>5</v>
      </c>
      <c r="F221" s="203"/>
      <c r="G221" s="148"/>
      <c r="H221" s="148"/>
      <c r="I221" s="148"/>
      <c r="J221" s="148"/>
      <c r="K221" s="147"/>
      <c r="L221" s="67"/>
      <c r="M221" s="67">
        <f>IF(A12taxstdlife="n/a","n/a",IF(M$3&gt;(A12taxstdlife+$E221),(Input!$L$53-Input!$L$87)-SUM($K221:L221),(Input!$L$53-Input!$L$87)/A12taxstdlife))</f>
        <v>0.34908088868048365</v>
      </c>
      <c r="N221" s="67">
        <f>IF(A12taxstdlife="n/a","n/a",IF(N$3&gt;(A12taxstdlife+$E221),(Input!$L$53-Input!$L$87)-SUM($K221:M221),(Input!$L$53-Input!$L$87)/A12taxstdlife))</f>
        <v>0.34908088868048365</v>
      </c>
      <c r="O221" s="67">
        <f>IF(A12taxstdlife="n/a","n/a",IF(O$3&gt;(A12taxstdlife+$E221),(Input!$L$53-Input!$L$87)-SUM($K221:N221),(Input!$L$53-Input!$L$87)/A12taxstdlife))</f>
        <v>0.34908088868048365</v>
      </c>
      <c r="P221" s="67">
        <f>IF(A12taxstdlife="n/a","n/a",IF(P$3&gt;(A12taxstdlife+$E221),(Input!$L$53-Input!$L$87)-SUM($K221:O221),(Input!$L$53-Input!$L$87)/A12taxstdlife))</f>
        <v>0.34908088868048365</v>
      </c>
      <c r="Q221" s="67"/>
      <c r="R221" s="102"/>
      <c r="S221" s="102"/>
      <c r="T221" s="102"/>
      <c r="U221" s="102"/>
      <c r="V221" s="102"/>
      <c r="W221" s="102"/>
      <c r="X221" s="102"/>
      <c r="Y221" s="102"/>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185"/>
      <c r="BJ221" s="185"/>
      <c r="BK221" s="185"/>
      <c r="BL221" s="185"/>
      <c r="BM221" s="185"/>
      <c r="BN221" s="185"/>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hidden="1" customHeight="1" outlineLevel="2">
      <c r="A222" s="9"/>
      <c r="B222" s="9"/>
      <c r="C222" s="25"/>
      <c r="D222" s="492"/>
      <c r="E222" s="85">
        <v>6</v>
      </c>
      <c r="F222" s="203"/>
      <c r="G222" s="148"/>
      <c r="H222" s="148"/>
      <c r="I222" s="148"/>
      <c r="J222" s="148"/>
      <c r="K222" s="148"/>
      <c r="L222" s="147"/>
      <c r="M222" s="67">
        <f>IF(A12taxstdlife="n/a","n/a",IF(M$3&gt;(A12taxstdlife+$E222),(Input!$M$53-Input!$M$87)-SUM($L222:L222),(Input!$M$53-Input!$M$87)/A12taxstdlife))</f>
        <v>0</v>
      </c>
      <c r="N222" s="67">
        <f>IF(A12taxstdlife="n/a","n/a",IF(N$3&gt;(A12taxstdlife+$E222),(Input!$M$53-Input!$M$87)-SUM($L222:M222),(Input!$M$53-Input!$M$87)/A12taxstdlife))</f>
        <v>0</v>
      </c>
      <c r="O222" s="67">
        <f>IF(A12taxstdlife="n/a","n/a",IF(O$3&gt;(A12taxstdlife+$E222),(Input!$M$53-Input!$M$87)-SUM($L222:N222),(Input!$M$53-Input!$M$87)/A12taxstdlife))</f>
        <v>0</v>
      </c>
      <c r="P222" s="67">
        <f>IF(A12taxstdlife="n/a","n/a",IF(P$3&gt;(A12taxstdlife+$E222),(Input!$M$53-Input!$M$87)-SUM($L222:O222),(Input!$M$53-Input!$M$87)/A12taxstdlife))</f>
        <v>0</v>
      </c>
      <c r="Q222" s="67"/>
      <c r="R222" s="102"/>
      <c r="S222" s="102"/>
      <c r="T222" s="102"/>
      <c r="U222" s="102"/>
      <c r="V222" s="102"/>
      <c r="W222" s="102"/>
      <c r="X222" s="102"/>
      <c r="Y222" s="102"/>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185"/>
      <c r="BJ222" s="185"/>
      <c r="BK222" s="185"/>
      <c r="BL222" s="185"/>
      <c r="BM222" s="185"/>
      <c r="BN222" s="185"/>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hidden="1" customHeight="1" outlineLevel="2">
      <c r="A223" s="9"/>
      <c r="B223" s="9"/>
      <c r="C223" s="25"/>
      <c r="D223" s="492"/>
      <c r="E223" s="85">
        <v>7</v>
      </c>
      <c r="F223" s="203"/>
      <c r="G223" s="148"/>
      <c r="H223" s="148"/>
      <c r="I223" s="148"/>
      <c r="J223" s="148"/>
      <c r="K223" s="148"/>
      <c r="L223" s="148"/>
      <c r="M223" s="147"/>
      <c r="N223" s="67">
        <f>IF(A12taxstdlife="n/a","n/a",IF(N$3&gt;(A12taxstdlife+$E223),(Input!$N$53-Input!$N$87)-SUM($M223:M223),(Input!$N$53-Input!$N$87)/A12taxstdlife))</f>
        <v>0</v>
      </c>
      <c r="O223" s="67">
        <f>IF(A12taxstdlife="n/a","n/a",IF(O$3&gt;(A12taxstdlife+$E223),(Input!$N$53-Input!$N$87)-SUM($M223:N223),(Input!$N$53-Input!$N$87)/A12taxstdlife))</f>
        <v>0</v>
      </c>
      <c r="P223" s="67">
        <f>IF(A12taxstdlife="n/a","n/a",IF(P$3&gt;(A12taxstdlife+$E223),(Input!$N$53-Input!$N$87)-SUM($M223:O223),(Input!$N$53-Input!$N$87)/A12taxstdlife))</f>
        <v>0</v>
      </c>
      <c r="Q223" s="67"/>
      <c r="R223" s="102"/>
      <c r="S223" s="102"/>
      <c r="T223" s="102"/>
      <c r="U223" s="102"/>
      <c r="V223" s="102"/>
      <c r="W223" s="102"/>
      <c r="X223" s="102"/>
      <c r="Y223" s="102"/>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185"/>
      <c r="BJ223" s="185"/>
      <c r="BK223" s="185"/>
      <c r="BL223" s="185"/>
      <c r="BM223" s="185"/>
      <c r="BN223" s="185"/>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hidden="1" customHeight="1" outlineLevel="2">
      <c r="A224" s="9"/>
      <c r="B224" s="9"/>
      <c r="C224" s="25"/>
      <c r="D224" s="492"/>
      <c r="E224" s="85">
        <v>8</v>
      </c>
      <c r="F224" s="203"/>
      <c r="G224" s="148"/>
      <c r="H224" s="148"/>
      <c r="I224" s="148"/>
      <c r="J224" s="148"/>
      <c r="K224" s="148"/>
      <c r="L224" s="148"/>
      <c r="M224" s="148"/>
      <c r="N224" s="147"/>
      <c r="O224" s="67">
        <f>IF(A12taxstdlife="n/a","n/a",IF(O$3&gt;(A12taxstdlife+$E224),(Input!$O$53-Input!$O$87)-SUM($N224:N224),(Input!$O$53-Input!$O$87)/A12taxstdlife))</f>
        <v>0</v>
      </c>
      <c r="P224" s="67">
        <f>IF(A12taxstdlife="n/a","n/a",IF(P$3&gt;(A12taxstdlife+$E224),(Input!$O$53-Input!$O$87)-SUM($N224:O224),(Input!$O$53-Input!$O$87)/A12taxstdlife))</f>
        <v>0</v>
      </c>
      <c r="Q224" s="67"/>
      <c r="R224" s="102"/>
      <c r="S224" s="102"/>
      <c r="T224" s="102"/>
      <c r="U224" s="102"/>
      <c r="V224" s="102"/>
      <c r="W224" s="102"/>
      <c r="X224" s="102"/>
      <c r="Y224" s="102"/>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185"/>
      <c r="BJ224" s="185"/>
      <c r="BK224" s="185"/>
      <c r="BL224" s="185"/>
      <c r="BM224" s="185"/>
      <c r="BN224" s="185"/>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hidden="1" customHeight="1" outlineLevel="2">
      <c r="A225" s="9"/>
      <c r="B225" s="9"/>
      <c r="C225" s="25"/>
      <c r="D225" s="492"/>
      <c r="E225" s="85">
        <v>9</v>
      </c>
      <c r="F225" s="203"/>
      <c r="G225" s="148"/>
      <c r="H225" s="148"/>
      <c r="I225" s="148"/>
      <c r="J225" s="148"/>
      <c r="K225" s="148"/>
      <c r="L225" s="148"/>
      <c r="M225" s="148"/>
      <c r="N225" s="148"/>
      <c r="O225" s="147"/>
      <c r="P225" s="67">
        <f>IF(A12taxstdlife="n/a","n/a",IF(P$3&gt;(A12taxstdlife+$E225),(Input!$P$53-Input!$P$87)-SUM($O225:O225),(Input!$P$53-Input!$P$87)/A12taxstdlife))</f>
        <v>0</v>
      </c>
      <c r="Q225" s="67"/>
      <c r="R225" s="102"/>
      <c r="S225" s="102"/>
      <c r="T225" s="102"/>
      <c r="U225" s="102"/>
      <c r="V225" s="102"/>
      <c r="W225" s="102"/>
      <c r="X225" s="102"/>
      <c r="Y225" s="102"/>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185"/>
      <c r="BJ225" s="185"/>
      <c r="BK225" s="185"/>
      <c r="BL225" s="185"/>
      <c r="BM225" s="185"/>
      <c r="BN225" s="18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hidden="1" customHeight="1" outlineLevel="2">
      <c r="A226" s="9"/>
      <c r="B226" s="9"/>
      <c r="C226" s="25"/>
      <c r="D226" s="492"/>
      <c r="E226" s="86">
        <v>10</v>
      </c>
      <c r="F226" s="203"/>
      <c r="G226" s="148"/>
      <c r="H226" s="148"/>
      <c r="I226" s="148"/>
      <c r="J226" s="148"/>
      <c r="K226" s="148"/>
      <c r="L226" s="148"/>
      <c r="M226" s="148"/>
      <c r="N226" s="148"/>
      <c r="O226" s="187"/>
      <c r="P226" s="147"/>
      <c r="Q226" s="67"/>
      <c r="R226" s="102"/>
      <c r="S226" s="102"/>
      <c r="T226" s="102"/>
      <c r="U226" s="102"/>
      <c r="V226" s="102"/>
      <c r="W226" s="102"/>
      <c r="X226" s="102"/>
      <c r="Y226" s="102"/>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185"/>
      <c r="BJ226" s="185"/>
      <c r="BK226" s="185"/>
      <c r="BL226" s="185"/>
      <c r="BM226" s="185"/>
      <c r="BN226" s="185"/>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hidden="1" customHeight="1" outlineLevel="1">
      <c r="A227" s="9"/>
      <c r="B227" s="9"/>
      <c r="C227" s="25" t="str">
        <f>Asset12</f>
        <v>Ancillary substation equipment (dx)</v>
      </c>
      <c r="D227" s="9"/>
      <c r="E227" s="9"/>
      <c r="F227" s="203"/>
      <c r="G227" s="164">
        <f>-SUM(G215:G226)</f>
        <v>0</v>
      </c>
      <c r="H227" s="164">
        <f>-SUM(H215:H226)</f>
        <v>-1.799128284254</v>
      </c>
      <c r="I227" s="164">
        <f>-SUM(I215:I226)</f>
        <v>-2.2642456780189999</v>
      </c>
      <c r="J227" s="164">
        <f>-SUM(J215:J226)</f>
        <v>-3.2308563956259997</v>
      </c>
      <c r="K227" s="164">
        <f>-SUM(K215:K226)</f>
        <v>-3.8191787698393336</v>
      </c>
      <c r="L227" s="164"/>
      <c r="M227" s="164">
        <f>IF(Input!N174&gt;0, -SUM(M215:M226), 0)</f>
        <v>0</v>
      </c>
      <c r="N227" s="164">
        <f>IF(Input!O174&gt;0, -SUM(N215:N226), 0)</f>
        <v>0</v>
      </c>
      <c r="O227" s="164">
        <f>IF(Input!P174&gt;0, -SUM(O215:O226), 0)</f>
        <v>0</v>
      </c>
      <c r="P227" s="164">
        <f>IF(Input!Q174&gt;0, -SUM(P215:P226), 0)</f>
        <v>0</v>
      </c>
      <c r="Q227" s="63"/>
      <c r="R227" s="101"/>
      <c r="S227" s="101"/>
      <c r="T227" s="101"/>
      <c r="U227" s="101"/>
      <c r="V227" s="101"/>
      <c r="W227" s="101"/>
      <c r="X227" s="101"/>
      <c r="Y227" s="10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185"/>
      <c r="BJ227" s="185"/>
      <c r="BK227" s="185"/>
      <c r="BL227" s="185"/>
      <c r="BM227" s="185"/>
      <c r="BN227" s="185"/>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hidden="1" customHeight="1" outlineLevel="2">
      <c r="A228" s="9"/>
      <c r="B228" s="31" t="str">
        <f>Asset13</f>
        <v>Land and Easements</v>
      </c>
      <c r="C228" s="32"/>
      <c r="D228" s="33" t="s">
        <v>65</v>
      </c>
      <c r="E228" s="32"/>
      <c r="F228" s="203"/>
      <c r="G228" s="459">
        <f>'Tax asset base adjustments'!Q47</f>
        <v>0</v>
      </c>
      <c r="H228" s="459">
        <f>'Tax asset base adjustments'!R47</f>
        <v>0</v>
      </c>
      <c r="I228" s="459">
        <f>'Tax asset base adjustments'!S47</f>
        <v>0</v>
      </c>
      <c r="J228" s="459">
        <f>'Tax asset base adjustments'!T47</f>
        <v>0</v>
      </c>
      <c r="K228" s="459">
        <f>'Tax asset base adjustments'!U47</f>
        <v>0</v>
      </c>
      <c r="L228" s="344"/>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2"/>
      <c r="S228" s="301">
        <f>SUM(K228:K233)</f>
        <v>0</v>
      </c>
      <c r="T228" s="102"/>
      <c r="U228" s="102"/>
      <c r="V228" s="102"/>
      <c r="W228" s="102"/>
      <c r="X228" s="102"/>
      <c r="Y228" s="102"/>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185"/>
      <c r="BJ228" s="185"/>
      <c r="BK228" s="185"/>
      <c r="BL228" s="185"/>
      <c r="BM228" s="185"/>
      <c r="BN228" s="185"/>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5"/>
      <c r="D229" s="491" t="s">
        <v>83</v>
      </c>
      <c r="E229" s="85"/>
      <c r="F229" s="302"/>
      <c r="G229" s="212"/>
      <c r="H229" s="212"/>
      <c r="I229" s="212"/>
      <c r="J229" s="212"/>
      <c r="K229" s="212"/>
      <c r="L229" s="67"/>
      <c r="M229" s="67"/>
      <c r="N229" s="67"/>
      <c r="O229" s="67"/>
      <c r="P229" s="67"/>
      <c r="Q229" s="67"/>
      <c r="R229" s="102"/>
      <c r="S229" s="102"/>
      <c r="T229" s="102"/>
      <c r="U229" s="102"/>
      <c r="V229" s="102"/>
      <c r="W229" s="102"/>
      <c r="X229" s="102"/>
      <c r="Y229" s="102"/>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185"/>
      <c r="BJ229" s="185"/>
      <c r="BK229" s="185"/>
      <c r="BL229" s="185"/>
      <c r="BM229" s="185"/>
      <c r="BN229" s="185"/>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hidden="1" customHeight="1" outlineLevel="2">
      <c r="A230" s="9"/>
      <c r="B230" s="9"/>
      <c r="C230" s="25"/>
      <c r="D230" s="492"/>
      <c r="E230" s="85">
        <v>1</v>
      </c>
      <c r="F230" s="191"/>
      <c r="G230" s="147"/>
      <c r="H230" s="67" t="str">
        <f>IF(A13taxstdlife="n/a","n/a",IF(H$3&gt;(A13taxstdlife+$E230),(Input!$H$54-Input!$H$88)-SUM($G230:G230),(Input!$H$54-Input!$H$88)/A13taxstdlife))</f>
        <v>n/a</v>
      </c>
      <c r="I230" s="67" t="str">
        <f>IF(A13taxstdlife="n/a","n/a",IF(I$3&gt;(A13taxstdlife+$E230),(Input!$H$54-Input!$H$88)-SUM($G230:H230),(Input!$H$54-Input!$H$88)/A13taxstdlife))</f>
        <v>n/a</v>
      </c>
      <c r="J230" s="67" t="str">
        <f>IF(A13taxstdlife="n/a","n/a",IF(J$3&gt;(A13taxstdlife+$E230),(Input!$H$54-Input!$H$88)-SUM($G230:I230),(Input!$H$54-Input!$H$88)/A13taxstdlife))</f>
        <v>n/a</v>
      </c>
      <c r="K230" s="67" t="str">
        <f>IF(A13taxstdlife="n/a","n/a",IF(K$3&gt;(A13taxstdlife+$E230),(Input!$H$54-Input!$H$88)-SUM($G230:J230),(Input!$H$54-Input!$H$88)/A13taxstdlife))</f>
        <v>n/a</v>
      </c>
      <c r="L230" s="67"/>
      <c r="M230" s="67" t="str">
        <f>IF(A13taxstdlife="n/a","n/a",IF(M$3&gt;(A13taxstdlife+$E230),(Input!$H$54-Input!$H$88)-SUM($G230:L230),(Input!$H$54-Input!$H$88)/A13taxstdlife))</f>
        <v>n/a</v>
      </c>
      <c r="N230" s="67" t="str">
        <f>IF(A13taxstdlife="n/a","n/a",IF(N$3&gt;(A13taxstdlife+$E230),(Input!$H$54-Input!$H$88)-SUM($G230:M230),(Input!$H$54-Input!$H$88)/A13taxstdlife))</f>
        <v>n/a</v>
      </c>
      <c r="O230" s="67" t="str">
        <f>IF(A13taxstdlife="n/a","n/a",IF(O$3&gt;(A13taxstdlife+$E230),(Input!$H$54-Input!$H$88)-SUM($G230:N230),(Input!$H$54-Input!$H$88)/A13taxstdlife))</f>
        <v>n/a</v>
      </c>
      <c r="P230" s="67" t="str">
        <f>IF(A13taxstdlife="n/a","n/a",IF(P$3&gt;(A13taxstdlife+$E230),(Input!$H$54-Input!$H$88)-SUM($G230:O230),(Input!$H$54-Input!$H$88)/A13taxstdlife))</f>
        <v>n/a</v>
      </c>
      <c r="Q230" s="67"/>
      <c r="R230" s="102"/>
      <c r="S230" s="102"/>
      <c r="T230" s="102"/>
      <c r="U230" s="102"/>
      <c r="V230" s="102"/>
      <c r="W230" s="102"/>
      <c r="X230" s="102"/>
      <c r="Y230" s="102"/>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185"/>
      <c r="BJ230" s="185"/>
      <c r="BK230" s="185"/>
      <c r="BL230" s="185"/>
      <c r="BM230" s="185"/>
      <c r="BN230" s="185"/>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hidden="1" customHeight="1" outlineLevel="2">
      <c r="A231" s="9"/>
      <c r="B231" s="9"/>
      <c r="C231" s="25"/>
      <c r="D231" s="492"/>
      <c r="E231" s="85">
        <v>2</v>
      </c>
      <c r="F231" s="191"/>
      <c r="G231" s="148"/>
      <c r="H231" s="147"/>
      <c r="I231" s="67" t="str">
        <f>IF(A13taxstdlife="n/a","n/a",IF(I$3&gt;(A13taxstdlife+$E231),(Input!$I$54-Input!$I$88)-SUM($H231:H231),(Input!$I$54-Input!$I$88)/A13taxstdlife))</f>
        <v>n/a</v>
      </c>
      <c r="J231" s="67" t="str">
        <f>IF(A13taxstdlife="n/a","n/a",IF(J$3&gt;(A13taxstdlife+$E231),(Input!$I$54-Input!$I$88)-SUM($H231:I231),(Input!$I$54-Input!$I$88)/A13taxstdlife))</f>
        <v>n/a</v>
      </c>
      <c r="K231" s="67" t="str">
        <f>IF(A13taxstdlife="n/a","n/a",IF(K$3&gt;(A13taxstdlife+$E231),(Input!$I$54-Input!$I$88)-SUM($H231:J231),(Input!$I$54-Input!$I$88)/A13taxstdlife))</f>
        <v>n/a</v>
      </c>
      <c r="L231" s="67"/>
      <c r="M231" s="67" t="str">
        <f>IF(A13taxstdlife="n/a","n/a",IF(M$3&gt;(A13taxstdlife+$E231),(Input!$I$54-Input!$I$88)-SUM($H231:L231),(Input!$I$54-Input!$I$88)/A13taxstdlife))</f>
        <v>n/a</v>
      </c>
      <c r="N231" s="67" t="str">
        <f>IF(A13taxstdlife="n/a","n/a",IF(N$3&gt;(A13taxstdlife+$E231),(Input!$I$54-Input!$I$88)-SUM($H231:M231),(Input!$I$54-Input!$I$88)/A13taxstdlife))</f>
        <v>n/a</v>
      </c>
      <c r="O231" s="67" t="str">
        <f>IF(A13taxstdlife="n/a","n/a",IF(O$3&gt;(A13taxstdlife+$E231),(Input!$I$54-Input!$I$88)-SUM($H231:N231),(Input!$I$54-Input!$I$88)/A13taxstdlife))</f>
        <v>n/a</v>
      </c>
      <c r="P231" s="67" t="str">
        <f>IF(A13taxstdlife="n/a","n/a",IF(P$3&gt;(A13taxstdlife+$E231),(Input!$I$54-Input!$I$88)-SUM($H231:O231),(Input!$I$54-Input!$I$88)/A13taxstdlife))</f>
        <v>n/a</v>
      </c>
      <c r="Q231" s="67"/>
      <c r="R231" s="102"/>
      <c r="S231" s="102"/>
      <c r="T231" s="102"/>
      <c r="U231" s="102"/>
      <c r="V231" s="102"/>
      <c r="W231" s="102"/>
      <c r="X231" s="102"/>
      <c r="Y231" s="102"/>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185"/>
      <c r="BJ231" s="185"/>
      <c r="BK231" s="185"/>
      <c r="BL231" s="185"/>
      <c r="BM231" s="185"/>
      <c r="BN231" s="185"/>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hidden="1" customHeight="1" outlineLevel="2">
      <c r="A232" s="9"/>
      <c r="B232" s="9"/>
      <c r="C232" s="25"/>
      <c r="D232" s="492"/>
      <c r="E232" s="85">
        <v>3</v>
      </c>
      <c r="F232" s="191"/>
      <c r="G232" s="148"/>
      <c r="H232" s="148"/>
      <c r="I232" s="147"/>
      <c r="J232" s="67" t="str">
        <f>IF(A13taxstdlife="n/a","n/a",IF(J$3&gt;(A13taxstdlife+$E232),(Input!$J$54-Input!$J$88)-SUM($I232:I232),(Input!$J$54-Input!$J$88)/A13taxstdlife))</f>
        <v>n/a</v>
      </c>
      <c r="K232" s="67" t="str">
        <f>IF(A13taxstdlife="n/a","n/a",IF(K$3&gt;(A13taxstdlife+$E232),(Input!$J$54-Input!$J$88)-SUM($I232:J232),(Input!$J$54-Input!$J$88)/A13taxstdlife))</f>
        <v>n/a</v>
      </c>
      <c r="L232" s="67"/>
      <c r="M232" s="67" t="str">
        <f>IF(A13taxstdlife="n/a","n/a",IF(M$3&gt;(A13taxstdlife+$E232),(Input!$J$54-Input!$J$88)-SUM($I232:L232),(Input!$J$54-Input!$J$88)/A13taxstdlife))</f>
        <v>n/a</v>
      </c>
      <c r="N232" s="67" t="str">
        <f>IF(A13taxstdlife="n/a","n/a",IF(N$3&gt;(A13taxstdlife+$E232),(Input!$J$54-Input!$J$88)-SUM($I232:M232),(Input!$J$54-Input!$J$88)/A13taxstdlife))</f>
        <v>n/a</v>
      </c>
      <c r="O232" s="67" t="str">
        <f>IF(A13taxstdlife="n/a","n/a",IF(O$3&gt;(A13taxstdlife+$E232),(Input!$J$54-Input!$J$88)-SUM($I232:N232),(Input!$J$54-Input!$J$88)/A13taxstdlife))</f>
        <v>n/a</v>
      </c>
      <c r="P232" s="67" t="str">
        <f>IF(A13taxstdlife="n/a","n/a",IF(P$3&gt;(A13taxstdlife+$E232),(Input!$J$54-Input!$J$88)-SUM($I232:O232),(Input!$J$54-Input!$J$88)/A13taxstdlife))</f>
        <v>n/a</v>
      </c>
      <c r="Q232" s="67"/>
      <c r="R232" s="102"/>
      <c r="S232" s="102"/>
      <c r="T232" s="102"/>
      <c r="U232" s="102"/>
      <c r="V232" s="102"/>
      <c r="W232" s="102"/>
      <c r="X232" s="102"/>
      <c r="Y232" s="102"/>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185"/>
      <c r="BJ232" s="185"/>
      <c r="BK232" s="185"/>
      <c r="BL232" s="185"/>
      <c r="BM232" s="185"/>
      <c r="BN232" s="185"/>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hidden="1" customHeight="1" outlineLevel="2">
      <c r="A233" s="9"/>
      <c r="B233" s="9"/>
      <c r="C233" s="25"/>
      <c r="D233" s="492"/>
      <c r="E233" s="85">
        <v>4</v>
      </c>
      <c r="F233" s="191"/>
      <c r="G233" s="148"/>
      <c r="H233" s="148"/>
      <c r="I233" s="148"/>
      <c r="J233" s="147"/>
      <c r="K233" s="67" t="str">
        <f>IF(A13taxstdlife="n/a","n/a",IF(K$3&gt;(A13taxstdlife+$E233),(Input!$K$54-Input!$K$88)-SUM($J233:J233),(Input!$K$54-Input!$K$88)/A13taxstdlife))</f>
        <v>n/a</v>
      </c>
      <c r="L233" s="67"/>
      <c r="M233" s="67" t="str">
        <f>IF(A13taxstdlife="n/a","n/a",IF(M$3&gt;(A13taxstdlife+$E233),(Input!$K$54-Input!$K$88)-SUM($J233:L233),(Input!$K$54-Input!$K$88)/A13taxstdlife))</f>
        <v>n/a</v>
      </c>
      <c r="N233" s="67" t="str">
        <f>IF(A13taxstdlife="n/a","n/a",IF(N$3&gt;(A13taxstdlife+$E233),(Input!$K$54-Input!$K$88)-SUM($J233:M233),(Input!$K$54-Input!$K$88)/A13taxstdlife))</f>
        <v>n/a</v>
      </c>
      <c r="O233" s="67" t="str">
        <f>IF(A13taxstdlife="n/a","n/a",IF(O$3&gt;(A13taxstdlife+$E233),(Input!$K$54-Input!$K$88)-SUM($J233:N233),(Input!$K$54-Input!$K$88)/A13taxstdlife))</f>
        <v>n/a</v>
      </c>
      <c r="P233" s="67" t="str">
        <f>IF(A13taxstdlife="n/a","n/a",IF(P$3&gt;(A13taxstdlife+$E233),(Input!$K$54-Input!$K$88)-SUM($J233:O233),(Input!$K$54-Input!$K$88)/A13taxstdlife))</f>
        <v>n/a</v>
      </c>
      <c r="Q233" s="67"/>
      <c r="R233" s="102"/>
      <c r="S233" s="102"/>
      <c r="T233" s="102"/>
      <c r="U233" s="102"/>
      <c r="V233" s="102"/>
      <c r="W233" s="102"/>
      <c r="X233" s="102"/>
      <c r="Y233" s="102"/>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185"/>
      <c r="BJ233" s="185"/>
      <c r="BK233" s="185"/>
      <c r="BL233" s="185"/>
      <c r="BM233" s="185"/>
      <c r="BN233" s="185"/>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hidden="1" customHeight="1" outlineLevel="2">
      <c r="A234" s="9"/>
      <c r="B234" s="9"/>
      <c r="C234" s="25"/>
      <c r="D234" s="492"/>
      <c r="E234" s="85">
        <v>5</v>
      </c>
      <c r="F234" s="191"/>
      <c r="G234" s="148"/>
      <c r="H234" s="148"/>
      <c r="I234" s="148"/>
      <c r="J234" s="148"/>
      <c r="K234" s="147"/>
      <c r="L234" s="67"/>
      <c r="M234" s="67" t="str">
        <f>IF(A13taxstdlife="n/a","n/a",IF(M$3&gt;(A13taxstdlife+$E234),(Input!$L$54-Input!$L$88)-SUM($K234:L234),(Input!$L$54-Input!$L$88)/A13taxstdlife))</f>
        <v>n/a</v>
      </c>
      <c r="N234" s="67" t="str">
        <f>IF(A13taxstdlife="n/a","n/a",IF(N$3&gt;(A13taxstdlife+$E234),(Input!$L$54-Input!$L$88)-SUM($K234:M234),(Input!$L$54-Input!$L$88)/A13taxstdlife))</f>
        <v>n/a</v>
      </c>
      <c r="O234" s="67" t="str">
        <f>IF(A13taxstdlife="n/a","n/a",IF(O$3&gt;(A13taxstdlife+$E234),(Input!$L$54-Input!$L$88)-SUM($K234:N234),(Input!$L$54-Input!$L$88)/A13taxstdlife))</f>
        <v>n/a</v>
      </c>
      <c r="P234" s="67" t="str">
        <f>IF(A13taxstdlife="n/a","n/a",IF(P$3&gt;(A13taxstdlife+$E234),(Input!$L$54-Input!$L$88)-SUM($K234:O234),(Input!$L$54-Input!$L$88)/A13taxstdlife))</f>
        <v>n/a</v>
      </c>
      <c r="Q234" s="67"/>
      <c r="R234" s="102"/>
      <c r="S234" s="102"/>
      <c r="T234" s="102"/>
      <c r="U234" s="102"/>
      <c r="V234" s="102"/>
      <c r="W234" s="102"/>
      <c r="X234" s="102"/>
      <c r="Y234" s="102"/>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185"/>
      <c r="BJ234" s="185"/>
      <c r="BK234" s="185"/>
      <c r="BL234" s="185"/>
      <c r="BM234" s="185"/>
      <c r="BN234" s="185"/>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hidden="1" customHeight="1" outlineLevel="2">
      <c r="A235" s="9"/>
      <c r="B235" s="9"/>
      <c r="C235" s="25"/>
      <c r="D235" s="492"/>
      <c r="E235" s="85">
        <v>6</v>
      </c>
      <c r="F235" s="191"/>
      <c r="G235" s="148"/>
      <c r="H235" s="148"/>
      <c r="I235" s="148"/>
      <c r="J235" s="148"/>
      <c r="K235" s="148"/>
      <c r="L235" s="147"/>
      <c r="M235" s="67" t="str">
        <f>IF(A13taxstdlife="n/a","n/a",IF(M$3&gt;(A13taxstdlife+$E235),(Input!$M$54-Input!$M$88)-SUM($L235:L235),(Input!$M$54-Input!$M$88)/A13taxstdlife))</f>
        <v>n/a</v>
      </c>
      <c r="N235" s="67" t="str">
        <f>IF(A13taxstdlife="n/a","n/a",IF(N$3&gt;(A13taxstdlife+$E235),(Input!$M$54-Input!$M$88)-SUM($L235:M235),(Input!$M$54-Input!$M$88)/A13taxstdlife))</f>
        <v>n/a</v>
      </c>
      <c r="O235" s="67" t="str">
        <f>IF(A13taxstdlife="n/a","n/a",IF(O$3&gt;(A13taxstdlife+$E235),(Input!$M$54-Input!$M$88)-SUM($L235:N235),(Input!$M$54-Input!$M$88)/A13taxstdlife))</f>
        <v>n/a</v>
      </c>
      <c r="P235" s="67" t="str">
        <f>IF(A13taxstdlife="n/a","n/a",IF(P$3&gt;(A13taxstdlife+$E235),(Input!$M$54-Input!$M$88)-SUM($L235:O235),(Input!$M$54-Input!$M$88)/A13taxstdlife))</f>
        <v>n/a</v>
      </c>
      <c r="Q235" s="67"/>
      <c r="R235" s="102"/>
      <c r="S235" s="102"/>
      <c r="T235" s="102"/>
      <c r="U235" s="102"/>
      <c r="V235" s="102"/>
      <c r="W235" s="102"/>
      <c r="X235" s="102"/>
      <c r="Y235" s="102"/>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185"/>
      <c r="BJ235" s="185"/>
      <c r="BK235" s="185"/>
      <c r="BL235" s="185"/>
      <c r="BM235" s="185"/>
      <c r="BN235" s="18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hidden="1" customHeight="1" outlineLevel="2">
      <c r="A236" s="9"/>
      <c r="B236" s="9"/>
      <c r="C236" s="25"/>
      <c r="D236" s="492"/>
      <c r="E236" s="85">
        <v>7</v>
      </c>
      <c r="F236" s="191"/>
      <c r="G236" s="148"/>
      <c r="H236" s="148"/>
      <c r="I236" s="148"/>
      <c r="J236" s="148"/>
      <c r="K236" s="148"/>
      <c r="L236" s="148"/>
      <c r="M236" s="147"/>
      <c r="N236" s="67" t="str">
        <f>IF(A13taxstdlife="n/a","n/a",IF(N$3&gt;(A13taxstdlife+$E236),(Input!$N$54-Input!$N$88)-SUM($M236:M236),(Input!$N$54-Input!$N$88)/A13taxstdlife))</f>
        <v>n/a</v>
      </c>
      <c r="O236" s="67" t="str">
        <f>IF(A13taxstdlife="n/a","n/a",IF(O$3&gt;(A13taxstdlife+$E236),(Input!$N$54-Input!$N$88)-SUM($M236:N236),(Input!$N$54-Input!$N$88)/A13taxstdlife))</f>
        <v>n/a</v>
      </c>
      <c r="P236" s="67" t="str">
        <f>IF(A13taxstdlife="n/a","n/a",IF(P$3&gt;(A13taxstdlife+$E236),(Input!$N$54-Input!$N$88)-SUM($M236:O236),(Input!$N$54-Input!$N$88)/A13taxstdlife))</f>
        <v>n/a</v>
      </c>
      <c r="Q236" s="67"/>
      <c r="R236" s="102"/>
      <c r="S236" s="102"/>
      <c r="T236" s="102"/>
      <c r="U236" s="102"/>
      <c r="V236" s="102"/>
      <c r="W236" s="102"/>
      <c r="X236" s="102"/>
      <c r="Y236" s="102"/>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185"/>
      <c r="BJ236" s="185"/>
      <c r="BK236" s="185"/>
      <c r="BL236" s="185"/>
      <c r="BM236" s="185"/>
      <c r="BN236" s="185"/>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hidden="1" customHeight="1" outlineLevel="2">
      <c r="A237" s="9"/>
      <c r="B237" s="9"/>
      <c r="C237" s="25"/>
      <c r="D237" s="492"/>
      <c r="E237" s="85">
        <v>8</v>
      </c>
      <c r="F237" s="191"/>
      <c r="G237" s="148"/>
      <c r="H237" s="148"/>
      <c r="I237" s="148"/>
      <c r="J237" s="148"/>
      <c r="K237" s="148"/>
      <c r="L237" s="148"/>
      <c r="M237" s="148"/>
      <c r="N237" s="147"/>
      <c r="O237" s="67" t="str">
        <f>IF(A13taxstdlife="n/a","n/a",IF(O$3&gt;(A13taxstdlife+$E237),(Input!$O$54-Input!$O$88)-SUM($N237:N237),(Input!$O$54-Input!$O$88)/A13taxstdlife))</f>
        <v>n/a</v>
      </c>
      <c r="P237" s="67" t="str">
        <f>IF(A13taxstdlife="n/a","n/a",IF(P$3&gt;(A13taxstdlife+$E237),(Input!$O$54-Input!$O$88)-SUM($N237:O237),(Input!$O$54-Input!$O$88)/A13taxstdlife))</f>
        <v>n/a</v>
      </c>
      <c r="Q237" s="67"/>
      <c r="R237" s="102"/>
      <c r="S237" s="102"/>
      <c r="T237" s="102"/>
      <c r="U237" s="102"/>
      <c r="V237" s="102"/>
      <c r="W237" s="102"/>
      <c r="X237" s="102"/>
      <c r="Y237" s="102"/>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185"/>
      <c r="BJ237" s="185"/>
      <c r="BK237" s="185"/>
      <c r="BL237" s="185"/>
      <c r="BM237" s="185"/>
      <c r="BN237" s="185"/>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hidden="1" customHeight="1" outlineLevel="2">
      <c r="A238" s="9"/>
      <c r="B238" s="9"/>
      <c r="C238" s="25"/>
      <c r="D238" s="492"/>
      <c r="E238" s="85">
        <v>9</v>
      </c>
      <c r="F238" s="191"/>
      <c r="G238" s="148"/>
      <c r="H238" s="148"/>
      <c r="I238" s="148"/>
      <c r="J238" s="148"/>
      <c r="K238" s="148"/>
      <c r="L238" s="148"/>
      <c r="M238" s="148"/>
      <c r="N238" s="148"/>
      <c r="O238" s="147"/>
      <c r="P238" s="67" t="str">
        <f>IF(A13taxstdlife="n/a","n/a",IF(P$3&gt;(A13taxstdlife+$E238),(Input!$P$54-Input!$P$88)-SUM($O238:O238),(Input!$P$54-Input!$P$88)/A13taxstdlife))</f>
        <v>n/a</v>
      </c>
      <c r="Q238" s="67"/>
      <c r="R238" s="102"/>
      <c r="S238" s="102"/>
      <c r="T238" s="102"/>
      <c r="U238" s="102"/>
      <c r="V238" s="102"/>
      <c r="W238" s="102"/>
      <c r="X238" s="102"/>
      <c r="Y238" s="102"/>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185"/>
      <c r="BJ238" s="185"/>
      <c r="BK238" s="185"/>
      <c r="BL238" s="185"/>
      <c r="BM238" s="185"/>
      <c r="BN238" s="185"/>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hidden="1" customHeight="1" outlineLevel="2">
      <c r="A239" s="9"/>
      <c r="B239" s="9"/>
      <c r="C239" s="25"/>
      <c r="D239" s="492"/>
      <c r="E239" s="86">
        <v>10</v>
      </c>
      <c r="F239" s="191"/>
      <c r="G239" s="148"/>
      <c r="H239" s="148"/>
      <c r="I239" s="148"/>
      <c r="J239" s="148"/>
      <c r="K239" s="148"/>
      <c r="L239" s="148"/>
      <c r="M239" s="148"/>
      <c r="N239" s="148"/>
      <c r="O239" s="187"/>
      <c r="P239" s="147"/>
      <c r="Q239" s="67"/>
      <c r="R239" s="102"/>
      <c r="S239" s="102"/>
      <c r="T239" s="102"/>
      <c r="U239" s="102"/>
      <c r="V239" s="102"/>
      <c r="W239" s="102"/>
      <c r="X239" s="102"/>
      <c r="Y239" s="102"/>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185"/>
      <c r="BJ239" s="185"/>
      <c r="BK239" s="185"/>
      <c r="BL239" s="185"/>
      <c r="BM239" s="185"/>
      <c r="BN239" s="185"/>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hidden="1" customHeight="1" outlineLevel="1">
      <c r="A240" s="9"/>
      <c r="B240" s="9"/>
      <c r="C240" s="25" t="str">
        <f>Asset13</f>
        <v>Land and Easements</v>
      </c>
      <c r="D240" s="9"/>
      <c r="E240" s="9"/>
      <c r="F240" s="191"/>
      <c r="G240" s="164">
        <f>-SUM(G228:G239)</f>
        <v>0</v>
      </c>
      <c r="H240" s="164">
        <f>-SUM(H228:H239)</f>
        <v>0</v>
      </c>
      <c r="I240" s="164">
        <f>-SUM(I228:I239)</f>
        <v>0</v>
      </c>
      <c r="J240" s="164">
        <f>-SUM(J228:J239)</f>
        <v>0</v>
      </c>
      <c r="K240" s="164">
        <f>-SUM(K228:K239)</f>
        <v>0</v>
      </c>
      <c r="L240" s="164"/>
      <c r="M240" s="164">
        <f>IF(Input!N174&gt;0, -SUM(M228:M239), 0)</f>
        <v>0</v>
      </c>
      <c r="N240" s="164">
        <f>IF(Input!O174&gt;0, -SUM(N228:N239), 0)</f>
        <v>0</v>
      </c>
      <c r="O240" s="164">
        <f>IF(Input!P174&gt;0, -SUM(O228:O239), 0)</f>
        <v>0</v>
      </c>
      <c r="P240" s="164">
        <f>IF(Input!Q174&gt;0, -SUM(P228:P239), 0)</f>
        <v>0</v>
      </c>
      <c r="Q240" s="63"/>
      <c r="R240" s="101"/>
      <c r="S240" s="301"/>
      <c r="T240" s="101"/>
      <c r="U240" s="101"/>
      <c r="V240" s="101"/>
      <c r="W240" s="101"/>
      <c r="X240" s="101"/>
      <c r="Y240" s="10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185"/>
      <c r="BJ240" s="185"/>
      <c r="BK240" s="185"/>
      <c r="BL240" s="185"/>
      <c r="BM240" s="185"/>
      <c r="BN240" s="185"/>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hidden="1" customHeight="1" outlineLevel="2">
      <c r="A241" s="9"/>
      <c r="B241" s="31" t="str">
        <f>Asset14</f>
        <v>Emergency Spares (Major Plant, Excludes Inventory)</v>
      </c>
      <c r="C241" s="32"/>
      <c r="D241" s="33" t="s">
        <v>65</v>
      </c>
      <c r="E241" s="32"/>
      <c r="F241" s="191"/>
      <c r="G241" s="459">
        <f>'Tax asset base adjustments'!Q48</f>
        <v>0</v>
      </c>
      <c r="H241" s="459">
        <f>'Tax asset base adjustments'!R48</f>
        <v>0</v>
      </c>
      <c r="I241" s="459">
        <f>'Tax asset base adjustments'!S48</f>
        <v>0</v>
      </c>
      <c r="J241" s="459">
        <f>'Tax asset base adjustments'!T48</f>
        <v>0</v>
      </c>
      <c r="K241" s="459">
        <f>'Tax asset base adjustments'!U48</f>
        <v>0</v>
      </c>
      <c r="L241" s="344"/>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2"/>
      <c r="S241" s="301">
        <f>SUM(K241:K246)</f>
        <v>0</v>
      </c>
      <c r="T241" s="102"/>
      <c r="U241" s="102"/>
      <c r="V241" s="102"/>
      <c r="W241" s="102"/>
      <c r="X241" s="102"/>
      <c r="Y241" s="102"/>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185"/>
      <c r="BJ241" s="185"/>
      <c r="BK241" s="185"/>
      <c r="BL241" s="185"/>
      <c r="BM241" s="185"/>
      <c r="BN241" s="185"/>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5"/>
      <c r="D242" s="491" t="s">
        <v>83</v>
      </c>
      <c r="E242" s="85"/>
      <c r="F242" s="302"/>
      <c r="G242" s="67"/>
      <c r="H242" s="67"/>
      <c r="I242" s="67"/>
      <c r="J242" s="67"/>
      <c r="K242" s="67"/>
      <c r="L242" s="67"/>
      <c r="M242" s="67"/>
      <c r="N242" s="67"/>
      <c r="O242" s="67"/>
      <c r="P242" s="67"/>
      <c r="Q242" s="67"/>
      <c r="R242" s="102"/>
      <c r="S242" s="102"/>
      <c r="T242" s="102"/>
      <c r="U242" s="102"/>
      <c r="V242" s="102"/>
      <c r="W242" s="102"/>
      <c r="X242" s="102"/>
      <c r="Y242" s="102"/>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185"/>
      <c r="BJ242" s="185"/>
      <c r="BK242" s="185"/>
      <c r="BL242" s="185"/>
      <c r="BM242" s="185"/>
      <c r="BN242" s="185"/>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hidden="1" customHeight="1" outlineLevel="2">
      <c r="A243" s="9"/>
      <c r="B243" s="9"/>
      <c r="C243" s="25"/>
      <c r="D243" s="492"/>
      <c r="E243" s="85">
        <v>1</v>
      </c>
      <c r="F243" s="191"/>
      <c r="G243" s="147"/>
      <c r="H243" s="67" t="str">
        <f>IF(A14taxstdlife="n/a","n/a",IF(H$3&gt;(A14taxstdlife+$E243),(Input!$H$55-Input!$H$89)-SUM($G243:G243),(Input!$H$55-Input!$H$89)/A14taxstdlife))</f>
        <v>n/a</v>
      </c>
      <c r="I243" s="67" t="str">
        <f>IF(A14taxstdlife="n/a","n/a",IF(I$3&gt;(A14taxstdlife+$E243),(Input!$H$55-Input!$H$89)-SUM($G243:H243),(Input!$H$55-Input!$H$89)/A14taxstdlife))</f>
        <v>n/a</v>
      </c>
      <c r="J243" s="67" t="str">
        <f>IF(A14taxstdlife="n/a","n/a",IF(J$3&gt;(A14taxstdlife+$E243),(Input!$H$55-Input!$H$89)-SUM($G243:I243),(Input!$H$55-Input!$H$89)/A14taxstdlife))</f>
        <v>n/a</v>
      </c>
      <c r="K243" s="67" t="str">
        <f>IF(A14taxstdlife="n/a","n/a",IF(K$3&gt;(A14taxstdlife+$E243),(Input!$H$55-Input!$H$89)-SUM($G243:J243),(Input!$H$55-Input!$H$89)/A14taxstdlife))</f>
        <v>n/a</v>
      </c>
      <c r="L243" s="67"/>
      <c r="M243" s="67" t="str">
        <f>IF(A14taxstdlife="n/a","n/a",IF(M$3&gt;(A14taxstdlife+$E243),(Input!$H$55-Input!$H$89)-SUM($G243:L243),(Input!$H$55-Input!$H$89)/A14taxstdlife))</f>
        <v>n/a</v>
      </c>
      <c r="N243" s="67" t="str">
        <f>IF(A14taxstdlife="n/a","n/a",IF(N$3&gt;(A14taxstdlife+$E243),(Input!$H$55-Input!$H$89)-SUM($G243:M243),(Input!$H$55-Input!$H$89)/A14taxstdlife))</f>
        <v>n/a</v>
      </c>
      <c r="O243" s="67" t="str">
        <f>IF(A14taxstdlife="n/a","n/a",IF(O$3&gt;(A14taxstdlife+$E243),(Input!$H$55-Input!$H$89)-SUM($G243:N243),(Input!$H$55-Input!$H$89)/A14taxstdlife))</f>
        <v>n/a</v>
      </c>
      <c r="P243" s="67" t="str">
        <f>IF(A14taxstdlife="n/a","n/a",IF(P$3&gt;(A14taxstdlife+$E243),(Input!$H$55-Input!$H$89)-SUM($G243:O243),(Input!$H$55-Input!$H$89)/A14taxstdlife))</f>
        <v>n/a</v>
      </c>
      <c r="Q243" s="67"/>
      <c r="R243" s="102"/>
      <c r="S243" s="102"/>
      <c r="T243" s="102"/>
      <c r="U243" s="102"/>
      <c r="V243" s="102"/>
      <c r="W243" s="102"/>
      <c r="X243" s="102"/>
      <c r="Y243" s="102"/>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185"/>
      <c r="BJ243" s="185"/>
      <c r="BK243" s="185"/>
      <c r="BL243" s="185"/>
      <c r="BM243" s="185"/>
      <c r="BN243" s="185"/>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hidden="1" customHeight="1" outlineLevel="2">
      <c r="A244" s="9"/>
      <c r="B244" s="9"/>
      <c r="C244" s="25"/>
      <c r="D244" s="492"/>
      <c r="E244" s="85">
        <v>2</v>
      </c>
      <c r="F244" s="191"/>
      <c r="G244" s="148"/>
      <c r="H244" s="147"/>
      <c r="I244" s="67" t="str">
        <f>IF(A14taxstdlife="n/a","n/a",IF(I$3&gt;(A14taxstdlife+$E244),(Input!$I$55-Input!$I$89)-SUM($H244:H244),(Input!$I$55-Input!$I$89)/A14taxstdlife))</f>
        <v>n/a</v>
      </c>
      <c r="J244" s="67" t="str">
        <f>IF(A14taxstdlife="n/a","n/a",IF(J$3&gt;(A14taxstdlife+$E244),(Input!$I$55-Input!$I$89)-SUM($H244:I244),(Input!$I$55-Input!$I$89)/A14taxstdlife))</f>
        <v>n/a</v>
      </c>
      <c r="K244" s="67" t="str">
        <f>IF(A14taxstdlife="n/a","n/a",IF(K$3&gt;(A14taxstdlife+$E244),(Input!$I$55-Input!$I$89)-SUM($H244:J244),(Input!$I$55-Input!$I$89)/A14taxstdlife))</f>
        <v>n/a</v>
      </c>
      <c r="L244" s="67"/>
      <c r="M244" s="67" t="str">
        <f>IF(A14taxstdlife="n/a","n/a",IF(M$3&gt;(A14taxstdlife+$E244),(Input!$I$55-Input!$I$89)-SUM($H244:L244),(Input!$I$55-Input!$I$89)/A14taxstdlife))</f>
        <v>n/a</v>
      </c>
      <c r="N244" s="67" t="str">
        <f>IF(A14taxstdlife="n/a","n/a",IF(N$3&gt;(A14taxstdlife+$E244),(Input!$I$55-Input!$I$89)-SUM($H244:M244),(Input!$I$55-Input!$I$89)/A14taxstdlife))</f>
        <v>n/a</v>
      </c>
      <c r="O244" s="67" t="str">
        <f>IF(A14taxstdlife="n/a","n/a",IF(O$3&gt;(A14taxstdlife+$E244),(Input!$I$55-Input!$I$89)-SUM($H244:N244),(Input!$I$55-Input!$I$89)/A14taxstdlife))</f>
        <v>n/a</v>
      </c>
      <c r="P244" s="67" t="str">
        <f>IF(A14taxstdlife="n/a","n/a",IF(P$3&gt;(A14taxstdlife+$E244),(Input!$I$55-Input!$I$89)-SUM($H244:O244),(Input!$I$55-Input!$I$89)/A14taxstdlife))</f>
        <v>n/a</v>
      </c>
      <c r="Q244" s="67"/>
      <c r="R244" s="102"/>
      <c r="S244" s="102"/>
      <c r="T244" s="102"/>
      <c r="U244" s="102"/>
      <c r="V244" s="102"/>
      <c r="W244" s="102"/>
      <c r="X244" s="102"/>
      <c r="Y244" s="102"/>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185"/>
      <c r="BJ244" s="185"/>
      <c r="BK244" s="185"/>
      <c r="BL244" s="185"/>
      <c r="BM244" s="185"/>
      <c r="BN244" s="185"/>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hidden="1" customHeight="1" outlineLevel="2">
      <c r="A245" s="9"/>
      <c r="B245" s="9"/>
      <c r="C245" s="25"/>
      <c r="D245" s="492"/>
      <c r="E245" s="85">
        <v>3</v>
      </c>
      <c r="F245" s="191"/>
      <c r="G245" s="148"/>
      <c r="H245" s="148"/>
      <c r="I245" s="147"/>
      <c r="J245" s="67" t="str">
        <f>IF(A14taxstdlife="n/a","n/a",IF(J$3&gt;(A14taxstdlife+$E245),(Input!$J$55-Input!$J$89)-SUM($I245:I245),(Input!$J$55-Input!$J$89)/A14taxstdlife))</f>
        <v>n/a</v>
      </c>
      <c r="K245" s="67" t="str">
        <f>IF(A14taxstdlife="n/a","n/a",IF(K$3&gt;(A14taxstdlife+$E245),(Input!$J$55-Input!$J$89)-SUM($I245:J245),(Input!$J$55-Input!$J$89)/A14taxstdlife))</f>
        <v>n/a</v>
      </c>
      <c r="L245" s="67"/>
      <c r="M245" s="67" t="str">
        <f>IF(A14taxstdlife="n/a","n/a",IF(M$3&gt;(A14taxstdlife+$E245),(Input!$J$55-Input!$J$89)-SUM($I245:L245),(Input!$J$55-Input!$J$89)/A14taxstdlife))</f>
        <v>n/a</v>
      </c>
      <c r="N245" s="67" t="str">
        <f>IF(A14taxstdlife="n/a","n/a",IF(N$3&gt;(A14taxstdlife+$E245),(Input!$J$55-Input!$J$89)-SUM($I245:M245),(Input!$J$55-Input!$J$89)/A14taxstdlife))</f>
        <v>n/a</v>
      </c>
      <c r="O245" s="67" t="str">
        <f>IF(A14taxstdlife="n/a","n/a",IF(O$3&gt;(A14taxstdlife+$E245),(Input!$J$55-Input!$J$89)-SUM($I245:N245),(Input!$J$55-Input!$J$89)/A14taxstdlife))</f>
        <v>n/a</v>
      </c>
      <c r="P245" s="67" t="str">
        <f>IF(A14taxstdlife="n/a","n/a",IF(P$3&gt;(A14taxstdlife+$E245),(Input!$J$55-Input!$J$89)-SUM($I245:O245),(Input!$J$55-Input!$J$89)/A14taxstdlife))</f>
        <v>n/a</v>
      </c>
      <c r="Q245" s="67"/>
      <c r="R245" s="102"/>
      <c r="S245" s="102"/>
      <c r="T245" s="102"/>
      <c r="U245" s="102"/>
      <c r="V245" s="102"/>
      <c r="W245" s="102"/>
      <c r="X245" s="102"/>
      <c r="Y245" s="102"/>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185"/>
      <c r="BJ245" s="185"/>
      <c r="BK245" s="185"/>
      <c r="BL245" s="185"/>
      <c r="BM245" s="185"/>
      <c r="BN245" s="18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hidden="1" customHeight="1" outlineLevel="2">
      <c r="A246" s="9"/>
      <c r="B246" s="9"/>
      <c r="C246" s="25"/>
      <c r="D246" s="492"/>
      <c r="E246" s="85">
        <v>4</v>
      </c>
      <c r="F246" s="191"/>
      <c r="G246" s="148"/>
      <c r="H246" s="148"/>
      <c r="I246" s="148"/>
      <c r="J246" s="147"/>
      <c r="K246" s="67" t="str">
        <f>IF(A14taxstdlife="n/a","n/a",IF(K$3&gt;(A14taxstdlife+$E246),(Input!$K$55-Input!$K$89)-SUM($J246:J246),(Input!$K$55-Input!$K$89)/A14taxstdlife))</f>
        <v>n/a</v>
      </c>
      <c r="L246" s="67"/>
      <c r="M246" s="67" t="str">
        <f>IF(A14taxstdlife="n/a","n/a",IF(M$3&gt;(A14taxstdlife+$E246),(Input!$K$55-Input!$K$89)-SUM($J246:L246),(Input!$K$55-Input!$K$89)/A14taxstdlife))</f>
        <v>n/a</v>
      </c>
      <c r="N246" s="67" t="str">
        <f>IF(A14taxstdlife="n/a","n/a",IF(N$3&gt;(A14taxstdlife+$E246),(Input!$K$55-Input!$K$89)-SUM($J246:M246),(Input!$K$55-Input!$K$89)/A14taxstdlife))</f>
        <v>n/a</v>
      </c>
      <c r="O246" s="67" t="str">
        <f>IF(A14taxstdlife="n/a","n/a",IF(O$3&gt;(A14taxstdlife+$E246),(Input!$K$55-Input!$K$89)-SUM($J246:N246),(Input!$K$55-Input!$K$89)/A14taxstdlife))</f>
        <v>n/a</v>
      </c>
      <c r="P246" s="67" t="str">
        <f>IF(A14taxstdlife="n/a","n/a",IF(P$3&gt;(A14taxstdlife+$E246),(Input!$K$55-Input!$K$89)-SUM($J246:O246),(Input!$K$55-Input!$K$89)/A14taxstdlife))</f>
        <v>n/a</v>
      </c>
      <c r="Q246" s="67"/>
      <c r="R246" s="102"/>
      <c r="S246" s="102"/>
      <c r="T246" s="102"/>
      <c r="U246" s="102"/>
      <c r="V246" s="102"/>
      <c r="W246" s="102"/>
      <c r="X246" s="102"/>
      <c r="Y246" s="102"/>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185"/>
      <c r="BJ246" s="185"/>
      <c r="BK246" s="185"/>
      <c r="BL246" s="185"/>
      <c r="BM246" s="185"/>
      <c r="BN246" s="185"/>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hidden="1" customHeight="1" outlineLevel="2">
      <c r="A247" s="9"/>
      <c r="B247" s="9"/>
      <c r="C247" s="25"/>
      <c r="D247" s="492"/>
      <c r="E247" s="85">
        <v>5</v>
      </c>
      <c r="F247" s="191"/>
      <c r="G247" s="148"/>
      <c r="H247" s="148"/>
      <c r="I247" s="148"/>
      <c r="J247" s="148"/>
      <c r="K247" s="147"/>
      <c r="L247" s="67"/>
      <c r="M247" s="67" t="str">
        <f>IF(A14taxstdlife="n/a","n/a",IF(M$3&gt;(A14taxstdlife+$E247),(Input!$L$55-Input!$L$89)-SUM($K247:L247),(Input!$L$55-Input!$L$89)/A14taxstdlife))</f>
        <v>n/a</v>
      </c>
      <c r="N247" s="67" t="str">
        <f>IF(A14taxstdlife="n/a","n/a",IF(N$3&gt;(A14taxstdlife+$E247),(Input!$L$55-Input!$L$89)-SUM($K247:M247),(Input!$L$55-Input!$L$89)/A14taxstdlife))</f>
        <v>n/a</v>
      </c>
      <c r="O247" s="67" t="str">
        <f>IF(A14taxstdlife="n/a","n/a",IF(O$3&gt;(A14taxstdlife+$E247),(Input!$L$55-Input!$L$89)-SUM($K247:N247),(Input!$L$55-Input!$L$89)/A14taxstdlife))</f>
        <v>n/a</v>
      </c>
      <c r="P247" s="67" t="str">
        <f>IF(A14taxstdlife="n/a","n/a",IF(P$3&gt;(A14taxstdlife+$E247),(Input!$L$55-Input!$L$89)-SUM($K247:O247),(Input!$L$55-Input!$L$89)/A14taxstdlife))</f>
        <v>n/a</v>
      </c>
      <c r="Q247" s="67"/>
      <c r="R247" s="102"/>
      <c r="S247" s="102"/>
      <c r="T247" s="102"/>
      <c r="U247" s="102"/>
      <c r="V247" s="102"/>
      <c r="W247" s="102"/>
      <c r="X247" s="102"/>
      <c r="Y247" s="102"/>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185"/>
      <c r="BJ247" s="185"/>
      <c r="BK247" s="185"/>
      <c r="BL247" s="185"/>
      <c r="BM247" s="185"/>
      <c r="BN247" s="185"/>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hidden="1" customHeight="1" outlineLevel="2">
      <c r="A248" s="9"/>
      <c r="B248" s="9"/>
      <c r="C248" s="25"/>
      <c r="D248" s="492"/>
      <c r="E248" s="85">
        <v>6</v>
      </c>
      <c r="F248" s="191"/>
      <c r="G248" s="148"/>
      <c r="H248" s="148"/>
      <c r="I248" s="148"/>
      <c r="J248" s="148"/>
      <c r="K248" s="148"/>
      <c r="L248" s="147"/>
      <c r="M248" s="67" t="str">
        <f>IF(A14taxstdlife="n/a","n/a",IF(M$3&gt;(A14taxstdlife+$E248),(Input!$M$55-Input!$M$89)-SUM($L248:L248),(Input!$M$55-Input!$M$89)/A14taxstdlife))</f>
        <v>n/a</v>
      </c>
      <c r="N248" s="67" t="str">
        <f>IF(A14taxstdlife="n/a","n/a",IF(N$3&gt;(A14taxstdlife+$E248),(Input!$M$55-Input!$M$89)-SUM($L248:M248),(Input!$M$55-Input!$M$89)/A14taxstdlife))</f>
        <v>n/a</v>
      </c>
      <c r="O248" s="67" t="str">
        <f>IF(A14taxstdlife="n/a","n/a",IF(O$3&gt;(A14taxstdlife+$E248),(Input!$M$55-Input!$M$89)-SUM($L248:N248),(Input!$M$55-Input!$M$89)/A14taxstdlife))</f>
        <v>n/a</v>
      </c>
      <c r="P248" s="67" t="str">
        <f>IF(A14taxstdlife="n/a","n/a",IF(P$3&gt;(A14taxstdlife+$E248),(Input!$M$55-Input!$M$89)-SUM($L248:O248),(Input!$M$55-Input!$M$89)/A14taxstdlife))</f>
        <v>n/a</v>
      </c>
      <c r="Q248" s="67"/>
      <c r="R248" s="102"/>
      <c r="S248" s="102"/>
      <c r="T248" s="102"/>
      <c r="U248" s="102"/>
      <c r="V248" s="102"/>
      <c r="W248" s="102"/>
      <c r="X248" s="102"/>
      <c r="Y248" s="102"/>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185"/>
      <c r="BJ248" s="185"/>
      <c r="BK248" s="185"/>
      <c r="BL248" s="185"/>
      <c r="BM248" s="185"/>
      <c r="BN248" s="185"/>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hidden="1" customHeight="1" outlineLevel="2">
      <c r="A249" s="9"/>
      <c r="B249" s="9"/>
      <c r="C249" s="25"/>
      <c r="D249" s="492"/>
      <c r="E249" s="85">
        <v>7</v>
      </c>
      <c r="F249" s="191"/>
      <c r="G249" s="148"/>
      <c r="H249" s="148"/>
      <c r="I249" s="148"/>
      <c r="J249" s="148"/>
      <c r="K249" s="148"/>
      <c r="L249" s="148"/>
      <c r="M249" s="147"/>
      <c r="N249" s="67" t="str">
        <f>IF(A14taxstdlife="n/a","n/a",IF(N$3&gt;(A14taxstdlife+$E249),(Input!$N$55-Input!$N$89)-SUM($M249:M249),(Input!$N$55-Input!$N$89)/A14taxstdlife))</f>
        <v>n/a</v>
      </c>
      <c r="O249" s="67" t="str">
        <f>IF(A14taxstdlife="n/a","n/a",IF(O$3&gt;(A14taxstdlife+$E249),(Input!$N$55-Input!$N$89)-SUM($M249:N249),(Input!$N$55-Input!$N$89)/A14taxstdlife))</f>
        <v>n/a</v>
      </c>
      <c r="P249" s="67" t="str">
        <f>IF(A14taxstdlife="n/a","n/a",IF(P$3&gt;(A14taxstdlife+$E249),(Input!$N$55-Input!$N$89)-SUM($M249:O249),(Input!$N$55-Input!$N$89)/A14taxstdlife))</f>
        <v>n/a</v>
      </c>
      <c r="Q249" s="67"/>
      <c r="R249" s="102"/>
      <c r="S249" s="102"/>
      <c r="T249" s="102"/>
      <c r="U249" s="102"/>
      <c r="V249" s="102"/>
      <c r="W249" s="102"/>
      <c r="X249" s="102"/>
      <c r="Y249" s="102"/>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185"/>
      <c r="BJ249" s="185"/>
      <c r="BK249" s="185"/>
      <c r="BL249" s="185"/>
      <c r="BM249" s="185"/>
      <c r="BN249" s="185"/>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hidden="1" customHeight="1" outlineLevel="2">
      <c r="A250" s="9"/>
      <c r="B250" s="9"/>
      <c r="C250" s="25"/>
      <c r="D250" s="492"/>
      <c r="E250" s="85">
        <v>8</v>
      </c>
      <c r="F250" s="191"/>
      <c r="G250" s="148"/>
      <c r="H250" s="148"/>
      <c r="I250" s="148"/>
      <c r="J250" s="148"/>
      <c r="K250" s="148"/>
      <c r="L250" s="148"/>
      <c r="M250" s="148"/>
      <c r="N250" s="147"/>
      <c r="O250" s="67" t="str">
        <f>IF(A14taxstdlife="n/a","n/a",IF(O$3&gt;(A14taxstdlife+$E250),(Input!$O$55-Input!$O$89)-SUM($N250:N250),(Input!$O$55-Input!$O$89)/A14taxstdlife))</f>
        <v>n/a</v>
      </c>
      <c r="P250" s="67" t="str">
        <f>IF(A14taxstdlife="n/a","n/a",IF(P$3&gt;(A14taxstdlife+$E250),(Input!$O$55-Input!$O$89)-SUM($N250:O250),(Input!$O$55-Input!$O$89)/A14taxstdlife))</f>
        <v>n/a</v>
      </c>
      <c r="Q250" s="67"/>
      <c r="R250" s="102"/>
      <c r="S250" s="102"/>
      <c r="T250" s="102"/>
      <c r="U250" s="102"/>
      <c r="V250" s="102"/>
      <c r="W250" s="102"/>
      <c r="X250" s="102"/>
      <c r="Y250" s="102"/>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185"/>
      <c r="BJ250" s="185"/>
      <c r="BK250" s="185"/>
      <c r="BL250" s="185"/>
      <c r="BM250" s="185"/>
      <c r="BN250" s="185"/>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hidden="1" customHeight="1" outlineLevel="2">
      <c r="A251" s="9"/>
      <c r="B251" s="9"/>
      <c r="C251" s="25"/>
      <c r="D251" s="492"/>
      <c r="E251" s="85">
        <v>9</v>
      </c>
      <c r="F251" s="191"/>
      <c r="G251" s="148"/>
      <c r="H251" s="148"/>
      <c r="I251" s="148"/>
      <c r="J251" s="148"/>
      <c r="K251" s="148"/>
      <c r="L251" s="148"/>
      <c r="M251" s="148"/>
      <c r="N251" s="148"/>
      <c r="O251" s="147"/>
      <c r="P251" s="67" t="str">
        <f>IF(A14taxstdlife="n/a","n/a",IF(P$3&gt;(A14taxstdlife+$E251),(Input!$P$55-Input!$P$89)-SUM($O251:O251),(Input!$P$55-Input!$P$89)/A14taxstdlife))</f>
        <v>n/a</v>
      </c>
      <c r="Q251" s="67"/>
      <c r="R251" s="102"/>
      <c r="S251" s="102"/>
      <c r="T251" s="102"/>
      <c r="U251" s="102"/>
      <c r="V251" s="102"/>
      <c r="W251" s="102"/>
      <c r="X251" s="102"/>
      <c r="Y251" s="102"/>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185"/>
      <c r="BJ251" s="185"/>
      <c r="BK251" s="185"/>
      <c r="BL251" s="185"/>
      <c r="BM251" s="185"/>
      <c r="BN251" s="185"/>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hidden="1" customHeight="1" outlineLevel="2">
      <c r="A252" s="9"/>
      <c r="B252" s="9"/>
      <c r="C252" s="25"/>
      <c r="D252" s="492"/>
      <c r="E252" s="86">
        <v>10</v>
      </c>
      <c r="F252" s="191"/>
      <c r="G252" s="148"/>
      <c r="H252" s="148"/>
      <c r="I252" s="148"/>
      <c r="J252" s="148"/>
      <c r="K252" s="148"/>
      <c r="L252" s="148"/>
      <c r="M252" s="148"/>
      <c r="N252" s="148"/>
      <c r="O252" s="187"/>
      <c r="P252" s="147"/>
      <c r="Q252" s="67"/>
      <c r="R252" s="102"/>
      <c r="S252" s="102"/>
      <c r="T252" s="102"/>
      <c r="U252" s="102"/>
      <c r="V252" s="102"/>
      <c r="W252" s="102"/>
      <c r="X252" s="102"/>
      <c r="Y252" s="102"/>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185"/>
      <c r="BJ252" s="185"/>
      <c r="BK252" s="185"/>
      <c r="BL252" s="185"/>
      <c r="BM252" s="185"/>
      <c r="BN252" s="185"/>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hidden="1" customHeight="1" outlineLevel="1">
      <c r="A253" s="9"/>
      <c r="B253" s="9"/>
      <c r="C253" s="25" t="str">
        <f>Asset14</f>
        <v>Emergency Spares (Major Plant, Excludes Inventory)</v>
      </c>
      <c r="D253" s="9"/>
      <c r="E253" s="9"/>
      <c r="F253" s="203"/>
      <c r="G253" s="164">
        <f>-SUM(G241:G252)</f>
        <v>0</v>
      </c>
      <c r="H253" s="164">
        <f>-SUM(H241:H252)</f>
        <v>0</v>
      </c>
      <c r="I253" s="164">
        <f>-SUM(I241:I252)</f>
        <v>0</v>
      </c>
      <c r="J253" s="164">
        <f>-SUM(J241:J252)</f>
        <v>0</v>
      </c>
      <c r="K253" s="164">
        <f>-SUM(K241:K252)</f>
        <v>0</v>
      </c>
      <c r="L253" s="164"/>
      <c r="M253" s="164">
        <f>IF(Input!N174&gt;0, -SUM(M241:M252), 0)</f>
        <v>0</v>
      </c>
      <c r="N253" s="164">
        <f>IF(Input!O174&gt;0, -SUM(N241:N252), 0)</f>
        <v>0</v>
      </c>
      <c r="O253" s="164">
        <f>IF(Input!P174&gt;0, -SUM(O241:O252), 0)</f>
        <v>0</v>
      </c>
      <c r="P253" s="164">
        <f>IF(Input!Q174&gt;0, -SUM(P241:P252), 0)</f>
        <v>0</v>
      </c>
      <c r="Q253" s="63"/>
      <c r="R253" s="101"/>
      <c r="S253" s="101"/>
      <c r="T253" s="101"/>
      <c r="U253" s="101"/>
      <c r="V253" s="101"/>
      <c r="W253" s="101"/>
      <c r="X253" s="101"/>
      <c r="Y253" s="10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185"/>
      <c r="BJ253" s="185"/>
      <c r="BK253" s="185"/>
      <c r="BL253" s="185"/>
      <c r="BM253" s="185"/>
      <c r="BN253" s="185"/>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hidden="1" customHeight="1" outlineLevel="2">
      <c r="A254" s="9"/>
      <c r="B254" s="31" t="str">
        <f>Asset15</f>
        <v>Furniture, fittings, plant and equipment</v>
      </c>
      <c r="C254" s="32"/>
      <c r="D254" s="33" t="s">
        <v>65</v>
      </c>
      <c r="E254" s="32"/>
      <c r="F254" s="203"/>
      <c r="G254" s="459">
        <f>'Tax asset base adjustments'!Q49</f>
        <v>2.9597095772143218</v>
      </c>
      <c r="H254" s="459">
        <f>'Tax asset base adjustments'!R49</f>
        <v>2.8243180550069797</v>
      </c>
      <c r="I254" s="459">
        <f>'Tax asset base adjustments'!S49</f>
        <v>2.7606137593259521</v>
      </c>
      <c r="J254" s="459">
        <f>'Tax asset base adjustments'!T49</f>
        <v>2.5086759842297797</v>
      </c>
      <c r="K254" s="459">
        <f>'Tax asset base adjustments'!U49</f>
        <v>2.3231174774805159</v>
      </c>
      <c r="L254" s="459"/>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2"/>
      <c r="S254" s="301">
        <f>SUM(K254:K259)</f>
        <v>4.64920631259234</v>
      </c>
      <c r="T254" s="102"/>
      <c r="U254" s="102"/>
      <c r="V254" s="102"/>
      <c r="W254" s="102"/>
      <c r="X254" s="102"/>
      <c r="Y254" s="102"/>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185"/>
      <c r="BJ254" s="185"/>
      <c r="BK254" s="185"/>
      <c r="BL254" s="185"/>
      <c r="BM254" s="185"/>
      <c r="BN254" s="185"/>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5"/>
      <c r="D255" s="491" t="s">
        <v>83</v>
      </c>
      <c r="E255" s="85"/>
      <c r="F255" s="303"/>
      <c r="G255" s="67"/>
      <c r="H255" s="67"/>
      <c r="I255" s="67"/>
      <c r="J255" s="67"/>
      <c r="K255" s="67"/>
      <c r="L255" s="67"/>
      <c r="M255" s="67"/>
      <c r="N255" s="67"/>
      <c r="O255" s="67"/>
      <c r="P255" s="67"/>
      <c r="Q255" s="67"/>
      <c r="R255" s="102"/>
      <c r="S255" s="102"/>
      <c r="T255" s="102"/>
      <c r="U255" s="102"/>
      <c r="V255" s="102"/>
      <c r="W255" s="102"/>
      <c r="X255" s="102"/>
      <c r="Y255" s="102"/>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185"/>
      <c r="BJ255" s="185"/>
      <c r="BK255" s="185"/>
      <c r="BL255" s="185"/>
      <c r="BM255" s="185"/>
      <c r="BN255" s="18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hidden="1" customHeight="1" outlineLevel="2">
      <c r="A256" s="9"/>
      <c r="B256" s="9"/>
      <c r="C256" s="25"/>
      <c r="D256" s="492"/>
      <c r="E256" s="85">
        <v>1</v>
      </c>
      <c r="F256" s="203"/>
      <c r="G256" s="147"/>
      <c r="H256" s="67">
        <f>IF(A15taxstdlife="n/a","n/a",IF(H$3&gt;(A15taxstdlife+$E256),(Input!$H$56-Input!$H$90)-SUM($G256:G256),(Input!$H$56-Input!$H$90)/A15taxstdlife))</f>
        <v>0.66693581224766652</v>
      </c>
      <c r="I256" s="67">
        <f>IF(A15taxstdlife="n/a","n/a",IF(I$3&gt;(A15taxstdlife+$E256),(Input!$H$56-Input!$H$90)-SUM($G256:H256),(Input!$H$56-Input!$H$90)/A15taxstdlife))</f>
        <v>0.66693581224766652</v>
      </c>
      <c r="J256" s="67">
        <f>IF(A15taxstdlife="n/a","n/a",IF(J$3&gt;(A15taxstdlife+$E256),(Input!$H$56-Input!$H$90)-SUM($G256:I256),(Input!$H$56-Input!$H$90)/A15taxstdlife))</f>
        <v>0.66693581224766652</v>
      </c>
      <c r="K256" s="67">
        <f>IF(A15taxstdlife="n/a","n/a",IF(K$3&gt;(A15taxstdlife+$E256),(Input!$H$56-Input!$H$90)-SUM($G256:J256),(Input!$H$56-Input!$H$90)/A15taxstdlife))</f>
        <v>0.66693581224766652</v>
      </c>
      <c r="L256" s="67"/>
      <c r="M256" s="67">
        <f>IF(A15taxstdlife="n/a","n/a",IF(M$3&gt;(A15taxstdlife+$E256),(Input!$H$56-Input!$H$90)-SUM($G256:L256),(Input!$H$56-Input!$H$90)/A15taxstdlife))</f>
        <v>0.66693581224766652</v>
      </c>
      <c r="N256" s="67">
        <f>IF(A15taxstdlife="n/a","n/a",IF(N$3&gt;(A15taxstdlife+$E256),(Input!$H$56-Input!$H$90)-SUM($G256:M256),(Input!$H$56-Input!$H$90)/A15taxstdlife))</f>
        <v>0.66693581224766652</v>
      </c>
      <c r="O256" s="67">
        <f>IF(A15taxstdlife="n/a","n/a",IF(O$3&gt;(A15taxstdlife+$E256),(Input!$H$56-Input!$H$90)-SUM($G256:N256),(Input!$H$56-Input!$H$90)/A15taxstdlife))</f>
        <v>0.66693581224766652</v>
      </c>
      <c r="P256" s="67">
        <f>IF(A15taxstdlife="n/a","n/a",IF(P$3&gt;(A15taxstdlife+$E256),(Input!$H$56-Input!$H$90)-SUM($G256:O256),(Input!$H$56-Input!$H$90)/A15taxstdlife))</f>
        <v>0.66693581224766652</v>
      </c>
      <c r="Q256" s="67"/>
      <c r="R256" s="102"/>
      <c r="S256" s="102"/>
      <c r="T256" s="102"/>
      <c r="U256" s="102"/>
      <c r="V256" s="102"/>
      <c r="W256" s="102"/>
      <c r="X256" s="102"/>
      <c r="Y256" s="102"/>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185"/>
      <c r="BJ256" s="185"/>
      <c r="BK256" s="185"/>
      <c r="BL256" s="185"/>
      <c r="BM256" s="185"/>
      <c r="BN256" s="185"/>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hidden="1" customHeight="1" outlineLevel="2">
      <c r="A257" s="9"/>
      <c r="B257" s="9"/>
      <c r="C257" s="25"/>
      <c r="D257" s="492"/>
      <c r="E257" s="85">
        <v>2</v>
      </c>
      <c r="F257" s="203"/>
      <c r="G257" s="148"/>
      <c r="H257" s="147"/>
      <c r="I257" s="67">
        <f>IF(A15taxstdlife="n/a","n/a",IF(I$3&gt;(A15taxstdlife+$E257),(Input!$I$56-Input!$I$90)-SUM($H257:H257),(Input!$I$56-Input!$I$90)/A15taxstdlife))</f>
        <v>0.62159490508773685</v>
      </c>
      <c r="J257" s="67">
        <f>IF(A15taxstdlife="n/a","n/a",IF(J$3&gt;(A15taxstdlife+$E257),(Input!$I$56-Input!$I$90)-SUM($H257:I257),(Input!$I$56-Input!$I$90)/A15taxstdlife))</f>
        <v>0.62159490508773685</v>
      </c>
      <c r="K257" s="67">
        <f>IF(A15taxstdlife="n/a","n/a",IF(K$3&gt;(A15taxstdlife+$E257),(Input!$I$56-Input!$I$90)-SUM($H257:J257),(Input!$I$56-Input!$I$90)/A15taxstdlife))</f>
        <v>0.62159490508773685</v>
      </c>
      <c r="L257" s="67"/>
      <c r="M257" s="67">
        <f>IF(A15taxstdlife="n/a","n/a",IF(M$3&gt;(A15taxstdlife+$E257),(Input!$I$56-Input!$I$90)-SUM($H257:L257),(Input!$I$56-Input!$I$90)/A15taxstdlife))</f>
        <v>0.62159490508773685</v>
      </c>
      <c r="N257" s="67">
        <f>IF(A15taxstdlife="n/a","n/a",IF(N$3&gt;(A15taxstdlife+$E257),(Input!$I$56-Input!$I$90)-SUM($H257:M257),(Input!$I$56-Input!$I$90)/A15taxstdlife))</f>
        <v>0.62159490508773685</v>
      </c>
      <c r="O257" s="67">
        <f>IF(A15taxstdlife="n/a","n/a",IF(O$3&gt;(A15taxstdlife+$E257),(Input!$I$56-Input!$I$90)-SUM($H257:N257),(Input!$I$56-Input!$I$90)/A15taxstdlife))</f>
        <v>0.62159490508773685</v>
      </c>
      <c r="P257" s="67">
        <f>IF(A15taxstdlife="n/a","n/a",IF(P$3&gt;(A15taxstdlife+$E257),(Input!$I$56-Input!$I$90)-SUM($H257:O257),(Input!$I$56-Input!$I$90)/A15taxstdlife))</f>
        <v>0.62159490508773685</v>
      </c>
      <c r="Q257" s="67"/>
      <c r="R257" s="102"/>
      <c r="S257" s="102"/>
      <c r="T257" s="102"/>
      <c r="U257" s="102"/>
      <c r="V257" s="102"/>
      <c r="W257" s="102"/>
      <c r="X257" s="102"/>
      <c r="Y257" s="102"/>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185"/>
      <c r="BJ257" s="185"/>
      <c r="BK257" s="185"/>
      <c r="BL257" s="185"/>
      <c r="BM257" s="185"/>
      <c r="BN257" s="185"/>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hidden="1" customHeight="1" outlineLevel="2">
      <c r="A258" s="9"/>
      <c r="B258" s="9"/>
      <c r="C258" s="25"/>
      <c r="D258" s="492"/>
      <c r="E258" s="85">
        <v>3</v>
      </c>
      <c r="F258" s="203"/>
      <c r="G258" s="148"/>
      <c r="H258" s="148"/>
      <c r="I258" s="147"/>
      <c r="J258" s="67">
        <f>IF(A15taxstdlife="n/a","n/a",IF(J$3&gt;(A15taxstdlife+$E258),(Input!$J$56-Input!$J$90)-SUM($I258:I258),(Input!$J$56-Input!$J$90)/A15taxstdlife))</f>
        <v>0.64059371012451005</v>
      </c>
      <c r="K258" s="67">
        <f>IF(A15taxstdlife="n/a","n/a",IF(K$3&gt;(A15taxstdlife+$E258),(Input!$J$56-Input!$J$90)-SUM($I258:J258),(Input!$J$56-Input!$J$90)/A15taxstdlife))</f>
        <v>0.64059371012451005</v>
      </c>
      <c r="L258" s="67"/>
      <c r="M258" s="67">
        <f>IF(A15taxstdlife="n/a","n/a",IF(M$3&gt;(A15taxstdlife+$E258),(Input!$J$56-Input!$J$90)-SUM($I258:L258),(Input!$J$56-Input!$J$90)/A15taxstdlife))</f>
        <v>0.64059371012451005</v>
      </c>
      <c r="N258" s="67">
        <f>IF(A15taxstdlife="n/a","n/a",IF(N$3&gt;(A15taxstdlife+$E258),(Input!$J$56-Input!$J$90)-SUM($I258:M258),(Input!$J$56-Input!$J$90)/A15taxstdlife))</f>
        <v>0.64059371012451005</v>
      </c>
      <c r="O258" s="67">
        <f>IF(A15taxstdlife="n/a","n/a",IF(O$3&gt;(A15taxstdlife+$E258),(Input!$J$56-Input!$J$90)-SUM($I258:N258),(Input!$J$56-Input!$J$90)/A15taxstdlife))</f>
        <v>0.64059371012451005</v>
      </c>
      <c r="P258" s="67">
        <f>IF(A15taxstdlife="n/a","n/a",IF(P$3&gt;(A15taxstdlife+$E258),(Input!$J$56-Input!$J$90)-SUM($I258:O258),(Input!$J$56-Input!$J$90)/A15taxstdlife))</f>
        <v>0.64059371012451005</v>
      </c>
      <c r="Q258" s="67"/>
      <c r="R258" s="102"/>
      <c r="S258" s="102"/>
      <c r="T258" s="102"/>
      <c r="U258" s="102"/>
      <c r="V258" s="102"/>
      <c r="W258" s="102"/>
      <c r="X258" s="102"/>
      <c r="Y258" s="102"/>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185"/>
      <c r="BJ258" s="185"/>
      <c r="BK258" s="185"/>
      <c r="BL258" s="185"/>
      <c r="BM258" s="185"/>
      <c r="BN258" s="185"/>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hidden="1" customHeight="1" outlineLevel="2">
      <c r="A259" s="9"/>
      <c r="B259" s="9"/>
      <c r="C259" s="25"/>
      <c r="D259" s="492"/>
      <c r="E259" s="85">
        <v>4</v>
      </c>
      <c r="F259" s="203"/>
      <c r="G259" s="148"/>
      <c r="H259" s="148"/>
      <c r="I259" s="148"/>
      <c r="J259" s="147"/>
      <c r="K259" s="67">
        <f>IF(A15taxstdlife="n/a","n/a",IF(K$3&gt;(A15taxstdlife+$E259),(Input!$K$56-Input!$K$90)-SUM($J259:J259),(Input!$K$56-Input!$K$90)/A15taxstdlife))</f>
        <v>0.39696440765191121</v>
      </c>
      <c r="L259" s="67"/>
      <c r="M259" s="67">
        <f>IF(A15taxstdlife="n/a","n/a",IF(M$3&gt;(A15taxstdlife+$E259),(Input!$K$56-Input!$K$90)-SUM($J259:L259),(Input!$K$56-Input!$K$90)/A15taxstdlife))</f>
        <v>0.39696440765191121</v>
      </c>
      <c r="N259" s="67">
        <f>IF(A15taxstdlife="n/a","n/a",IF(N$3&gt;(A15taxstdlife+$E259),(Input!$K$56-Input!$K$90)-SUM($J259:M259),(Input!$K$56-Input!$K$90)/A15taxstdlife))</f>
        <v>0.39696440765191121</v>
      </c>
      <c r="O259" s="67">
        <f>IF(A15taxstdlife="n/a","n/a",IF(O$3&gt;(A15taxstdlife+$E259),(Input!$K$56-Input!$K$90)-SUM($J259:N259),(Input!$K$56-Input!$K$90)/A15taxstdlife))</f>
        <v>0.39696440765191121</v>
      </c>
      <c r="P259" s="67">
        <f>IF(A15taxstdlife="n/a","n/a",IF(P$3&gt;(A15taxstdlife+$E259),(Input!$K$56-Input!$K$90)-SUM($J259:O259),(Input!$K$56-Input!$K$90)/A15taxstdlife))</f>
        <v>0.39696440765191121</v>
      </c>
      <c r="Q259" s="67"/>
      <c r="R259" s="102"/>
      <c r="S259" s="102"/>
      <c r="T259" s="102"/>
      <c r="U259" s="102"/>
      <c r="V259" s="102"/>
      <c r="W259" s="102"/>
      <c r="X259" s="102"/>
      <c r="Y259" s="102"/>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185"/>
      <c r="BJ259" s="185"/>
      <c r="BK259" s="185"/>
      <c r="BL259" s="185"/>
      <c r="BM259" s="185"/>
      <c r="BN259" s="185"/>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hidden="1" customHeight="1" outlineLevel="2">
      <c r="A260" s="9"/>
      <c r="B260" s="9"/>
      <c r="C260" s="25"/>
      <c r="D260" s="492"/>
      <c r="E260" s="85">
        <v>5</v>
      </c>
      <c r="F260" s="203"/>
      <c r="G260" s="148"/>
      <c r="H260" s="148"/>
      <c r="I260" s="148"/>
      <c r="J260" s="148"/>
      <c r="K260" s="147"/>
      <c r="L260" s="67"/>
      <c r="M260" s="67">
        <f>IF(A15taxstdlife="n/a","n/a",IF(M$3&gt;(A15taxstdlife+$E260),(Input!$L$56-Input!$L$90)-SUM($K260:L260),(Input!$L$56-Input!$L$90)/A15taxstdlife))</f>
        <v>0.3633234066037736</v>
      </c>
      <c r="N260" s="67">
        <f>IF(A15taxstdlife="n/a","n/a",IF(N$3&gt;(A15taxstdlife+$E260),(Input!$L$56-Input!$L$90)-SUM($K260:M260),(Input!$L$56-Input!$L$90)/A15taxstdlife))</f>
        <v>0.3633234066037736</v>
      </c>
      <c r="O260" s="67">
        <f>IF(A15taxstdlife="n/a","n/a",IF(O$3&gt;(A15taxstdlife+$E260),(Input!$L$56-Input!$L$90)-SUM($K260:N260),(Input!$L$56-Input!$L$90)/A15taxstdlife))</f>
        <v>0.3633234066037736</v>
      </c>
      <c r="P260" s="67">
        <f>IF(A15taxstdlife="n/a","n/a",IF(P$3&gt;(A15taxstdlife+$E260),(Input!$L$56-Input!$L$90)-SUM($K260:O260),(Input!$L$56-Input!$L$90)/A15taxstdlife))</f>
        <v>0.3633234066037736</v>
      </c>
      <c r="Q260" s="67"/>
      <c r="R260" s="102"/>
      <c r="S260" s="102"/>
      <c r="T260" s="102"/>
      <c r="U260" s="102"/>
      <c r="V260" s="102"/>
      <c r="W260" s="102"/>
      <c r="X260" s="102"/>
      <c r="Y260" s="102"/>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185"/>
      <c r="BJ260" s="185"/>
      <c r="BK260" s="185"/>
      <c r="BL260" s="185"/>
      <c r="BM260" s="185"/>
      <c r="BN260" s="185"/>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hidden="1" customHeight="1" outlineLevel="2">
      <c r="A261" s="9"/>
      <c r="B261" s="9"/>
      <c r="C261" s="25"/>
      <c r="D261" s="492"/>
      <c r="E261" s="85">
        <v>6</v>
      </c>
      <c r="F261" s="203"/>
      <c r="G261" s="148"/>
      <c r="H261" s="148"/>
      <c r="I261" s="148"/>
      <c r="J261" s="148"/>
      <c r="K261" s="148"/>
      <c r="L261" s="147"/>
      <c r="M261" s="67">
        <f>IF(A15taxstdlife="n/a","n/a",IF(M$3&gt;(A15taxstdlife+$E261),(Input!$M$56-Input!$M$90)-SUM($L261:L261),(Input!$M$56-Input!$M$90)/A15taxstdlife))</f>
        <v>0</v>
      </c>
      <c r="N261" s="67">
        <f>IF(A15taxstdlife="n/a","n/a",IF(N$3&gt;(A15taxstdlife+$E261),(Input!$M$56-Input!$M$90)-SUM($L261:M261),(Input!$M$56-Input!$M$90)/A15taxstdlife))</f>
        <v>0</v>
      </c>
      <c r="O261" s="67">
        <f>IF(A15taxstdlife="n/a","n/a",IF(O$3&gt;(A15taxstdlife+$E261),(Input!$M$56-Input!$M$90)-SUM($L261:N261),(Input!$M$56-Input!$M$90)/A15taxstdlife))</f>
        <v>0</v>
      </c>
      <c r="P261" s="67">
        <f>IF(A15taxstdlife="n/a","n/a",IF(P$3&gt;(A15taxstdlife+$E261),(Input!$M$56-Input!$M$90)-SUM($L261:O261),(Input!$M$56-Input!$M$90)/A15taxstdlife))</f>
        <v>0</v>
      </c>
      <c r="Q261" s="67"/>
      <c r="R261" s="102"/>
      <c r="S261" s="102"/>
      <c r="T261" s="102"/>
      <c r="U261" s="102"/>
      <c r="V261" s="102"/>
      <c r="W261" s="102"/>
      <c r="X261" s="102"/>
      <c r="Y261" s="102"/>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185"/>
      <c r="BJ261" s="185"/>
      <c r="BK261" s="185"/>
      <c r="BL261" s="185"/>
      <c r="BM261" s="185"/>
      <c r="BN261" s="185"/>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hidden="1" customHeight="1" outlineLevel="2">
      <c r="A262" s="9"/>
      <c r="B262" s="9"/>
      <c r="C262" s="25"/>
      <c r="D262" s="492"/>
      <c r="E262" s="85">
        <v>7</v>
      </c>
      <c r="F262" s="203"/>
      <c r="G262" s="148"/>
      <c r="H262" s="148"/>
      <c r="I262" s="148"/>
      <c r="J262" s="148"/>
      <c r="K262" s="148"/>
      <c r="L262" s="148"/>
      <c r="M262" s="147"/>
      <c r="N262" s="67">
        <f>IF(A15taxstdlife="n/a","n/a",IF(N$3&gt;(A15taxstdlife+$E262),(Input!$N$56-Input!$N$90)-SUM($M262:M262),(Input!$N$56-Input!$N$90)/A15taxstdlife))</f>
        <v>0</v>
      </c>
      <c r="O262" s="67">
        <f>IF(A15taxstdlife="n/a","n/a",IF(O$3&gt;(A15taxstdlife+$E262),(Input!$N$56-Input!$N$90)-SUM($M262:N262),(Input!$N$56-Input!$N$90)/A15taxstdlife))</f>
        <v>0</v>
      </c>
      <c r="P262" s="67">
        <f>IF(A15taxstdlife="n/a","n/a",IF(P$3&gt;(A15taxstdlife+$E262),(Input!$N$56-Input!$N$90)-SUM($M262:O262),(Input!$N$56-Input!$N$90)/A15taxstdlife))</f>
        <v>0</v>
      </c>
      <c r="Q262" s="67"/>
      <c r="R262" s="102"/>
      <c r="S262" s="102"/>
      <c r="T262" s="102"/>
      <c r="U262" s="102"/>
      <c r="V262" s="102"/>
      <c r="W262" s="102"/>
      <c r="X262" s="102"/>
      <c r="Y262" s="102"/>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185"/>
      <c r="BJ262" s="185"/>
      <c r="BK262" s="185"/>
      <c r="BL262" s="185"/>
      <c r="BM262" s="185"/>
      <c r="BN262" s="185"/>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hidden="1" customHeight="1" outlineLevel="2">
      <c r="A263" s="9"/>
      <c r="B263" s="9"/>
      <c r="C263" s="25"/>
      <c r="D263" s="492"/>
      <c r="E263" s="85">
        <v>8</v>
      </c>
      <c r="F263" s="203"/>
      <c r="G263" s="148"/>
      <c r="H263" s="148"/>
      <c r="I263" s="148"/>
      <c r="J263" s="148"/>
      <c r="K263" s="148"/>
      <c r="L263" s="148"/>
      <c r="M263" s="148"/>
      <c r="N263" s="147"/>
      <c r="O263" s="67">
        <f>IF(A15taxstdlife="n/a","n/a",IF(O$3&gt;(A15taxstdlife+$E263),(Input!$O$56-Input!$O$90)-SUM($N263:N263),(Input!$O$56-Input!$O$90)/A15taxstdlife))</f>
        <v>0</v>
      </c>
      <c r="P263" s="67">
        <f>IF(A15taxstdlife="n/a","n/a",IF(P$3&gt;(A15taxstdlife+$E263),(Input!$O$56-Input!$O$90)-SUM($N263:O263),(Input!$O$56-Input!$O$90)/A15taxstdlife))</f>
        <v>0</v>
      </c>
      <c r="Q263" s="67"/>
      <c r="R263" s="102"/>
      <c r="S263" s="102"/>
      <c r="T263" s="102"/>
      <c r="U263" s="102"/>
      <c r="V263" s="102"/>
      <c r="W263" s="102"/>
      <c r="X263" s="102"/>
      <c r="Y263" s="102"/>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185"/>
      <c r="BJ263" s="185"/>
      <c r="BK263" s="185"/>
      <c r="BL263" s="185"/>
      <c r="BM263" s="185"/>
      <c r="BN263" s="185"/>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hidden="1" customHeight="1" outlineLevel="2">
      <c r="A264" s="9"/>
      <c r="B264" s="9"/>
      <c r="C264" s="25"/>
      <c r="D264" s="492"/>
      <c r="E264" s="85">
        <v>9</v>
      </c>
      <c r="F264" s="203"/>
      <c r="G264" s="148"/>
      <c r="H264" s="148"/>
      <c r="I264" s="148"/>
      <c r="J264" s="148"/>
      <c r="K264" s="148"/>
      <c r="L264" s="148"/>
      <c r="M264" s="148"/>
      <c r="N264" s="148"/>
      <c r="O264" s="147"/>
      <c r="P264" s="67">
        <f>IF(A15taxstdlife="n/a","n/a",IF(P$3&gt;(A15taxstdlife+$E264),(Input!$P$56-Input!$P$90)-SUM($O264:O264),(Input!$P$56-Input!$P$90)/A15taxstdlife))</f>
        <v>0</v>
      </c>
      <c r="Q264" s="67"/>
      <c r="R264" s="102"/>
      <c r="S264" s="102"/>
      <c r="T264" s="102"/>
      <c r="U264" s="102"/>
      <c r="V264" s="102"/>
      <c r="W264" s="102"/>
      <c r="X264" s="102"/>
      <c r="Y264" s="102"/>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185"/>
      <c r="BJ264" s="185"/>
      <c r="BK264" s="185"/>
      <c r="BL264" s="185"/>
      <c r="BM264" s="185"/>
      <c r="BN264" s="185"/>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hidden="1" customHeight="1" outlineLevel="2">
      <c r="A265" s="9"/>
      <c r="B265" s="9"/>
      <c r="C265" s="25"/>
      <c r="D265" s="492"/>
      <c r="E265" s="86">
        <v>10</v>
      </c>
      <c r="F265" s="203"/>
      <c r="G265" s="148"/>
      <c r="H265" s="148"/>
      <c r="I265" s="148"/>
      <c r="J265" s="148"/>
      <c r="K265" s="148"/>
      <c r="L265" s="148"/>
      <c r="M265" s="148"/>
      <c r="N265" s="148"/>
      <c r="O265" s="187"/>
      <c r="P265" s="147"/>
      <c r="Q265" s="67"/>
      <c r="R265" s="102"/>
      <c r="S265" s="102"/>
      <c r="T265" s="102"/>
      <c r="U265" s="102"/>
      <c r="V265" s="102"/>
      <c r="W265" s="102"/>
      <c r="X265" s="102"/>
      <c r="Y265" s="102"/>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185"/>
      <c r="BJ265" s="185"/>
      <c r="BK265" s="185"/>
      <c r="BL265" s="185"/>
      <c r="BM265" s="185"/>
      <c r="BN265" s="18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hidden="1" customHeight="1" outlineLevel="1">
      <c r="A266" s="9"/>
      <c r="B266" s="9"/>
      <c r="C266" s="25" t="str">
        <f>Asset15</f>
        <v>Furniture, fittings, plant and equipment</v>
      </c>
      <c r="D266" s="9"/>
      <c r="E266" s="9"/>
      <c r="F266" s="203"/>
      <c r="G266" s="164">
        <f>-SUM(G254:G265)</f>
        <v>-2.9597095772143218</v>
      </c>
      <c r="H266" s="164">
        <f>-SUM(H254:H265)</f>
        <v>-3.4912538672546463</v>
      </c>
      <c r="I266" s="164">
        <f>-SUM(I254:I265)</f>
        <v>-4.0491444766613558</v>
      </c>
      <c r="J266" s="164">
        <f>-SUM(J254:J265)</f>
        <v>-4.4378004116896932</v>
      </c>
      <c r="K266" s="164">
        <f>-SUM(K254:K265)</f>
        <v>-4.64920631259234</v>
      </c>
      <c r="L266" s="164"/>
      <c r="M266" s="164">
        <f>IF(Input!N174&gt;0, -SUM(M254:M265), 0)</f>
        <v>0</v>
      </c>
      <c r="N266" s="164">
        <f>IF(Input!O174&gt;0, -SUM(N254:N265), 0)</f>
        <v>0</v>
      </c>
      <c r="O266" s="164">
        <f>IF(Input!P174&gt;0, -SUM(O254:O265), 0)</f>
        <v>0</v>
      </c>
      <c r="P266" s="164">
        <f>IF(Input!Q174&gt;0, -SUM(P254:P265), 0)</f>
        <v>0</v>
      </c>
      <c r="Q266" s="63"/>
      <c r="R266" s="101"/>
      <c r="S266" s="301"/>
      <c r="T266" s="101"/>
      <c r="U266" s="101"/>
      <c r="V266" s="101"/>
      <c r="W266" s="101"/>
      <c r="X266" s="101"/>
      <c r="Y266" s="10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185"/>
      <c r="BJ266" s="185"/>
      <c r="BK266" s="185"/>
      <c r="BL266" s="185"/>
      <c r="BM266" s="185"/>
      <c r="BN266" s="185"/>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hidden="1" customHeight="1" outlineLevel="2">
      <c r="A267" s="9"/>
      <c r="B267" s="31" t="str">
        <f>Asset16</f>
        <v>Land (non-system)</v>
      </c>
      <c r="C267" s="32"/>
      <c r="D267" s="33" t="s">
        <v>65</v>
      </c>
      <c r="E267" s="32"/>
      <c r="F267" s="203"/>
      <c r="G267" s="459">
        <f>'Tax asset base adjustments'!Q50</f>
        <v>0</v>
      </c>
      <c r="H267" s="459">
        <f>'Tax asset base adjustments'!R50</f>
        <v>0</v>
      </c>
      <c r="I267" s="459">
        <f>'Tax asset base adjustments'!S50</f>
        <v>0</v>
      </c>
      <c r="J267" s="459">
        <f>'Tax asset base adjustments'!T50</f>
        <v>0</v>
      </c>
      <c r="K267" s="459">
        <f>'Tax asset base adjustments'!U50</f>
        <v>0</v>
      </c>
      <c r="L267" s="344"/>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2"/>
      <c r="S267" s="301">
        <f>SUM(K267:K272)</f>
        <v>0</v>
      </c>
      <c r="T267" s="102"/>
      <c r="U267" s="102"/>
      <c r="V267" s="102"/>
      <c r="W267" s="102"/>
      <c r="X267" s="102"/>
      <c r="Y267" s="102"/>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185"/>
      <c r="BJ267" s="185"/>
      <c r="BK267" s="185"/>
      <c r="BL267" s="185"/>
      <c r="BM267" s="185"/>
      <c r="BN267" s="185"/>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5"/>
      <c r="D268" s="491" t="s">
        <v>83</v>
      </c>
      <c r="E268" s="85"/>
      <c r="F268" s="302"/>
      <c r="G268" s="67"/>
      <c r="H268" s="67"/>
      <c r="I268" s="67"/>
      <c r="J268" s="67"/>
      <c r="K268" s="67"/>
      <c r="L268" s="67"/>
      <c r="M268" s="67"/>
      <c r="N268" s="67"/>
      <c r="O268" s="67"/>
      <c r="P268" s="67"/>
      <c r="Q268" s="67"/>
      <c r="R268" s="102"/>
      <c r="S268" s="102"/>
      <c r="T268" s="102"/>
      <c r="U268" s="102"/>
      <c r="V268" s="102"/>
      <c r="W268" s="102"/>
      <c r="X268" s="102"/>
      <c r="Y268" s="102"/>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185"/>
      <c r="BJ268" s="185"/>
      <c r="BK268" s="185"/>
      <c r="BL268" s="185"/>
      <c r="BM268" s="185"/>
      <c r="BN268" s="185"/>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hidden="1" customHeight="1" outlineLevel="2">
      <c r="A269" s="9"/>
      <c r="B269" s="9"/>
      <c r="C269" s="25"/>
      <c r="D269" s="492"/>
      <c r="E269" s="85">
        <v>1</v>
      </c>
      <c r="F269" s="191"/>
      <c r="G269" s="147"/>
      <c r="H269" s="67" t="str">
        <f>IF(A16taxstdlife="n/a","n/a",IF(H$3&gt;(A16taxstdlife+$E269),(Input!$H$57-Input!$H$91)-SUM($G269:G269),(Input!$H$57-Input!$H$91)/A16taxstdlife))</f>
        <v>n/a</v>
      </c>
      <c r="I269" s="67" t="str">
        <f>IF(A16taxstdlife="n/a","n/a",IF(I$3&gt;(A16taxstdlife+$E269),(Input!$H$57-Input!$H$91)-SUM($G269:H269),(Input!$H$57-Input!$H$91)/A16taxstdlife))</f>
        <v>n/a</v>
      </c>
      <c r="J269" s="67" t="str">
        <f>IF(A16taxstdlife="n/a","n/a",IF(J$3&gt;(A16taxstdlife+$E269),(Input!$H$57-Input!$H$91)-SUM($G269:I269),(Input!$H$57-Input!$H$91)/A16taxstdlife))</f>
        <v>n/a</v>
      </c>
      <c r="K269" s="67" t="str">
        <f>IF(A16taxstdlife="n/a","n/a",IF(K$3&gt;(A16taxstdlife+$E269),(Input!$H$57-Input!$H$91)-SUM($G269:J269),(Input!$H$57-Input!$H$91)/A16taxstdlife))</f>
        <v>n/a</v>
      </c>
      <c r="L269" s="67"/>
      <c r="M269" s="67" t="str">
        <f>IF(A16taxstdlife="n/a","n/a",IF(M$3&gt;(A16taxstdlife+$E269),(Input!$H$57-Input!$H$91)-SUM($G269:L269),(Input!$H$57-Input!$H$91)/A16taxstdlife))</f>
        <v>n/a</v>
      </c>
      <c r="N269" s="67" t="str">
        <f>IF(A16taxstdlife="n/a","n/a",IF(N$3&gt;(A16taxstdlife+$E269),(Input!$H$57-Input!$H$91)-SUM($G269:M269),(Input!$H$57-Input!$H$91)/A16taxstdlife))</f>
        <v>n/a</v>
      </c>
      <c r="O269" s="67" t="str">
        <f>IF(A16taxstdlife="n/a","n/a",IF(O$3&gt;(A16taxstdlife+$E269),(Input!$H$57-Input!$H$91)-SUM($G269:N269),(Input!$H$57-Input!$H$91)/A16taxstdlife))</f>
        <v>n/a</v>
      </c>
      <c r="P269" s="67" t="str">
        <f>IF(A16taxstdlife="n/a","n/a",IF(P$3&gt;(A16taxstdlife+$E269),(Input!$H$57-Input!$H$91)-SUM($G269:O269),(Input!$H$57-Input!$H$91)/A16taxstdlife))</f>
        <v>n/a</v>
      </c>
      <c r="Q269" s="67"/>
      <c r="R269" s="102"/>
      <c r="S269" s="102"/>
      <c r="T269" s="102"/>
      <c r="U269" s="102"/>
      <c r="V269" s="102"/>
      <c r="W269" s="102"/>
      <c r="X269" s="102"/>
      <c r="Y269" s="102"/>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185"/>
      <c r="BJ269" s="185"/>
      <c r="BK269" s="185"/>
      <c r="BL269" s="185"/>
      <c r="BM269" s="185"/>
      <c r="BN269" s="185"/>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hidden="1" customHeight="1" outlineLevel="2">
      <c r="A270" s="9"/>
      <c r="B270" s="9"/>
      <c r="C270" s="25"/>
      <c r="D270" s="492"/>
      <c r="E270" s="85">
        <v>2</v>
      </c>
      <c r="F270" s="191"/>
      <c r="G270" s="148"/>
      <c r="H270" s="147"/>
      <c r="I270" s="67" t="str">
        <f>IF(A16taxstdlife="n/a","n/a",IF(I$3&gt;(A16taxstdlife+$E270),(Input!$I$57-Input!$I$91)-SUM($H270:H270),(Input!$I$57-Input!$I$91)/A16taxstdlife))</f>
        <v>n/a</v>
      </c>
      <c r="J270" s="67" t="str">
        <f>IF(A16taxstdlife="n/a","n/a",IF(J$3&gt;(A16taxstdlife+$E270),(Input!$I$57-Input!$I$91)-SUM($H270:I270),(Input!$I$57-Input!$I$91)/A16taxstdlife))</f>
        <v>n/a</v>
      </c>
      <c r="K270" s="67" t="str">
        <f>IF(A16taxstdlife="n/a","n/a",IF(K$3&gt;(A16taxstdlife+$E270),(Input!$I$57-Input!$I$91)-SUM($H270:J270),(Input!$I$57-Input!$I$91)/A16taxstdlife))</f>
        <v>n/a</v>
      </c>
      <c r="L270" s="67"/>
      <c r="M270" s="67" t="str">
        <f>IF(A16taxstdlife="n/a","n/a",IF(M$3&gt;(A16taxstdlife+$E270),(Input!$I$57-Input!$I$91)-SUM($H270:L270),(Input!$I$57-Input!$I$91)/A16taxstdlife))</f>
        <v>n/a</v>
      </c>
      <c r="N270" s="67" t="str">
        <f>IF(A16taxstdlife="n/a","n/a",IF(N$3&gt;(A16taxstdlife+$E270),(Input!$I$57-Input!$I$91)-SUM($H270:M270),(Input!$I$57-Input!$I$91)/A16taxstdlife))</f>
        <v>n/a</v>
      </c>
      <c r="O270" s="67" t="str">
        <f>IF(A16taxstdlife="n/a","n/a",IF(O$3&gt;(A16taxstdlife+$E270),(Input!$I$57-Input!$I$91)-SUM($H270:N270),(Input!$I$57-Input!$I$91)/A16taxstdlife))</f>
        <v>n/a</v>
      </c>
      <c r="P270" s="67" t="str">
        <f>IF(A16taxstdlife="n/a","n/a",IF(P$3&gt;(A16taxstdlife+$E270),(Input!$I$57-Input!$I$91)-SUM($H270:O270),(Input!$I$57-Input!$I$91)/A16taxstdlife))</f>
        <v>n/a</v>
      </c>
      <c r="Q270" s="67"/>
      <c r="R270" s="102"/>
      <c r="S270" s="102"/>
      <c r="T270" s="102"/>
      <c r="U270" s="102"/>
      <c r="V270" s="102"/>
      <c r="W270" s="102"/>
      <c r="X270" s="102"/>
      <c r="Y270" s="102"/>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185"/>
      <c r="BJ270" s="185"/>
      <c r="BK270" s="185"/>
      <c r="BL270" s="185"/>
      <c r="BM270" s="185"/>
      <c r="BN270" s="185"/>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hidden="1" customHeight="1" outlineLevel="2">
      <c r="A271" s="9"/>
      <c r="B271" s="9"/>
      <c r="C271" s="25"/>
      <c r="D271" s="492"/>
      <c r="E271" s="85">
        <v>3</v>
      </c>
      <c r="F271" s="191"/>
      <c r="G271" s="148"/>
      <c r="H271" s="148"/>
      <c r="I271" s="147"/>
      <c r="J271" s="67" t="str">
        <f>IF(A16taxstdlife="n/a","n/a",IF(J$3&gt;(A16taxstdlife+$E271),(Input!$J$57-Input!$J$91)-SUM($I271:I271),(Input!$J$57-Input!$J$91)/A16taxstdlife))</f>
        <v>n/a</v>
      </c>
      <c r="K271" s="67" t="str">
        <f>IF(A16taxstdlife="n/a","n/a",IF(K$3&gt;(A16taxstdlife+$E271),(Input!$J$57-Input!$J$91)-SUM($I271:J271),(Input!$J$57-Input!$J$91)/A16taxstdlife))</f>
        <v>n/a</v>
      </c>
      <c r="L271" s="67"/>
      <c r="M271" s="67" t="str">
        <f>IF(A16taxstdlife="n/a","n/a",IF(M$3&gt;(A16taxstdlife+$E271),(Input!$J$57-Input!$J$91)-SUM($I271:L271),(Input!$J$57-Input!$J$91)/A16taxstdlife))</f>
        <v>n/a</v>
      </c>
      <c r="N271" s="67" t="str">
        <f>IF(A16taxstdlife="n/a","n/a",IF(N$3&gt;(A16taxstdlife+$E271),(Input!$J$57-Input!$J$91)-SUM($I271:M271),(Input!$J$57-Input!$J$91)/A16taxstdlife))</f>
        <v>n/a</v>
      </c>
      <c r="O271" s="67" t="str">
        <f>IF(A16taxstdlife="n/a","n/a",IF(O$3&gt;(A16taxstdlife+$E271),(Input!$J$57-Input!$J$91)-SUM($I271:N271),(Input!$J$57-Input!$J$91)/A16taxstdlife))</f>
        <v>n/a</v>
      </c>
      <c r="P271" s="67" t="str">
        <f>IF(A16taxstdlife="n/a","n/a",IF(P$3&gt;(A16taxstdlife+$E271),(Input!$J$57-Input!$J$91)-SUM($I271:O271),(Input!$J$57-Input!$J$91)/A16taxstdlife))</f>
        <v>n/a</v>
      </c>
      <c r="Q271" s="67"/>
      <c r="R271" s="102"/>
      <c r="S271" s="102"/>
      <c r="T271" s="102"/>
      <c r="U271" s="102"/>
      <c r="V271" s="102"/>
      <c r="W271" s="102"/>
      <c r="X271" s="102"/>
      <c r="Y271" s="102"/>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185"/>
      <c r="BJ271" s="185"/>
      <c r="BK271" s="185"/>
      <c r="BL271" s="185"/>
      <c r="BM271" s="185"/>
      <c r="BN271" s="185"/>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hidden="1" customHeight="1" outlineLevel="2">
      <c r="A272" s="9"/>
      <c r="B272" s="9"/>
      <c r="C272" s="25"/>
      <c r="D272" s="492"/>
      <c r="E272" s="85">
        <v>4</v>
      </c>
      <c r="F272" s="191"/>
      <c r="G272" s="148"/>
      <c r="H272" s="148"/>
      <c r="I272" s="148"/>
      <c r="J272" s="147"/>
      <c r="K272" s="67" t="str">
        <f>IF(A16taxstdlife="n/a","n/a",IF(K$3&gt;(A16taxstdlife+$E272),(Input!$K$57-Input!$K$91)-SUM($J272:J272),(Input!$K$57-Input!$K$91)/A16taxstdlife))</f>
        <v>n/a</v>
      </c>
      <c r="L272" s="67"/>
      <c r="M272" s="67" t="str">
        <f>IF(A16taxstdlife="n/a","n/a",IF(M$3&gt;(A16taxstdlife+$E272),(Input!$K$57-Input!$K$91)-SUM($J272:L272),(Input!$K$57-Input!$K$91)/A16taxstdlife))</f>
        <v>n/a</v>
      </c>
      <c r="N272" s="67" t="str">
        <f>IF(A16taxstdlife="n/a","n/a",IF(N$3&gt;(A16taxstdlife+$E272),(Input!$K$57-Input!$K$91)-SUM($J272:M272),(Input!$K$57-Input!$K$91)/A16taxstdlife))</f>
        <v>n/a</v>
      </c>
      <c r="O272" s="67" t="str">
        <f>IF(A16taxstdlife="n/a","n/a",IF(O$3&gt;(A16taxstdlife+$E272),(Input!$K$57-Input!$K$91)-SUM($J272:N272),(Input!$K$57-Input!$K$91)/A16taxstdlife))</f>
        <v>n/a</v>
      </c>
      <c r="P272" s="67" t="str">
        <f>IF(A16taxstdlife="n/a","n/a",IF(P$3&gt;(A16taxstdlife+$E272),(Input!$K$57-Input!$K$91)-SUM($J272:O272),(Input!$K$57-Input!$K$91)/A16taxstdlife))</f>
        <v>n/a</v>
      </c>
      <c r="Q272" s="67"/>
      <c r="R272" s="102"/>
      <c r="S272" s="102"/>
      <c r="T272" s="102"/>
      <c r="U272" s="102"/>
      <c r="V272" s="102"/>
      <c r="W272" s="102"/>
      <c r="X272" s="102"/>
      <c r="Y272" s="102"/>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185"/>
      <c r="BJ272" s="185"/>
      <c r="BK272" s="185"/>
      <c r="BL272" s="185"/>
      <c r="BM272" s="185"/>
      <c r="BN272" s="185"/>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hidden="1" customHeight="1" outlineLevel="2">
      <c r="A273" s="9"/>
      <c r="B273" s="9"/>
      <c r="C273" s="25"/>
      <c r="D273" s="492"/>
      <c r="E273" s="85">
        <v>5</v>
      </c>
      <c r="F273" s="191"/>
      <c r="G273" s="148"/>
      <c r="H273" s="148"/>
      <c r="I273" s="148"/>
      <c r="J273" s="148"/>
      <c r="K273" s="147"/>
      <c r="L273" s="67"/>
      <c r="M273" s="67" t="str">
        <f>IF(A16taxstdlife="n/a","n/a",IF(M$3&gt;(A16taxstdlife+$E273),(Input!$L$57-Input!$L$91)-SUM($K273:L273),(Input!$L$57-Input!$L$91)/A16taxstdlife))</f>
        <v>n/a</v>
      </c>
      <c r="N273" s="67" t="str">
        <f>IF(A16taxstdlife="n/a","n/a",IF(N$3&gt;(A16taxstdlife+$E273),(Input!$L$57-Input!$L$91)-SUM($K273:M273),(Input!$L$57-Input!$L$91)/A16taxstdlife))</f>
        <v>n/a</v>
      </c>
      <c r="O273" s="67" t="str">
        <f>IF(A16taxstdlife="n/a","n/a",IF(O$3&gt;(A16taxstdlife+$E273),(Input!$L$57-Input!$L$91)-SUM($K273:N273),(Input!$L$57-Input!$L$91)/A16taxstdlife))</f>
        <v>n/a</v>
      </c>
      <c r="P273" s="67" t="str">
        <f>IF(A16taxstdlife="n/a","n/a",IF(P$3&gt;(A16taxstdlife+$E273),(Input!$L$57-Input!$L$91)-SUM($K273:O273),(Input!$L$57-Input!$L$91)/A16taxstdlife))</f>
        <v>n/a</v>
      </c>
      <c r="Q273" s="67"/>
      <c r="R273" s="102"/>
      <c r="S273" s="102"/>
      <c r="T273" s="102"/>
      <c r="U273" s="102"/>
      <c r="V273" s="102"/>
      <c r="W273" s="102"/>
      <c r="X273" s="102"/>
      <c r="Y273" s="102"/>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185"/>
      <c r="BJ273" s="185"/>
      <c r="BK273" s="185"/>
      <c r="BL273" s="185"/>
      <c r="BM273" s="185"/>
      <c r="BN273" s="185"/>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hidden="1" customHeight="1" outlineLevel="2">
      <c r="A274" s="9"/>
      <c r="B274" s="9"/>
      <c r="C274" s="25"/>
      <c r="D274" s="492"/>
      <c r="E274" s="85">
        <v>6</v>
      </c>
      <c r="F274" s="191"/>
      <c r="G274" s="148"/>
      <c r="H274" s="148"/>
      <c r="I274" s="148"/>
      <c r="J274" s="148"/>
      <c r="K274" s="148"/>
      <c r="L274" s="147"/>
      <c r="M274" s="67" t="str">
        <f>IF(A16taxstdlife="n/a","n/a",IF(M$3&gt;(A16taxstdlife+$E274),(Input!$M$57-Input!$M$91)-SUM($L274:L274),(Input!$M$57-Input!$M$91)/A16taxstdlife))</f>
        <v>n/a</v>
      </c>
      <c r="N274" s="67" t="str">
        <f>IF(A16taxstdlife="n/a","n/a",IF(N$3&gt;(A16taxstdlife+$E274),(Input!$M$57-Input!$M$91)-SUM($L274:M274),(Input!$M$57-Input!$M$91)/A16taxstdlife))</f>
        <v>n/a</v>
      </c>
      <c r="O274" s="67" t="str">
        <f>IF(A16taxstdlife="n/a","n/a",IF(O$3&gt;(A16taxstdlife+$E274),(Input!$M$57-Input!$M$91)-SUM($L274:N274),(Input!$M$57-Input!$M$91)/A16taxstdlife))</f>
        <v>n/a</v>
      </c>
      <c r="P274" s="67" t="str">
        <f>IF(A16taxstdlife="n/a","n/a",IF(P$3&gt;(A16taxstdlife+$E274),(Input!$M$57-Input!$M$91)-SUM($L274:O274),(Input!$M$57-Input!$M$91)/A16taxstdlife))</f>
        <v>n/a</v>
      </c>
      <c r="Q274" s="67"/>
      <c r="R274" s="102"/>
      <c r="S274" s="102"/>
      <c r="T274" s="102"/>
      <c r="U274" s="102"/>
      <c r="V274" s="102"/>
      <c r="W274" s="102"/>
      <c r="X274" s="102"/>
      <c r="Y274" s="102"/>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2"/>
      <c r="BJ274" s="185"/>
      <c r="BK274" s="185"/>
      <c r="BL274" s="185"/>
      <c r="BM274" s="185"/>
      <c r="BN274" s="185"/>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hidden="1" customHeight="1" outlineLevel="2">
      <c r="A275" s="9"/>
      <c r="B275" s="9"/>
      <c r="C275" s="25"/>
      <c r="D275" s="492"/>
      <c r="E275" s="85">
        <v>7</v>
      </c>
      <c r="F275" s="191"/>
      <c r="G275" s="148"/>
      <c r="H275" s="148"/>
      <c r="I275" s="148"/>
      <c r="J275" s="148"/>
      <c r="K275" s="148"/>
      <c r="L275" s="148"/>
      <c r="M275" s="147"/>
      <c r="N275" s="67" t="str">
        <f>IF(A16taxstdlife="n/a","n/a",IF(N$3&gt;(A16taxstdlife+$E275),(Input!$N$57-Input!$N$91)-SUM($M275:M275),(Input!$N$57-Input!$N$91)/A16taxstdlife))</f>
        <v>n/a</v>
      </c>
      <c r="O275" s="67" t="str">
        <f>IF(A16taxstdlife="n/a","n/a",IF(O$3&gt;(A16taxstdlife+$E275),(Input!$N$57-Input!$N$91)-SUM($M275:N275),(Input!$N$57-Input!$N$91)/A16taxstdlife))</f>
        <v>n/a</v>
      </c>
      <c r="P275" s="67" t="str">
        <f>IF(A16taxstdlife="n/a","n/a",IF(P$3&gt;(A16taxstdlife+$E275),(Input!$N$57-Input!$N$91)-SUM($M275:O275),(Input!$N$57-Input!$N$91)/A16taxstdlife))</f>
        <v>n/a</v>
      </c>
      <c r="Q275" s="67"/>
      <c r="R275" s="102"/>
      <c r="S275" s="102"/>
      <c r="T275" s="102"/>
      <c r="U275" s="102"/>
      <c r="V275" s="102"/>
      <c r="W275" s="102"/>
      <c r="X275" s="102"/>
      <c r="Y275" s="102"/>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185"/>
      <c r="BJ275" s="185"/>
      <c r="BK275" s="185"/>
      <c r="BL275" s="185"/>
      <c r="BM275" s="185"/>
      <c r="BN275" s="18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hidden="1" customHeight="1" outlineLevel="2">
      <c r="A276" s="9"/>
      <c r="B276" s="9"/>
      <c r="C276" s="25"/>
      <c r="D276" s="492"/>
      <c r="E276" s="85">
        <v>8</v>
      </c>
      <c r="F276" s="191"/>
      <c r="G276" s="148"/>
      <c r="H276" s="148"/>
      <c r="I276" s="148"/>
      <c r="J276" s="148"/>
      <c r="K276" s="148"/>
      <c r="L276" s="148"/>
      <c r="M276" s="148"/>
      <c r="N276" s="147"/>
      <c r="O276" s="67" t="str">
        <f>IF(A16taxstdlife="n/a","n/a",IF(O$3&gt;(A16taxstdlife+$E276),(Input!$O$57-Input!$O$91)-SUM($N276:N276),(Input!$O$57-Input!$O$91)/A16taxstdlife))</f>
        <v>n/a</v>
      </c>
      <c r="P276" s="67" t="str">
        <f>IF(A16taxstdlife="n/a","n/a",IF(P$3&gt;(A16taxstdlife+$E276),(Input!$O$57-Input!$O$91)-SUM($N276:O276),(Input!$O$57-Input!$O$91)/A16taxstdlife))</f>
        <v>n/a</v>
      </c>
      <c r="Q276" s="67"/>
      <c r="R276" s="102"/>
      <c r="S276" s="102"/>
      <c r="T276" s="102"/>
      <c r="U276" s="102"/>
      <c r="V276" s="102"/>
      <c r="W276" s="102"/>
      <c r="X276" s="102"/>
      <c r="Y276" s="102"/>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185"/>
      <c r="BJ276" s="185"/>
      <c r="BK276" s="185"/>
      <c r="BL276" s="185"/>
      <c r="BM276" s="185"/>
      <c r="BN276" s="185"/>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hidden="1" customHeight="1" outlineLevel="2">
      <c r="A277" s="9"/>
      <c r="B277" s="9"/>
      <c r="C277" s="25"/>
      <c r="D277" s="492"/>
      <c r="E277" s="85">
        <v>9</v>
      </c>
      <c r="F277" s="191"/>
      <c r="G277" s="148"/>
      <c r="H277" s="148"/>
      <c r="I277" s="148"/>
      <c r="J277" s="148"/>
      <c r="K277" s="148"/>
      <c r="L277" s="148"/>
      <c r="M277" s="148"/>
      <c r="N277" s="148"/>
      <c r="O277" s="147"/>
      <c r="P277" s="67" t="str">
        <f>IF(A16taxstdlife="n/a","n/a",IF(P$3&gt;(A16taxstdlife+$E277),(Input!$P$57-Input!$P$91)-SUM($O277:O277),(Input!$P$57-Input!$P$91)/A16taxstdlife))</f>
        <v>n/a</v>
      </c>
      <c r="Q277" s="67"/>
      <c r="R277" s="102"/>
      <c r="S277" s="102"/>
      <c r="T277" s="102"/>
      <c r="U277" s="102"/>
      <c r="V277" s="102"/>
      <c r="W277" s="102"/>
      <c r="X277" s="102"/>
      <c r="Y277" s="102"/>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185"/>
      <c r="BJ277" s="185"/>
      <c r="BK277" s="185"/>
      <c r="BL277" s="185"/>
      <c r="BM277" s="185"/>
      <c r="BN277" s="185"/>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hidden="1" customHeight="1" outlineLevel="2">
      <c r="A278" s="9"/>
      <c r="B278" s="9"/>
      <c r="C278" s="25"/>
      <c r="D278" s="492"/>
      <c r="E278" s="86">
        <v>10</v>
      </c>
      <c r="F278" s="191"/>
      <c r="G278" s="148"/>
      <c r="H278" s="148"/>
      <c r="I278" s="148"/>
      <c r="J278" s="148"/>
      <c r="K278" s="148"/>
      <c r="L278" s="148"/>
      <c r="M278" s="148"/>
      <c r="N278" s="148"/>
      <c r="O278" s="187"/>
      <c r="P278" s="147"/>
      <c r="Q278" s="67"/>
      <c r="R278" s="102"/>
      <c r="S278" s="102"/>
      <c r="T278" s="102"/>
      <c r="U278" s="102"/>
      <c r="V278" s="102"/>
      <c r="W278" s="102"/>
      <c r="X278" s="102"/>
      <c r="Y278" s="102"/>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185"/>
      <c r="BJ278" s="185"/>
      <c r="BK278" s="185"/>
      <c r="BL278" s="185"/>
      <c r="BM278" s="185"/>
      <c r="BN278" s="185"/>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hidden="1" customHeight="1" outlineLevel="1">
      <c r="A279" s="9"/>
      <c r="B279" s="9"/>
      <c r="C279" s="25" t="str">
        <f>Asset16</f>
        <v>Land (non-system)</v>
      </c>
      <c r="D279" s="9"/>
      <c r="E279" s="9"/>
      <c r="F279" s="191"/>
      <c r="G279" s="164">
        <f>-SUM(G267:G278)</f>
        <v>0</v>
      </c>
      <c r="H279" s="164">
        <f>-SUM(H267:H278)</f>
        <v>0</v>
      </c>
      <c r="I279" s="164">
        <f>-SUM(I267:I278)</f>
        <v>0</v>
      </c>
      <c r="J279" s="164">
        <f>-SUM(J267:J278)</f>
        <v>0</v>
      </c>
      <c r="K279" s="164">
        <f>-SUM(K267:K278)</f>
        <v>0</v>
      </c>
      <c r="L279" s="164"/>
      <c r="M279" s="164">
        <f>IF(Input!N174&gt;0, -SUM(M267:M278), 0)</f>
        <v>0</v>
      </c>
      <c r="N279" s="164">
        <f>IF(Input!O174&gt;0, -SUM(N267:N278), 0)</f>
        <v>0</v>
      </c>
      <c r="O279" s="164">
        <f>IF(Input!P174&gt;0, -SUM(O267:O278), 0)</f>
        <v>0</v>
      </c>
      <c r="P279" s="164">
        <f>IF(Input!Q174&gt;0, -SUM(P267:P278), 0)</f>
        <v>0</v>
      </c>
      <c r="Q279" s="63"/>
      <c r="R279" s="101"/>
      <c r="S279" s="101"/>
      <c r="T279" s="101"/>
      <c r="U279" s="101"/>
      <c r="V279" s="101"/>
      <c r="W279" s="101"/>
      <c r="X279" s="101"/>
      <c r="Y279" s="10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185"/>
      <c r="BJ279" s="185"/>
      <c r="BK279" s="185"/>
      <c r="BL279" s="185"/>
      <c r="BM279" s="185"/>
      <c r="BN279" s="185"/>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hidden="1" customHeight="1" outlineLevel="2">
      <c r="A280" s="9"/>
      <c r="B280" s="186" t="str">
        <f>Asset17</f>
        <v>Other non system assets</v>
      </c>
      <c r="C280" s="32"/>
      <c r="D280" s="33" t="s">
        <v>65</v>
      </c>
      <c r="E280" s="32"/>
      <c r="F280" s="191"/>
      <c r="G280" s="459">
        <f>'Tax asset base adjustments'!Q51</f>
        <v>0.33278090793264781</v>
      </c>
      <c r="H280" s="459">
        <f>'Tax asset base adjustments'!R51</f>
        <v>0.33278090793264781</v>
      </c>
      <c r="I280" s="459">
        <f>'Tax asset base adjustments'!S51</f>
        <v>0.32925839544283775</v>
      </c>
      <c r="J280" s="459">
        <f>'Tax asset base adjustments'!T51</f>
        <v>0.27547448674333058</v>
      </c>
      <c r="K280" s="459">
        <f>'Tax asset base adjustments'!U51</f>
        <v>0.30992169529045843</v>
      </c>
      <c r="L280" s="344"/>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2"/>
      <c r="S280" s="301">
        <f>SUM(K280:K285)</f>
        <v>0.46898892914780183</v>
      </c>
      <c r="T280" s="102"/>
      <c r="U280" s="102"/>
      <c r="V280" s="102"/>
      <c r="W280" s="102"/>
      <c r="X280" s="102"/>
      <c r="Y280" s="102"/>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185"/>
      <c r="BJ280" s="185"/>
      <c r="BK280" s="185"/>
      <c r="BL280" s="185"/>
      <c r="BM280" s="185"/>
      <c r="BN280" s="185"/>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5"/>
      <c r="D281" s="491" t="s">
        <v>83</v>
      </c>
      <c r="E281" s="85"/>
      <c r="F281" s="302"/>
      <c r="G281" s="67"/>
      <c r="H281" s="67"/>
      <c r="I281" s="67"/>
      <c r="J281" s="67"/>
      <c r="K281" s="67"/>
      <c r="L281" s="67"/>
      <c r="M281" s="67"/>
      <c r="N281" s="67"/>
      <c r="O281" s="67"/>
      <c r="P281" s="67"/>
      <c r="Q281" s="67"/>
      <c r="R281" s="102"/>
      <c r="S281" s="102"/>
      <c r="T281" s="102"/>
      <c r="U281" s="102"/>
      <c r="V281" s="102"/>
      <c r="W281" s="102"/>
      <c r="X281" s="102"/>
      <c r="Y281" s="102"/>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185"/>
      <c r="BJ281" s="185"/>
      <c r="BK281" s="185"/>
      <c r="BL281" s="185"/>
      <c r="BM281" s="185"/>
      <c r="BN281" s="185"/>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hidden="1" customHeight="1" outlineLevel="2">
      <c r="A282" s="9"/>
      <c r="B282" s="9"/>
      <c r="C282" s="25"/>
      <c r="D282" s="492"/>
      <c r="E282" s="85">
        <v>1</v>
      </c>
      <c r="F282" s="191"/>
      <c r="G282" s="147"/>
      <c r="H282" s="67">
        <f>IF(A17taxstdlife="n/a","n/a",IF(H$3&gt;(A17taxstdlife+$E282),(Input!$H$58-Input!$H$92)-SUM($G282:G282),(Input!$H$58-Input!$H$92)/A17taxstdlife))</f>
        <v>3.1986219164546477E-2</v>
      </c>
      <c r="I282" s="67">
        <f>IF(A17taxstdlife="n/a","n/a",IF(I$3&gt;(A17taxstdlife+$E282),(Input!$H$58-Input!$H$92)-SUM($G282:H282),(Input!$H$58-Input!$H$92)/A17taxstdlife))</f>
        <v>3.1986219164546477E-2</v>
      </c>
      <c r="J282" s="67">
        <f>IF(A17taxstdlife="n/a","n/a",IF(J$3&gt;(A17taxstdlife+$E282),(Input!$H$58-Input!$H$92)-SUM($G282:I282),(Input!$H$58-Input!$H$92)/A17taxstdlife))</f>
        <v>3.1986219164546477E-2</v>
      </c>
      <c r="K282" s="67">
        <f>IF(A17taxstdlife="n/a","n/a",IF(K$3&gt;(A17taxstdlife+$E282),(Input!$H$58-Input!$H$92)-SUM($G282:J282),(Input!$H$58-Input!$H$92)/A17taxstdlife))</f>
        <v>3.1986219164546477E-2</v>
      </c>
      <c r="L282" s="67"/>
      <c r="M282" s="67">
        <f>IF(A17taxstdlife="n/a","n/a",IF(M$3&gt;(A17taxstdlife+$E282),(Input!$H$58-Input!$H$92)-SUM($G282:L282),(Input!$H$58-Input!$H$92)/A17taxstdlife))</f>
        <v>3.1986219164546477E-2</v>
      </c>
      <c r="N282" s="67">
        <f>IF(A17taxstdlife="n/a","n/a",IF(N$3&gt;(A17taxstdlife+$E282),(Input!$H$58-Input!$H$92)-SUM($G282:M282),(Input!$H$58-Input!$H$92)/A17taxstdlife))</f>
        <v>3.1986219164546477E-2</v>
      </c>
      <c r="O282" s="67">
        <f>IF(A17taxstdlife="n/a","n/a",IF(O$3&gt;(A17taxstdlife+$E282),(Input!$H$58-Input!$H$92)-SUM($G282:N282),(Input!$H$58-Input!$H$92)/A17taxstdlife))</f>
        <v>3.1986219164546477E-2</v>
      </c>
      <c r="P282" s="67">
        <f>IF(A17taxstdlife="n/a","n/a",IF(P$3&gt;(A17taxstdlife+$E282),(Input!$H$58-Input!$H$92)-SUM($G282:O282),(Input!$H$58-Input!$H$92)/A17taxstdlife))</f>
        <v>3.1986219164546477E-2</v>
      </c>
      <c r="Q282" s="67"/>
      <c r="R282" s="102"/>
      <c r="S282" s="102"/>
      <c r="T282" s="102"/>
      <c r="U282" s="102"/>
      <c r="V282" s="102"/>
      <c r="W282" s="102"/>
      <c r="X282" s="102"/>
      <c r="Y282" s="102"/>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185"/>
      <c r="BJ282" s="185"/>
      <c r="BK282" s="185"/>
      <c r="BL282" s="185"/>
      <c r="BM282" s="185"/>
      <c r="BN282" s="185"/>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hidden="1" customHeight="1" outlineLevel="2">
      <c r="A283" s="9"/>
      <c r="B283" s="9"/>
      <c r="C283" s="25"/>
      <c r="D283" s="492"/>
      <c r="E283" s="85">
        <v>2</v>
      </c>
      <c r="F283" s="191"/>
      <c r="G283" s="148"/>
      <c r="H283" s="147"/>
      <c r="I283" s="67">
        <f>IF(A17taxstdlife="n/a","n/a",IF(I$3&gt;(A17taxstdlife+$E283),(Input!$I$58-Input!$I$92)-SUM($H283:H283),(Input!$I$58-Input!$I$92)/A17taxstdlife))</f>
        <v>8.0852852688571425E-3</v>
      </c>
      <c r="J283" s="67">
        <f>IF(A17taxstdlife="n/a","n/a",IF(J$3&gt;(A17taxstdlife+$E283),(Input!$I$58-Input!$I$92)-SUM($H283:I283),(Input!$I$58-Input!$I$92)/A17taxstdlife))</f>
        <v>8.0852852688571425E-3</v>
      </c>
      <c r="K283" s="67">
        <f>IF(A17taxstdlife="n/a","n/a",IF(K$3&gt;(A17taxstdlife+$E283),(Input!$I$58-Input!$I$92)-SUM($H283:J283),(Input!$I$58-Input!$I$92)/A17taxstdlife))</f>
        <v>8.0852852688571425E-3</v>
      </c>
      <c r="L283" s="67"/>
      <c r="M283" s="67">
        <f>IF(A17taxstdlife="n/a","n/a",IF(M$3&gt;(A17taxstdlife+$E283),(Input!$I$58-Input!$I$92)-SUM($H283:L283),(Input!$I$58-Input!$I$92)/A17taxstdlife))</f>
        <v>8.0852852688571425E-3</v>
      </c>
      <c r="N283" s="67">
        <f>IF(A17taxstdlife="n/a","n/a",IF(N$3&gt;(A17taxstdlife+$E283),(Input!$I$58-Input!$I$92)-SUM($H283:M283),(Input!$I$58-Input!$I$92)/A17taxstdlife))</f>
        <v>8.0852852688571425E-3</v>
      </c>
      <c r="O283" s="67">
        <f>IF(A17taxstdlife="n/a","n/a",IF(O$3&gt;(A17taxstdlife+$E283),(Input!$I$58-Input!$I$92)-SUM($H283:N283),(Input!$I$58-Input!$I$92)/A17taxstdlife))</f>
        <v>8.0852852688571425E-3</v>
      </c>
      <c r="P283" s="67">
        <f>IF(A17taxstdlife="n/a","n/a",IF(P$3&gt;(A17taxstdlife+$E283),(Input!$I$58-Input!$I$92)-SUM($H283:O283),(Input!$I$58-Input!$I$92)/A17taxstdlife))</f>
        <v>8.0852852688571425E-3</v>
      </c>
      <c r="Q283" s="67"/>
      <c r="R283" s="102"/>
      <c r="S283" s="102"/>
      <c r="T283" s="102"/>
      <c r="U283" s="102"/>
      <c r="V283" s="102"/>
      <c r="W283" s="102"/>
      <c r="X283" s="102"/>
      <c r="Y283" s="102"/>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185"/>
      <c r="BJ283" s="185"/>
      <c r="BK283" s="185"/>
      <c r="BL283" s="185"/>
      <c r="BM283" s="185"/>
      <c r="BN283" s="185"/>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hidden="1" customHeight="1" outlineLevel="2">
      <c r="A284" s="9"/>
      <c r="B284" s="9"/>
      <c r="C284" s="25"/>
      <c r="D284" s="492"/>
      <c r="E284" s="85">
        <v>3</v>
      </c>
      <c r="F284" s="191"/>
      <c r="G284" s="148"/>
      <c r="H284" s="148"/>
      <c r="I284" s="147"/>
      <c r="J284" s="67">
        <f>IF(A17taxstdlife="n/a","n/a",IF(J$3&gt;(A17taxstdlife+$E284),(Input!$J$58-Input!$J$92)-SUM($I284:I284),(Input!$J$58-Input!$J$92)/A17taxstdlife))</f>
        <v>0.10369766655393976</v>
      </c>
      <c r="K284" s="67">
        <f>IF(A17taxstdlife="n/a","n/a",IF(K$3&gt;(A17taxstdlife+$E284),(Input!$J$58-Input!$J$92)-SUM($I284:J284),(Input!$J$58-Input!$J$92)/A17taxstdlife))</f>
        <v>0.10369766655393976</v>
      </c>
      <c r="L284" s="67"/>
      <c r="M284" s="67">
        <f>IF(A17taxstdlife="n/a","n/a",IF(M$3&gt;(A17taxstdlife+$E284),(Input!$J$58-Input!$J$92)-SUM($I284:L284),(Input!$J$58-Input!$J$92)/A17taxstdlife))</f>
        <v>0.10369766655393976</v>
      </c>
      <c r="N284" s="67">
        <f>IF(A17taxstdlife="n/a","n/a",IF(N$3&gt;(A17taxstdlife+$E284),(Input!$J$58-Input!$J$92)-SUM($I284:M284),(Input!$J$58-Input!$J$92)/A17taxstdlife))</f>
        <v>0.10369766655393976</v>
      </c>
      <c r="O284" s="67">
        <f>IF(A17taxstdlife="n/a","n/a",IF(O$3&gt;(A17taxstdlife+$E284),(Input!$J$58-Input!$J$92)-SUM($I284:N284),(Input!$J$58-Input!$J$92)/A17taxstdlife))</f>
        <v>0.10369766655393976</v>
      </c>
      <c r="P284" s="67">
        <f>IF(A17taxstdlife="n/a","n/a",IF(P$3&gt;(A17taxstdlife+$E284),(Input!$J$58-Input!$J$92)-SUM($I284:O284),(Input!$J$58-Input!$J$92)/A17taxstdlife))</f>
        <v>0.10369766655393976</v>
      </c>
      <c r="Q284" s="67"/>
      <c r="R284" s="102"/>
      <c r="S284" s="102"/>
      <c r="T284" s="102"/>
      <c r="U284" s="102"/>
      <c r="V284" s="102"/>
      <c r="W284" s="102"/>
      <c r="X284" s="102"/>
      <c r="Y284" s="102"/>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185"/>
      <c r="BJ284" s="185"/>
      <c r="BK284" s="185"/>
      <c r="BL284" s="185"/>
      <c r="BM284" s="185"/>
      <c r="BN284" s="185"/>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hidden="1" customHeight="1" outlineLevel="2">
      <c r="A285" s="9"/>
      <c r="B285" s="9"/>
      <c r="C285" s="25"/>
      <c r="D285" s="492"/>
      <c r="E285" s="85">
        <v>4</v>
      </c>
      <c r="F285" s="191"/>
      <c r="G285" s="148"/>
      <c r="H285" s="148"/>
      <c r="I285" s="148"/>
      <c r="J285" s="147"/>
      <c r="K285" s="67">
        <f>IF(A17taxstdlife="n/a","n/a",IF(K$3&gt;(A17taxstdlife+$E285),(Input!$K$58-Input!$K$92)-SUM($J285:J285),(Input!$K$58-Input!$K$92)/A17taxstdlife))</f>
        <v>1.5298062870000002E-2</v>
      </c>
      <c r="L285" s="67"/>
      <c r="M285" s="67">
        <f>IF(A17taxstdlife="n/a","n/a",IF(M$3&gt;(A17taxstdlife+$E285),(Input!$K$58-Input!$K$92)-SUM($J285:L285),(Input!$K$58-Input!$K$92)/A17taxstdlife))</f>
        <v>1.5298062870000002E-2</v>
      </c>
      <c r="N285" s="67">
        <f>IF(A17taxstdlife="n/a","n/a",IF(N$3&gt;(A17taxstdlife+$E285),(Input!$K$58-Input!$K$92)-SUM($J285:M285),(Input!$K$58-Input!$K$92)/A17taxstdlife))</f>
        <v>1.5298062870000002E-2</v>
      </c>
      <c r="O285" s="67">
        <f>IF(A17taxstdlife="n/a","n/a",IF(O$3&gt;(A17taxstdlife+$E285),(Input!$K$58-Input!$K$92)-SUM($J285:N285),(Input!$K$58-Input!$K$92)/A17taxstdlife))</f>
        <v>1.5298062870000002E-2</v>
      </c>
      <c r="P285" s="67">
        <f>IF(A17taxstdlife="n/a","n/a",IF(P$3&gt;(A17taxstdlife+$E285),(Input!$K$58-Input!$K$92)-SUM($J285:O285),(Input!$K$58-Input!$K$92)/A17taxstdlife))</f>
        <v>1.5298062870000002E-2</v>
      </c>
      <c r="Q285" s="67"/>
      <c r="R285" s="102"/>
      <c r="S285" s="102"/>
      <c r="T285" s="102"/>
      <c r="U285" s="102"/>
      <c r="V285" s="102"/>
      <c r="W285" s="102"/>
      <c r="X285" s="102"/>
      <c r="Y285" s="102"/>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185"/>
      <c r="BJ285" s="185"/>
      <c r="BK285" s="185"/>
      <c r="BL285" s="185"/>
      <c r="BM285" s="185"/>
      <c r="BN285" s="1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hidden="1" customHeight="1" outlineLevel="2">
      <c r="A286" s="9"/>
      <c r="B286" s="9"/>
      <c r="C286" s="25"/>
      <c r="D286" s="492"/>
      <c r="E286" s="85">
        <v>5</v>
      </c>
      <c r="F286" s="191"/>
      <c r="G286" s="148"/>
      <c r="H286" s="148"/>
      <c r="I286" s="148"/>
      <c r="J286" s="148"/>
      <c r="K286" s="147"/>
      <c r="L286" s="67"/>
      <c r="M286" s="67">
        <f>IF(A17taxstdlife="n/a","n/a",IF(M$3&gt;(A17taxstdlife+$E286),(Input!$L$58-Input!$L$92)-SUM($K286:L286),(Input!$L$58-Input!$L$92)/A17taxstdlife))</f>
        <v>5.284470761904763E-2</v>
      </c>
      <c r="N286" s="67">
        <f>IF(A17taxstdlife="n/a","n/a",IF(N$3&gt;(A17taxstdlife+$E286),(Input!$L$58-Input!$L$92)-SUM($K286:M286),(Input!$L$58-Input!$L$92)/A17taxstdlife))</f>
        <v>5.284470761904763E-2</v>
      </c>
      <c r="O286" s="67">
        <f>IF(A17taxstdlife="n/a","n/a",IF(O$3&gt;(A17taxstdlife+$E286),(Input!$L$58-Input!$L$92)-SUM($K286:N286),(Input!$L$58-Input!$L$92)/A17taxstdlife))</f>
        <v>5.284470761904763E-2</v>
      </c>
      <c r="P286" s="67">
        <f>IF(A17taxstdlife="n/a","n/a",IF(P$3&gt;(A17taxstdlife+$E286),(Input!$L$58-Input!$L$92)-SUM($K286:O286),(Input!$L$58-Input!$L$92)/A17taxstdlife))</f>
        <v>5.284470761904763E-2</v>
      </c>
      <c r="Q286" s="67"/>
      <c r="R286" s="102"/>
      <c r="S286" s="102"/>
      <c r="T286" s="102"/>
      <c r="U286" s="102"/>
      <c r="V286" s="102"/>
      <c r="W286" s="102"/>
      <c r="X286" s="102"/>
      <c r="Y286" s="102"/>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185"/>
      <c r="BJ286" s="185"/>
      <c r="BK286" s="185"/>
      <c r="BL286" s="185"/>
      <c r="BM286" s="185"/>
      <c r="BN286" s="185"/>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hidden="1" customHeight="1" outlineLevel="2">
      <c r="A287" s="9"/>
      <c r="B287" s="9"/>
      <c r="C287" s="25"/>
      <c r="D287" s="492"/>
      <c r="E287" s="85">
        <v>6</v>
      </c>
      <c r="F287" s="191"/>
      <c r="G287" s="148"/>
      <c r="H287" s="148"/>
      <c r="I287" s="148"/>
      <c r="J287" s="148"/>
      <c r="K287" s="148"/>
      <c r="L287" s="147"/>
      <c r="M287" s="67">
        <f>IF(A17taxstdlife="n/a","n/a",IF(M$3&gt;(A17taxstdlife+$E287),(Input!$M$58-Input!$M$92)-SUM($L287:L287),(Input!$M$58-Input!$M$92)/A17taxstdlife))</f>
        <v>0</v>
      </c>
      <c r="N287" s="67">
        <f>IF(A17taxstdlife="n/a","n/a",IF(N$3&gt;(A17taxstdlife+$E287),(Input!$M$58-Input!$M$92)-SUM($L287:M287),(Input!$M$58-Input!$M$92)/A17taxstdlife))</f>
        <v>0</v>
      </c>
      <c r="O287" s="67">
        <f>IF(A17taxstdlife="n/a","n/a",IF(O$3&gt;(A17taxstdlife+$E287),(Input!$M$58-Input!$M$92)-SUM($L287:N287),(Input!$M$58-Input!$M$92)/A17taxstdlife))</f>
        <v>0</v>
      </c>
      <c r="P287" s="67">
        <f>IF(A17taxstdlife="n/a","n/a",IF(P$3&gt;(A17taxstdlife+$E287),(Input!$M$58-Input!$M$92)-SUM($L287:O287),(Input!$M$58-Input!$M$92)/A17taxstdlife))</f>
        <v>0</v>
      </c>
      <c r="Q287" s="67"/>
      <c r="R287" s="102"/>
      <c r="S287" s="102"/>
      <c r="T287" s="102"/>
      <c r="U287" s="102"/>
      <c r="V287" s="102"/>
      <c r="W287" s="102"/>
      <c r="X287" s="102"/>
      <c r="Y287" s="102"/>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185"/>
      <c r="BJ287" s="185"/>
      <c r="BK287" s="185"/>
      <c r="BL287" s="185"/>
      <c r="BM287" s="185"/>
      <c r="BN287" s="185"/>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hidden="1" customHeight="1" outlineLevel="2">
      <c r="A288" s="9"/>
      <c r="B288" s="9"/>
      <c r="C288" s="25"/>
      <c r="D288" s="492"/>
      <c r="E288" s="85">
        <v>7</v>
      </c>
      <c r="F288" s="191"/>
      <c r="G288" s="148"/>
      <c r="H288" s="148"/>
      <c r="I288" s="148"/>
      <c r="J288" s="148"/>
      <c r="K288" s="148"/>
      <c r="L288" s="148"/>
      <c r="M288" s="147"/>
      <c r="N288" s="67">
        <f>IF(A17taxstdlife="n/a","n/a",IF(N$3&gt;(A17taxstdlife+$E288),(Input!$N$58-Input!$N$92)-SUM($M288:M288),(Input!$N$58-Input!$N$92)/A17taxstdlife))</f>
        <v>0</v>
      </c>
      <c r="O288" s="67">
        <f>IF(A17taxstdlife="n/a","n/a",IF(O$3&gt;(A17taxstdlife+$E288),(Input!$N$58-Input!$N$92)-SUM($M288:N288),(Input!$N$58-Input!$N$92)/A17taxstdlife))</f>
        <v>0</v>
      </c>
      <c r="P288" s="67">
        <f>IF(A17taxstdlife="n/a","n/a",IF(P$3&gt;(A17taxstdlife+$E288),(Input!$N$58-Input!$N$92)-SUM($M288:O288),(Input!$N$58-Input!$N$92)/A17taxstdlife))</f>
        <v>0</v>
      </c>
      <c r="Q288" s="67"/>
      <c r="R288" s="102"/>
      <c r="S288" s="102"/>
      <c r="T288" s="102"/>
      <c r="U288" s="102"/>
      <c r="V288" s="102"/>
      <c r="W288" s="102"/>
      <c r="X288" s="102"/>
      <c r="Y288" s="102"/>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185"/>
      <c r="BJ288" s="185"/>
      <c r="BK288" s="185"/>
      <c r="BL288" s="185"/>
      <c r="BM288" s="185"/>
      <c r="BN288" s="185"/>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hidden="1" customHeight="1" outlineLevel="2">
      <c r="A289" s="9"/>
      <c r="B289" s="9"/>
      <c r="C289" s="25"/>
      <c r="D289" s="492"/>
      <c r="E289" s="85">
        <v>8</v>
      </c>
      <c r="F289" s="191"/>
      <c r="G289" s="148"/>
      <c r="H289" s="148"/>
      <c r="I289" s="148"/>
      <c r="J289" s="148"/>
      <c r="K289" s="148"/>
      <c r="L289" s="148"/>
      <c r="M289" s="148"/>
      <c r="N289" s="147"/>
      <c r="O289" s="67">
        <f>IF(A17taxstdlife="n/a","n/a",IF(O$3&gt;(A17taxstdlife+$E289),(Input!$O$58-Input!$O$92)-SUM($N289:N289),(Input!$O$58-Input!$O$92)/A17taxstdlife))</f>
        <v>0</v>
      </c>
      <c r="P289" s="67">
        <f>IF(A17taxstdlife="n/a","n/a",IF(P$3&gt;(A17taxstdlife+$E289),(Input!$O$58-Input!$O$92)-SUM($N289:O289),(Input!$O$58-Input!$O$92)/A17taxstdlife))</f>
        <v>0</v>
      </c>
      <c r="Q289" s="67"/>
      <c r="R289" s="102"/>
      <c r="S289" s="102"/>
      <c r="T289" s="102"/>
      <c r="U289" s="102"/>
      <c r="V289" s="102"/>
      <c r="W289" s="102"/>
      <c r="X289" s="102"/>
      <c r="Y289" s="102"/>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185"/>
      <c r="BJ289" s="185"/>
      <c r="BK289" s="185"/>
      <c r="BL289" s="185"/>
      <c r="BM289" s="185"/>
      <c r="BN289" s="185"/>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hidden="1" customHeight="1" outlineLevel="2">
      <c r="A290" s="9"/>
      <c r="B290" s="9"/>
      <c r="C290" s="25"/>
      <c r="D290" s="492"/>
      <c r="E290" s="85">
        <v>9</v>
      </c>
      <c r="F290" s="191"/>
      <c r="G290" s="148"/>
      <c r="H290" s="148"/>
      <c r="I290" s="148"/>
      <c r="J290" s="148"/>
      <c r="K290" s="148"/>
      <c r="L290" s="148"/>
      <c r="M290" s="148"/>
      <c r="N290" s="148"/>
      <c r="O290" s="147"/>
      <c r="P290" s="67">
        <f>IF(A17taxstdlife="n/a","n/a",IF(P$3&gt;(A17taxstdlife+$E290),(Input!$P$58-Input!$P$92)-SUM($O290:O290),(Input!$P$58-Input!$P$92)/A17taxstdlife))</f>
        <v>0</v>
      </c>
      <c r="Q290" s="67"/>
      <c r="R290" s="102"/>
      <c r="S290" s="102"/>
      <c r="T290" s="102"/>
      <c r="U290" s="102"/>
      <c r="V290" s="102"/>
      <c r="W290" s="102"/>
      <c r="X290" s="102"/>
      <c r="Y290" s="102"/>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185"/>
      <c r="BJ290" s="185"/>
      <c r="BK290" s="185"/>
      <c r="BL290" s="185"/>
      <c r="BM290" s="185"/>
      <c r="BN290" s="185"/>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hidden="1" customHeight="1" outlineLevel="2">
      <c r="A291" s="9"/>
      <c r="B291" s="9"/>
      <c r="C291" s="25"/>
      <c r="D291" s="492"/>
      <c r="E291" s="86">
        <v>10</v>
      </c>
      <c r="F291" s="191"/>
      <c r="G291" s="148"/>
      <c r="H291" s="148"/>
      <c r="I291" s="148"/>
      <c r="J291" s="148"/>
      <c r="K291" s="148"/>
      <c r="L291" s="148"/>
      <c r="M291" s="148"/>
      <c r="N291" s="148"/>
      <c r="O291" s="187"/>
      <c r="P291" s="147"/>
      <c r="Q291" s="67"/>
      <c r="R291" s="102"/>
      <c r="S291" s="102"/>
      <c r="T291" s="102"/>
      <c r="U291" s="102"/>
      <c r="V291" s="102"/>
      <c r="W291" s="102"/>
      <c r="X291" s="102"/>
      <c r="Y291" s="102"/>
      <c r="Z291" s="359"/>
      <c r="AA291" s="207"/>
      <c r="AB291" s="207"/>
      <c r="AC291" s="207"/>
      <c r="AD291" s="360"/>
      <c r="AE291" s="360"/>
      <c r="AF291" s="360"/>
      <c r="AG291" s="360"/>
      <c r="AH291" s="360"/>
      <c r="AI291" s="36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185"/>
      <c r="BJ291" s="185"/>
      <c r="BK291" s="185"/>
      <c r="BL291" s="185"/>
      <c r="BM291" s="185"/>
      <c r="BN291" s="185"/>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hidden="1" customHeight="1" outlineLevel="1">
      <c r="A292" s="9"/>
      <c r="B292" s="9"/>
      <c r="C292" s="25" t="str">
        <f>Asset17</f>
        <v>Other non system assets</v>
      </c>
      <c r="D292" s="9"/>
      <c r="E292" s="9"/>
      <c r="F292" s="203"/>
      <c r="G292" s="164">
        <f>-SUM(G280:G291)</f>
        <v>-0.33278090793264781</v>
      </c>
      <c r="H292" s="164">
        <f>-SUM(H280:H291)</f>
        <v>-0.36476712709719428</v>
      </c>
      <c r="I292" s="164">
        <f>-SUM(I280:I291)</f>
        <v>-0.36932989987624137</v>
      </c>
      <c r="J292" s="164">
        <f>-SUM(J280:J291)</f>
        <v>-0.41924365773067396</v>
      </c>
      <c r="K292" s="164">
        <f>-SUM(K280:K291)</f>
        <v>-0.46898892914780183</v>
      </c>
      <c r="L292" s="164"/>
      <c r="M292" s="164">
        <f>IF(Input!N174&gt;0, -SUM(M280:M291), 0)</f>
        <v>0</v>
      </c>
      <c r="N292" s="164">
        <f>IF(Input!O174&gt;0, -SUM(N280:N291), 0)</f>
        <v>0</v>
      </c>
      <c r="O292" s="164">
        <f>IF(Input!P174&gt;0, -SUM(O280:O291), 0)</f>
        <v>0</v>
      </c>
      <c r="P292" s="164">
        <f>IF(Input!Q174&gt;0, -SUM(P280:P291), 0)</f>
        <v>0</v>
      </c>
      <c r="Q292" s="63"/>
      <c r="R292" s="101"/>
      <c r="S292" s="301"/>
      <c r="T292" s="101"/>
      <c r="U292" s="101"/>
      <c r="V292" s="101"/>
      <c r="W292" s="101"/>
      <c r="X292" s="101"/>
      <c r="Y292" s="101"/>
      <c r="Z292" s="206"/>
      <c r="AA292" s="214"/>
      <c r="AB292" s="214"/>
      <c r="AC292" s="214"/>
      <c r="AD292" s="208"/>
      <c r="AE292" s="208"/>
      <c r="AF292" s="208"/>
      <c r="AG292" s="208"/>
      <c r="AH292" s="208"/>
      <c r="AI292" s="208"/>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185"/>
      <c r="BJ292" s="185"/>
      <c r="BK292" s="185"/>
      <c r="BL292" s="185"/>
      <c r="BM292" s="185"/>
      <c r="BN292" s="185"/>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hidden="1" customHeight="1" outlineLevel="2">
      <c r="A293" s="9"/>
      <c r="B293" s="186" t="str">
        <f>Asset18</f>
        <v>IT systems</v>
      </c>
      <c r="C293" s="32"/>
      <c r="D293" s="33" t="s">
        <v>65</v>
      </c>
      <c r="E293" s="32"/>
      <c r="F293" s="203"/>
      <c r="G293" s="459">
        <f>'Tax asset base adjustments'!Q52</f>
        <v>32.77610973403813</v>
      </c>
      <c r="H293" s="459">
        <f>'Tax asset base adjustments'!R52</f>
        <v>30.207549876187635</v>
      </c>
      <c r="I293" s="459">
        <f>'Tax asset base adjustments'!S52</f>
        <v>24.174425606582673</v>
      </c>
      <c r="J293" s="459">
        <f>'Tax asset base adjustments'!T52</f>
        <v>12.746918267089953</v>
      </c>
      <c r="K293" s="459">
        <f>'Tax asset base adjustments'!U52</f>
        <v>5.9945088852979413</v>
      </c>
      <c r="L293" s="344"/>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2"/>
      <c r="S293" s="301">
        <f>SUM(K293:K298)</f>
        <v>43.857198963076307</v>
      </c>
      <c r="T293" s="102"/>
      <c r="U293" s="102"/>
      <c r="V293" s="102"/>
      <c r="W293" s="102"/>
      <c r="X293" s="102"/>
      <c r="Y293" s="102"/>
      <c r="Z293" s="360"/>
      <c r="AA293" s="214"/>
      <c r="AB293" s="360"/>
      <c r="AC293" s="214"/>
      <c r="AD293" s="208"/>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185"/>
      <c r="BJ293" s="185"/>
      <c r="BK293" s="185"/>
      <c r="BL293" s="185"/>
      <c r="BM293" s="185"/>
      <c r="BN293" s="185"/>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5"/>
      <c r="D294" s="491" t="s">
        <v>83</v>
      </c>
      <c r="E294" s="85"/>
      <c r="F294" s="303"/>
      <c r="G294" s="67"/>
      <c r="H294" s="67"/>
      <c r="I294" s="67"/>
      <c r="J294" s="67"/>
      <c r="K294" s="67"/>
      <c r="L294" s="67"/>
      <c r="M294" s="67"/>
      <c r="N294" s="67"/>
      <c r="O294" s="67"/>
      <c r="P294" s="67"/>
      <c r="Q294" s="67"/>
      <c r="R294" s="102"/>
      <c r="S294" s="102"/>
      <c r="T294" s="102"/>
      <c r="U294" s="102"/>
      <c r="V294" s="102"/>
      <c r="W294" s="102"/>
      <c r="X294" s="102"/>
      <c r="Y294" s="102"/>
      <c r="Z294" s="214"/>
      <c r="AA294" s="361"/>
      <c r="AB294" s="363"/>
      <c r="AC294" s="362"/>
      <c r="AD294" s="208"/>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185"/>
      <c r="BJ294" s="185"/>
      <c r="BK294" s="185"/>
      <c r="BL294" s="185"/>
      <c r="BM294" s="185"/>
      <c r="BN294" s="185"/>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hidden="1" customHeight="1" outlineLevel="2">
      <c r="A295" s="9"/>
      <c r="B295" s="9"/>
      <c r="C295" s="25"/>
      <c r="D295" s="492"/>
      <c r="E295" s="85">
        <v>1</v>
      </c>
      <c r="F295" s="203"/>
      <c r="G295" s="147"/>
      <c r="H295" s="67">
        <f>IF(A18taxstdlife="n/a","n/a",IF(H$3&gt;(A18taxstdlife+$E295),(Input!$H$59-Input!$H$93)-SUM($G295:G295),(Input!$H$59-Input!$H$93)/A18taxstdlife))</f>
        <v>11.08064935920855</v>
      </c>
      <c r="I295" s="67">
        <f>IF(A18taxstdlife="n/a","n/a",IF(I$3&gt;(A18taxstdlife+$E295),(Input!$H$59-Input!$H$93)-SUM($G295:H295),(Input!$H$59-Input!$H$93)/A18taxstdlife))</f>
        <v>11.08064935920855</v>
      </c>
      <c r="J295" s="67">
        <f>IF(A18taxstdlife="n/a","n/a",IF(J$3&gt;(A18taxstdlife+$E295),(Input!$H$59-Input!$H$93)-SUM($G295:I295),(Input!$H$59-Input!$H$93)/A18taxstdlife))</f>
        <v>11.08064935920855</v>
      </c>
      <c r="K295" s="67">
        <f>IF(A18taxstdlife="n/a","n/a",IF(K$3&gt;(A18taxstdlife+$E295),(Input!$H$59-Input!$H$93)-SUM($G295:J295),(Input!$H$59-Input!$H$93)/A18taxstdlife))</f>
        <v>11.08064935920855</v>
      </c>
      <c r="L295" s="67"/>
      <c r="M295" s="67">
        <f>IF(A18taxstdlife="n/a","n/a",IF(M$3&gt;(A18taxstdlife+$E295),(Input!$H$59-Input!$H$93)-SUM($G295:L295),(Input!$H$59-Input!$H$93)/A18taxstdlife))</f>
        <v>0</v>
      </c>
      <c r="N295" s="67">
        <f>IF(A18taxstdlife="n/a","n/a",IF(N$3&gt;(A18taxstdlife+$E295),(Input!$H$59-Input!$H$93)-SUM($G295:M295),(Input!$H$59-Input!$H$93)/A18taxstdlife))</f>
        <v>0</v>
      </c>
      <c r="O295" s="67">
        <f>IF(A18taxstdlife="n/a","n/a",IF(O$3&gt;(A18taxstdlife+$E295),(Input!$H$59-Input!$H$93)-SUM($G295:N295),(Input!$H$59-Input!$H$93)/A18taxstdlife))</f>
        <v>0</v>
      </c>
      <c r="P295" s="67">
        <f>IF(A18taxstdlife="n/a","n/a",IF(P$3&gt;(A18taxstdlife+$E295),(Input!$H$59-Input!$H$93)-SUM($G295:O295),(Input!$H$59-Input!$H$93)/A18taxstdlife))</f>
        <v>0</v>
      </c>
      <c r="Q295" s="67"/>
      <c r="R295" s="102"/>
      <c r="S295" s="102"/>
      <c r="T295" s="102"/>
      <c r="U295" s="102"/>
      <c r="V295" s="102"/>
      <c r="W295" s="102"/>
      <c r="X295" s="102"/>
      <c r="Y295" s="102"/>
      <c r="Z295" s="214"/>
      <c r="AA295" s="361"/>
      <c r="AB295" s="363"/>
      <c r="AC295" s="362"/>
      <c r="AD295" s="208"/>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185"/>
      <c r="BJ295" s="185"/>
      <c r="BK295" s="185"/>
      <c r="BL295" s="185"/>
      <c r="BM295" s="185"/>
      <c r="BN295" s="18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hidden="1" customHeight="1" outlineLevel="2">
      <c r="A296" s="9"/>
      <c r="B296" s="9"/>
      <c r="C296" s="25"/>
      <c r="D296" s="492"/>
      <c r="E296" s="85">
        <v>2</v>
      </c>
      <c r="F296" s="203"/>
      <c r="G296" s="148"/>
      <c r="H296" s="147"/>
      <c r="I296" s="67">
        <f>IF(A18taxstdlife="n/a","n/a",IF(I$3&gt;(A18taxstdlife+$E296),(Input!$I$59-Input!$I$93)-SUM($H296:H296),(Input!$I$59-Input!$I$93)/A18taxstdlife))</f>
        <v>12.49581369039025</v>
      </c>
      <c r="J296" s="67">
        <f>IF(A18taxstdlife="n/a","n/a",IF(J$3&gt;(A18taxstdlife+$E296),(Input!$I$59-Input!$I$93)-SUM($H296:I296),(Input!$I$59-Input!$I$93)/A18taxstdlife))</f>
        <v>12.49581369039025</v>
      </c>
      <c r="K296" s="67">
        <f>IF(A18taxstdlife="n/a","n/a",IF(K$3&gt;(A18taxstdlife+$E296),(Input!$I$59-Input!$I$93)-SUM($H296:J296),(Input!$I$59-Input!$I$93)/A18taxstdlife))</f>
        <v>12.49581369039025</v>
      </c>
      <c r="L296" s="67"/>
      <c r="M296" s="67">
        <f>IF(A18taxstdlife="n/a","n/a",IF(M$3&gt;(A18taxstdlife+$E296),(Input!$I$59-Input!$I$93)-SUM($H296:L296),(Input!$I$59-Input!$I$93)/A18taxstdlife))</f>
        <v>12.49581369039025</v>
      </c>
      <c r="N296" s="67">
        <f>IF(A18taxstdlife="n/a","n/a",IF(N$3&gt;(A18taxstdlife+$E296),(Input!$I$59-Input!$I$93)-SUM($H296:M296),(Input!$I$59-Input!$I$93)/A18taxstdlife))</f>
        <v>0</v>
      </c>
      <c r="O296" s="67">
        <f>IF(A18taxstdlife="n/a","n/a",IF(O$3&gt;(A18taxstdlife+$E296),(Input!$I$59-Input!$I$93)-SUM($H296:N296),(Input!$I$59-Input!$I$93)/A18taxstdlife))</f>
        <v>0</v>
      </c>
      <c r="P296" s="67">
        <f>IF(A18taxstdlife="n/a","n/a",IF(P$3&gt;(A18taxstdlife+$E296),(Input!$I$59-Input!$I$93)-SUM($H296:O296),(Input!$I$59-Input!$I$93)/A18taxstdlife))</f>
        <v>0</v>
      </c>
      <c r="Q296" s="67"/>
      <c r="R296" s="102"/>
      <c r="S296" s="102"/>
      <c r="T296" s="102"/>
      <c r="U296" s="102"/>
      <c r="V296" s="102"/>
      <c r="W296" s="102"/>
      <c r="X296" s="102"/>
      <c r="Y296" s="102"/>
      <c r="Z296" s="214"/>
      <c r="AA296" s="361"/>
      <c r="AB296" s="363"/>
      <c r="AC296" s="362"/>
      <c r="AD296" s="208"/>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185"/>
      <c r="BJ296" s="185"/>
      <c r="BK296" s="185"/>
      <c r="BL296" s="185"/>
      <c r="BM296" s="185"/>
      <c r="BN296" s="185"/>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hidden="1" customHeight="1" outlineLevel="2">
      <c r="A297" s="9"/>
      <c r="B297" s="9"/>
      <c r="C297" s="25"/>
      <c r="D297" s="492"/>
      <c r="E297" s="85">
        <v>3</v>
      </c>
      <c r="F297" s="203"/>
      <c r="G297" s="148"/>
      <c r="H297" s="148"/>
      <c r="I297" s="147"/>
      <c r="J297" s="67">
        <f>IF(A18taxstdlife="n/a","n/a",IF(J$3&gt;(A18taxstdlife+$E297),(Input!$J$59-Input!$J$93)-SUM($I297:I297),(Input!$J$59-Input!$J$93)/A18taxstdlife))</f>
        <v>8.0595578723940111</v>
      </c>
      <c r="K297" s="67">
        <f>IF(A18taxstdlife="n/a","n/a",IF(K$3&gt;(A18taxstdlife+$E297),(Input!$J$59-Input!$J$93)-SUM($I297:J297),(Input!$J$59-Input!$J$93)/A18taxstdlife))</f>
        <v>8.0595578723940111</v>
      </c>
      <c r="L297" s="67"/>
      <c r="M297" s="67">
        <f>IF(A18taxstdlife="n/a","n/a",IF(M$3&gt;(A18taxstdlife+$E297),(Input!$J$59-Input!$J$93)-SUM($I297:L297),(Input!$J$59-Input!$J$93)/A18taxstdlife))</f>
        <v>8.0595578723940111</v>
      </c>
      <c r="N297" s="67">
        <f>IF(A18taxstdlife="n/a","n/a",IF(N$3&gt;(A18taxstdlife+$E297),(Input!$J$59-Input!$J$93)-SUM($I297:M297),(Input!$J$59-Input!$J$93)/A18taxstdlife))</f>
        <v>8.0595578723940093</v>
      </c>
      <c r="O297" s="67">
        <f>IF(A18taxstdlife="n/a","n/a",IF(O$3&gt;(A18taxstdlife+$E297),(Input!$J$59-Input!$J$93)-SUM($I297:N297),(Input!$J$59-Input!$J$93)/A18taxstdlife))</f>
        <v>0</v>
      </c>
      <c r="P297" s="67">
        <f>IF(A18taxstdlife="n/a","n/a",IF(P$3&gt;(A18taxstdlife+$E297),(Input!$J$59-Input!$J$93)-SUM($I297:O297),(Input!$J$59-Input!$J$93)/A18taxstdlife))</f>
        <v>0</v>
      </c>
      <c r="Q297" s="67"/>
      <c r="R297" s="102"/>
      <c r="S297" s="102"/>
      <c r="T297" s="102"/>
      <c r="U297" s="102"/>
      <c r="V297" s="102"/>
      <c r="W297" s="102"/>
      <c r="X297" s="102"/>
      <c r="Y297" s="102"/>
      <c r="Z297" s="214"/>
      <c r="AA297" s="361"/>
      <c r="AB297" s="363"/>
      <c r="AC297" s="362"/>
      <c r="AD297" s="208"/>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185"/>
      <c r="BJ297" s="185"/>
      <c r="BK297" s="185"/>
      <c r="BL297" s="185"/>
      <c r="BM297" s="185"/>
      <c r="BN297" s="185"/>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hidden="1" customHeight="1" outlineLevel="2">
      <c r="A298" s="9"/>
      <c r="B298" s="9"/>
      <c r="C298" s="25"/>
      <c r="D298" s="492"/>
      <c r="E298" s="85">
        <v>4</v>
      </c>
      <c r="F298" s="203"/>
      <c r="G298" s="148"/>
      <c r="H298" s="148"/>
      <c r="I298" s="148"/>
      <c r="J298" s="147"/>
      <c r="K298" s="67">
        <f>IF(A18taxstdlife="n/a","n/a",IF(K$3&gt;(A18taxstdlife+$E298),(Input!$K$59-Input!$K$93)-SUM($J298:J298),(Input!$K$59-Input!$K$93)/A18taxstdlife))</f>
        <v>6.2266691557855589</v>
      </c>
      <c r="L298" s="67"/>
      <c r="M298" s="67">
        <f>IF(A18taxstdlife="n/a","n/a",IF(M$3&gt;(A18taxstdlife+$E298),(Input!$K$59-Input!$K$93)-SUM($J298:L298),(Input!$K$59-Input!$K$93)/A18taxstdlife))</f>
        <v>6.2266691557855589</v>
      </c>
      <c r="N298" s="67">
        <f>IF(A18taxstdlife="n/a","n/a",IF(N$3&gt;(A18taxstdlife+$E298),(Input!$K$59-Input!$K$93)-SUM($J298:M298),(Input!$K$59-Input!$K$93)/A18taxstdlife))</f>
        <v>6.2266691557855589</v>
      </c>
      <c r="O298" s="67">
        <f>IF(A18taxstdlife="n/a","n/a",IF(O$3&gt;(A18taxstdlife+$E298),(Input!$K$59-Input!$K$93)-SUM($J298:N298),(Input!$K$59-Input!$K$93)/A18taxstdlife))</f>
        <v>6.226669155785558</v>
      </c>
      <c r="P298" s="67">
        <f>IF(A18taxstdlife="n/a","n/a",IF(P$3&gt;(A18taxstdlife+$E298),(Input!$K$59-Input!$K$93)-SUM($J298:O298),(Input!$K$59-Input!$K$93)/A18taxstdlife))</f>
        <v>0</v>
      </c>
      <c r="Q298" s="67"/>
      <c r="R298" s="102"/>
      <c r="S298" s="102"/>
      <c r="T298" s="102"/>
      <c r="U298" s="102"/>
      <c r="V298" s="102"/>
      <c r="W298" s="102"/>
      <c r="X298" s="102"/>
      <c r="Y298" s="102"/>
      <c r="Z298" s="214"/>
      <c r="AA298" s="361"/>
      <c r="AB298" s="363"/>
      <c r="AC298" s="362"/>
      <c r="AD298" s="208"/>
      <c r="AE298" s="210"/>
      <c r="AF298" s="210"/>
      <c r="AG298" s="210"/>
      <c r="AH298" s="210"/>
      <c r="AI298" s="210"/>
      <c r="AJ298" s="358">
        <v>9</v>
      </c>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185"/>
      <c r="BJ298" s="185"/>
      <c r="BK298" s="185"/>
      <c r="BL298" s="185"/>
      <c r="BM298" s="185"/>
      <c r="BN298" s="185"/>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hidden="1" customHeight="1" outlineLevel="2">
      <c r="A299" s="9"/>
      <c r="B299" s="9"/>
      <c r="C299" s="25"/>
      <c r="D299" s="492"/>
      <c r="E299" s="85">
        <v>5</v>
      </c>
      <c r="F299" s="203"/>
      <c r="G299" s="148"/>
      <c r="H299" s="148"/>
      <c r="I299" s="148"/>
      <c r="J299" s="148"/>
      <c r="K299" s="147"/>
      <c r="L299" s="67"/>
      <c r="M299" s="67">
        <f>IF(A18taxstdlife="n/a","n/a",IF(M$3&gt;(A18taxstdlife+$E299),(Input!$L$59-Input!$L$93)-SUM($K299:L299),(Input!$L$59-Input!$L$93)/A18taxstdlife))</f>
        <v>6.2378975714427343</v>
      </c>
      <c r="N299" s="67">
        <f>IF(A18taxstdlife="n/a","n/a",IF(N$3&gt;(A18taxstdlife+$E299),(Input!$L$59-Input!$L$93)-SUM($K299:M299),(Input!$L$59-Input!$L$93)/A18taxstdlife))</f>
        <v>6.2378975714427343</v>
      </c>
      <c r="O299" s="67">
        <f>IF(A18taxstdlife="n/a","n/a",IF(O$3&gt;(A18taxstdlife+$E299),(Input!$L$59-Input!$L$93)-SUM($K299:N299),(Input!$L$59-Input!$L$93)/A18taxstdlife))</f>
        <v>6.2378975714427343</v>
      </c>
      <c r="P299" s="67">
        <f>IF(A18taxstdlife="n/a","n/a",IF(P$3&gt;(A18taxstdlife+$E299),(Input!$L$59-Input!$L$93)-SUM($K299:O299),(Input!$L$59-Input!$L$93)/A18taxstdlife))</f>
        <v>6.2378975714427334</v>
      </c>
      <c r="Q299" s="67"/>
      <c r="R299" s="102"/>
      <c r="S299" s="102"/>
      <c r="T299" s="102"/>
      <c r="U299" s="102"/>
      <c r="V299" s="102"/>
      <c r="W299" s="102"/>
      <c r="X299" s="102"/>
      <c r="Y299" s="102"/>
      <c r="Z299" s="214"/>
      <c r="AA299" s="361"/>
      <c r="AB299" s="363"/>
      <c r="AC299" s="362"/>
      <c r="AD299" s="208"/>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185"/>
      <c r="BJ299" s="185"/>
      <c r="BK299" s="185"/>
      <c r="BL299" s="185"/>
      <c r="BM299" s="185"/>
      <c r="BN299" s="185"/>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hidden="1" customHeight="1" outlineLevel="2">
      <c r="A300" s="9"/>
      <c r="B300" s="9"/>
      <c r="C300" s="25"/>
      <c r="D300" s="492"/>
      <c r="E300" s="85">
        <v>6</v>
      </c>
      <c r="F300" s="203"/>
      <c r="G300" s="148"/>
      <c r="H300" s="148"/>
      <c r="I300" s="148"/>
      <c r="J300" s="148"/>
      <c r="K300" s="148"/>
      <c r="L300" s="147"/>
      <c r="M300" s="67">
        <f>IF(A18taxstdlife="n/a","n/a",IF(M$3&gt;(A18taxstdlife+$E300),(Input!$M$59-Input!$M$93)-SUM($L300:L300),(Input!$M$59-Input!$M$93)/A18taxstdlife))</f>
        <v>0</v>
      </c>
      <c r="N300" s="67">
        <f>IF(A18taxstdlife="n/a","n/a",IF(N$3&gt;(A18taxstdlife+$E300),(Input!$M$59-Input!$M$93)-SUM($L300:M300),(Input!$M$59-Input!$M$93)/A18taxstdlife))</f>
        <v>0</v>
      </c>
      <c r="O300" s="67">
        <f>IF(A18taxstdlife="n/a","n/a",IF(O$3&gt;(A18taxstdlife+$E300),(Input!$M$59-Input!$M$93)-SUM($L300:N300),(Input!$M$59-Input!$M$93)/A18taxstdlife))</f>
        <v>0</v>
      </c>
      <c r="P300" s="67">
        <f>IF(A18taxstdlife="n/a","n/a",IF(P$3&gt;(A18taxstdlife+$E300),(Input!$M$59-Input!$M$93)-SUM($L300:O300),(Input!$M$59-Input!$M$93)/A18taxstdlife))</f>
        <v>0</v>
      </c>
      <c r="Q300" s="67"/>
      <c r="R300" s="102"/>
      <c r="S300" s="102"/>
      <c r="T300" s="102"/>
      <c r="U300" s="102"/>
      <c r="V300" s="102"/>
      <c r="W300" s="102"/>
      <c r="X300" s="102"/>
      <c r="Y300" s="102"/>
      <c r="Z300" s="214"/>
      <c r="AA300" s="361"/>
      <c r="AB300" s="363"/>
      <c r="AC300" s="362"/>
      <c r="AD300" s="208"/>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185"/>
      <c r="BJ300" s="185"/>
      <c r="BK300" s="185"/>
      <c r="BL300" s="185"/>
      <c r="BM300" s="185"/>
      <c r="BN300" s="185"/>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hidden="1" customHeight="1" outlineLevel="2">
      <c r="A301" s="9"/>
      <c r="B301" s="9"/>
      <c r="C301" s="25"/>
      <c r="D301" s="492"/>
      <c r="E301" s="85">
        <v>7</v>
      </c>
      <c r="F301" s="203"/>
      <c r="G301" s="148"/>
      <c r="H301" s="148"/>
      <c r="I301" s="148"/>
      <c r="J301" s="148"/>
      <c r="K301" s="148"/>
      <c r="L301" s="148"/>
      <c r="M301" s="147"/>
      <c r="N301" s="67">
        <f>IF(A18taxstdlife="n/a","n/a",IF(N$3&gt;(A18taxstdlife+$E301),(Input!$N$59-Input!$N$93)-SUM($M301:M301),(Input!$N$59-Input!$N$93)/A18taxstdlife))</f>
        <v>0</v>
      </c>
      <c r="O301" s="67">
        <f>IF(A18taxstdlife="n/a","n/a",IF(O$3&gt;(A18taxstdlife+$E301),(Input!$N$59-Input!$N$93)-SUM($M301:N301),(Input!$N$59-Input!$N$93)/A18taxstdlife))</f>
        <v>0</v>
      </c>
      <c r="P301" s="67">
        <f>IF(A18taxstdlife="n/a","n/a",IF(P$3&gt;(A18taxstdlife+$E301),(Input!$N$59-Input!$N$93)-SUM($M301:O301),(Input!$N$59-Input!$N$93)/A18taxstdlife))</f>
        <v>0</v>
      </c>
      <c r="Q301" s="67"/>
      <c r="R301" s="102"/>
      <c r="S301" s="102"/>
      <c r="T301" s="102"/>
      <c r="U301" s="102"/>
      <c r="V301" s="102"/>
      <c r="W301" s="102"/>
      <c r="X301" s="102"/>
      <c r="Y301" s="102"/>
      <c r="Z301" s="214"/>
      <c r="AA301" s="361"/>
      <c r="AB301" s="363"/>
      <c r="AC301" s="362"/>
      <c r="AD301" s="208"/>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185"/>
      <c r="BJ301" s="185"/>
      <c r="BK301" s="185"/>
      <c r="BL301" s="185"/>
      <c r="BM301" s="185"/>
      <c r="BN301" s="185"/>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8.75" hidden="1" customHeight="1" outlineLevel="2">
      <c r="A302" s="9"/>
      <c r="B302" s="9"/>
      <c r="C302" s="25"/>
      <c r="D302" s="492"/>
      <c r="E302" s="85">
        <v>8</v>
      </c>
      <c r="F302" s="203"/>
      <c r="G302" s="148"/>
      <c r="H302" s="148"/>
      <c r="I302" s="148"/>
      <c r="J302" s="148"/>
      <c r="K302" s="148"/>
      <c r="L302" s="148"/>
      <c r="M302" s="148"/>
      <c r="N302" s="147"/>
      <c r="O302" s="67">
        <f>IF(A18taxstdlife="n/a","n/a",IF(O$3&gt;(A18taxstdlife+$E302),(Input!$O$59-Input!$O$93)-SUM($N302:N302),(Input!$O$59-Input!$O$93)/A18taxstdlife))</f>
        <v>0</v>
      </c>
      <c r="P302" s="67">
        <f>IF(A18taxstdlife="n/a","n/a",IF(P$3&gt;(A18taxstdlife+$E302),(Input!$O$59-Input!$O$93)-SUM($N302:O302),(Input!$O$59-Input!$O$93)/A18taxstdlife))</f>
        <v>0</v>
      </c>
      <c r="Q302" s="67"/>
      <c r="R302" s="102"/>
      <c r="S302" s="102"/>
      <c r="T302" s="102"/>
      <c r="U302" s="102"/>
      <c r="V302" s="102"/>
      <c r="W302" s="102"/>
      <c r="X302" s="102"/>
      <c r="Y302" s="102"/>
      <c r="Z302" s="214"/>
      <c r="AA302" s="361"/>
      <c r="AB302" s="363"/>
      <c r="AC302" s="362"/>
      <c r="AD302" s="208"/>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185"/>
      <c r="BJ302" s="185"/>
      <c r="BK302" s="185"/>
      <c r="BL302" s="185"/>
      <c r="BM302" s="185"/>
      <c r="BN302" s="185"/>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hidden="1" customHeight="1" outlineLevel="2">
      <c r="A303" s="9"/>
      <c r="B303" s="9"/>
      <c r="C303" s="25"/>
      <c r="D303" s="492"/>
      <c r="E303" s="85">
        <v>9</v>
      </c>
      <c r="F303" s="203"/>
      <c r="G303" s="148"/>
      <c r="H303" s="148"/>
      <c r="I303" s="148"/>
      <c r="J303" s="148"/>
      <c r="K303" s="148"/>
      <c r="L303" s="148"/>
      <c r="M303" s="148"/>
      <c r="N303" s="148"/>
      <c r="O303" s="147"/>
      <c r="P303" s="67">
        <f>IF(A18taxstdlife="n/a","n/a",IF(P$3&gt;(A18taxstdlife+$E303),(Input!$P$59-Input!$P$93)-SUM($O303:O303),(Input!$P$59-Input!$P$93)/A18taxstdlife))</f>
        <v>0</v>
      </c>
      <c r="Q303" s="67"/>
      <c r="R303" s="102"/>
      <c r="S303" s="102"/>
      <c r="T303" s="102"/>
      <c r="U303" s="102"/>
      <c r="V303" s="102"/>
      <c r="W303" s="102"/>
      <c r="X303" s="102"/>
      <c r="Y303" s="102"/>
      <c r="Z303" s="214"/>
      <c r="AA303" s="361"/>
      <c r="AB303" s="363"/>
      <c r="AC303" s="362"/>
      <c r="AD303" s="208"/>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185"/>
      <c r="BJ303" s="185"/>
      <c r="BK303" s="185"/>
      <c r="BL303" s="185"/>
      <c r="BM303" s="185"/>
      <c r="BN303" s="185"/>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hidden="1" customHeight="1" outlineLevel="2">
      <c r="A304" s="9"/>
      <c r="B304" s="9"/>
      <c r="C304" s="25"/>
      <c r="D304" s="492"/>
      <c r="E304" s="86">
        <v>10</v>
      </c>
      <c r="F304" s="203"/>
      <c r="G304" s="148"/>
      <c r="H304" s="148"/>
      <c r="I304" s="148"/>
      <c r="J304" s="148"/>
      <c r="K304" s="148"/>
      <c r="L304" s="148"/>
      <c r="M304" s="148"/>
      <c r="N304" s="148"/>
      <c r="O304" s="187"/>
      <c r="P304" s="147"/>
      <c r="Q304" s="67"/>
      <c r="R304" s="102"/>
      <c r="S304" s="102"/>
      <c r="T304" s="102"/>
      <c r="U304" s="102"/>
      <c r="V304" s="102"/>
      <c r="W304" s="102"/>
      <c r="X304" s="102"/>
      <c r="Y304" s="102"/>
      <c r="Z304" s="214"/>
      <c r="AA304" s="361"/>
      <c r="AB304" s="363"/>
      <c r="AC304" s="362"/>
      <c r="AD304" s="208"/>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185"/>
      <c r="BJ304" s="185"/>
      <c r="BK304" s="185"/>
      <c r="BL304" s="185"/>
      <c r="BM304" s="185"/>
      <c r="BN304" s="185"/>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hidden="1" customHeight="1" outlineLevel="1">
      <c r="A305" s="9"/>
      <c r="B305" s="9"/>
      <c r="C305" s="25" t="str">
        <f>Asset18</f>
        <v>IT systems</v>
      </c>
      <c r="D305" s="9"/>
      <c r="E305" s="9"/>
      <c r="F305" s="203"/>
      <c r="G305" s="164">
        <f>-SUM(G293:G304)</f>
        <v>-32.77610973403813</v>
      </c>
      <c r="H305" s="164">
        <f>-SUM(H293:H304)</f>
        <v>-41.288199235396185</v>
      </c>
      <c r="I305" s="164">
        <f>-SUM(I293:I304)</f>
        <v>-47.750888656181473</v>
      </c>
      <c r="J305" s="164">
        <f>-SUM(J293:J304)</f>
        <v>-44.382939189082762</v>
      </c>
      <c r="K305" s="164">
        <f>-SUM(K293:K304)</f>
        <v>-43.857198963076307</v>
      </c>
      <c r="L305" s="164"/>
      <c r="M305" s="164">
        <f>IF(Input!N174&gt;0, -SUM(M293:M304), 0)</f>
        <v>0</v>
      </c>
      <c r="N305" s="164">
        <f>IF(Input!O174&gt;0, -SUM(N293:N304), 0)</f>
        <v>0</v>
      </c>
      <c r="O305" s="164">
        <f>IF(Input!P174&gt;0, -SUM(O293:O304), 0)</f>
        <v>0</v>
      </c>
      <c r="P305" s="164">
        <f>IF(Input!Q174&gt;0, -SUM(P293:P304), 0)</f>
        <v>0</v>
      </c>
      <c r="Q305" s="63"/>
      <c r="R305" s="101"/>
      <c r="S305" s="101"/>
      <c r="T305" s="101"/>
      <c r="U305" s="101"/>
      <c r="V305" s="101"/>
      <c r="W305" s="101"/>
      <c r="X305" s="101"/>
      <c r="Y305" s="101"/>
      <c r="Z305" s="210"/>
      <c r="AA305" s="210"/>
      <c r="AB305" s="210"/>
      <c r="AC305" s="210"/>
      <c r="AD305" s="210"/>
      <c r="AE305" s="210"/>
      <c r="AF305" s="210"/>
      <c r="AG305" s="210"/>
      <c r="AH305" s="210"/>
      <c r="AI305" s="210"/>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185"/>
      <c r="BJ305" s="185"/>
      <c r="BK305" s="185"/>
      <c r="BL305" s="185"/>
      <c r="BM305" s="185"/>
      <c r="BN305" s="18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hidden="1" customHeight="1" outlineLevel="2">
      <c r="A306" s="9"/>
      <c r="B306" s="186" t="str">
        <f>Asset19</f>
        <v>Motor vehicles</v>
      </c>
      <c r="C306" s="32"/>
      <c r="D306" s="33" t="s">
        <v>65</v>
      </c>
      <c r="E306" s="32"/>
      <c r="F306" s="203"/>
      <c r="G306" s="459">
        <f>'Tax asset base adjustments'!Q53</f>
        <v>10.208060351362311</v>
      </c>
      <c r="H306" s="459">
        <f>'Tax asset base adjustments'!R53</f>
        <v>8.831081083201985</v>
      </c>
      <c r="I306" s="459">
        <f>'Tax asset base adjustments'!S53</f>
        <v>7.2615402523311126</v>
      </c>
      <c r="J306" s="459">
        <f>'Tax asset base adjustments'!T53</f>
        <v>5.2283432652474904</v>
      </c>
      <c r="K306" s="459">
        <f>'Tax asset base adjustments'!U53</f>
        <v>2.9803862066842166</v>
      </c>
      <c r="L306" s="344"/>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2"/>
      <c r="S306" s="301">
        <f>SUM(K306:K311)</f>
        <v>7.2785894117880376</v>
      </c>
      <c r="T306" s="102"/>
      <c r="U306" s="102"/>
      <c r="V306" s="102"/>
      <c r="W306" s="102"/>
      <c r="X306" s="102"/>
      <c r="Y306" s="102"/>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185"/>
      <c r="BJ306" s="185"/>
      <c r="BK306" s="185"/>
      <c r="BL306" s="185"/>
      <c r="BM306" s="185"/>
      <c r="BN306" s="185"/>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5"/>
      <c r="D307" s="491" t="s">
        <v>83</v>
      </c>
      <c r="E307" s="85"/>
      <c r="F307" s="302"/>
      <c r="G307" s="67"/>
      <c r="H307" s="67"/>
      <c r="I307" s="67"/>
      <c r="J307" s="67"/>
      <c r="K307" s="67"/>
      <c r="L307" s="67"/>
      <c r="M307" s="67"/>
      <c r="N307" s="67"/>
      <c r="O307" s="67"/>
      <c r="P307" s="67"/>
      <c r="Q307" s="67"/>
      <c r="R307" s="102"/>
      <c r="S307" s="102"/>
      <c r="T307" s="102"/>
      <c r="U307" s="102"/>
      <c r="V307" s="102"/>
      <c r="W307" s="102"/>
      <c r="X307" s="102"/>
      <c r="Y307" s="102"/>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185"/>
      <c r="BJ307" s="185"/>
      <c r="BK307" s="185"/>
      <c r="BL307" s="185"/>
      <c r="BM307" s="185"/>
      <c r="BN307" s="185"/>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hidden="1" customHeight="1" outlineLevel="2">
      <c r="A308" s="9"/>
      <c r="B308" s="9"/>
      <c r="C308" s="25"/>
      <c r="D308" s="492"/>
      <c r="E308" s="85">
        <v>1</v>
      </c>
      <c r="F308" s="191"/>
      <c r="G308" s="147"/>
      <c r="H308" s="67">
        <f>IF(A19taxstdlife="n/a","n/a",IF(H$3&gt;(A19taxstdlife+$E308),(Input!$H$60-Input!$H$94)-SUM($G308:G308),(Input!$H$60-Input!$H$94)/A19taxstdlife))</f>
        <v>1.1521793445340691</v>
      </c>
      <c r="I308" s="67">
        <f>IF(A19taxstdlife="n/a","n/a",IF(I$3&gt;(A19taxstdlife+$E308),(Input!$H$60-Input!$H$94)-SUM($G308:H308),(Input!$H$60-Input!$H$94)/A19taxstdlife))</f>
        <v>1.1521793445340691</v>
      </c>
      <c r="J308" s="67">
        <f>IF(A19taxstdlife="n/a","n/a",IF(J$3&gt;(A19taxstdlife+$E308),(Input!$H$60-Input!$H$94)-SUM($G308:I308),(Input!$H$60-Input!$H$94)/A19taxstdlife))</f>
        <v>1.1521793445340691</v>
      </c>
      <c r="K308" s="67">
        <f>IF(A19taxstdlife="n/a","n/a",IF(K$3&gt;(A19taxstdlife+$E308),(Input!$H$60-Input!$H$94)-SUM($G308:J308),(Input!$H$60-Input!$H$94)/A19taxstdlife))</f>
        <v>1.1521793445340691</v>
      </c>
      <c r="L308" s="67"/>
      <c r="M308" s="67">
        <f>IF(A19taxstdlife="n/a","n/a",IF(M$3&gt;(A19taxstdlife+$E308),(Input!$H$60-Input!$H$94)-SUM($G308:L308),(Input!$H$60-Input!$H$94)/A19taxstdlife))</f>
        <v>1.1521793445340691</v>
      </c>
      <c r="N308" s="67">
        <f>IF(A19taxstdlife="n/a","n/a",IF(N$3&gt;(A19taxstdlife+$E308),(Input!$H$60-Input!$H$94)-SUM($G308:M308),(Input!$H$60-Input!$H$94)/A19taxstdlife))</f>
        <v>1.1521793445340691</v>
      </c>
      <c r="O308" s="67">
        <f>IF(A19taxstdlife="n/a","n/a",IF(O$3&gt;(A19taxstdlife+$E308),(Input!$H$60-Input!$H$94)-SUM($G308:N308),(Input!$H$60-Input!$H$94)/A19taxstdlife))</f>
        <v>1.1521793445340691</v>
      </c>
      <c r="P308" s="67">
        <f>IF(A19taxstdlife="n/a","n/a",IF(P$3&gt;(A19taxstdlife+$E308),(Input!$H$60-Input!$H$94)-SUM($G308:O308),(Input!$H$60-Input!$H$94)/A19taxstdlife))</f>
        <v>1.1521793445340691</v>
      </c>
      <c r="Q308" s="67"/>
      <c r="R308" s="102"/>
      <c r="S308" s="102"/>
      <c r="T308" s="102"/>
      <c r="U308" s="102"/>
      <c r="V308" s="102"/>
      <c r="W308" s="102"/>
      <c r="X308" s="102"/>
      <c r="Y308" s="102"/>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185"/>
      <c r="BJ308" s="185"/>
      <c r="BK308" s="185"/>
      <c r="BL308" s="185"/>
      <c r="BM308" s="185"/>
      <c r="BN308" s="185"/>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hidden="1" customHeight="1" outlineLevel="2">
      <c r="A309" s="9"/>
      <c r="B309" s="9"/>
      <c r="C309" s="25"/>
      <c r="D309" s="492"/>
      <c r="E309" s="85">
        <v>2</v>
      </c>
      <c r="F309" s="191"/>
      <c r="G309" s="148"/>
      <c r="H309" s="147"/>
      <c r="I309" s="67">
        <f>IF(A19taxstdlife="n/a","n/a",IF(I$3&gt;(A19taxstdlife+$E309),(Input!$I$60-Input!$I$94)-SUM($H309:H309),(Input!$I$60-Input!$I$94)/A19taxstdlife))</f>
        <v>1.2309191233777443</v>
      </c>
      <c r="J309" s="67">
        <f>IF(A19taxstdlife="n/a","n/a",IF(J$3&gt;(A19taxstdlife+$E309),(Input!$I$60-Input!$I$94)-SUM($H309:I309),(Input!$I$60-Input!$I$94)/A19taxstdlife))</f>
        <v>1.2309191233777443</v>
      </c>
      <c r="K309" s="67">
        <f>IF(A19taxstdlife="n/a","n/a",IF(K$3&gt;(A19taxstdlife+$E309),(Input!$I$60-Input!$I$94)-SUM($H309:J309),(Input!$I$60-Input!$I$94)/A19taxstdlife))</f>
        <v>1.2309191233777443</v>
      </c>
      <c r="L309" s="67"/>
      <c r="M309" s="67">
        <f>IF(A19taxstdlife="n/a","n/a",IF(M$3&gt;(A19taxstdlife+$E309),(Input!$I$60-Input!$I$94)-SUM($H309:L309),(Input!$I$60-Input!$I$94)/A19taxstdlife))</f>
        <v>1.2309191233777443</v>
      </c>
      <c r="N309" s="67">
        <f>IF(A19taxstdlife="n/a","n/a",IF(N$3&gt;(A19taxstdlife+$E309),(Input!$I$60-Input!$I$94)-SUM($H309:M309),(Input!$I$60-Input!$I$94)/A19taxstdlife))</f>
        <v>1.2309191233777443</v>
      </c>
      <c r="O309" s="67">
        <f>IF(A19taxstdlife="n/a","n/a",IF(O$3&gt;(A19taxstdlife+$E309),(Input!$I$60-Input!$I$94)-SUM($H309:N309),(Input!$I$60-Input!$I$94)/A19taxstdlife))</f>
        <v>1.2309191233777443</v>
      </c>
      <c r="P309" s="67">
        <f>IF(A19taxstdlife="n/a","n/a",IF(P$3&gt;(A19taxstdlife+$E309),(Input!$I$60-Input!$I$94)-SUM($H309:O309),(Input!$I$60-Input!$I$94)/A19taxstdlife))</f>
        <v>1.2309191233777443</v>
      </c>
      <c r="Q309" s="67"/>
      <c r="R309" s="102"/>
      <c r="S309" s="102"/>
      <c r="T309" s="102"/>
      <c r="U309" s="102"/>
      <c r="V309" s="102"/>
      <c r="W309" s="102"/>
      <c r="X309" s="102"/>
      <c r="Y309" s="102"/>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185"/>
      <c r="BJ309" s="185"/>
      <c r="BK309" s="185"/>
      <c r="BL309" s="185"/>
      <c r="BM309" s="185"/>
      <c r="BN309" s="185"/>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hidden="1" customHeight="1" outlineLevel="2">
      <c r="A310" s="9"/>
      <c r="B310" s="9"/>
      <c r="C310" s="25"/>
      <c r="D310" s="492"/>
      <c r="E310" s="85">
        <v>3</v>
      </c>
      <c r="F310" s="191"/>
      <c r="G310" s="148"/>
      <c r="H310" s="148"/>
      <c r="I310" s="147"/>
      <c r="J310" s="67">
        <f>IF(A19taxstdlife="n/a","n/a",IF(J$3&gt;(A19taxstdlife+$E310),(Input!$J$60-Input!$J$94)-SUM($I310:I310),(Input!$J$60-Input!$J$94)/A19taxstdlife))</f>
        <v>1.3448212257370482</v>
      </c>
      <c r="K310" s="67">
        <f>IF(A19taxstdlife="n/a","n/a",IF(K$3&gt;(A19taxstdlife+$E310),(Input!$J$60-Input!$J$94)-SUM($I310:J310),(Input!$J$60-Input!$J$94)/A19taxstdlife))</f>
        <v>1.3448212257370482</v>
      </c>
      <c r="L310" s="67"/>
      <c r="M310" s="67">
        <f>IF(A19taxstdlife="n/a","n/a",IF(M$3&gt;(A19taxstdlife+$E310),(Input!$J$60-Input!$J$94)-SUM($I310:L310),(Input!$J$60-Input!$J$94)/A19taxstdlife))</f>
        <v>1.3448212257370482</v>
      </c>
      <c r="N310" s="67">
        <f>IF(A19taxstdlife="n/a","n/a",IF(N$3&gt;(A19taxstdlife+$E310),(Input!$J$60-Input!$J$94)-SUM($I310:M310),(Input!$J$60-Input!$J$94)/A19taxstdlife))</f>
        <v>1.3448212257370482</v>
      </c>
      <c r="O310" s="67">
        <f>IF(A19taxstdlife="n/a","n/a",IF(O$3&gt;(A19taxstdlife+$E310),(Input!$J$60-Input!$J$94)-SUM($I310:N310),(Input!$J$60-Input!$J$94)/A19taxstdlife))</f>
        <v>1.3448212257370482</v>
      </c>
      <c r="P310" s="67">
        <f>IF(A19taxstdlife="n/a","n/a",IF(P$3&gt;(A19taxstdlife+$E310),(Input!$J$60-Input!$J$94)-SUM($I310:O310),(Input!$J$60-Input!$J$94)/A19taxstdlife))</f>
        <v>1.3448212257370482</v>
      </c>
      <c r="Q310" s="67"/>
      <c r="R310" s="102"/>
      <c r="S310" s="102"/>
      <c r="T310" s="102"/>
      <c r="U310" s="102"/>
      <c r="V310" s="102"/>
      <c r="W310" s="102"/>
      <c r="X310" s="102"/>
      <c r="Y310" s="102"/>
      <c r="Z310" s="211"/>
      <c r="AA310" s="211"/>
      <c r="AB310" s="211"/>
      <c r="AC310" s="211"/>
      <c r="AD310" s="211"/>
      <c r="AE310" s="211"/>
      <c r="AF310" s="211"/>
      <c r="AG310" s="211"/>
      <c r="AH310" s="211"/>
      <c r="AI310" s="211"/>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185"/>
      <c r="BJ310" s="185"/>
      <c r="BK310" s="185"/>
      <c r="BL310" s="185"/>
      <c r="BM310" s="185"/>
      <c r="BN310" s="185"/>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hidden="1" customHeight="1" outlineLevel="2">
      <c r="A311" s="9"/>
      <c r="B311" s="9"/>
      <c r="C311" s="25"/>
      <c r="D311" s="492"/>
      <c r="E311" s="85">
        <v>4</v>
      </c>
      <c r="F311" s="191"/>
      <c r="G311" s="148"/>
      <c r="H311" s="148"/>
      <c r="I311" s="148"/>
      <c r="J311" s="147"/>
      <c r="K311" s="67">
        <f>IF(A19taxstdlife="n/a","n/a",IF(K$3&gt;(A19taxstdlife+$E311),(Input!$K$60-Input!$K$94)-SUM($J311:J311),(Input!$K$60-Input!$K$94)/A19taxstdlife))</f>
        <v>0.57028351145495881</v>
      </c>
      <c r="L311" s="67"/>
      <c r="M311" s="67">
        <f>IF(A19taxstdlife="n/a","n/a",IF(M$3&gt;(A19taxstdlife+$E311),(Input!$K$60-Input!$K$94)-SUM($J311:L311),(Input!$K$60-Input!$K$94)/A19taxstdlife))</f>
        <v>0.57028351145495881</v>
      </c>
      <c r="N311" s="67">
        <f>IF(A19taxstdlife="n/a","n/a",IF(N$3&gt;(A19taxstdlife+$E311),(Input!$K$60-Input!$K$94)-SUM($J311:M311),(Input!$K$60-Input!$K$94)/A19taxstdlife))</f>
        <v>0.57028351145495881</v>
      </c>
      <c r="O311" s="67">
        <f>IF(A19taxstdlife="n/a","n/a",IF(O$3&gt;(A19taxstdlife+$E311),(Input!$K$60-Input!$K$94)-SUM($J311:N311),(Input!$K$60-Input!$K$94)/A19taxstdlife))</f>
        <v>0.57028351145495881</v>
      </c>
      <c r="P311" s="67">
        <f>IF(A19taxstdlife="n/a","n/a",IF(P$3&gt;(A19taxstdlife+$E311),(Input!$K$60-Input!$K$94)-SUM($J311:O311),(Input!$K$60-Input!$K$94)/A19taxstdlife))</f>
        <v>0.57028351145495881</v>
      </c>
      <c r="Q311" s="67"/>
      <c r="R311" s="102"/>
      <c r="S311" s="102"/>
      <c r="T311" s="102"/>
      <c r="U311" s="102"/>
      <c r="V311" s="102"/>
      <c r="W311" s="102"/>
      <c r="X311" s="102"/>
      <c r="Y311" s="102"/>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185"/>
      <c r="BJ311" s="185"/>
      <c r="BK311" s="185"/>
      <c r="BL311" s="185"/>
      <c r="BM311" s="185"/>
      <c r="BN311" s="185"/>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hidden="1" customHeight="1" outlineLevel="2">
      <c r="A312" s="9"/>
      <c r="B312" s="9"/>
      <c r="C312" s="25"/>
      <c r="D312" s="492"/>
      <c r="E312" s="85">
        <v>5</v>
      </c>
      <c r="F312" s="191"/>
      <c r="G312" s="148"/>
      <c r="H312" s="148"/>
      <c r="I312" s="148"/>
      <c r="J312" s="148"/>
      <c r="K312" s="147"/>
      <c r="L312" s="67"/>
      <c r="M312" s="67">
        <f>IF(A19taxstdlife="n/a","n/a",IF(M$3&gt;(A19taxstdlife+$E312),(Input!$L$60-Input!$L$94)-SUM($K312:L312),(Input!$L$60-Input!$L$94)/A19taxstdlife))</f>
        <v>0.3412999652328208</v>
      </c>
      <c r="N312" s="67">
        <f>IF(A19taxstdlife="n/a","n/a",IF(N$3&gt;(A19taxstdlife+$E312),(Input!$L$60-Input!$L$94)-SUM($K312:M312),(Input!$L$60-Input!$L$94)/A19taxstdlife))</f>
        <v>0.3412999652328208</v>
      </c>
      <c r="O312" s="67">
        <f>IF(A19taxstdlife="n/a","n/a",IF(O$3&gt;(A19taxstdlife+$E312),(Input!$L$60-Input!$L$94)-SUM($K312:N312),(Input!$L$60-Input!$L$94)/A19taxstdlife))</f>
        <v>0.3412999652328208</v>
      </c>
      <c r="P312" s="67">
        <f>IF(A19taxstdlife="n/a","n/a",IF(P$3&gt;(A19taxstdlife+$E312),(Input!$L$60-Input!$L$94)-SUM($K312:O312),(Input!$L$60-Input!$L$94)/A19taxstdlife))</f>
        <v>0.3412999652328208</v>
      </c>
      <c r="Q312" s="67"/>
      <c r="R312" s="102"/>
      <c r="S312" s="102"/>
      <c r="T312" s="102"/>
      <c r="U312" s="102"/>
      <c r="V312" s="102"/>
      <c r="W312" s="102"/>
      <c r="X312" s="102"/>
      <c r="Y312" s="102"/>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185"/>
      <c r="BJ312" s="185"/>
      <c r="BK312" s="185"/>
      <c r="BL312" s="185"/>
      <c r="BM312" s="185"/>
      <c r="BN312" s="185"/>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hidden="1" customHeight="1" outlineLevel="2">
      <c r="A313" s="9"/>
      <c r="B313" s="9"/>
      <c r="C313" s="25"/>
      <c r="D313" s="492"/>
      <c r="E313" s="85">
        <v>6</v>
      </c>
      <c r="F313" s="191"/>
      <c r="G313" s="148"/>
      <c r="H313" s="148"/>
      <c r="I313" s="148"/>
      <c r="J313" s="148"/>
      <c r="K313" s="148"/>
      <c r="L313" s="147"/>
      <c r="M313" s="67">
        <f>IF(A19taxstdlife="n/a","n/a",IF(M$3&gt;(A19taxstdlife+$E313),(Input!$M$60-Input!$M$94)-SUM($L313:L313),(Input!$M$60-Input!$M$94)/A19taxstdlife))</f>
        <v>0</v>
      </c>
      <c r="N313" s="67">
        <f>IF(A19taxstdlife="n/a","n/a",IF(N$3&gt;(A19taxstdlife+$E313),(Input!$M$60-Input!$M$94)-SUM($L313:M313),(Input!$M$60-Input!$M$94)/A19taxstdlife))</f>
        <v>0</v>
      </c>
      <c r="O313" s="67">
        <f>IF(A19taxstdlife="n/a","n/a",IF(O$3&gt;(A19taxstdlife+$E313),(Input!$M$60-Input!$M$94)-SUM($L313:N313),(Input!$M$60-Input!$M$94)/A19taxstdlife))</f>
        <v>0</v>
      </c>
      <c r="P313" s="67">
        <f>IF(A19taxstdlife="n/a","n/a",IF(P$3&gt;(A19taxstdlife+$E313),(Input!$M$60-Input!$M$94)-SUM($L313:O313),(Input!$M$60-Input!$M$94)/A19taxstdlife))</f>
        <v>0</v>
      </c>
      <c r="Q313" s="67"/>
      <c r="R313" s="102"/>
      <c r="S313" s="102"/>
      <c r="T313" s="102"/>
      <c r="U313" s="102"/>
      <c r="V313" s="102"/>
      <c r="W313" s="102"/>
      <c r="X313" s="102"/>
      <c r="Y313" s="102"/>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185"/>
      <c r="BJ313" s="185"/>
      <c r="BK313" s="185"/>
      <c r="BL313" s="185"/>
      <c r="BM313" s="185"/>
      <c r="BN313" s="185"/>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hidden="1" customHeight="1" outlineLevel="2">
      <c r="A314" s="9"/>
      <c r="B314" s="9"/>
      <c r="C314" s="25"/>
      <c r="D314" s="492"/>
      <c r="E314" s="85">
        <v>7</v>
      </c>
      <c r="F314" s="191"/>
      <c r="G314" s="148"/>
      <c r="H314" s="148"/>
      <c r="I314" s="148"/>
      <c r="J314" s="148"/>
      <c r="K314" s="148"/>
      <c r="L314" s="148"/>
      <c r="M314" s="147"/>
      <c r="N314" s="67">
        <f>IF(A19taxstdlife="n/a","n/a",IF(N$3&gt;(A19taxstdlife+$E314),(Input!$N$60-Input!$N$94)-SUM($M314:M314),(Input!$N$60-Input!$N$94)/A19taxstdlife))</f>
        <v>0</v>
      </c>
      <c r="O314" s="67">
        <f>IF(A19taxstdlife="n/a","n/a",IF(O$3&gt;(A19taxstdlife+$E314),(Input!$N$60-Input!$N$94)-SUM($M314:N314),(Input!$N$60-Input!$N$94)/A19taxstdlife))</f>
        <v>0</v>
      </c>
      <c r="P314" s="67">
        <f>IF(A19taxstdlife="n/a","n/a",IF(P$3&gt;(A19taxstdlife+$E314),(Input!$N$60-Input!$N$94)-SUM($M314:O314),(Input!$N$60-Input!$N$94)/A19taxstdlife))</f>
        <v>0</v>
      </c>
      <c r="Q314" s="67"/>
      <c r="R314" s="102"/>
      <c r="S314" s="102"/>
      <c r="T314" s="102"/>
      <c r="U314" s="102"/>
      <c r="V314" s="102"/>
      <c r="W314" s="102"/>
      <c r="X314" s="102"/>
      <c r="Y314" s="102"/>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185"/>
      <c r="BJ314" s="185"/>
      <c r="BK314" s="185"/>
      <c r="BL314" s="185"/>
      <c r="BM314" s="185"/>
      <c r="BN314" s="185"/>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hidden="1" customHeight="1" outlineLevel="2">
      <c r="A315" s="9"/>
      <c r="B315" s="9"/>
      <c r="C315" s="25"/>
      <c r="D315" s="492"/>
      <c r="E315" s="85">
        <v>8</v>
      </c>
      <c r="F315" s="191"/>
      <c r="G315" s="148"/>
      <c r="H315" s="148"/>
      <c r="I315" s="148"/>
      <c r="J315" s="148"/>
      <c r="K315" s="148"/>
      <c r="L315" s="148"/>
      <c r="M315" s="148"/>
      <c r="N315" s="147"/>
      <c r="O315" s="67">
        <f>IF(A19taxstdlife="n/a","n/a",IF(O$3&gt;(A19taxstdlife+$E315),(Input!$O$60-Input!$O$94)-SUM($N315:N315),(Input!$O$60-Input!$O$94)/A19taxstdlife))</f>
        <v>0</v>
      </c>
      <c r="P315" s="67">
        <f>IF(A19taxstdlife="n/a","n/a",IF(P$3&gt;(A19taxstdlife+$E315),(Input!$O$60-Input!$O$94)-SUM($N315:O315),(Input!$O$60-Input!$O$94)/A19taxstdlife))</f>
        <v>0</v>
      </c>
      <c r="Q315" s="67"/>
      <c r="R315" s="102"/>
      <c r="S315" s="102"/>
      <c r="T315" s="102"/>
      <c r="U315" s="102"/>
      <c r="V315" s="102"/>
      <c r="W315" s="102"/>
      <c r="X315" s="102"/>
      <c r="Y315" s="102"/>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185"/>
      <c r="BJ315" s="185"/>
      <c r="BK315" s="185"/>
      <c r="BL315" s="185"/>
      <c r="BM315" s="185"/>
      <c r="BN315" s="18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hidden="1" customHeight="1" outlineLevel="2">
      <c r="A316" s="9"/>
      <c r="B316" s="9"/>
      <c r="C316" s="25"/>
      <c r="D316" s="492"/>
      <c r="E316" s="85">
        <v>9</v>
      </c>
      <c r="F316" s="191"/>
      <c r="G316" s="148"/>
      <c r="H316" s="148"/>
      <c r="I316" s="148"/>
      <c r="J316" s="148"/>
      <c r="K316" s="148"/>
      <c r="L316" s="148"/>
      <c r="M316" s="148"/>
      <c r="N316" s="148"/>
      <c r="O316" s="147"/>
      <c r="P316" s="67">
        <f>IF(A19taxstdlife="n/a","n/a",IF(P$3&gt;(A19taxstdlife+$E316),(Input!$P$60-Input!$P$94)-SUM($O316:O316),(Input!$P$60-Input!$P$94)/A19taxstdlife))</f>
        <v>0</v>
      </c>
      <c r="Q316" s="67"/>
      <c r="R316" s="102"/>
      <c r="S316" s="102"/>
      <c r="T316" s="102"/>
      <c r="U316" s="102"/>
      <c r="V316" s="102"/>
      <c r="W316" s="102"/>
      <c r="X316" s="102"/>
      <c r="Y316" s="102"/>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185"/>
      <c r="BJ316" s="185"/>
      <c r="BK316" s="185"/>
      <c r="BL316" s="185"/>
      <c r="BM316" s="185"/>
      <c r="BN316" s="185"/>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hidden="1" customHeight="1" outlineLevel="2">
      <c r="A317" s="9"/>
      <c r="B317" s="9"/>
      <c r="C317" s="25"/>
      <c r="D317" s="492"/>
      <c r="E317" s="86">
        <v>10</v>
      </c>
      <c r="F317" s="191"/>
      <c r="G317" s="148"/>
      <c r="H317" s="148"/>
      <c r="I317" s="148"/>
      <c r="J317" s="148"/>
      <c r="K317" s="148"/>
      <c r="L317" s="148"/>
      <c r="M317" s="148"/>
      <c r="N317" s="148"/>
      <c r="O317" s="187"/>
      <c r="P317" s="147"/>
      <c r="Q317" s="67"/>
      <c r="R317" s="102"/>
      <c r="S317" s="102"/>
      <c r="T317" s="102"/>
      <c r="U317" s="102"/>
      <c r="V317" s="102"/>
      <c r="W317" s="102"/>
      <c r="X317" s="102"/>
      <c r="Y317" s="102"/>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185"/>
      <c r="BJ317" s="185"/>
      <c r="BK317" s="185"/>
      <c r="BL317" s="185"/>
      <c r="BM317" s="185"/>
      <c r="BN317" s="185"/>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hidden="1" customHeight="1" outlineLevel="1">
      <c r="A318" s="9"/>
      <c r="B318" s="9"/>
      <c r="C318" s="25" t="str">
        <f>Asset19</f>
        <v>Motor vehicles</v>
      </c>
      <c r="D318" s="9"/>
      <c r="E318" s="9"/>
      <c r="F318" s="191"/>
      <c r="G318" s="164">
        <f>-SUM(G306:G317)</f>
        <v>-10.208060351362311</v>
      </c>
      <c r="H318" s="164">
        <f>-SUM(H306:H317)</f>
        <v>-9.9832604277360542</v>
      </c>
      <c r="I318" s="164">
        <f>-SUM(I306:I317)</f>
        <v>-9.6446387202429253</v>
      </c>
      <c r="J318" s="164">
        <f>-SUM(J306:J317)</f>
        <v>-8.9562629588963532</v>
      </c>
      <c r="K318" s="164">
        <f>-SUM(K306:K317)</f>
        <v>-7.2785894117880376</v>
      </c>
      <c r="L318" s="164"/>
      <c r="M318" s="164">
        <f>IF(Input!N174&gt;0, -SUM(M306:M317), 0)</f>
        <v>0</v>
      </c>
      <c r="N318" s="164">
        <f>IF(Input!O174&gt;0, -SUM(N306:N317), 0)</f>
        <v>0</v>
      </c>
      <c r="O318" s="164">
        <f>IF(Input!P174&gt;0, -SUM(O306:O317), 0)</f>
        <v>0</v>
      </c>
      <c r="P318" s="164">
        <f>IF(Input!Q174&gt;0, -SUM(P306:P317), 0)</f>
        <v>0</v>
      </c>
      <c r="Q318" s="63"/>
      <c r="R318" s="101"/>
      <c r="S318" s="301"/>
      <c r="T318" s="101"/>
      <c r="U318" s="101"/>
      <c r="V318" s="101"/>
      <c r="W318" s="101"/>
      <c r="X318" s="101"/>
      <c r="Y318" s="101"/>
      <c r="Z318" s="210"/>
      <c r="AA318" s="210"/>
      <c r="AB318" s="210"/>
      <c r="AC318" s="210"/>
      <c r="AD318" s="210"/>
      <c r="AE318" s="210"/>
      <c r="AF318" s="210"/>
      <c r="AG318" s="210"/>
      <c r="AH318" s="210"/>
      <c r="AI318" s="210"/>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185"/>
      <c r="BJ318" s="185"/>
      <c r="BK318" s="185"/>
      <c r="BL318" s="185"/>
      <c r="BM318" s="185"/>
      <c r="BN318" s="185"/>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186" t="str">
        <f>Asset20</f>
        <v>Buildings</v>
      </c>
      <c r="C319" s="32"/>
      <c r="D319" s="33" t="s">
        <v>65</v>
      </c>
      <c r="E319" s="32"/>
      <c r="F319" s="191"/>
      <c r="G319" s="459">
        <f>'Tax asset base adjustments'!Q54</f>
        <v>6.0581539441052081</v>
      </c>
      <c r="H319" s="459">
        <f>'Tax asset base adjustments'!R54</f>
        <v>5.7663016312779733</v>
      </c>
      <c r="I319" s="459">
        <f>'Tax asset base adjustments'!S54</f>
        <v>5.4849420520757466</v>
      </c>
      <c r="J319" s="459">
        <f>'Tax asset base adjustments'!T54</f>
        <v>5.308376583186563</v>
      </c>
      <c r="K319" s="459">
        <f>'Tax asset base adjustments'!U54</f>
        <v>5.1111610462518797</v>
      </c>
      <c r="L319" s="459"/>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2"/>
      <c r="S319" s="301">
        <f>SUM(K319:K324)</f>
        <v>9.3418960177348076</v>
      </c>
      <c r="T319" s="102"/>
      <c r="U319" s="102"/>
      <c r="V319" s="102"/>
      <c r="W319" s="102"/>
      <c r="X319" s="102"/>
      <c r="Y319" s="102"/>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185"/>
      <c r="BJ319" s="185"/>
      <c r="BK319" s="185"/>
      <c r="BL319" s="185"/>
      <c r="BM319" s="185"/>
      <c r="BN319" s="185"/>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5"/>
      <c r="D320" s="491" t="s">
        <v>83</v>
      </c>
      <c r="E320" s="85"/>
      <c r="F320" s="302"/>
      <c r="G320" s="67"/>
      <c r="H320" s="67"/>
      <c r="I320" s="67"/>
      <c r="J320" s="67"/>
      <c r="K320" s="67"/>
      <c r="L320" s="67"/>
      <c r="M320" s="67"/>
      <c r="N320" s="67"/>
      <c r="O320" s="67"/>
      <c r="P320" s="67"/>
      <c r="Q320" s="67"/>
      <c r="R320" s="102"/>
      <c r="S320" s="102"/>
      <c r="T320" s="102"/>
      <c r="U320" s="102"/>
      <c r="V320" s="102"/>
      <c r="W320" s="102"/>
      <c r="X320" s="102"/>
      <c r="Y320" s="102"/>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185"/>
      <c r="BJ320" s="185"/>
      <c r="BK320" s="185"/>
      <c r="BL320" s="185"/>
      <c r="BM320" s="185"/>
      <c r="BN320" s="185"/>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5"/>
      <c r="D321" s="492"/>
      <c r="E321" s="85">
        <v>1</v>
      </c>
      <c r="F321" s="191"/>
      <c r="G321" s="147"/>
      <c r="H321" s="67">
        <f>IF(A20taxstdlife="n/a","n/a",IF(H$3&gt;(A20taxstdlife+$E321),(Input!$H$61-Input!$H$95)-SUM($G321:G321),(Input!$H$61-Input!$H$95)/A20taxstdlife))</f>
        <v>1.5694300498389782</v>
      </c>
      <c r="I321" s="67">
        <f>IF(A20taxstdlife="n/a","n/a",IF(I$3&gt;(A20taxstdlife+$E321),(Input!$H$61-Input!$H$95)-SUM($G321:H321),(Input!$H$61-Input!$H$95)/A20taxstdlife))</f>
        <v>1.5694300498389782</v>
      </c>
      <c r="J321" s="67">
        <f>IF(A20taxstdlife="n/a","n/a",IF(J$3&gt;(A20taxstdlife+$E321),(Input!$H$61-Input!$H$95)-SUM($G321:I321),(Input!$H$61-Input!$H$95)/A20taxstdlife))</f>
        <v>1.5694300498389782</v>
      </c>
      <c r="K321" s="67">
        <f>IF(A20taxstdlife="n/a","n/a",IF(K$3&gt;(A20taxstdlife+$E321),(Input!$H$61-Input!$H$95)-SUM($G321:J321),(Input!$H$61-Input!$H$95)/A20taxstdlife))</f>
        <v>1.5694300498389782</v>
      </c>
      <c r="L321" s="67"/>
      <c r="M321" s="67">
        <f>IF(A20taxstdlife="n/a","n/a",IF(M$3&gt;(A20taxstdlife+$E321),(Input!$H$61-Input!$H$95)-SUM($G321:L321),(Input!$H$61-Input!$H$95)/A20taxstdlife))</f>
        <v>1.5694300498389782</v>
      </c>
      <c r="N321" s="67">
        <f>IF(A20taxstdlife="n/a","n/a",IF(N$3&gt;(A20taxstdlife+$E321),(Input!$H$61-Input!$H$95)-SUM($G321:M321),(Input!$H$61-Input!$H$95)/A20taxstdlife))</f>
        <v>1.5694300498389782</v>
      </c>
      <c r="O321" s="67">
        <f>IF(A20taxstdlife="n/a","n/a",IF(O$3&gt;(A20taxstdlife+$E321),(Input!$H$61-Input!$H$95)-SUM($G321:N321),(Input!$H$61-Input!$H$95)/A20taxstdlife))</f>
        <v>1.5694300498389782</v>
      </c>
      <c r="P321" s="67">
        <f>IF(A20taxstdlife="n/a","n/a",IF(P$3&gt;(A20taxstdlife+$E321),(Input!$H$61-Input!$H$95)-SUM($G321:O321),(Input!$H$61-Input!$H$95)/A20taxstdlife))</f>
        <v>1.5694300498389782</v>
      </c>
      <c r="Q321" s="67"/>
      <c r="R321" s="102"/>
      <c r="S321" s="102"/>
      <c r="T321" s="102"/>
      <c r="U321" s="102"/>
      <c r="V321" s="102"/>
      <c r="W321" s="102"/>
      <c r="X321" s="102"/>
      <c r="Y321" s="102"/>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185"/>
      <c r="BJ321" s="185"/>
      <c r="BK321" s="185"/>
      <c r="BL321" s="185"/>
      <c r="BM321" s="185"/>
      <c r="BN321" s="185"/>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5"/>
      <c r="D322" s="492"/>
      <c r="E322" s="85">
        <v>2</v>
      </c>
      <c r="F322" s="191"/>
      <c r="G322" s="148"/>
      <c r="H322" s="147"/>
      <c r="I322" s="67">
        <f>IF(A20taxstdlife="n/a","n/a",IF(I$3&gt;(A20taxstdlife+$E322),(Input!$I$61-Input!$I$95)-SUM($H322:H322),(Input!$I$61-Input!$I$95)/A20taxstdlife))</f>
        <v>1.4750246604520949</v>
      </c>
      <c r="J322" s="67">
        <f>IF(A20taxstdlife="n/a","n/a",IF(J$3&gt;(A20taxstdlife+$E322),(Input!$I$61-Input!$I$95)-SUM($H322:I322),(Input!$I$61-Input!$I$95)/A20taxstdlife))</f>
        <v>1.4750246604520949</v>
      </c>
      <c r="K322" s="67">
        <f>IF(A20taxstdlife="n/a","n/a",IF(K$3&gt;(A20taxstdlife+$E322),(Input!$I$61-Input!$I$95)-SUM($H322:J322),(Input!$I$61-Input!$I$95)/A20taxstdlife))</f>
        <v>1.4750246604520949</v>
      </c>
      <c r="L322" s="67"/>
      <c r="M322" s="67">
        <f>IF(A20taxstdlife="n/a","n/a",IF(M$3&gt;(A20taxstdlife+$E322),(Input!$I$61-Input!$I$95)-SUM($H322:L322),(Input!$I$61-Input!$I$95)/A20taxstdlife))</f>
        <v>1.4750246604520949</v>
      </c>
      <c r="N322" s="67">
        <f>IF(A20taxstdlife="n/a","n/a",IF(N$3&gt;(A20taxstdlife+$E322),(Input!$I$61-Input!$I$95)-SUM($H322:M322),(Input!$I$61-Input!$I$95)/A20taxstdlife))</f>
        <v>1.4750246604520949</v>
      </c>
      <c r="O322" s="67">
        <f>IF(A20taxstdlife="n/a","n/a",IF(O$3&gt;(A20taxstdlife+$E322),(Input!$I$61-Input!$I$95)-SUM($H322:N322),(Input!$I$61-Input!$I$95)/A20taxstdlife))</f>
        <v>1.4750246604520949</v>
      </c>
      <c r="P322" s="67">
        <f>IF(A20taxstdlife="n/a","n/a",IF(P$3&gt;(A20taxstdlife+$E322),(Input!$I$61-Input!$I$95)-SUM($H322:O322),(Input!$I$61-Input!$I$95)/A20taxstdlife))</f>
        <v>1.4750246604520949</v>
      </c>
      <c r="Q322" s="67"/>
      <c r="R322" s="102"/>
      <c r="S322" s="102"/>
      <c r="T322" s="102"/>
      <c r="U322" s="102"/>
      <c r="V322" s="102"/>
      <c r="W322" s="102"/>
      <c r="X322" s="102"/>
      <c r="Y322" s="102"/>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2"/>
      <c r="BJ322" s="185"/>
      <c r="BK322" s="185"/>
      <c r="BL322" s="185"/>
      <c r="BM322" s="185"/>
      <c r="BN322" s="185"/>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5"/>
      <c r="D323" s="492"/>
      <c r="E323" s="85">
        <v>3</v>
      </c>
      <c r="F323" s="191"/>
      <c r="G323" s="148"/>
      <c r="H323" s="148"/>
      <c r="I323" s="147"/>
      <c r="J323" s="67">
        <f>IF(A20taxstdlife="n/a","n/a",IF(J$3&gt;(A20taxstdlife+$E323),(Input!$J$61-Input!$J$95)-SUM($I323:I323),(Input!$J$61-Input!$J$95)/A20taxstdlife))</f>
        <v>0.73808790935973012</v>
      </c>
      <c r="K323" s="67">
        <f>IF(A20taxstdlife="n/a","n/a",IF(K$3&gt;(A20taxstdlife+$E323),(Input!$J$61-Input!$J$95)-SUM($I323:J323),(Input!$J$61-Input!$J$95)/A20taxstdlife))</f>
        <v>0.73808790935973012</v>
      </c>
      <c r="L323" s="67"/>
      <c r="M323" s="67">
        <f>IF(A20taxstdlife="n/a","n/a",IF(M$3&gt;(A20taxstdlife+$E323),(Input!$J$61-Input!$J$95)-SUM($I323:L323),(Input!$J$61-Input!$J$95)/A20taxstdlife))</f>
        <v>0.73808790935973012</v>
      </c>
      <c r="N323" s="67">
        <f>IF(A20taxstdlife="n/a","n/a",IF(N$3&gt;(A20taxstdlife+$E323),(Input!$J$61-Input!$J$95)-SUM($I323:M323),(Input!$J$61-Input!$J$95)/A20taxstdlife))</f>
        <v>0.73808790935973012</v>
      </c>
      <c r="O323" s="67">
        <f>IF(A20taxstdlife="n/a","n/a",IF(O$3&gt;(A20taxstdlife+$E323),(Input!$J$61-Input!$J$95)-SUM($I323:N323),(Input!$J$61-Input!$J$95)/A20taxstdlife))</f>
        <v>0.73808790935973012</v>
      </c>
      <c r="P323" s="67">
        <f>IF(A20taxstdlife="n/a","n/a",IF(P$3&gt;(A20taxstdlife+$E323),(Input!$J$61-Input!$J$95)-SUM($I323:O323),(Input!$J$61-Input!$J$95)/A20taxstdlife))</f>
        <v>0.73808790935973012</v>
      </c>
      <c r="Q323" s="67"/>
      <c r="R323" s="102"/>
      <c r="S323" s="102"/>
      <c r="T323" s="102"/>
      <c r="U323" s="102"/>
      <c r="V323" s="102"/>
      <c r="W323" s="102"/>
      <c r="X323" s="102"/>
      <c r="Y323" s="102"/>
      <c r="Z323" s="211"/>
      <c r="AA323" s="211"/>
      <c r="AB323" s="211"/>
      <c r="AC323" s="211"/>
      <c r="AD323" s="211"/>
      <c r="AE323" s="211"/>
      <c r="AF323" s="211"/>
      <c r="AG323" s="211"/>
      <c r="AH323" s="211"/>
      <c r="AI323" s="211"/>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185"/>
      <c r="BJ323" s="185"/>
      <c r="BK323" s="185"/>
      <c r="BL323" s="185"/>
      <c r="BM323" s="185"/>
      <c r="BN323" s="185"/>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5"/>
      <c r="D324" s="492"/>
      <c r="E324" s="85">
        <v>4</v>
      </c>
      <c r="F324" s="191"/>
      <c r="G324" s="148"/>
      <c r="H324" s="148"/>
      <c r="I324" s="148"/>
      <c r="J324" s="147"/>
      <c r="K324" s="67">
        <f>IF(A20taxstdlife="n/a","n/a",IF(K$3&gt;(A20taxstdlife+$E324),(Input!$K$61-Input!$K$95)-SUM($J324:J324),(Input!$K$61-Input!$K$95)/A20taxstdlife))</f>
        <v>0.44819235183212502</v>
      </c>
      <c r="L324" s="67"/>
      <c r="M324" s="67">
        <f>IF(A20taxstdlife="n/a","n/a",IF(M$3&gt;(A20taxstdlife+$E324),(Input!$K$61-Input!$K$95)-SUM($J324:L324),(Input!$K$61-Input!$K$95)/A20taxstdlife))</f>
        <v>0.44819235183212502</v>
      </c>
      <c r="N324" s="67">
        <f>IF(A20taxstdlife="n/a","n/a",IF(N$3&gt;(A20taxstdlife+$E324),(Input!$K$61-Input!$K$95)-SUM($J324:M324),(Input!$K$61-Input!$K$95)/A20taxstdlife))</f>
        <v>0.44819235183212502</v>
      </c>
      <c r="O324" s="67">
        <f>IF(A20taxstdlife="n/a","n/a",IF(O$3&gt;(A20taxstdlife+$E324),(Input!$K$61-Input!$K$95)-SUM($J324:N324),(Input!$K$61-Input!$K$95)/A20taxstdlife))</f>
        <v>0.44819235183212502</v>
      </c>
      <c r="P324" s="67">
        <f>IF(A20taxstdlife="n/a","n/a",IF(P$3&gt;(A20taxstdlife+$E324),(Input!$K$61-Input!$K$95)-SUM($J324:O324),(Input!$K$61-Input!$K$95)/A20taxstdlife))</f>
        <v>0.44819235183212502</v>
      </c>
      <c r="Q324" s="67"/>
      <c r="R324" s="102"/>
      <c r="S324" s="102"/>
      <c r="T324" s="102"/>
      <c r="U324" s="102"/>
      <c r="V324" s="102"/>
      <c r="W324" s="102"/>
      <c r="X324" s="102"/>
      <c r="Y324" s="102"/>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185"/>
      <c r="BJ324" s="185"/>
      <c r="BK324" s="185"/>
      <c r="BL324" s="185"/>
      <c r="BM324" s="185"/>
      <c r="BN324" s="185"/>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5"/>
      <c r="D325" s="492"/>
      <c r="E325" s="85">
        <v>5</v>
      </c>
      <c r="F325" s="191"/>
      <c r="G325" s="148"/>
      <c r="H325" s="148"/>
      <c r="I325" s="148"/>
      <c r="J325" s="148"/>
      <c r="K325" s="147"/>
      <c r="L325" s="67"/>
      <c r="M325" s="67">
        <f>IF(A20taxstdlife="n/a","n/a",IF(M$3&gt;(A20taxstdlife+$E325),(Input!$L$61-Input!$L$95)-SUM($K325:L325),(Input!$L$61-Input!$L$95)/A20taxstdlife))</f>
        <v>-0.92814079422998519</v>
      </c>
      <c r="N325" s="67">
        <f>IF(A20taxstdlife="n/a","n/a",IF(N$3&gt;(A20taxstdlife+$E325),(Input!$L$61-Input!$L$95)-SUM($K325:M325),(Input!$L$61-Input!$L$95)/A20taxstdlife))</f>
        <v>-0.92814079422998519</v>
      </c>
      <c r="O325" s="67">
        <f>IF(A20taxstdlife="n/a","n/a",IF(O$3&gt;(A20taxstdlife+$E325),(Input!$L$61-Input!$L$95)-SUM($K325:N325),(Input!$L$61-Input!$L$95)/A20taxstdlife))</f>
        <v>-0.92814079422998519</v>
      </c>
      <c r="P325" s="67">
        <f>IF(A20taxstdlife="n/a","n/a",IF(P$3&gt;(A20taxstdlife+$E325),(Input!$L$61-Input!$L$95)-SUM($K325:O325),(Input!$L$61-Input!$L$95)/A20taxstdlife))</f>
        <v>-0.92814079422998519</v>
      </c>
      <c r="Q325" s="67"/>
      <c r="R325" s="102"/>
      <c r="S325" s="102"/>
      <c r="T325" s="102"/>
      <c r="U325" s="102"/>
      <c r="V325" s="102"/>
      <c r="W325" s="102"/>
      <c r="X325" s="102"/>
      <c r="Y325" s="102"/>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185"/>
      <c r="BJ325" s="185"/>
      <c r="BK325" s="185"/>
      <c r="BL325" s="185"/>
      <c r="BM325" s="185"/>
      <c r="BN325" s="18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5"/>
      <c r="D326" s="492"/>
      <c r="E326" s="85">
        <v>6</v>
      </c>
      <c r="F326" s="191"/>
      <c r="G326" s="148"/>
      <c r="H326" s="148"/>
      <c r="I326" s="148"/>
      <c r="J326" s="148"/>
      <c r="K326" s="148"/>
      <c r="L326" s="147"/>
      <c r="M326" s="67">
        <f>IF(A20taxstdlife="n/a","n/a",IF(M$3&gt;(A20taxstdlife+$E326),(Input!$M$61-Input!$M$95)-SUM($L326:L326),(Input!$M$61-Input!$M$95)/A20taxstdlife))</f>
        <v>0</v>
      </c>
      <c r="N326" s="67">
        <f>IF(A20taxstdlife="n/a","n/a",IF(N$3&gt;(A20taxstdlife+$E326),(Input!$M$61-Input!$M$95)-SUM($L326:M326),(Input!$M$61-Input!$M$95)/A20taxstdlife))</f>
        <v>0</v>
      </c>
      <c r="O326" s="67">
        <f>IF(A20taxstdlife="n/a","n/a",IF(O$3&gt;(A20taxstdlife+$E326),(Input!$M$61-Input!$M$95)-SUM($L326:N326),(Input!$M$61-Input!$M$95)/A20taxstdlife))</f>
        <v>0</v>
      </c>
      <c r="P326" s="67">
        <f>IF(A20taxstdlife="n/a","n/a",IF(P$3&gt;(A20taxstdlife+$E326),(Input!$M$61-Input!$M$95)-SUM($L326:O326),(Input!$M$61-Input!$M$95)/A20taxstdlife))</f>
        <v>0</v>
      </c>
      <c r="Q326" s="67"/>
      <c r="R326" s="102"/>
      <c r="S326" s="102"/>
      <c r="T326" s="102"/>
      <c r="U326" s="102"/>
      <c r="V326" s="102"/>
      <c r="W326" s="102"/>
      <c r="X326" s="102"/>
      <c r="Y326" s="102"/>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185"/>
      <c r="BJ326" s="185"/>
      <c r="BK326" s="185"/>
      <c r="BL326" s="185"/>
      <c r="BM326" s="185"/>
      <c r="BN326" s="185"/>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5"/>
      <c r="D327" s="492"/>
      <c r="E327" s="85">
        <v>7</v>
      </c>
      <c r="F327" s="191"/>
      <c r="G327" s="148"/>
      <c r="H327" s="148"/>
      <c r="I327" s="148"/>
      <c r="J327" s="148"/>
      <c r="K327" s="148"/>
      <c r="L327" s="148"/>
      <c r="M327" s="147"/>
      <c r="N327" s="67">
        <f>IF(A20taxstdlife="n/a","n/a",IF(N$3&gt;(A20taxstdlife+$E327),(Input!$N$61-Input!$N$95)-SUM($M327:M327),(Input!$N$61-Input!$N$95)/A20taxstdlife))</f>
        <v>0</v>
      </c>
      <c r="O327" s="67">
        <f>IF(A20taxstdlife="n/a","n/a",IF(O$3&gt;(A20taxstdlife+$E327),(Input!$N$61-Input!$N$95)-SUM($M327:N327),(Input!$N$61-Input!$N$95)/A20taxstdlife))</f>
        <v>0</v>
      </c>
      <c r="P327" s="67">
        <f>IF(A20taxstdlife="n/a","n/a",IF(P$3&gt;(A20taxstdlife+$E327),(Input!$N$61-Input!$N$95)-SUM($M327:O327),(Input!$N$61-Input!$N$95)/A20taxstdlife))</f>
        <v>0</v>
      </c>
      <c r="Q327" s="67"/>
      <c r="R327" s="102"/>
      <c r="S327" s="102"/>
      <c r="T327" s="102"/>
      <c r="U327" s="102"/>
      <c r="V327" s="102"/>
      <c r="W327" s="102"/>
      <c r="X327" s="102"/>
      <c r="Y327" s="102"/>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185"/>
      <c r="BJ327" s="185"/>
      <c r="BK327" s="185"/>
      <c r="BL327" s="185"/>
      <c r="BM327" s="185"/>
      <c r="BN327" s="185"/>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5"/>
      <c r="D328" s="492"/>
      <c r="E328" s="85">
        <v>8</v>
      </c>
      <c r="F328" s="191"/>
      <c r="G328" s="148"/>
      <c r="H328" s="148"/>
      <c r="I328" s="148"/>
      <c r="J328" s="148"/>
      <c r="K328" s="148"/>
      <c r="L328" s="148"/>
      <c r="M328" s="148"/>
      <c r="N328" s="147"/>
      <c r="O328" s="67">
        <f>IF(A20taxstdlife="n/a","n/a",IF(O$3&gt;(A20taxstdlife+$E328),(Input!$O$61-Input!$O$95)-SUM($N328:N328),(Input!$O$61-Input!$O$95)/A20taxstdlife))</f>
        <v>0</v>
      </c>
      <c r="P328" s="67">
        <f>IF(A20taxstdlife="n/a","n/a",IF(P$3&gt;(A20taxstdlife+$E328),(Input!$O$61-Input!$O$95)-SUM($N328:O328),(Input!$O$61-Input!$O$95)/A20taxstdlife))</f>
        <v>0</v>
      </c>
      <c r="Q328" s="67"/>
      <c r="R328" s="102"/>
      <c r="S328" s="102"/>
      <c r="T328" s="102"/>
      <c r="U328" s="102"/>
      <c r="V328" s="102"/>
      <c r="W328" s="102"/>
      <c r="X328" s="102"/>
      <c r="Y328" s="102"/>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185"/>
      <c r="BJ328" s="185"/>
      <c r="BK328" s="185"/>
      <c r="BL328" s="185"/>
      <c r="BM328" s="185"/>
      <c r="BN328" s="185"/>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5"/>
      <c r="D329" s="492"/>
      <c r="E329" s="85">
        <v>9</v>
      </c>
      <c r="F329" s="191"/>
      <c r="G329" s="148"/>
      <c r="H329" s="148"/>
      <c r="I329" s="148"/>
      <c r="J329" s="148"/>
      <c r="K329" s="148"/>
      <c r="L329" s="148"/>
      <c r="M329" s="148"/>
      <c r="N329" s="148"/>
      <c r="O329" s="147"/>
      <c r="P329" s="67">
        <f>IF(A20taxstdlife="n/a","n/a",IF(P$3&gt;(A20taxstdlife+$E329),(Input!$P$61-Input!$P$95)-SUM($O329:O329),(Input!$P$61-Input!$P$95)/A20taxstdlife))</f>
        <v>0</v>
      </c>
      <c r="Q329" s="67"/>
      <c r="R329" s="102"/>
      <c r="S329" s="102"/>
      <c r="T329" s="102"/>
      <c r="U329" s="102"/>
      <c r="V329" s="102"/>
      <c r="W329" s="102"/>
      <c r="X329" s="102"/>
      <c r="Y329" s="102"/>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185"/>
      <c r="BJ329" s="185"/>
      <c r="BK329" s="185"/>
      <c r="BL329" s="185"/>
      <c r="BM329" s="185"/>
      <c r="BN329" s="185"/>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5"/>
      <c r="D330" s="492"/>
      <c r="E330" s="86">
        <v>10</v>
      </c>
      <c r="F330" s="191"/>
      <c r="G330" s="148"/>
      <c r="H330" s="148"/>
      <c r="I330" s="148"/>
      <c r="J330" s="148"/>
      <c r="K330" s="148"/>
      <c r="L330" s="148"/>
      <c r="M330" s="148"/>
      <c r="N330" s="148"/>
      <c r="O330" s="187"/>
      <c r="P330" s="147"/>
      <c r="Q330" s="67"/>
      <c r="R330" s="102"/>
      <c r="S330" s="102"/>
      <c r="T330" s="102"/>
      <c r="U330" s="102"/>
      <c r="V330" s="102"/>
      <c r="W330" s="102"/>
      <c r="X330" s="102"/>
      <c r="Y330" s="102"/>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185"/>
      <c r="BJ330" s="185"/>
      <c r="BK330" s="185"/>
      <c r="BL330" s="185"/>
      <c r="BM330" s="185"/>
      <c r="BN330" s="185"/>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hidden="1" customHeight="1" outlineLevel="1">
      <c r="A331" s="9"/>
      <c r="B331" s="9"/>
      <c r="C331" s="25" t="str">
        <f>Asset20</f>
        <v>Buildings</v>
      </c>
      <c r="D331" s="9"/>
      <c r="E331" s="9"/>
      <c r="F331" s="203"/>
      <c r="G331" s="164">
        <f>-SUM(G319:G330)</f>
        <v>-6.0581539441052081</v>
      </c>
      <c r="H331" s="164">
        <f>-SUM(H319:H330)</f>
        <v>-7.3357316811169513</v>
      </c>
      <c r="I331" s="164">
        <f>-SUM(I319:I330)</f>
        <v>-8.5293967623668188</v>
      </c>
      <c r="J331" s="164">
        <f>-SUM(J319:J330)</f>
        <v>-9.090919202837366</v>
      </c>
      <c r="K331" s="164">
        <f>-SUM(K319:K330)</f>
        <v>-9.3418960177348076</v>
      </c>
      <c r="L331" s="164"/>
      <c r="M331" s="164">
        <f>IF(Input!N174&gt;0, -SUM(M319:M330), 0)</f>
        <v>0</v>
      </c>
      <c r="N331" s="164">
        <f>IF(Input!O174&gt;0, -SUM(N319:N330), 0)</f>
        <v>0</v>
      </c>
      <c r="O331" s="164">
        <f>IF(Input!P174&gt;0, -SUM(O319:O330), 0)</f>
        <v>0</v>
      </c>
      <c r="P331" s="164">
        <f>IF(Input!Q174&gt;0, -SUM(P319:P330), 0)</f>
        <v>0</v>
      </c>
      <c r="Q331" s="63"/>
      <c r="R331" s="101"/>
      <c r="S331" s="101"/>
      <c r="T331" s="101"/>
      <c r="U331" s="101"/>
      <c r="V331" s="101"/>
      <c r="W331" s="101"/>
      <c r="X331" s="101"/>
      <c r="Y331" s="101"/>
      <c r="Z331" s="210"/>
      <c r="AA331" s="210"/>
      <c r="AB331" s="210"/>
      <c r="AC331" s="210"/>
      <c r="AD331" s="210"/>
      <c r="AE331" s="210"/>
      <c r="AF331" s="210"/>
      <c r="AG331" s="210"/>
      <c r="AH331" s="210"/>
      <c r="AI331" s="210"/>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185"/>
      <c r="BJ331" s="185"/>
      <c r="BK331" s="185"/>
      <c r="BL331" s="185"/>
      <c r="BM331" s="185"/>
      <c r="BN331" s="185"/>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hidden="1" customHeight="1" outlineLevel="2">
      <c r="A332" s="9"/>
      <c r="B332" s="186" t="str">
        <f>Asset21</f>
        <v>Equity raising costs</v>
      </c>
      <c r="C332" s="32"/>
      <c r="D332" s="33" t="s">
        <v>65</v>
      </c>
      <c r="E332" s="32"/>
      <c r="F332" s="203"/>
      <c r="G332" s="66" t="str">
        <f>IF(G$3&gt;A21taxremlife,A21taxvalue-SUM($F332:F332),IF(A21taxremlife="N/A","n/a",A21taxvalue/A21taxremlife))</f>
        <v>n/a</v>
      </c>
      <c r="H332" s="66" t="str">
        <f>IF(H$3&gt;A21taxremlife,A21taxvalue-SUM($F332:G332),IF(A21taxremlife="N/A","n/a",A21taxvalue/A21taxremlife))</f>
        <v>n/a</v>
      </c>
      <c r="I332" s="66" t="str">
        <f>IF(I$3&gt;A21taxremlife,A21taxvalue-SUM($F332:H332),IF(A21taxremlife="N/A","n/a",A21taxvalue/A21taxremlife))</f>
        <v>n/a</v>
      </c>
      <c r="J332" s="66" t="str">
        <f>IF(J$3&gt;A21taxremlife,A21taxvalue-SUM($F332:I332),IF(A21taxremlife="N/A","n/a",A21taxvalue/A21taxremlife))</f>
        <v>n/a</v>
      </c>
      <c r="K332" s="66" t="str">
        <f>IF(K$3&gt;A21taxremlife,A21taxvalue-SUM($F332:J332),IF(A21taxremlife="N/A","n/a",A21taxvalue/A21taxremlife))</f>
        <v>n/a</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2"/>
      <c r="S332" s="301">
        <f>SUM(K332:K337)</f>
        <v>0.54436470114927349</v>
      </c>
      <c r="T332" s="102"/>
      <c r="U332" s="102"/>
      <c r="V332" s="102"/>
      <c r="W332" s="102"/>
      <c r="X332" s="102"/>
      <c r="Y332" s="102"/>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185"/>
      <c r="BJ332" s="185"/>
      <c r="BK332" s="185"/>
      <c r="BL332" s="185"/>
      <c r="BM332" s="185"/>
      <c r="BN332" s="185"/>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hidden="1" customHeight="1" outlineLevel="2">
      <c r="A333" s="9"/>
      <c r="B333" s="9"/>
      <c r="C333" s="25"/>
      <c r="D333" s="491" t="s">
        <v>83</v>
      </c>
      <c r="E333" s="85"/>
      <c r="F333" s="303"/>
      <c r="G333" s="67"/>
      <c r="H333" s="67"/>
      <c r="I333" s="67"/>
      <c r="J333" s="67"/>
      <c r="K333" s="67"/>
      <c r="L333" s="67"/>
      <c r="M333" s="67"/>
      <c r="N333" s="67"/>
      <c r="O333" s="67"/>
      <c r="P333" s="67"/>
      <c r="Q333" s="67"/>
      <c r="R333" s="102"/>
      <c r="S333" s="102"/>
      <c r="T333" s="102"/>
      <c r="U333" s="102"/>
      <c r="V333" s="102"/>
      <c r="W333" s="102"/>
      <c r="X333" s="102"/>
      <c r="Y333" s="102"/>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185"/>
      <c r="BJ333" s="185"/>
      <c r="BK333" s="185"/>
      <c r="BL333" s="185"/>
      <c r="BM333" s="185"/>
      <c r="BN333" s="185"/>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hidden="1" customHeight="1" outlineLevel="2">
      <c r="A334" s="9"/>
      <c r="B334" s="9"/>
      <c r="C334" s="25"/>
      <c r="D334" s="492"/>
      <c r="E334" s="85">
        <v>1</v>
      </c>
      <c r="F334" s="203"/>
      <c r="G334" s="147"/>
      <c r="H334" s="67">
        <f>IF(A21taxstdlife="n/a","n/a",IF(H$3&gt;(A21taxstdlife+$E334),(Input!$H$62-Input!$H$96)-SUM($G334:G334),(Input!$H$62-Input!$H$96)/A21taxstdlife))</f>
        <v>0.54436470114927349</v>
      </c>
      <c r="I334" s="67">
        <f>IF(A21taxstdlife="n/a","n/a",IF(I$3&gt;(A21taxstdlife+$E334),(Input!$H$62-Input!$H$96)-SUM($G334:H334),(Input!$H$62-Input!$H$96)/A21taxstdlife))</f>
        <v>0.54436470114927349</v>
      </c>
      <c r="J334" s="67">
        <f>IF(A21taxstdlife="n/a","n/a",IF(J$3&gt;(A21taxstdlife+$E334),(Input!$H$62-Input!$H$96)-SUM($G334:I334),(Input!$H$62-Input!$H$96)/A21taxstdlife))</f>
        <v>0.54436470114927349</v>
      </c>
      <c r="K334" s="67">
        <f>IF(A21taxstdlife="n/a","n/a",IF(K$3&gt;(A21taxstdlife+$E334),(Input!$H$62-Input!$H$96)-SUM($G334:J334),(Input!$H$62-Input!$H$96)/A21taxstdlife))</f>
        <v>0.54436470114927349</v>
      </c>
      <c r="L334" s="67"/>
      <c r="M334" s="67">
        <f>IF(A21taxstdlife="n/a","n/a",IF(M$3&gt;(A21taxstdlife+$E334),(Input!$H$62-Input!$H$96)-SUM($G334:L334),(Input!$H$62-Input!$H$96)/A21taxstdlife))</f>
        <v>0.54436470114927349</v>
      </c>
      <c r="N334" s="67">
        <f>IF(A21taxstdlife="n/a","n/a",IF(N$3&gt;(A21taxstdlife+$E334),(Input!$H$62-Input!$H$96)-SUM($G334:M334),(Input!$H$62-Input!$H$96)/A21taxstdlife))</f>
        <v>0.54436470114927349</v>
      </c>
      <c r="O334" s="67">
        <f>IF(A21taxstdlife="n/a","n/a",IF(O$3&gt;(A21taxstdlife+$E334),(Input!$H$62-Input!$H$96)-SUM($G334:N334),(Input!$H$62-Input!$H$96)/A21taxstdlife))</f>
        <v>0.54436470114927349</v>
      </c>
      <c r="P334" s="67">
        <f>IF(A21taxstdlife="n/a","n/a",IF(P$3&gt;(A21taxstdlife+$E334),(Input!$H$62-Input!$H$96)-SUM($G334:O334),(Input!$H$62-Input!$H$96)/A21taxstdlife))</f>
        <v>0.54436470114927349</v>
      </c>
      <c r="Q334" s="67"/>
      <c r="R334" s="102"/>
      <c r="S334" s="102"/>
      <c r="T334" s="102"/>
      <c r="U334" s="102"/>
      <c r="V334" s="102"/>
      <c r="W334" s="102"/>
      <c r="X334" s="102"/>
      <c r="Y334" s="102"/>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185"/>
      <c r="BJ334" s="185"/>
      <c r="BK334" s="185"/>
      <c r="BL334" s="185"/>
      <c r="BM334" s="185"/>
      <c r="BN334" s="185"/>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hidden="1" customHeight="1" outlineLevel="2">
      <c r="A335" s="9"/>
      <c r="B335" s="9"/>
      <c r="C335" s="25"/>
      <c r="D335" s="492"/>
      <c r="E335" s="85">
        <v>2</v>
      </c>
      <c r="F335" s="203"/>
      <c r="G335" s="148"/>
      <c r="H335" s="147"/>
      <c r="I335" s="67">
        <f>IF(A21taxstdlife="n/a","n/a",IF(I$3&gt;(A21taxstdlife+$E335),(Input!$I$62-Input!$I$96)-SUM($H335:H335),(Input!$I$62-Input!$I$96)/A21taxstdlife))</f>
        <v>0</v>
      </c>
      <c r="J335" s="67">
        <f>IF(A21taxstdlife="n/a","n/a",IF(J$3&gt;(A21taxstdlife+$E335),(Input!$I$62-Input!$I$96)-SUM($H335:I335),(Input!$I$62-Input!$I$96)/A21taxstdlife))</f>
        <v>0</v>
      </c>
      <c r="K335" s="67">
        <f>IF(A21taxstdlife="n/a","n/a",IF(K$3&gt;(A21taxstdlife+$E335),(Input!$I$62-Input!$I$96)-SUM($H335:J335),(Input!$I$62-Input!$I$96)/A21taxstdlife))</f>
        <v>0</v>
      </c>
      <c r="L335" s="67"/>
      <c r="M335" s="67">
        <f>IF(A21taxstdlife="n/a","n/a",IF(M$3&gt;(A21taxstdlife+$E335),(Input!$I$62-Input!$I$96)-SUM($H335:L335),(Input!$I$62-Input!$I$96)/A21taxstdlife))</f>
        <v>0</v>
      </c>
      <c r="N335" s="67">
        <f>IF(A21taxstdlife="n/a","n/a",IF(N$3&gt;(A21taxstdlife+$E335),(Input!$I$62-Input!$I$96)-SUM($H335:M335),(Input!$I$62-Input!$I$96)/A21taxstdlife))</f>
        <v>0</v>
      </c>
      <c r="O335" s="67">
        <f>IF(A21taxstdlife="n/a","n/a",IF(O$3&gt;(A21taxstdlife+$E335),(Input!$I$62-Input!$I$96)-SUM($H335:N335),(Input!$I$62-Input!$I$96)/A21taxstdlife))</f>
        <v>0</v>
      </c>
      <c r="P335" s="67">
        <f>IF(A21taxstdlife="n/a","n/a",IF(P$3&gt;(A21taxstdlife+$E335),(Input!$I$62-Input!$I$96)-SUM($H335:O335),(Input!$I$62-Input!$I$96)/A21taxstdlife))</f>
        <v>0</v>
      </c>
      <c r="Q335" s="67"/>
      <c r="R335" s="102"/>
      <c r="S335" s="102"/>
      <c r="T335" s="102"/>
      <c r="U335" s="102"/>
      <c r="V335" s="102"/>
      <c r="W335" s="102"/>
      <c r="X335" s="102"/>
      <c r="Y335" s="102"/>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2"/>
      <c r="BJ335" s="185"/>
      <c r="BK335" s="185"/>
      <c r="BL335" s="185"/>
      <c r="BM335" s="185"/>
      <c r="BN335" s="18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hidden="1" customHeight="1" outlineLevel="2">
      <c r="A336" s="9"/>
      <c r="B336" s="9"/>
      <c r="C336" s="25"/>
      <c r="D336" s="492"/>
      <c r="E336" s="85">
        <v>3</v>
      </c>
      <c r="F336" s="203"/>
      <c r="G336" s="148"/>
      <c r="H336" s="148"/>
      <c r="I336" s="147"/>
      <c r="J336" s="67">
        <f>IF(A21taxstdlife="n/a","n/a",IF(J$3&gt;(A21taxstdlife+$E336),(Input!$J$62-Input!$J$96)-SUM($I336:I336),(Input!$J$62-Input!$J$96)/A21taxstdlife))</f>
        <v>0</v>
      </c>
      <c r="K336" s="67">
        <f>IF(A21taxstdlife="n/a","n/a",IF(K$3&gt;(A21taxstdlife+$E336),(Input!$J$62-Input!$J$96)-SUM($I336:J336),(Input!$J$62-Input!$J$96)/A21taxstdlife))</f>
        <v>0</v>
      </c>
      <c r="L336" s="67"/>
      <c r="M336" s="67">
        <f>IF(A21taxstdlife="n/a","n/a",IF(M$3&gt;(A21taxstdlife+$E336),(Input!$J$62-Input!$J$96)-SUM($I336:L336),(Input!$J$62-Input!$J$96)/A21taxstdlife))</f>
        <v>0</v>
      </c>
      <c r="N336" s="67">
        <f>IF(A21taxstdlife="n/a","n/a",IF(N$3&gt;(A21taxstdlife+$E336),(Input!$J$62-Input!$J$96)-SUM($I336:M336),(Input!$J$62-Input!$J$96)/A21taxstdlife))</f>
        <v>0</v>
      </c>
      <c r="O336" s="67">
        <f>IF(A21taxstdlife="n/a","n/a",IF(O$3&gt;(A21taxstdlife+$E336),(Input!$J$62-Input!$J$96)-SUM($I336:N336),(Input!$J$62-Input!$J$96)/A21taxstdlife))</f>
        <v>0</v>
      </c>
      <c r="P336" s="67">
        <f>IF(A21taxstdlife="n/a","n/a",IF(P$3&gt;(A21taxstdlife+$E336),(Input!$J$62-Input!$J$96)-SUM($I336:O336),(Input!$J$62-Input!$J$96)/A21taxstdlife))</f>
        <v>0</v>
      </c>
      <c r="Q336" s="67"/>
      <c r="R336" s="102"/>
      <c r="S336" s="102"/>
      <c r="T336" s="102"/>
      <c r="U336" s="102"/>
      <c r="V336" s="102"/>
      <c r="W336" s="102"/>
      <c r="X336" s="102"/>
      <c r="Y336" s="102"/>
      <c r="Z336" s="211"/>
      <c r="AA336" s="211"/>
      <c r="AB336" s="211"/>
      <c r="AC336" s="211"/>
      <c r="AD336" s="211"/>
      <c r="AE336" s="211"/>
      <c r="AF336" s="211"/>
      <c r="AG336" s="211"/>
      <c r="AH336" s="211"/>
      <c r="AI336" s="211"/>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185"/>
      <c r="BJ336" s="185"/>
      <c r="BK336" s="185"/>
      <c r="BL336" s="185"/>
      <c r="BM336" s="185"/>
      <c r="BN336" s="185"/>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hidden="1" customHeight="1" outlineLevel="2">
      <c r="A337" s="9"/>
      <c r="B337" s="9"/>
      <c r="C337" s="25"/>
      <c r="D337" s="492"/>
      <c r="E337" s="85">
        <v>4</v>
      </c>
      <c r="F337" s="203"/>
      <c r="G337" s="148"/>
      <c r="H337" s="148"/>
      <c r="I337" s="148"/>
      <c r="J337" s="147"/>
      <c r="K337" s="67">
        <f>IF(A21taxstdlife="n/a","n/a",IF(K$3&gt;(A21taxstdlife+$E337),(Input!$K$62-Input!$K$96)-SUM($J337:J337),(Input!$K$62-Input!$K$96)/A21taxstdlife))</f>
        <v>0</v>
      </c>
      <c r="L337" s="67"/>
      <c r="M337" s="67">
        <f>IF(A21taxstdlife="n/a","n/a",IF(M$3&gt;(A21taxstdlife+$E337),(Input!$K$62-Input!$K$96)-SUM($J337:L337),(Input!$K$62-Input!$K$96)/A21taxstdlife))</f>
        <v>0</v>
      </c>
      <c r="N337" s="67">
        <f>IF(A21taxstdlife="n/a","n/a",IF(N$3&gt;(A21taxstdlife+$E337),(Input!$K$62-Input!$K$96)-SUM($J337:M337),(Input!$K$62-Input!$K$96)/A21taxstdlife))</f>
        <v>0</v>
      </c>
      <c r="O337" s="67">
        <f>IF(A21taxstdlife="n/a","n/a",IF(O$3&gt;(A21taxstdlife+$E337),(Input!$K$62-Input!$K$96)-SUM($J337:N337),(Input!$K$62-Input!$K$96)/A21taxstdlife))</f>
        <v>0</v>
      </c>
      <c r="P337" s="67">
        <f>IF(A21taxstdlife="n/a","n/a",IF(P$3&gt;(A21taxstdlife+$E337),(Input!$K$62-Input!$K$96)-SUM($J337:O337),(Input!$K$62-Input!$K$96)/A21taxstdlife))</f>
        <v>0</v>
      </c>
      <c r="Q337" s="67"/>
      <c r="R337" s="102"/>
      <c r="S337" s="102"/>
      <c r="T337" s="102"/>
      <c r="U337" s="102"/>
      <c r="V337" s="102"/>
      <c r="W337" s="102"/>
      <c r="X337" s="102"/>
      <c r="Y337" s="102"/>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185"/>
      <c r="BJ337" s="185"/>
      <c r="BK337" s="185"/>
      <c r="BL337" s="185"/>
      <c r="BM337" s="185"/>
      <c r="BN337" s="185"/>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hidden="1" customHeight="1" outlineLevel="2">
      <c r="A338" s="9"/>
      <c r="B338" s="9"/>
      <c r="C338" s="25"/>
      <c r="D338" s="492"/>
      <c r="E338" s="85">
        <v>5</v>
      </c>
      <c r="F338" s="203"/>
      <c r="G338" s="148"/>
      <c r="H338" s="148"/>
      <c r="I338" s="148"/>
      <c r="J338" s="148"/>
      <c r="K338" s="147"/>
      <c r="L338" s="67"/>
      <c r="M338" s="67">
        <f>IF(A21taxstdlife="n/a","n/a",IF(M$3&gt;(A21taxstdlife+$E338),(Input!$L$62-Input!$L$96)-SUM($K338:L338),(Input!$L$62-Input!$L$96)/A21taxstdlife))</f>
        <v>0</v>
      </c>
      <c r="N338" s="67">
        <f>IF(A21taxstdlife="n/a","n/a",IF(N$3&gt;(A21taxstdlife+$E338),(Input!$L$62-Input!$L$96)-SUM($K338:M338),(Input!$L$62-Input!$L$96)/A21taxstdlife))</f>
        <v>0</v>
      </c>
      <c r="O338" s="67">
        <f>IF(A21taxstdlife="n/a","n/a",IF(O$3&gt;(A21taxstdlife+$E338),(Input!$L$62-Input!$L$96)-SUM($K338:N338),(Input!$L$62-Input!$L$96)/A21taxstdlife))</f>
        <v>0</v>
      </c>
      <c r="P338" s="67">
        <f>IF(A21taxstdlife="n/a","n/a",IF(P$3&gt;(A21taxstdlife+$E338),(Input!$L$62-Input!$L$96)-SUM($K338:O338),(Input!$L$62-Input!$L$96)/A21taxstdlife))</f>
        <v>0</v>
      </c>
      <c r="Q338" s="67"/>
      <c r="R338" s="102"/>
      <c r="S338" s="102"/>
      <c r="T338" s="102"/>
      <c r="U338" s="102"/>
      <c r="V338" s="102"/>
      <c r="W338" s="102"/>
      <c r="X338" s="102"/>
      <c r="Y338" s="102"/>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185"/>
      <c r="BJ338" s="185"/>
      <c r="BK338" s="185"/>
      <c r="BL338" s="185"/>
      <c r="BM338" s="185"/>
      <c r="BN338" s="185"/>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hidden="1" customHeight="1" outlineLevel="2">
      <c r="A339" s="9"/>
      <c r="B339" s="9"/>
      <c r="C339" s="25"/>
      <c r="D339" s="492"/>
      <c r="E339" s="85">
        <v>6</v>
      </c>
      <c r="F339" s="203"/>
      <c r="G339" s="148"/>
      <c r="H339" s="148"/>
      <c r="I339" s="148"/>
      <c r="J339" s="148"/>
      <c r="K339" s="148"/>
      <c r="L339" s="147"/>
      <c r="M339" s="67">
        <f>IF(A21taxstdlife="n/a","n/a",IF(M$3&gt;(A21taxstdlife+$E339),(Input!$M$62-Input!$M$96)-SUM($L339:L339),(Input!$M$62-Input!$M$96)/A21taxstdlife))</f>
        <v>0</v>
      </c>
      <c r="N339" s="67">
        <f>IF(A21taxstdlife="n/a","n/a",IF(N$3&gt;(A21taxstdlife+$E339),(Input!$M$62-Input!$M$96)-SUM($L339:M339),(Input!$M$62-Input!$M$96)/A21taxstdlife))</f>
        <v>0</v>
      </c>
      <c r="O339" s="67">
        <f>IF(A21taxstdlife="n/a","n/a",IF(O$3&gt;(A21taxstdlife+$E339),(Input!$M$62-Input!$M$96)-SUM($L339:N339),(Input!$M$62-Input!$M$96)/A21taxstdlife))</f>
        <v>0</v>
      </c>
      <c r="P339" s="67">
        <f>IF(A21taxstdlife="n/a","n/a",IF(P$3&gt;(A21taxstdlife+$E339),(Input!$M$62-Input!$M$96)-SUM($L339:O339),(Input!$M$62-Input!$M$96)/A21taxstdlife))</f>
        <v>0</v>
      </c>
      <c r="Q339" s="67"/>
      <c r="R339" s="102"/>
      <c r="S339" s="102"/>
      <c r="T339" s="102"/>
      <c r="U339" s="102"/>
      <c r="V339" s="102"/>
      <c r="W339" s="102"/>
      <c r="X339" s="102"/>
      <c r="Y339" s="102"/>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185"/>
      <c r="BJ339" s="185"/>
      <c r="BK339" s="185"/>
      <c r="BL339" s="185"/>
      <c r="BM339" s="185"/>
      <c r="BN339" s="185"/>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hidden="1" customHeight="1" outlineLevel="2">
      <c r="A340" s="9"/>
      <c r="B340" s="9"/>
      <c r="C340" s="25"/>
      <c r="D340" s="492"/>
      <c r="E340" s="85">
        <v>7</v>
      </c>
      <c r="F340" s="203"/>
      <c r="G340" s="148"/>
      <c r="H340" s="148"/>
      <c r="I340" s="148"/>
      <c r="J340" s="148"/>
      <c r="K340" s="148"/>
      <c r="L340" s="148"/>
      <c r="M340" s="147"/>
      <c r="N340" s="67">
        <f>IF(A21taxstdlife="n/a","n/a",IF(N$3&gt;(A21taxstdlife+$E340),(Input!$N$62-Input!$N$96)-SUM($M340:M340),(Input!$N$62-Input!$N$96)/A21taxstdlife))</f>
        <v>0</v>
      </c>
      <c r="O340" s="67">
        <f>IF(A21taxstdlife="n/a","n/a",IF(O$3&gt;(A21taxstdlife+$E340),(Input!$N$62-Input!$N$96)-SUM($M340:N340),(Input!$N$62-Input!$N$96)/A21taxstdlife))</f>
        <v>0</v>
      </c>
      <c r="P340" s="67">
        <f>IF(A21taxstdlife="n/a","n/a",IF(P$3&gt;(A21taxstdlife+$E340),(Input!$N$62-Input!$N$96)-SUM($M340:O340),(Input!$N$62-Input!$N$96)/A21taxstdlife))</f>
        <v>0</v>
      </c>
      <c r="Q340" s="67"/>
      <c r="R340" s="102"/>
      <c r="S340" s="102"/>
      <c r="T340" s="102"/>
      <c r="U340" s="102"/>
      <c r="V340" s="102"/>
      <c r="W340" s="102"/>
      <c r="X340" s="102"/>
      <c r="Y340" s="102"/>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185"/>
      <c r="BJ340" s="185"/>
      <c r="BK340" s="185"/>
      <c r="BL340" s="185"/>
      <c r="BM340" s="185"/>
      <c r="BN340" s="185"/>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hidden="1" customHeight="1" outlineLevel="2">
      <c r="A341" s="9"/>
      <c r="B341" s="9"/>
      <c r="C341" s="25"/>
      <c r="D341" s="492"/>
      <c r="E341" s="85">
        <v>8</v>
      </c>
      <c r="F341" s="203"/>
      <c r="G341" s="148"/>
      <c r="H341" s="148"/>
      <c r="I341" s="148"/>
      <c r="J341" s="148"/>
      <c r="K341" s="148"/>
      <c r="L341" s="148"/>
      <c r="M341" s="148"/>
      <c r="N341" s="147"/>
      <c r="O341" s="67">
        <f>IF(A21taxstdlife="n/a","n/a",IF(O$3&gt;(A21taxstdlife+$E341),(Input!$O$62-Input!$O$96)-SUM($N341:N341),(Input!$O$62-Input!$O$96)/A21taxstdlife))</f>
        <v>0</v>
      </c>
      <c r="P341" s="67">
        <f>IF(A21taxstdlife="n/a","n/a",IF(P$3&gt;(A21taxstdlife+$E341),(Input!$O$62-Input!$O$96)-SUM($N341:O341),(Input!$O$62-Input!$O$96)/A21taxstdlife))</f>
        <v>0</v>
      </c>
      <c r="Q341" s="67"/>
      <c r="R341" s="102"/>
      <c r="S341" s="102"/>
      <c r="T341" s="102"/>
      <c r="U341" s="102"/>
      <c r="V341" s="102"/>
      <c r="W341" s="102"/>
      <c r="X341" s="102"/>
      <c r="Y341" s="102"/>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185"/>
      <c r="BJ341" s="185"/>
      <c r="BK341" s="185"/>
      <c r="BL341" s="185"/>
      <c r="BM341" s="185"/>
      <c r="BN341" s="185"/>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hidden="1" customHeight="1" outlineLevel="2">
      <c r="A342" s="9"/>
      <c r="B342" s="9"/>
      <c r="C342" s="25"/>
      <c r="D342" s="492"/>
      <c r="E342" s="85">
        <v>9</v>
      </c>
      <c r="F342" s="203"/>
      <c r="G342" s="148"/>
      <c r="H342" s="148"/>
      <c r="I342" s="148"/>
      <c r="J342" s="148"/>
      <c r="K342" s="148"/>
      <c r="L342" s="148"/>
      <c r="M342" s="148"/>
      <c r="N342" s="148"/>
      <c r="O342" s="147"/>
      <c r="P342" s="67">
        <f>IF(A21taxstdlife="n/a","n/a",IF(P$3&gt;(A21taxstdlife+$E342),(Input!$P$62-Input!$P$96)-SUM($O342:O342),(Input!$P$62-Input!$P$96)/A21taxstdlife))</f>
        <v>0</v>
      </c>
      <c r="Q342" s="67"/>
      <c r="R342" s="102"/>
      <c r="S342" s="102"/>
      <c r="T342" s="102"/>
      <c r="U342" s="102"/>
      <c r="V342" s="102"/>
      <c r="W342" s="102"/>
      <c r="X342" s="102"/>
      <c r="Y342" s="102"/>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185"/>
      <c r="BJ342" s="185"/>
      <c r="BK342" s="185"/>
      <c r="BL342" s="185"/>
      <c r="BM342" s="185"/>
      <c r="BN342" s="185"/>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hidden="1" customHeight="1" outlineLevel="2">
      <c r="A343" s="9"/>
      <c r="B343" s="9"/>
      <c r="C343" s="25"/>
      <c r="D343" s="492"/>
      <c r="E343" s="86">
        <v>10</v>
      </c>
      <c r="F343" s="203"/>
      <c r="G343" s="148"/>
      <c r="H343" s="148"/>
      <c r="I343" s="148"/>
      <c r="J343" s="148"/>
      <c r="K343" s="148"/>
      <c r="L343" s="148"/>
      <c r="M343" s="148"/>
      <c r="N343" s="148"/>
      <c r="O343" s="187"/>
      <c r="P343" s="147"/>
      <c r="Q343" s="67"/>
      <c r="R343" s="102"/>
      <c r="S343" s="102"/>
      <c r="T343" s="102"/>
      <c r="U343" s="102"/>
      <c r="V343" s="102"/>
      <c r="W343" s="102"/>
      <c r="X343" s="102"/>
      <c r="Y343" s="102"/>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185"/>
      <c r="BJ343" s="185"/>
      <c r="BK343" s="185"/>
      <c r="BL343" s="185"/>
      <c r="BM343" s="185"/>
      <c r="BN343" s="185"/>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hidden="1" customHeight="1" outlineLevel="1">
      <c r="A344" s="9"/>
      <c r="B344" s="9"/>
      <c r="C344" s="25" t="str">
        <f>Asset21</f>
        <v>Equity raising costs</v>
      </c>
      <c r="D344" s="9"/>
      <c r="E344" s="9"/>
      <c r="F344" s="203">
        <f t="shared" ref="F344:K344" si="14">-SUM(F332:F343)</f>
        <v>0</v>
      </c>
      <c r="G344" s="164">
        <f t="shared" si="14"/>
        <v>0</v>
      </c>
      <c r="H344" s="164">
        <f t="shared" si="14"/>
        <v>-0.54436470114927349</v>
      </c>
      <c r="I344" s="164">
        <f t="shared" si="14"/>
        <v>-0.54436470114927349</v>
      </c>
      <c r="J344" s="164">
        <f t="shared" si="14"/>
        <v>-0.54436470114927349</v>
      </c>
      <c r="K344" s="164">
        <f t="shared" si="14"/>
        <v>-0.54436470114927349</v>
      </c>
      <c r="L344" s="164"/>
      <c r="M344" s="164">
        <f>IF(Input!N174&gt;0, -SUM(M332:M343), 0)</f>
        <v>0</v>
      </c>
      <c r="N344" s="164">
        <f>IF(Input!O174&gt;0, -SUM(N332:N343), 0)</f>
        <v>0</v>
      </c>
      <c r="O344" s="164">
        <f>IF(Input!P174&gt;0, -SUM(O332:O343), 0)</f>
        <v>0</v>
      </c>
      <c r="P344" s="164">
        <f>IF(Input!Q174&gt;0, -SUM(P332:P343), 0)</f>
        <v>0</v>
      </c>
      <c r="Q344" s="63"/>
      <c r="R344" s="101"/>
      <c r="S344" s="301"/>
      <c r="T344" s="101"/>
      <c r="U344" s="101"/>
      <c r="V344" s="101"/>
      <c r="W344" s="101"/>
      <c r="X344" s="101"/>
      <c r="Y344" s="101"/>
      <c r="Z344" s="210"/>
      <c r="AA344" s="210"/>
      <c r="AB344" s="210"/>
      <c r="AC344" s="210"/>
      <c r="AD344" s="210"/>
      <c r="AE344" s="210"/>
      <c r="AF344" s="210"/>
      <c r="AG344" s="210"/>
      <c r="AH344" s="210"/>
      <c r="AI344" s="210"/>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185"/>
      <c r="BJ344" s="185"/>
      <c r="BK344" s="185"/>
      <c r="BL344" s="185"/>
      <c r="BM344" s="185"/>
      <c r="BN344" s="185"/>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hidden="1" customHeight="1" outlineLevel="2">
      <c r="A345" s="9"/>
      <c r="B345" s="337"/>
      <c r="C345" s="337"/>
      <c r="D345" s="337"/>
      <c r="E345" s="337"/>
      <c r="F345" s="337"/>
      <c r="G345" s="337"/>
      <c r="H345" s="337"/>
      <c r="I345" s="337"/>
      <c r="J345" s="337"/>
      <c r="K345" s="337"/>
      <c r="L345" s="337"/>
      <c r="M345" s="461"/>
      <c r="N345" s="461"/>
      <c r="O345" s="461"/>
      <c r="P345" s="461"/>
      <c r="Q345" s="461"/>
      <c r="R345" s="102"/>
      <c r="S345" s="301"/>
      <c r="T345" s="102"/>
      <c r="U345" s="102"/>
      <c r="V345" s="102"/>
      <c r="W345" s="102"/>
      <c r="X345" s="102"/>
      <c r="Y345" s="102"/>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185"/>
      <c r="BJ345" s="185"/>
      <c r="BK345" s="185"/>
      <c r="BL345" s="185"/>
      <c r="BM345" s="185"/>
      <c r="BN345" s="18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hidden="1" customHeight="1" outlineLevel="2">
      <c r="A346" s="9"/>
      <c r="B346" s="337"/>
      <c r="C346" s="337"/>
      <c r="D346" s="490"/>
      <c r="E346" s="337"/>
      <c r="F346" s="337"/>
      <c r="G346" s="337"/>
      <c r="H346" s="337"/>
      <c r="I346" s="337"/>
      <c r="J346" s="337"/>
      <c r="K346" s="337"/>
      <c r="L346" s="337"/>
      <c r="M346" s="461"/>
      <c r="N346" s="461"/>
      <c r="O346" s="461"/>
      <c r="P346" s="461"/>
      <c r="Q346" s="461"/>
      <c r="R346" s="102"/>
      <c r="S346" s="102"/>
      <c r="T346" s="102"/>
      <c r="U346" s="102"/>
      <c r="V346" s="102"/>
      <c r="W346" s="102"/>
      <c r="X346" s="102"/>
      <c r="Y346" s="102"/>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185"/>
      <c r="BJ346" s="185"/>
      <c r="BK346" s="185"/>
      <c r="BL346" s="185"/>
      <c r="BM346" s="185"/>
      <c r="BN346" s="185"/>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hidden="1" customHeight="1" outlineLevel="2">
      <c r="A347" s="9"/>
      <c r="B347" s="337"/>
      <c r="C347" s="337"/>
      <c r="D347" s="490"/>
      <c r="E347" s="337"/>
      <c r="F347" s="337"/>
      <c r="G347" s="433"/>
      <c r="H347" s="433"/>
      <c r="I347" s="433"/>
      <c r="J347" s="433"/>
      <c r="K347" s="433"/>
      <c r="L347" s="337"/>
      <c r="M347" s="433"/>
      <c r="N347" s="433"/>
      <c r="O347" s="433"/>
      <c r="P347" s="433"/>
      <c r="Q347" s="461"/>
      <c r="R347" s="102"/>
      <c r="S347" s="102"/>
      <c r="T347" s="102"/>
      <c r="U347" s="102"/>
      <c r="V347" s="102"/>
      <c r="W347" s="102"/>
      <c r="X347" s="102"/>
      <c r="Y347" s="102"/>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185"/>
      <c r="BJ347" s="185"/>
      <c r="BK347" s="185"/>
      <c r="BL347" s="185"/>
      <c r="BM347" s="185"/>
      <c r="BN347" s="185"/>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hidden="1" customHeight="1" outlineLevel="2">
      <c r="A348" s="9"/>
      <c r="B348" s="337"/>
      <c r="C348" s="337"/>
      <c r="D348" s="490"/>
      <c r="E348" s="337"/>
      <c r="F348" s="337"/>
      <c r="G348" s="337"/>
      <c r="H348" s="337"/>
      <c r="I348" s="337"/>
      <c r="J348" s="337"/>
      <c r="K348" s="337"/>
      <c r="L348" s="337"/>
      <c r="M348" s="461"/>
      <c r="N348" s="461"/>
      <c r="O348" s="461"/>
      <c r="P348" s="461"/>
      <c r="Q348" s="461"/>
      <c r="R348" s="102"/>
      <c r="S348" s="102"/>
      <c r="T348" s="102"/>
      <c r="U348" s="102"/>
      <c r="V348" s="102"/>
      <c r="W348" s="102"/>
      <c r="X348" s="102"/>
      <c r="Y348" s="102"/>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185"/>
      <c r="BJ348" s="185"/>
      <c r="BK348" s="185"/>
      <c r="BL348" s="185"/>
      <c r="BM348" s="185"/>
      <c r="BN348" s="185"/>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hidden="1" customHeight="1" outlineLevel="2">
      <c r="A349" s="9"/>
      <c r="B349" s="337"/>
      <c r="C349" s="337"/>
      <c r="D349" s="490"/>
      <c r="E349" s="337"/>
      <c r="F349" s="337"/>
      <c r="G349" s="337"/>
      <c r="H349" s="337"/>
      <c r="I349" s="337"/>
      <c r="J349" s="337"/>
      <c r="K349" s="337"/>
      <c r="L349" s="337"/>
      <c r="M349" s="461"/>
      <c r="N349" s="461"/>
      <c r="O349" s="461"/>
      <c r="P349" s="461"/>
      <c r="Q349" s="461"/>
      <c r="R349" s="102"/>
      <c r="S349" s="102"/>
      <c r="T349" s="102"/>
      <c r="U349" s="102"/>
      <c r="V349" s="102"/>
      <c r="W349" s="102"/>
      <c r="X349" s="102"/>
      <c r="Y349" s="102"/>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2"/>
      <c r="BJ349" s="185"/>
      <c r="BK349" s="185"/>
      <c r="BL349" s="185"/>
      <c r="BM349" s="185"/>
      <c r="BN349" s="185"/>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hidden="1" customHeight="1" outlineLevel="2">
      <c r="A350" s="9"/>
      <c r="B350" s="337"/>
      <c r="C350" s="337"/>
      <c r="D350" s="490"/>
      <c r="E350" s="337"/>
      <c r="F350" s="337"/>
      <c r="G350" s="337"/>
      <c r="H350" s="337"/>
      <c r="I350" s="337"/>
      <c r="J350" s="337"/>
      <c r="K350" s="337"/>
      <c r="L350" s="337"/>
      <c r="M350" s="461"/>
      <c r="N350" s="461"/>
      <c r="O350" s="461"/>
      <c r="P350" s="461"/>
      <c r="Q350" s="461"/>
      <c r="R350" s="102"/>
      <c r="S350" s="102"/>
      <c r="T350" s="102"/>
      <c r="U350" s="102"/>
      <c r="V350" s="102"/>
      <c r="W350" s="102"/>
      <c r="X350" s="102"/>
      <c r="Y350" s="102"/>
      <c r="Z350" s="211"/>
      <c r="AA350" s="211"/>
      <c r="AB350" s="211"/>
      <c r="AC350" s="211"/>
      <c r="AD350" s="211"/>
      <c r="AE350" s="211"/>
      <c r="AF350" s="211"/>
      <c r="AG350" s="211"/>
      <c r="AH350" s="211"/>
      <c r="AI350" s="211"/>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185"/>
      <c r="BJ350" s="185"/>
      <c r="BK350" s="185"/>
      <c r="BL350" s="185"/>
      <c r="BM350" s="185"/>
      <c r="BN350" s="185"/>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hidden="1" customHeight="1" outlineLevel="2">
      <c r="A351" s="9"/>
      <c r="B351" s="337"/>
      <c r="C351" s="337"/>
      <c r="D351" s="490"/>
      <c r="E351" s="337"/>
      <c r="F351" s="337"/>
      <c r="G351" s="337"/>
      <c r="H351" s="337"/>
      <c r="I351" s="337"/>
      <c r="J351" s="337"/>
      <c r="K351" s="337"/>
      <c r="L351" s="337"/>
      <c r="M351" s="461"/>
      <c r="N351" s="461"/>
      <c r="O351" s="461"/>
      <c r="P351" s="461"/>
      <c r="Q351" s="461"/>
      <c r="R351" s="102"/>
      <c r="S351" s="102"/>
      <c r="T351" s="102"/>
      <c r="U351" s="102"/>
      <c r="V351" s="102"/>
      <c r="W351" s="102"/>
      <c r="X351" s="102"/>
      <c r="Y351" s="102"/>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185"/>
      <c r="BJ351" s="185"/>
      <c r="BK351" s="185"/>
      <c r="BL351" s="185"/>
      <c r="BM351" s="185"/>
      <c r="BN351" s="185"/>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hidden="1" customHeight="1" outlineLevel="2">
      <c r="A352" s="9"/>
      <c r="B352" s="337"/>
      <c r="C352" s="337"/>
      <c r="D352" s="490"/>
      <c r="E352" s="337"/>
      <c r="F352" s="337"/>
      <c r="G352" s="337"/>
      <c r="H352" s="337"/>
      <c r="I352" s="337"/>
      <c r="J352" s="337"/>
      <c r="K352" s="337"/>
      <c r="L352" s="337"/>
      <c r="M352" s="461"/>
      <c r="N352" s="461"/>
      <c r="O352" s="461"/>
      <c r="P352" s="461"/>
      <c r="Q352" s="461"/>
      <c r="R352" s="102"/>
      <c r="S352" s="102"/>
      <c r="T352" s="102"/>
      <c r="U352" s="102"/>
      <c r="V352" s="102"/>
      <c r="W352" s="102"/>
      <c r="X352" s="102"/>
      <c r="Y352" s="102"/>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185"/>
      <c r="BJ352" s="185"/>
      <c r="BK352" s="185"/>
      <c r="BL352" s="185"/>
      <c r="BM352" s="185"/>
      <c r="BN352" s="185"/>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hidden="1" customHeight="1" outlineLevel="2">
      <c r="A353" s="9"/>
      <c r="B353" s="337"/>
      <c r="C353" s="337"/>
      <c r="D353" s="490"/>
      <c r="E353" s="337"/>
      <c r="F353" s="337"/>
      <c r="G353" s="337"/>
      <c r="H353" s="337"/>
      <c r="I353" s="337"/>
      <c r="J353" s="337"/>
      <c r="K353" s="337"/>
      <c r="L353" s="337"/>
      <c r="M353" s="461"/>
      <c r="N353" s="461"/>
      <c r="O353" s="461"/>
      <c r="P353" s="461"/>
      <c r="Q353" s="461"/>
      <c r="R353" s="102"/>
      <c r="S353" s="102"/>
      <c r="T353" s="102"/>
      <c r="U353" s="102"/>
      <c r="V353" s="102"/>
      <c r="W353" s="102"/>
      <c r="X353" s="102"/>
      <c r="Y353" s="102"/>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185"/>
      <c r="BJ353" s="185"/>
      <c r="BK353" s="185"/>
      <c r="BL353" s="185"/>
      <c r="BM353" s="185"/>
      <c r="BN353" s="185"/>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hidden="1" customHeight="1" outlineLevel="2">
      <c r="A354" s="9"/>
      <c r="B354" s="337"/>
      <c r="C354" s="337"/>
      <c r="D354" s="490"/>
      <c r="E354" s="337"/>
      <c r="F354" s="337"/>
      <c r="G354" s="337"/>
      <c r="H354" s="337"/>
      <c r="I354" s="337"/>
      <c r="J354" s="337"/>
      <c r="K354" s="337"/>
      <c r="L354" s="337"/>
      <c r="M354" s="461"/>
      <c r="N354" s="461"/>
      <c r="O354" s="461"/>
      <c r="P354" s="461"/>
      <c r="Q354" s="461"/>
      <c r="R354" s="102"/>
      <c r="S354" s="102"/>
      <c r="T354" s="102"/>
      <c r="U354" s="102"/>
      <c r="V354" s="102"/>
      <c r="W354" s="102"/>
      <c r="X354" s="102"/>
      <c r="Y354" s="102"/>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185"/>
      <c r="BJ354" s="185"/>
      <c r="BK354" s="185"/>
      <c r="BL354" s="185"/>
      <c r="BM354" s="185"/>
      <c r="BN354" s="185"/>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hidden="1" customHeight="1" outlineLevel="2">
      <c r="A355" s="9"/>
      <c r="B355" s="337"/>
      <c r="C355" s="337"/>
      <c r="D355" s="490"/>
      <c r="E355" s="337"/>
      <c r="F355" s="337"/>
      <c r="G355" s="337"/>
      <c r="H355" s="337"/>
      <c r="I355" s="337"/>
      <c r="J355" s="337"/>
      <c r="K355" s="337"/>
      <c r="L355" s="337"/>
      <c r="M355" s="461"/>
      <c r="N355" s="461"/>
      <c r="O355" s="461"/>
      <c r="P355" s="461"/>
      <c r="Q355" s="461"/>
      <c r="R355" s="102"/>
      <c r="S355" s="102"/>
      <c r="T355" s="102"/>
      <c r="U355" s="102"/>
      <c r="V355" s="102"/>
      <c r="W355" s="102"/>
      <c r="X355" s="102"/>
      <c r="Y355" s="102"/>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185"/>
      <c r="BJ355" s="185"/>
      <c r="BK355" s="185"/>
      <c r="BL355" s="185"/>
      <c r="BM355" s="185"/>
      <c r="BN355" s="18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hidden="1" customHeight="1" outlineLevel="2">
      <c r="A356" s="9"/>
      <c r="B356" s="337"/>
      <c r="C356" s="337"/>
      <c r="D356" s="490"/>
      <c r="E356" s="337"/>
      <c r="F356" s="337"/>
      <c r="G356" s="337"/>
      <c r="H356" s="337"/>
      <c r="I356" s="337"/>
      <c r="J356" s="337"/>
      <c r="K356" s="337"/>
      <c r="L356" s="337"/>
      <c r="M356" s="461"/>
      <c r="N356" s="461"/>
      <c r="O356" s="461"/>
      <c r="P356" s="461"/>
      <c r="Q356" s="461"/>
      <c r="R356" s="102"/>
      <c r="S356" s="102"/>
      <c r="T356" s="102"/>
      <c r="U356" s="102"/>
      <c r="V356" s="102"/>
      <c r="W356" s="102"/>
      <c r="X356" s="102"/>
      <c r="Y356" s="102"/>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185"/>
      <c r="BJ356" s="185"/>
      <c r="BK356" s="185"/>
      <c r="BL356" s="185"/>
      <c r="BM356" s="185"/>
      <c r="BN356" s="185"/>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hidden="1" customHeight="1" outlineLevel="2">
      <c r="A357" s="9"/>
      <c r="B357" s="337"/>
      <c r="C357" s="337"/>
      <c r="D357" s="490"/>
      <c r="E357" s="337"/>
      <c r="F357" s="337"/>
      <c r="G357" s="337"/>
      <c r="H357" s="337"/>
      <c r="I357" s="337"/>
      <c r="J357" s="337"/>
      <c r="K357" s="337"/>
      <c r="L357" s="337"/>
      <c r="M357" s="461"/>
      <c r="N357" s="461"/>
      <c r="O357" s="461"/>
      <c r="P357" s="461"/>
      <c r="Q357" s="461"/>
      <c r="R357" s="102"/>
      <c r="S357" s="101"/>
      <c r="T357" s="102"/>
      <c r="U357" s="102"/>
      <c r="V357" s="102"/>
      <c r="W357" s="102"/>
      <c r="X357" s="102"/>
      <c r="Y357" s="102"/>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185"/>
      <c r="BJ357" s="185"/>
      <c r="BK357" s="185"/>
      <c r="BL357" s="185"/>
      <c r="BM357" s="185"/>
      <c r="BN357" s="185"/>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hidden="1" customHeight="1" outlineLevel="1">
      <c r="A358" s="9"/>
      <c r="B358" s="337"/>
      <c r="C358" s="337"/>
      <c r="D358" s="337"/>
      <c r="E358" s="337"/>
      <c r="F358" s="337"/>
      <c r="G358" s="337"/>
      <c r="H358" s="337"/>
      <c r="I358" s="337"/>
      <c r="J358" s="337"/>
      <c r="K358" s="337"/>
      <c r="L358" s="337"/>
      <c r="M358" s="461"/>
      <c r="N358" s="461"/>
      <c r="O358" s="461"/>
      <c r="P358" s="461"/>
      <c r="Q358" s="461"/>
      <c r="R358" s="101"/>
      <c r="S358" s="337"/>
      <c r="T358" s="101"/>
      <c r="U358" s="101"/>
      <c r="V358" s="101"/>
      <c r="W358" s="101"/>
      <c r="X358" s="101"/>
      <c r="Y358" s="101"/>
      <c r="Z358" s="210"/>
      <c r="AA358" s="210"/>
      <c r="AB358" s="210"/>
      <c r="AC358" s="210"/>
      <c r="AD358" s="210"/>
      <c r="AE358" s="210"/>
      <c r="AF358" s="210"/>
      <c r="AG358" s="210"/>
      <c r="AH358" s="210"/>
      <c r="AI358" s="210"/>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185"/>
      <c r="BJ358" s="185"/>
      <c r="BK358" s="185"/>
      <c r="BL358" s="185"/>
      <c r="BM358" s="185"/>
      <c r="BN358" s="185"/>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hidden="1" customHeight="1" outlineLevel="2">
      <c r="A359" s="9"/>
      <c r="B359" s="337"/>
      <c r="C359" s="337"/>
      <c r="D359" s="337"/>
      <c r="E359" s="337"/>
      <c r="F359" s="337"/>
      <c r="G359" s="337"/>
      <c r="H359" s="337"/>
      <c r="I359" s="337"/>
      <c r="J359" s="337"/>
      <c r="K359" s="337"/>
      <c r="L359" s="337"/>
      <c r="M359" s="461"/>
      <c r="N359" s="461"/>
      <c r="O359" s="461"/>
      <c r="P359" s="461"/>
      <c r="Q359" s="461"/>
      <c r="R359" s="102"/>
      <c r="S359" s="301"/>
      <c r="T359" s="102"/>
      <c r="U359" s="102"/>
      <c r="V359" s="102"/>
      <c r="W359" s="102"/>
      <c r="X359" s="102"/>
      <c r="Y359" s="102"/>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185"/>
      <c r="BJ359" s="185"/>
      <c r="BK359" s="185"/>
      <c r="BL359" s="185"/>
      <c r="BM359" s="185"/>
      <c r="BN359" s="185"/>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hidden="1" customHeight="1" outlineLevel="2">
      <c r="A360" s="9"/>
      <c r="B360" s="337"/>
      <c r="C360" s="337"/>
      <c r="D360" s="490"/>
      <c r="E360" s="337"/>
      <c r="F360" s="337"/>
      <c r="G360" s="337"/>
      <c r="H360" s="337"/>
      <c r="I360" s="337"/>
      <c r="J360" s="337"/>
      <c r="K360" s="337"/>
      <c r="L360" s="337"/>
      <c r="M360" s="461"/>
      <c r="N360" s="461"/>
      <c r="O360" s="461"/>
      <c r="P360" s="461"/>
      <c r="Q360" s="461"/>
      <c r="R360" s="102"/>
      <c r="S360" s="102"/>
      <c r="T360" s="102"/>
      <c r="U360" s="102"/>
      <c r="V360" s="102"/>
      <c r="W360" s="102"/>
      <c r="X360" s="102"/>
      <c r="Y360" s="102"/>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185"/>
      <c r="BJ360" s="185"/>
      <c r="BK360" s="185"/>
      <c r="BL360" s="185"/>
      <c r="BM360" s="185"/>
      <c r="BN360" s="185"/>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hidden="1" customHeight="1" outlineLevel="2">
      <c r="A361" s="9"/>
      <c r="B361" s="337"/>
      <c r="C361" s="337"/>
      <c r="D361" s="490"/>
      <c r="E361" s="337"/>
      <c r="F361" s="337"/>
      <c r="G361" s="337"/>
      <c r="H361" s="337"/>
      <c r="I361" s="337"/>
      <c r="J361" s="337"/>
      <c r="K361" s="337"/>
      <c r="L361" s="337"/>
      <c r="M361" s="461"/>
      <c r="N361" s="461"/>
      <c r="O361" s="461"/>
      <c r="P361" s="461"/>
      <c r="Q361" s="461"/>
      <c r="R361" s="102"/>
      <c r="S361" s="102"/>
      <c r="T361" s="102"/>
      <c r="U361" s="102"/>
      <c r="V361" s="102"/>
      <c r="W361" s="102"/>
      <c r="X361" s="102"/>
      <c r="Y361" s="102"/>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185"/>
      <c r="BJ361" s="185"/>
      <c r="BK361" s="185"/>
      <c r="BL361" s="185"/>
      <c r="BM361" s="185"/>
      <c r="BN361" s="185"/>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hidden="1" customHeight="1" outlineLevel="2">
      <c r="A362" s="9"/>
      <c r="B362" s="337"/>
      <c r="C362" s="337"/>
      <c r="D362" s="490"/>
      <c r="E362" s="337"/>
      <c r="F362" s="337"/>
      <c r="G362" s="337"/>
      <c r="H362" s="337"/>
      <c r="I362" s="337"/>
      <c r="J362" s="337"/>
      <c r="K362" s="337"/>
      <c r="L362" s="337"/>
      <c r="M362" s="461"/>
      <c r="N362" s="461"/>
      <c r="O362" s="461"/>
      <c r="P362" s="461"/>
      <c r="Q362" s="461"/>
      <c r="R362" s="102"/>
      <c r="S362" s="102"/>
      <c r="T362" s="102"/>
      <c r="U362" s="102"/>
      <c r="V362" s="102"/>
      <c r="W362" s="102"/>
      <c r="X362" s="102"/>
      <c r="Y362" s="102"/>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185"/>
      <c r="BJ362" s="185"/>
      <c r="BK362" s="185"/>
      <c r="BL362" s="185"/>
      <c r="BM362" s="185"/>
      <c r="BN362" s="185"/>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hidden="1" customHeight="1" outlineLevel="2">
      <c r="A363" s="9"/>
      <c r="B363" s="337"/>
      <c r="C363" s="337"/>
      <c r="D363" s="490"/>
      <c r="E363" s="337"/>
      <c r="F363" s="337"/>
      <c r="G363" s="337"/>
      <c r="H363" s="337"/>
      <c r="I363" s="337"/>
      <c r="J363" s="337"/>
      <c r="K363" s="337"/>
      <c r="L363" s="337"/>
      <c r="M363" s="461"/>
      <c r="N363" s="461"/>
      <c r="O363" s="461"/>
      <c r="P363" s="461"/>
      <c r="Q363" s="461"/>
      <c r="R363" s="102"/>
      <c r="S363" s="102"/>
      <c r="T363" s="102"/>
      <c r="U363" s="102"/>
      <c r="V363" s="102"/>
      <c r="W363" s="102"/>
      <c r="X363" s="102"/>
      <c r="Y363" s="102"/>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2"/>
      <c r="BJ363" s="185"/>
      <c r="BK363" s="185"/>
      <c r="BL363" s="185"/>
      <c r="BM363" s="185"/>
      <c r="BN363" s="185"/>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hidden="1" customHeight="1" outlineLevel="2">
      <c r="A364" s="9"/>
      <c r="B364" s="337"/>
      <c r="C364" s="337"/>
      <c r="D364" s="490"/>
      <c r="E364" s="337"/>
      <c r="F364" s="337"/>
      <c r="G364" s="337"/>
      <c r="H364" s="337"/>
      <c r="I364" s="337"/>
      <c r="J364" s="337"/>
      <c r="K364" s="337"/>
      <c r="L364" s="337"/>
      <c r="M364" s="461"/>
      <c r="N364" s="461"/>
      <c r="O364" s="461"/>
      <c r="P364" s="461"/>
      <c r="Q364" s="461"/>
      <c r="R364" s="102"/>
      <c r="S364" s="102"/>
      <c r="T364" s="102"/>
      <c r="U364" s="102"/>
      <c r="V364" s="102"/>
      <c r="W364" s="102"/>
      <c r="X364" s="102"/>
      <c r="Y364" s="102"/>
      <c r="Z364" s="211"/>
      <c r="AA364" s="211"/>
      <c r="AB364" s="211"/>
      <c r="AC364" s="211"/>
      <c r="AD364" s="211"/>
      <c r="AE364" s="211"/>
      <c r="AF364" s="211"/>
      <c r="AG364" s="211"/>
      <c r="AH364" s="211"/>
      <c r="AI364" s="211"/>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185"/>
      <c r="BJ364" s="185"/>
      <c r="BK364" s="185"/>
      <c r="BL364" s="185"/>
      <c r="BM364" s="185"/>
      <c r="BN364" s="185"/>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hidden="1" customHeight="1" outlineLevel="2">
      <c r="A365" s="9"/>
      <c r="B365" s="337"/>
      <c r="C365" s="337"/>
      <c r="D365" s="490"/>
      <c r="E365" s="337"/>
      <c r="F365" s="337"/>
      <c r="G365" s="337"/>
      <c r="H365" s="337"/>
      <c r="I365" s="337"/>
      <c r="J365" s="337"/>
      <c r="K365" s="337"/>
      <c r="L365" s="337"/>
      <c r="M365" s="461"/>
      <c r="N365" s="461"/>
      <c r="O365" s="461"/>
      <c r="P365" s="461"/>
      <c r="Q365" s="461"/>
      <c r="R365" s="102"/>
      <c r="S365" s="102"/>
      <c r="T365" s="102"/>
      <c r="U365" s="102"/>
      <c r="V365" s="102"/>
      <c r="W365" s="102"/>
      <c r="X365" s="102"/>
      <c r="Y365" s="102"/>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185"/>
      <c r="BJ365" s="185"/>
      <c r="BK365" s="185"/>
      <c r="BL365" s="185"/>
      <c r="BM365" s="185"/>
      <c r="BN365" s="18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hidden="1" customHeight="1" outlineLevel="2">
      <c r="A366" s="9"/>
      <c r="B366" s="337"/>
      <c r="C366" s="337"/>
      <c r="D366" s="490"/>
      <c r="E366" s="337"/>
      <c r="F366" s="337"/>
      <c r="G366" s="337"/>
      <c r="H366" s="337"/>
      <c r="I366" s="337"/>
      <c r="J366" s="337"/>
      <c r="K366" s="337"/>
      <c r="L366" s="337"/>
      <c r="M366" s="461"/>
      <c r="N366" s="461"/>
      <c r="O366" s="461"/>
      <c r="P366" s="461"/>
      <c r="Q366" s="461"/>
      <c r="R366" s="102"/>
      <c r="S366" s="102"/>
      <c r="T366" s="102"/>
      <c r="U366" s="102"/>
      <c r="V366" s="102"/>
      <c r="W366" s="102"/>
      <c r="X366" s="102"/>
      <c r="Y366" s="102"/>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185"/>
      <c r="BJ366" s="185"/>
      <c r="BK366" s="185"/>
      <c r="BL366" s="185"/>
      <c r="BM366" s="185"/>
      <c r="BN366" s="185"/>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hidden="1" customHeight="1" outlineLevel="2">
      <c r="A367" s="9"/>
      <c r="B367" s="337"/>
      <c r="C367" s="337"/>
      <c r="D367" s="490"/>
      <c r="E367" s="337"/>
      <c r="F367" s="337"/>
      <c r="G367" s="337"/>
      <c r="H367" s="337"/>
      <c r="I367" s="337"/>
      <c r="J367" s="337"/>
      <c r="K367" s="337"/>
      <c r="L367" s="337"/>
      <c r="M367" s="461"/>
      <c r="N367" s="461"/>
      <c r="O367" s="461"/>
      <c r="P367" s="461"/>
      <c r="Q367" s="461"/>
      <c r="R367" s="102"/>
      <c r="S367" s="102"/>
      <c r="T367" s="102"/>
      <c r="U367" s="102"/>
      <c r="V367" s="102"/>
      <c r="W367" s="102"/>
      <c r="X367" s="102"/>
      <c r="Y367" s="102"/>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185"/>
      <c r="BJ367" s="185"/>
      <c r="BK367" s="185"/>
      <c r="BL367" s="185"/>
      <c r="BM367" s="185"/>
      <c r="BN367" s="185"/>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hidden="1" customHeight="1" outlineLevel="2">
      <c r="A368" s="9"/>
      <c r="B368" s="337"/>
      <c r="C368" s="337"/>
      <c r="D368" s="490"/>
      <c r="E368" s="337"/>
      <c r="F368" s="337"/>
      <c r="G368" s="337"/>
      <c r="H368" s="337"/>
      <c r="I368" s="337"/>
      <c r="J368" s="337"/>
      <c r="K368" s="337"/>
      <c r="L368" s="337"/>
      <c r="M368" s="461"/>
      <c r="N368" s="461"/>
      <c r="O368" s="461"/>
      <c r="P368" s="461"/>
      <c r="Q368" s="461"/>
      <c r="R368" s="102"/>
      <c r="S368" s="102"/>
      <c r="T368" s="102"/>
      <c r="U368" s="102"/>
      <c r="V368" s="102"/>
      <c r="W368" s="102"/>
      <c r="X368" s="102"/>
      <c r="Y368" s="102"/>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185"/>
      <c r="BJ368" s="185"/>
      <c r="BK368" s="185"/>
      <c r="BL368" s="185"/>
      <c r="BM368" s="185"/>
      <c r="BN368" s="185"/>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hidden="1" customHeight="1" outlineLevel="2">
      <c r="A369" s="9"/>
      <c r="B369" s="337"/>
      <c r="C369" s="337"/>
      <c r="D369" s="490"/>
      <c r="E369" s="337"/>
      <c r="F369" s="337"/>
      <c r="G369" s="337"/>
      <c r="H369" s="337"/>
      <c r="I369" s="337"/>
      <c r="J369" s="337"/>
      <c r="K369" s="337"/>
      <c r="L369" s="337"/>
      <c r="M369" s="461"/>
      <c r="N369" s="461"/>
      <c r="O369" s="461"/>
      <c r="P369" s="461"/>
      <c r="Q369" s="461"/>
      <c r="R369" s="102"/>
      <c r="S369" s="102"/>
      <c r="T369" s="102"/>
      <c r="U369" s="102"/>
      <c r="V369" s="102"/>
      <c r="W369" s="102"/>
      <c r="X369" s="102"/>
      <c r="Y369" s="102"/>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185"/>
      <c r="BJ369" s="185"/>
      <c r="BK369" s="185"/>
      <c r="BL369" s="185"/>
      <c r="BM369" s="185"/>
      <c r="BN369" s="185"/>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hidden="1" customHeight="1" outlineLevel="2">
      <c r="A370" s="9"/>
      <c r="B370" s="337"/>
      <c r="C370" s="337"/>
      <c r="D370" s="490"/>
      <c r="E370" s="337"/>
      <c r="F370" s="337"/>
      <c r="G370" s="337"/>
      <c r="H370" s="337"/>
      <c r="I370" s="337"/>
      <c r="J370" s="337"/>
      <c r="K370" s="337"/>
      <c r="L370" s="337"/>
      <c r="M370" s="461"/>
      <c r="N370" s="461"/>
      <c r="O370" s="461"/>
      <c r="P370" s="461"/>
      <c r="Q370" s="461"/>
      <c r="R370" s="102"/>
      <c r="S370" s="301"/>
      <c r="T370" s="102"/>
      <c r="U370" s="102"/>
      <c r="V370" s="102"/>
      <c r="W370" s="102"/>
      <c r="X370" s="102"/>
      <c r="Y370" s="102"/>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185"/>
      <c r="BJ370" s="185"/>
      <c r="BK370" s="185"/>
      <c r="BL370" s="185"/>
      <c r="BM370" s="185"/>
      <c r="BN370" s="185"/>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hidden="1" customHeight="1" outlineLevel="2">
      <c r="A371" s="9"/>
      <c r="B371" s="337"/>
      <c r="C371" s="337"/>
      <c r="D371" s="490"/>
      <c r="E371" s="337"/>
      <c r="F371" s="337"/>
      <c r="G371" s="337"/>
      <c r="H371" s="337"/>
      <c r="I371" s="337"/>
      <c r="J371" s="337"/>
      <c r="K371" s="337"/>
      <c r="L371" s="337"/>
      <c r="M371" s="461"/>
      <c r="N371" s="461"/>
      <c r="O371" s="461"/>
      <c r="P371" s="461"/>
      <c r="Q371" s="461"/>
      <c r="R371" s="102"/>
      <c r="S371" s="301"/>
      <c r="T371" s="102"/>
      <c r="U371" s="102"/>
      <c r="V371" s="102"/>
      <c r="W371" s="102"/>
      <c r="X371" s="102"/>
      <c r="Y371" s="102"/>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185"/>
      <c r="BJ371" s="185"/>
      <c r="BK371" s="185"/>
      <c r="BL371" s="185"/>
      <c r="BM371" s="185"/>
      <c r="BN371" s="185"/>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hidden="1" customHeight="1" outlineLevel="1">
      <c r="A372" s="9"/>
      <c r="B372" s="337"/>
      <c r="C372" s="337"/>
      <c r="D372" s="337"/>
      <c r="E372" s="337"/>
      <c r="F372" s="337"/>
      <c r="G372" s="337"/>
      <c r="H372" s="337"/>
      <c r="I372" s="337"/>
      <c r="J372" s="337"/>
      <c r="K372" s="337"/>
      <c r="L372" s="337"/>
      <c r="M372" s="461"/>
      <c r="N372" s="461"/>
      <c r="O372" s="461"/>
      <c r="P372" s="461"/>
      <c r="Q372" s="461"/>
      <c r="R372" s="101"/>
      <c r="S372" s="101"/>
      <c r="T372" s="101"/>
      <c r="U372" s="101"/>
      <c r="V372" s="101"/>
      <c r="W372" s="101"/>
      <c r="X372" s="101"/>
      <c r="Y372" s="101"/>
      <c r="Z372" s="210"/>
      <c r="AA372" s="210"/>
      <c r="AB372" s="210"/>
      <c r="AC372" s="210"/>
      <c r="AD372" s="210"/>
      <c r="AE372" s="210"/>
      <c r="AF372" s="210"/>
      <c r="AG372" s="210"/>
      <c r="AH372" s="210"/>
      <c r="AI372" s="210"/>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185"/>
      <c r="BJ372" s="185"/>
      <c r="BK372" s="185"/>
      <c r="BL372" s="185"/>
      <c r="BM372" s="185"/>
      <c r="BN372" s="185"/>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hidden="1" customHeight="1" outlineLevel="2">
      <c r="A373" s="9"/>
      <c r="B373" s="337"/>
      <c r="C373" s="337"/>
      <c r="D373" s="337"/>
      <c r="E373" s="337"/>
      <c r="F373" s="337"/>
      <c r="G373" s="337"/>
      <c r="H373" s="337"/>
      <c r="I373" s="337"/>
      <c r="J373" s="337"/>
      <c r="K373" s="337"/>
      <c r="L373" s="337"/>
      <c r="M373" s="461"/>
      <c r="N373" s="461"/>
      <c r="O373" s="461"/>
      <c r="P373" s="461"/>
      <c r="Q373" s="461"/>
      <c r="R373" s="102"/>
      <c r="S373" s="102"/>
      <c r="T373" s="102"/>
      <c r="U373" s="102"/>
      <c r="V373" s="102"/>
      <c r="W373" s="102"/>
      <c r="X373" s="102"/>
      <c r="Y373" s="102"/>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185"/>
      <c r="BJ373" s="185"/>
      <c r="BK373" s="185"/>
      <c r="BL373" s="185"/>
      <c r="BM373" s="185"/>
      <c r="BN373" s="185"/>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hidden="1" customHeight="1" outlineLevel="2">
      <c r="A374" s="9"/>
      <c r="B374" s="337"/>
      <c r="C374" s="337"/>
      <c r="D374" s="490"/>
      <c r="E374" s="337"/>
      <c r="F374" s="337"/>
      <c r="G374" s="337"/>
      <c r="H374" s="337"/>
      <c r="I374" s="337"/>
      <c r="J374" s="337"/>
      <c r="K374" s="337"/>
      <c r="L374" s="337"/>
      <c r="M374" s="461"/>
      <c r="N374" s="461"/>
      <c r="O374" s="461"/>
      <c r="P374" s="461"/>
      <c r="Q374" s="461"/>
      <c r="R374" s="102"/>
      <c r="S374" s="102"/>
      <c r="T374" s="102"/>
      <c r="U374" s="102"/>
      <c r="V374" s="102"/>
      <c r="W374" s="102"/>
      <c r="X374" s="102"/>
      <c r="Y374" s="102"/>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185"/>
      <c r="BJ374" s="185"/>
      <c r="BK374" s="185"/>
      <c r="BL374" s="185"/>
      <c r="BM374" s="185"/>
      <c r="BN374" s="185"/>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hidden="1" customHeight="1" outlineLevel="2">
      <c r="A375" s="9"/>
      <c r="B375" s="337"/>
      <c r="C375" s="337"/>
      <c r="D375" s="490"/>
      <c r="E375" s="337"/>
      <c r="F375" s="337"/>
      <c r="G375" s="337"/>
      <c r="H375" s="337"/>
      <c r="I375" s="337"/>
      <c r="J375" s="337"/>
      <c r="K375" s="337"/>
      <c r="L375" s="337"/>
      <c r="M375" s="461"/>
      <c r="N375" s="461"/>
      <c r="O375" s="461"/>
      <c r="P375" s="461"/>
      <c r="Q375" s="461"/>
      <c r="R375" s="102"/>
      <c r="S375" s="102"/>
      <c r="T375" s="102"/>
      <c r="U375" s="102"/>
      <c r="V375" s="102"/>
      <c r="W375" s="102"/>
      <c r="X375" s="102"/>
      <c r="Y375" s="102"/>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185"/>
      <c r="BJ375" s="185"/>
      <c r="BK375" s="185"/>
      <c r="BL375" s="185"/>
      <c r="BM375" s="185"/>
      <c r="BN375" s="18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hidden="1" customHeight="1" outlineLevel="2">
      <c r="A376" s="9"/>
      <c r="B376" s="337"/>
      <c r="C376" s="337"/>
      <c r="D376" s="490"/>
      <c r="E376" s="337"/>
      <c r="F376" s="337"/>
      <c r="G376" s="337"/>
      <c r="H376" s="337"/>
      <c r="I376" s="337"/>
      <c r="J376" s="337"/>
      <c r="K376" s="337"/>
      <c r="L376" s="337"/>
      <c r="M376" s="461"/>
      <c r="N376" s="461"/>
      <c r="O376" s="461"/>
      <c r="P376" s="461"/>
      <c r="Q376" s="461"/>
      <c r="R376" s="102"/>
      <c r="S376" s="102"/>
      <c r="T376" s="102"/>
      <c r="U376" s="102"/>
      <c r="V376" s="102"/>
      <c r="W376" s="102"/>
      <c r="X376" s="102"/>
      <c r="Y376" s="102"/>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185"/>
      <c r="BJ376" s="185"/>
      <c r="BK376" s="185"/>
      <c r="BL376" s="185"/>
      <c r="BM376" s="185"/>
      <c r="BN376" s="185"/>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hidden="1" customHeight="1" outlineLevel="2">
      <c r="A377" s="9"/>
      <c r="B377" s="337"/>
      <c r="C377" s="337"/>
      <c r="D377" s="490"/>
      <c r="E377" s="337"/>
      <c r="F377" s="337"/>
      <c r="G377" s="337"/>
      <c r="H377" s="337"/>
      <c r="I377" s="337"/>
      <c r="J377" s="337"/>
      <c r="K377" s="337"/>
      <c r="L377" s="337"/>
      <c r="M377" s="461"/>
      <c r="N377" s="461"/>
      <c r="O377" s="461"/>
      <c r="P377" s="461"/>
      <c r="Q377" s="461"/>
      <c r="R377" s="102"/>
      <c r="S377" s="102"/>
      <c r="T377" s="102"/>
      <c r="U377" s="102"/>
      <c r="V377" s="102"/>
      <c r="W377" s="102"/>
      <c r="X377" s="102"/>
      <c r="Y377" s="102"/>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2"/>
      <c r="BJ377" s="185"/>
      <c r="BK377" s="185"/>
      <c r="BL377" s="185"/>
      <c r="BM377" s="185"/>
      <c r="BN377" s="185"/>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hidden="1" customHeight="1" outlineLevel="2">
      <c r="A378" s="9"/>
      <c r="B378" s="337"/>
      <c r="C378" s="337"/>
      <c r="D378" s="490"/>
      <c r="E378" s="337"/>
      <c r="F378" s="337"/>
      <c r="G378" s="337"/>
      <c r="H378" s="337"/>
      <c r="I378" s="337"/>
      <c r="J378" s="337"/>
      <c r="K378" s="337"/>
      <c r="L378" s="337"/>
      <c r="M378" s="461"/>
      <c r="N378" s="461"/>
      <c r="O378" s="461"/>
      <c r="P378" s="461"/>
      <c r="Q378" s="461"/>
      <c r="R378" s="102"/>
      <c r="S378" s="102"/>
      <c r="T378" s="102"/>
      <c r="U378" s="102"/>
      <c r="V378" s="102"/>
      <c r="W378" s="102"/>
      <c r="X378" s="102"/>
      <c r="Y378" s="102"/>
      <c r="Z378" s="211"/>
      <c r="AA378" s="211"/>
      <c r="AB378" s="211"/>
      <c r="AC378" s="211"/>
      <c r="AD378" s="211"/>
      <c r="AE378" s="211"/>
      <c r="AF378" s="211"/>
      <c r="AG378" s="211"/>
      <c r="AH378" s="211"/>
      <c r="AI378" s="211"/>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185"/>
      <c r="BJ378" s="185"/>
      <c r="BK378" s="185"/>
      <c r="BL378" s="185"/>
      <c r="BM378" s="185"/>
      <c r="BN378" s="185"/>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hidden="1" customHeight="1" outlineLevel="2">
      <c r="A379" s="9"/>
      <c r="B379" s="337"/>
      <c r="C379" s="337"/>
      <c r="D379" s="490"/>
      <c r="E379" s="337"/>
      <c r="F379" s="337"/>
      <c r="G379" s="337"/>
      <c r="H379" s="337"/>
      <c r="I379" s="337"/>
      <c r="J379" s="337"/>
      <c r="K379" s="337"/>
      <c r="L379" s="337"/>
      <c r="M379" s="461"/>
      <c r="N379" s="461"/>
      <c r="O379" s="461"/>
      <c r="P379" s="461"/>
      <c r="Q379" s="461"/>
      <c r="R379" s="102"/>
      <c r="S379" s="102"/>
      <c r="T379" s="102"/>
      <c r="U379" s="102"/>
      <c r="V379" s="102"/>
      <c r="W379" s="102"/>
      <c r="X379" s="102"/>
      <c r="Y379" s="102"/>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185"/>
      <c r="BJ379" s="185"/>
      <c r="BK379" s="185"/>
      <c r="BL379" s="185"/>
      <c r="BM379" s="185"/>
      <c r="BN379" s="185"/>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hidden="1" customHeight="1" outlineLevel="2">
      <c r="A380" s="9"/>
      <c r="B380" s="337"/>
      <c r="C380" s="337"/>
      <c r="D380" s="490"/>
      <c r="E380" s="337"/>
      <c r="F380" s="337"/>
      <c r="G380" s="337"/>
      <c r="H380" s="337"/>
      <c r="I380" s="337"/>
      <c r="J380" s="337"/>
      <c r="K380" s="337"/>
      <c r="L380" s="337"/>
      <c r="M380" s="461"/>
      <c r="N380" s="461"/>
      <c r="O380" s="461"/>
      <c r="P380" s="461"/>
      <c r="Q380" s="461"/>
      <c r="R380" s="102"/>
      <c r="S380" s="102"/>
      <c r="T380" s="102"/>
      <c r="U380" s="102"/>
      <c r="V380" s="102"/>
      <c r="W380" s="102"/>
      <c r="X380" s="102"/>
      <c r="Y380" s="102"/>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185"/>
      <c r="BJ380" s="185"/>
      <c r="BK380" s="185"/>
      <c r="BL380" s="185"/>
      <c r="BM380" s="185"/>
      <c r="BN380" s="185"/>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hidden="1" customHeight="1" outlineLevel="2">
      <c r="A381" s="9"/>
      <c r="B381" s="337"/>
      <c r="C381" s="337"/>
      <c r="D381" s="490"/>
      <c r="E381" s="337"/>
      <c r="F381" s="337"/>
      <c r="G381" s="337"/>
      <c r="H381" s="337"/>
      <c r="I381" s="337"/>
      <c r="J381" s="337"/>
      <c r="K381" s="337"/>
      <c r="L381" s="337"/>
      <c r="M381" s="461"/>
      <c r="N381" s="461"/>
      <c r="O381" s="461"/>
      <c r="P381" s="461"/>
      <c r="Q381" s="461"/>
      <c r="R381" s="102"/>
      <c r="S381" s="102"/>
      <c r="T381" s="102"/>
      <c r="U381" s="102"/>
      <c r="V381" s="102"/>
      <c r="W381" s="102"/>
      <c r="X381" s="102"/>
      <c r="Y381" s="102"/>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185"/>
      <c r="BJ381" s="185"/>
      <c r="BK381" s="185"/>
      <c r="BL381" s="185"/>
      <c r="BM381" s="185"/>
      <c r="BN381" s="185"/>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hidden="1" customHeight="1" outlineLevel="2">
      <c r="A382" s="9"/>
      <c r="B382" s="337"/>
      <c r="C382" s="337"/>
      <c r="D382" s="490"/>
      <c r="E382" s="337"/>
      <c r="F382" s="337"/>
      <c r="G382" s="337"/>
      <c r="H382" s="337"/>
      <c r="I382" s="337"/>
      <c r="J382" s="337"/>
      <c r="K382" s="337"/>
      <c r="L382" s="337"/>
      <c r="M382" s="461"/>
      <c r="N382" s="461"/>
      <c r="O382" s="461"/>
      <c r="P382" s="461"/>
      <c r="Q382" s="461"/>
      <c r="R382" s="102"/>
      <c r="S382" s="102"/>
      <c r="T382" s="102"/>
      <c r="U382" s="102"/>
      <c r="V382" s="102"/>
      <c r="W382" s="102"/>
      <c r="X382" s="102"/>
      <c r="Y382" s="102"/>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185"/>
      <c r="BJ382" s="185"/>
      <c r="BK382" s="185"/>
      <c r="BL382" s="185"/>
      <c r="BM382" s="185"/>
      <c r="BN382" s="185"/>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hidden="1" customHeight="1" outlineLevel="2">
      <c r="A383" s="9"/>
      <c r="B383" s="337"/>
      <c r="C383" s="337"/>
      <c r="D383" s="490"/>
      <c r="E383" s="337"/>
      <c r="F383" s="337"/>
      <c r="G383" s="337"/>
      <c r="H383" s="337"/>
      <c r="I383" s="337"/>
      <c r="J383" s="337"/>
      <c r="K383" s="337"/>
      <c r="L383" s="337"/>
      <c r="M383" s="461"/>
      <c r="N383" s="461"/>
      <c r="O383" s="461"/>
      <c r="P383" s="461"/>
      <c r="Q383" s="461"/>
      <c r="R383" s="102"/>
      <c r="S383" s="102"/>
      <c r="T383" s="102"/>
      <c r="U383" s="102"/>
      <c r="V383" s="102"/>
      <c r="W383" s="102"/>
      <c r="X383" s="102"/>
      <c r="Y383" s="102"/>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185"/>
      <c r="BJ383" s="185"/>
      <c r="BK383" s="185"/>
      <c r="BL383" s="185"/>
      <c r="BM383" s="185"/>
      <c r="BN383" s="185"/>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hidden="1" customHeight="1" outlineLevel="2">
      <c r="A384" s="9"/>
      <c r="B384" s="337"/>
      <c r="C384" s="337"/>
      <c r="D384" s="490"/>
      <c r="E384" s="337"/>
      <c r="F384" s="337"/>
      <c r="G384" s="337"/>
      <c r="H384" s="337"/>
      <c r="I384" s="337"/>
      <c r="J384" s="337"/>
      <c r="K384" s="337"/>
      <c r="L384" s="337"/>
      <c r="M384" s="461"/>
      <c r="N384" s="461"/>
      <c r="O384" s="461"/>
      <c r="P384" s="461"/>
      <c r="Q384" s="461"/>
      <c r="R384" s="102"/>
      <c r="S384" s="102"/>
      <c r="T384" s="102"/>
      <c r="U384" s="102"/>
      <c r="V384" s="102"/>
      <c r="W384" s="102"/>
      <c r="X384" s="102"/>
      <c r="Y384" s="102"/>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185"/>
      <c r="BJ384" s="185"/>
      <c r="BK384" s="185"/>
      <c r="BL384" s="185"/>
      <c r="BM384" s="185"/>
      <c r="BN384" s="185"/>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hidden="1" customHeight="1" outlineLevel="2">
      <c r="A385" s="9"/>
      <c r="B385" s="337"/>
      <c r="C385" s="337"/>
      <c r="D385" s="490"/>
      <c r="E385" s="337"/>
      <c r="F385" s="337"/>
      <c r="G385" s="337"/>
      <c r="H385" s="337"/>
      <c r="I385" s="337"/>
      <c r="J385" s="337"/>
      <c r="K385" s="337"/>
      <c r="L385" s="337"/>
      <c r="M385" s="461"/>
      <c r="N385" s="461"/>
      <c r="O385" s="461"/>
      <c r="P385" s="461"/>
      <c r="Q385" s="461"/>
      <c r="R385" s="102"/>
      <c r="S385" s="102"/>
      <c r="T385" s="102"/>
      <c r="U385" s="102"/>
      <c r="V385" s="102"/>
      <c r="W385" s="102"/>
      <c r="X385" s="102"/>
      <c r="Y385" s="102"/>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185"/>
      <c r="BJ385" s="185"/>
      <c r="BK385" s="185"/>
      <c r="BL385" s="185"/>
      <c r="BM385" s="185"/>
      <c r="BN385" s="1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hidden="1" customHeight="1" outlineLevel="1">
      <c r="A386" s="9"/>
      <c r="B386" s="337"/>
      <c r="C386" s="337"/>
      <c r="D386" s="337"/>
      <c r="E386" s="337"/>
      <c r="F386" s="337"/>
      <c r="G386" s="337"/>
      <c r="H386" s="337"/>
      <c r="I386" s="337"/>
      <c r="J386" s="337"/>
      <c r="K386" s="337"/>
      <c r="L386" s="337"/>
      <c r="M386" s="461"/>
      <c r="N386" s="461"/>
      <c r="O386" s="461"/>
      <c r="P386" s="461"/>
      <c r="Q386" s="461"/>
      <c r="R386" s="101"/>
      <c r="S386" s="101"/>
      <c r="T386" s="101"/>
      <c r="U386" s="101"/>
      <c r="V386" s="101"/>
      <c r="W386" s="101"/>
      <c r="X386" s="101"/>
      <c r="Y386" s="101"/>
      <c r="Z386" s="210"/>
      <c r="AA386" s="210"/>
      <c r="AB386" s="210"/>
      <c r="AC386" s="210"/>
      <c r="AD386" s="210"/>
      <c r="AE386" s="210"/>
      <c r="AF386" s="210"/>
      <c r="AG386" s="210"/>
      <c r="AH386" s="210"/>
      <c r="AI386" s="210"/>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185"/>
      <c r="BJ386" s="185"/>
      <c r="BK386" s="185"/>
      <c r="BL386" s="185"/>
      <c r="BM386" s="185"/>
      <c r="BN386" s="185"/>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hidden="1" customHeight="1" outlineLevel="2">
      <c r="A387" s="9"/>
      <c r="B387" s="337"/>
      <c r="C387" s="337"/>
      <c r="D387" s="337"/>
      <c r="E387" s="337"/>
      <c r="F387" s="337"/>
      <c r="G387" s="337"/>
      <c r="H387" s="337"/>
      <c r="I387" s="337"/>
      <c r="J387" s="337"/>
      <c r="K387" s="337"/>
      <c r="L387" s="337"/>
      <c r="M387" s="461"/>
      <c r="N387" s="461"/>
      <c r="O387" s="461"/>
      <c r="P387" s="461"/>
      <c r="Q387" s="461"/>
      <c r="R387" s="102"/>
      <c r="S387" s="102"/>
      <c r="T387" s="102"/>
      <c r="U387" s="102"/>
      <c r="V387" s="102"/>
      <c r="W387" s="102"/>
      <c r="X387" s="102"/>
      <c r="Y387" s="102"/>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185"/>
      <c r="BJ387" s="185"/>
      <c r="BK387" s="185"/>
      <c r="BL387" s="185"/>
      <c r="BM387" s="185"/>
      <c r="BN387" s="185"/>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hidden="1" customHeight="1" outlineLevel="2">
      <c r="A388" s="9"/>
      <c r="B388" s="337"/>
      <c r="C388" s="337"/>
      <c r="D388" s="490"/>
      <c r="E388" s="337"/>
      <c r="F388" s="337"/>
      <c r="G388" s="337"/>
      <c r="H388" s="337"/>
      <c r="I388" s="337"/>
      <c r="J388" s="337"/>
      <c r="K388" s="337"/>
      <c r="L388" s="337"/>
      <c r="M388" s="461"/>
      <c r="N388" s="461"/>
      <c r="O388" s="461"/>
      <c r="P388" s="461"/>
      <c r="Q388" s="461"/>
      <c r="R388" s="102"/>
      <c r="S388" s="102"/>
      <c r="T388" s="102"/>
      <c r="U388" s="102"/>
      <c r="V388" s="102"/>
      <c r="W388" s="102"/>
      <c r="X388" s="102"/>
      <c r="Y388" s="102"/>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185"/>
      <c r="BJ388" s="185"/>
      <c r="BK388" s="185"/>
      <c r="BL388" s="185"/>
      <c r="BM388" s="185"/>
      <c r="BN388" s="185"/>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hidden="1" customHeight="1" outlineLevel="2">
      <c r="A389" s="9"/>
      <c r="B389" s="337"/>
      <c r="C389" s="337"/>
      <c r="D389" s="490"/>
      <c r="E389" s="337"/>
      <c r="F389" s="337"/>
      <c r="G389" s="337"/>
      <c r="H389" s="337"/>
      <c r="I389" s="337"/>
      <c r="J389" s="337"/>
      <c r="K389" s="337"/>
      <c r="L389" s="337"/>
      <c r="M389" s="461"/>
      <c r="N389" s="461"/>
      <c r="O389" s="461"/>
      <c r="P389" s="461"/>
      <c r="Q389" s="461"/>
      <c r="R389" s="102"/>
      <c r="S389" s="102"/>
      <c r="T389" s="102"/>
      <c r="U389" s="102"/>
      <c r="V389" s="102"/>
      <c r="W389" s="102"/>
      <c r="X389" s="102"/>
      <c r="Y389" s="102"/>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185"/>
      <c r="BJ389" s="185"/>
      <c r="BK389" s="185"/>
      <c r="BL389" s="185"/>
      <c r="BM389" s="185"/>
      <c r="BN389" s="185"/>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hidden="1" customHeight="1" outlineLevel="2">
      <c r="A390" s="9"/>
      <c r="B390" s="337"/>
      <c r="C390" s="337"/>
      <c r="D390" s="490"/>
      <c r="E390" s="337"/>
      <c r="F390" s="337"/>
      <c r="G390" s="337"/>
      <c r="H390" s="337"/>
      <c r="I390" s="337"/>
      <c r="J390" s="337"/>
      <c r="K390" s="337"/>
      <c r="L390" s="337"/>
      <c r="M390" s="461"/>
      <c r="N390" s="461"/>
      <c r="O390" s="461"/>
      <c r="P390" s="461"/>
      <c r="Q390" s="461"/>
      <c r="R390" s="102"/>
      <c r="S390" s="102"/>
      <c r="T390" s="102"/>
      <c r="U390" s="102"/>
      <c r="V390" s="102"/>
      <c r="W390" s="102"/>
      <c r="X390" s="102"/>
      <c r="Y390" s="102"/>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185"/>
      <c r="BJ390" s="185"/>
      <c r="BK390" s="185"/>
      <c r="BL390" s="185"/>
      <c r="BM390" s="185"/>
      <c r="BN390" s="185"/>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hidden="1" customHeight="1" outlineLevel="2">
      <c r="A391" s="9"/>
      <c r="B391" s="337"/>
      <c r="C391" s="337"/>
      <c r="D391" s="490"/>
      <c r="E391" s="337"/>
      <c r="F391" s="337"/>
      <c r="G391" s="337"/>
      <c r="H391" s="337"/>
      <c r="I391" s="337"/>
      <c r="J391" s="337"/>
      <c r="K391" s="337"/>
      <c r="L391" s="337"/>
      <c r="M391" s="461"/>
      <c r="N391" s="461"/>
      <c r="O391" s="461"/>
      <c r="P391" s="461"/>
      <c r="Q391" s="461"/>
      <c r="R391" s="102"/>
      <c r="S391" s="102"/>
      <c r="T391" s="102"/>
      <c r="U391" s="102"/>
      <c r="V391" s="102"/>
      <c r="W391" s="102"/>
      <c r="X391" s="102"/>
      <c r="Y391" s="102"/>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2"/>
      <c r="BJ391" s="185"/>
      <c r="BK391" s="185"/>
      <c r="BL391" s="185"/>
      <c r="BM391" s="185"/>
      <c r="BN391" s="185"/>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hidden="1" customHeight="1" outlineLevel="2">
      <c r="A392" s="9"/>
      <c r="B392" s="337"/>
      <c r="C392" s="337"/>
      <c r="D392" s="490"/>
      <c r="E392" s="337"/>
      <c r="F392" s="337"/>
      <c r="G392" s="337"/>
      <c r="H392" s="337"/>
      <c r="I392" s="337"/>
      <c r="J392" s="337"/>
      <c r="K392" s="337"/>
      <c r="L392" s="337"/>
      <c r="M392" s="461"/>
      <c r="N392" s="461"/>
      <c r="O392" s="461"/>
      <c r="P392" s="461"/>
      <c r="Q392" s="461"/>
      <c r="R392" s="102"/>
      <c r="S392" s="102"/>
      <c r="T392" s="102"/>
      <c r="U392" s="102"/>
      <c r="V392" s="102"/>
      <c r="W392" s="102"/>
      <c r="X392" s="102"/>
      <c r="Y392" s="102"/>
      <c r="Z392" s="211"/>
      <c r="AA392" s="211"/>
      <c r="AB392" s="211"/>
      <c r="AC392" s="211"/>
      <c r="AD392" s="211"/>
      <c r="AE392" s="211"/>
      <c r="AF392" s="211"/>
      <c r="AG392" s="211"/>
      <c r="AH392" s="211"/>
      <c r="AI392" s="211"/>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185"/>
      <c r="BJ392" s="185"/>
      <c r="BK392" s="185"/>
      <c r="BL392" s="185"/>
      <c r="BM392" s="185"/>
      <c r="BN392" s="185"/>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hidden="1" customHeight="1" outlineLevel="2">
      <c r="A393" s="9"/>
      <c r="B393" s="337"/>
      <c r="C393" s="337"/>
      <c r="D393" s="490"/>
      <c r="E393" s="337"/>
      <c r="F393" s="337"/>
      <c r="G393" s="337"/>
      <c r="H393" s="337"/>
      <c r="I393" s="337"/>
      <c r="J393" s="337"/>
      <c r="K393" s="337"/>
      <c r="L393" s="337"/>
      <c r="M393" s="461"/>
      <c r="N393" s="461"/>
      <c r="O393" s="461"/>
      <c r="P393" s="461"/>
      <c r="Q393" s="461"/>
      <c r="R393" s="102"/>
      <c r="S393" s="102"/>
      <c r="T393" s="102"/>
      <c r="U393" s="102"/>
      <c r="V393" s="102"/>
      <c r="W393" s="102"/>
      <c r="X393" s="102"/>
      <c r="Y393" s="102"/>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185"/>
      <c r="BJ393" s="185"/>
      <c r="BK393" s="185"/>
      <c r="BL393" s="185"/>
      <c r="BM393" s="185"/>
      <c r="BN393" s="185"/>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hidden="1" customHeight="1" outlineLevel="2">
      <c r="A394" s="9"/>
      <c r="B394" s="337"/>
      <c r="C394" s="337"/>
      <c r="D394" s="490"/>
      <c r="E394" s="337"/>
      <c r="F394" s="337"/>
      <c r="G394" s="337"/>
      <c r="H394" s="337"/>
      <c r="I394" s="337"/>
      <c r="J394" s="337"/>
      <c r="K394" s="337"/>
      <c r="L394" s="337"/>
      <c r="M394" s="461"/>
      <c r="N394" s="461"/>
      <c r="O394" s="461"/>
      <c r="P394" s="461"/>
      <c r="Q394" s="461"/>
      <c r="R394" s="102"/>
      <c r="S394" s="102"/>
      <c r="T394" s="102"/>
      <c r="U394" s="102"/>
      <c r="V394" s="102"/>
      <c r="W394" s="102"/>
      <c r="X394" s="102"/>
      <c r="Y394" s="102"/>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185"/>
      <c r="BJ394" s="185"/>
      <c r="BK394" s="185"/>
      <c r="BL394" s="185"/>
      <c r="BM394" s="185"/>
      <c r="BN394" s="185"/>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hidden="1" customHeight="1" outlineLevel="2">
      <c r="A395" s="9"/>
      <c r="B395" s="337"/>
      <c r="C395" s="337"/>
      <c r="D395" s="490"/>
      <c r="E395" s="337"/>
      <c r="F395" s="337"/>
      <c r="G395" s="337"/>
      <c r="H395" s="337"/>
      <c r="I395" s="337"/>
      <c r="J395" s="337"/>
      <c r="K395" s="337"/>
      <c r="L395" s="337"/>
      <c r="M395" s="461"/>
      <c r="N395" s="461"/>
      <c r="O395" s="461"/>
      <c r="P395" s="461"/>
      <c r="Q395" s="461"/>
      <c r="R395" s="102"/>
      <c r="S395" s="102"/>
      <c r="T395" s="102"/>
      <c r="U395" s="102"/>
      <c r="V395" s="102"/>
      <c r="W395" s="102"/>
      <c r="X395" s="102"/>
      <c r="Y395" s="102"/>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185"/>
      <c r="BJ395" s="185"/>
      <c r="BK395" s="185"/>
      <c r="BL395" s="185"/>
      <c r="BM395" s="185"/>
      <c r="BN395" s="18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hidden="1" customHeight="1" outlineLevel="2">
      <c r="A396" s="9"/>
      <c r="B396" s="337"/>
      <c r="C396" s="337"/>
      <c r="D396" s="490"/>
      <c r="E396" s="337"/>
      <c r="F396" s="337"/>
      <c r="G396" s="337"/>
      <c r="H396" s="337"/>
      <c r="I396" s="337"/>
      <c r="J396" s="337"/>
      <c r="K396" s="337"/>
      <c r="L396" s="337"/>
      <c r="M396" s="461"/>
      <c r="N396" s="461"/>
      <c r="O396" s="461"/>
      <c r="P396" s="461"/>
      <c r="Q396" s="461"/>
      <c r="R396" s="102"/>
      <c r="S396" s="102"/>
      <c r="T396" s="102"/>
      <c r="U396" s="102"/>
      <c r="V396" s="102"/>
      <c r="W396" s="102"/>
      <c r="X396" s="102"/>
      <c r="Y396" s="102"/>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185"/>
      <c r="BJ396" s="185"/>
      <c r="BK396" s="185"/>
      <c r="BL396" s="185"/>
      <c r="BM396" s="185"/>
      <c r="BN396" s="185"/>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hidden="1" customHeight="1" outlineLevel="2">
      <c r="A397" s="9"/>
      <c r="B397" s="337"/>
      <c r="C397" s="337"/>
      <c r="D397" s="490"/>
      <c r="E397" s="337"/>
      <c r="F397" s="337"/>
      <c r="G397" s="337"/>
      <c r="H397" s="337"/>
      <c r="I397" s="337"/>
      <c r="J397" s="337"/>
      <c r="K397" s="337"/>
      <c r="L397" s="337"/>
      <c r="M397" s="461"/>
      <c r="N397" s="461"/>
      <c r="O397" s="461"/>
      <c r="P397" s="461"/>
      <c r="Q397" s="461"/>
      <c r="R397" s="102"/>
      <c r="S397" s="102"/>
      <c r="T397" s="102"/>
      <c r="U397" s="102"/>
      <c r="V397" s="102"/>
      <c r="W397" s="102"/>
      <c r="X397" s="102"/>
      <c r="Y397" s="102"/>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185"/>
      <c r="BJ397" s="185"/>
      <c r="BK397" s="185"/>
      <c r="BL397" s="185"/>
      <c r="BM397" s="185"/>
      <c r="BN397" s="185"/>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hidden="1" customHeight="1" outlineLevel="2">
      <c r="A398" s="9"/>
      <c r="B398" s="337"/>
      <c r="C398" s="337"/>
      <c r="D398" s="490"/>
      <c r="E398" s="337"/>
      <c r="F398" s="337"/>
      <c r="G398" s="337"/>
      <c r="H398" s="337"/>
      <c r="I398" s="337"/>
      <c r="J398" s="337"/>
      <c r="K398" s="337"/>
      <c r="L398" s="337"/>
      <c r="M398" s="461"/>
      <c r="N398" s="461"/>
      <c r="O398" s="461"/>
      <c r="P398" s="461"/>
      <c r="Q398" s="461"/>
      <c r="R398" s="102"/>
      <c r="S398" s="102"/>
      <c r="T398" s="102"/>
      <c r="U398" s="102"/>
      <c r="V398" s="102"/>
      <c r="W398" s="102"/>
      <c r="X398" s="102"/>
      <c r="Y398" s="102"/>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185"/>
      <c r="BJ398" s="185"/>
      <c r="BK398" s="185"/>
      <c r="BL398" s="185"/>
      <c r="BM398" s="185"/>
      <c r="BN398" s="185"/>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hidden="1" customHeight="1" outlineLevel="2">
      <c r="A399" s="9"/>
      <c r="B399" s="337"/>
      <c r="C399" s="337"/>
      <c r="D399" s="490"/>
      <c r="E399" s="337"/>
      <c r="F399" s="337"/>
      <c r="G399" s="337"/>
      <c r="H399" s="337"/>
      <c r="I399" s="337"/>
      <c r="J399" s="337"/>
      <c r="K399" s="337"/>
      <c r="L399" s="337"/>
      <c r="M399" s="461"/>
      <c r="N399" s="461"/>
      <c r="O399" s="461"/>
      <c r="P399" s="461"/>
      <c r="Q399" s="461"/>
      <c r="R399" s="102"/>
      <c r="S399" s="102"/>
      <c r="T399" s="102"/>
      <c r="U399" s="102"/>
      <c r="V399" s="102"/>
      <c r="W399" s="102"/>
      <c r="X399" s="102"/>
      <c r="Y399" s="102"/>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185"/>
      <c r="BJ399" s="185"/>
      <c r="BK399" s="185"/>
      <c r="BL399" s="185"/>
      <c r="BM399" s="185"/>
      <c r="BN399" s="185"/>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hidden="1" customHeight="1" outlineLevel="1">
      <c r="A400" s="9"/>
      <c r="B400" s="337"/>
      <c r="C400" s="337"/>
      <c r="D400" s="337"/>
      <c r="E400" s="337"/>
      <c r="F400" s="337"/>
      <c r="G400" s="337"/>
      <c r="H400" s="337"/>
      <c r="I400" s="337"/>
      <c r="J400" s="337"/>
      <c r="K400" s="337"/>
      <c r="L400" s="337"/>
      <c r="M400" s="461"/>
      <c r="N400" s="461"/>
      <c r="O400" s="461"/>
      <c r="P400" s="461"/>
      <c r="Q400" s="461"/>
      <c r="R400" s="101"/>
      <c r="S400" s="101"/>
      <c r="T400" s="101"/>
      <c r="U400" s="101"/>
      <c r="V400" s="101"/>
      <c r="W400" s="101"/>
      <c r="X400" s="101"/>
      <c r="Y400" s="101"/>
      <c r="Z400" s="210"/>
      <c r="AA400" s="210"/>
      <c r="AB400" s="210"/>
      <c r="AC400" s="210"/>
      <c r="AD400" s="210"/>
      <c r="AE400" s="210"/>
      <c r="AF400" s="210"/>
      <c r="AG400" s="210"/>
      <c r="AH400" s="210"/>
      <c r="AI400" s="210"/>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185"/>
      <c r="BJ400" s="185"/>
      <c r="BK400" s="185"/>
      <c r="BL400" s="185"/>
      <c r="BM400" s="185"/>
      <c r="BN400" s="185"/>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hidden="1" customHeight="1" outlineLevel="2">
      <c r="A401" s="9"/>
      <c r="B401" s="337"/>
      <c r="C401" s="337"/>
      <c r="D401" s="337"/>
      <c r="E401" s="337"/>
      <c r="F401" s="337"/>
      <c r="G401" s="337"/>
      <c r="H401" s="337"/>
      <c r="I401" s="337"/>
      <c r="J401" s="337"/>
      <c r="K401" s="337"/>
      <c r="L401" s="337"/>
      <c r="M401" s="461"/>
      <c r="N401" s="461"/>
      <c r="O401" s="461"/>
      <c r="P401" s="461"/>
      <c r="Q401" s="461"/>
      <c r="R401" s="102"/>
      <c r="S401" s="102"/>
      <c r="T401" s="102"/>
      <c r="U401" s="102"/>
      <c r="V401" s="102"/>
      <c r="W401" s="102"/>
      <c r="X401" s="102"/>
      <c r="Y401" s="102"/>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185"/>
      <c r="BJ401" s="185"/>
      <c r="BK401" s="185"/>
      <c r="BL401" s="185"/>
      <c r="BM401" s="185"/>
      <c r="BN401" s="185"/>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hidden="1" customHeight="1" outlineLevel="2">
      <c r="A402" s="9"/>
      <c r="B402" s="337"/>
      <c r="C402" s="337"/>
      <c r="D402" s="490"/>
      <c r="E402" s="337"/>
      <c r="F402" s="337"/>
      <c r="G402" s="337"/>
      <c r="H402" s="337"/>
      <c r="I402" s="337"/>
      <c r="J402" s="337"/>
      <c r="K402" s="337"/>
      <c r="L402" s="337"/>
      <c r="M402" s="461"/>
      <c r="N402" s="461"/>
      <c r="O402" s="461"/>
      <c r="P402" s="461"/>
      <c r="Q402" s="461"/>
      <c r="R402" s="102"/>
      <c r="S402" s="102"/>
      <c r="T402" s="102"/>
      <c r="U402" s="102"/>
      <c r="V402" s="102"/>
      <c r="W402" s="102"/>
      <c r="X402" s="102"/>
      <c r="Y402" s="102"/>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185"/>
      <c r="BJ402" s="185"/>
      <c r="BK402" s="185"/>
      <c r="BL402" s="185"/>
      <c r="BM402" s="185"/>
      <c r="BN402" s="185"/>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hidden="1" customHeight="1" outlineLevel="2">
      <c r="A403" s="9"/>
      <c r="B403" s="337"/>
      <c r="C403" s="337"/>
      <c r="D403" s="490"/>
      <c r="E403" s="337"/>
      <c r="F403" s="337"/>
      <c r="G403" s="337"/>
      <c r="H403" s="337"/>
      <c r="I403" s="337"/>
      <c r="J403" s="337"/>
      <c r="K403" s="337"/>
      <c r="L403" s="337"/>
      <c r="M403" s="461"/>
      <c r="N403" s="461"/>
      <c r="O403" s="461"/>
      <c r="P403" s="461"/>
      <c r="Q403" s="461"/>
      <c r="R403" s="102"/>
      <c r="S403" s="102"/>
      <c r="T403" s="102"/>
      <c r="U403" s="102"/>
      <c r="V403" s="102"/>
      <c r="W403" s="102"/>
      <c r="X403" s="102"/>
      <c r="Y403" s="102"/>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185"/>
      <c r="BJ403" s="185"/>
      <c r="BK403" s="185"/>
      <c r="BL403" s="185"/>
      <c r="BM403" s="185"/>
      <c r="BN403" s="185"/>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hidden="1" customHeight="1" outlineLevel="2">
      <c r="A404" s="9"/>
      <c r="B404" s="337"/>
      <c r="C404" s="337"/>
      <c r="D404" s="490"/>
      <c r="E404" s="337"/>
      <c r="F404" s="337"/>
      <c r="G404" s="337"/>
      <c r="H404" s="337"/>
      <c r="I404" s="337"/>
      <c r="J404" s="337"/>
      <c r="K404" s="337"/>
      <c r="L404" s="337"/>
      <c r="M404" s="461"/>
      <c r="N404" s="461"/>
      <c r="O404" s="461"/>
      <c r="P404" s="461"/>
      <c r="Q404" s="461"/>
      <c r="R404" s="102"/>
      <c r="S404" s="102"/>
      <c r="T404" s="102"/>
      <c r="U404" s="102"/>
      <c r="V404" s="102"/>
      <c r="W404" s="102"/>
      <c r="X404" s="102"/>
      <c r="Y404" s="102"/>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185"/>
      <c r="BJ404" s="185"/>
      <c r="BK404" s="185"/>
      <c r="BL404" s="185"/>
      <c r="BM404" s="185"/>
      <c r="BN404" s="185"/>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hidden="1" customHeight="1" outlineLevel="2">
      <c r="A405" s="9"/>
      <c r="B405" s="337"/>
      <c r="C405" s="337"/>
      <c r="D405" s="490"/>
      <c r="E405" s="337"/>
      <c r="F405" s="337"/>
      <c r="G405" s="337"/>
      <c r="H405" s="337"/>
      <c r="I405" s="337"/>
      <c r="J405" s="337"/>
      <c r="K405" s="337"/>
      <c r="L405" s="337"/>
      <c r="M405" s="461"/>
      <c r="N405" s="461"/>
      <c r="O405" s="461"/>
      <c r="P405" s="461"/>
      <c r="Q405" s="461"/>
      <c r="R405" s="102"/>
      <c r="S405" s="102"/>
      <c r="T405" s="102"/>
      <c r="U405" s="102"/>
      <c r="V405" s="102"/>
      <c r="W405" s="102"/>
      <c r="X405" s="102"/>
      <c r="Y405" s="102"/>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2"/>
      <c r="BJ405" s="185"/>
      <c r="BK405" s="185"/>
      <c r="BL405" s="185"/>
      <c r="BM405" s="185"/>
      <c r="BN405" s="18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hidden="1" customHeight="1" outlineLevel="2">
      <c r="A406" s="9"/>
      <c r="B406" s="337"/>
      <c r="C406" s="337"/>
      <c r="D406" s="490"/>
      <c r="E406" s="337"/>
      <c r="F406" s="337"/>
      <c r="G406" s="337"/>
      <c r="H406" s="337"/>
      <c r="I406" s="337"/>
      <c r="J406" s="337"/>
      <c r="K406" s="337"/>
      <c r="L406" s="337"/>
      <c r="M406" s="461"/>
      <c r="N406" s="461"/>
      <c r="O406" s="461"/>
      <c r="P406" s="461"/>
      <c r="Q406" s="461"/>
      <c r="R406" s="102"/>
      <c r="S406" s="102"/>
      <c r="T406" s="102"/>
      <c r="U406" s="102"/>
      <c r="V406" s="102"/>
      <c r="W406" s="102"/>
      <c r="X406" s="102"/>
      <c r="Y406" s="102"/>
      <c r="Z406" s="211"/>
      <c r="AA406" s="211"/>
      <c r="AB406" s="211"/>
      <c r="AC406" s="211"/>
      <c r="AD406" s="211"/>
      <c r="AE406" s="211"/>
      <c r="AF406" s="211"/>
      <c r="AG406" s="211"/>
      <c r="AH406" s="211"/>
      <c r="AI406" s="211"/>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185"/>
      <c r="BJ406" s="185"/>
      <c r="BK406" s="185"/>
      <c r="BL406" s="185"/>
      <c r="BM406" s="185"/>
      <c r="BN406" s="185"/>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hidden="1" customHeight="1" outlineLevel="2">
      <c r="A407" s="9"/>
      <c r="B407" s="337"/>
      <c r="C407" s="337"/>
      <c r="D407" s="490"/>
      <c r="E407" s="337"/>
      <c r="F407" s="337"/>
      <c r="G407" s="337"/>
      <c r="H407" s="337"/>
      <c r="I407" s="337"/>
      <c r="J407" s="337"/>
      <c r="K407" s="337"/>
      <c r="L407" s="337"/>
      <c r="M407" s="461"/>
      <c r="N407" s="461"/>
      <c r="O407" s="461"/>
      <c r="P407" s="461"/>
      <c r="Q407" s="461"/>
      <c r="R407" s="102"/>
      <c r="S407" s="102"/>
      <c r="T407" s="102"/>
      <c r="U407" s="102"/>
      <c r="V407" s="102"/>
      <c r="W407" s="102"/>
      <c r="X407" s="102"/>
      <c r="Y407" s="102"/>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185"/>
      <c r="BJ407" s="185"/>
      <c r="BK407" s="185"/>
      <c r="BL407" s="185"/>
      <c r="BM407" s="185"/>
      <c r="BN407" s="185"/>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hidden="1" customHeight="1" outlineLevel="2">
      <c r="A408" s="9"/>
      <c r="B408" s="337"/>
      <c r="C408" s="337"/>
      <c r="D408" s="490"/>
      <c r="E408" s="337"/>
      <c r="F408" s="337"/>
      <c r="G408" s="337"/>
      <c r="H408" s="337"/>
      <c r="I408" s="337"/>
      <c r="J408" s="337"/>
      <c r="K408" s="337"/>
      <c r="L408" s="337"/>
      <c r="M408" s="461"/>
      <c r="N408" s="461"/>
      <c r="O408" s="461"/>
      <c r="P408" s="461"/>
      <c r="Q408" s="461"/>
      <c r="R408" s="102"/>
      <c r="S408" s="102"/>
      <c r="T408" s="102"/>
      <c r="U408" s="102"/>
      <c r="V408" s="102"/>
      <c r="W408" s="102"/>
      <c r="X408" s="102"/>
      <c r="Y408" s="102"/>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185"/>
      <c r="BJ408" s="185"/>
      <c r="BK408" s="185"/>
      <c r="BL408" s="185"/>
      <c r="BM408" s="185"/>
      <c r="BN408" s="185"/>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hidden="1" customHeight="1" outlineLevel="2">
      <c r="A409" s="9"/>
      <c r="B409" s="337"/>
      <c r="C409" s="337"/>
      <c r="D409" s="490"/>
      <c r="E409" s="337"/>
      <c r="F409" s="337"/>
      <c r="G409" s="337"/>
      <c r="H409" s="337"/>
      <c r="I409" s="337"/>
      <c r="J409" s="337"/>
      <c r="K409" s="337"/>
      <c r="L409" s="337"/>
      <c r="M409" s="461"/>
      <c r="N409" s="461"/>
      <c r="O409" s="461"/>
      <c r="P409" s="461"/>
      <c r="Q409" s="461"/>
      <c r="R409" s="102"/>
      <c r="S409" s="102"/>
      <c r="T409" s="102"/>
      <c r="U409" s="102"/>
      <c r="V409" s="102"/>
      <c r="W409" s="102"/>
      <c r="X409" s="102"/>
      <c r="Y409" s="102"/>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185"/>
      <c r="BJ409" s="185"/>
      <c r="BK409" s="185"/>
      <c r="BL409" s="185"/>
      <c r="BM409" s="185"/>
      <c r="BN409" s="185"/>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hidden="1" customHeight="1" outlineLevel="2">
      <c r="A410" s="9"/>
      <c r="B410" s="337"/>
      <c r="C410" s="337"/>
      <c r="D410" s="490"/>
      <c r="E410" s="337"/>
      <c r="F410" s="337"/>
      <c r="G410" s="337"/>
      <c r="H410" s="337"/>
      <c r="I410" s="337"/>
      <c r="J410" s="337"/>
      <c r="K410" s="337"/>
      <c r="L410" s="337"/>
      <c r="M410" s="461"/>
      <c r="N410" s="461"/>
      <c r="O410" s="461"/>
      <c r="P410" s="461"/>
      <c r="Q410" s="461"/>
      <c r="R410" s="102"/>
      <c r="S410" s="102"/>
      <c r="T410" s="102"/>
      <c r="U410" s="102"/>
      <c r="V410" s="102"/>
      <c r="W410" s="102"/>
      <c r="X410" s="102"/>
      <c r="Y410" s="102"/>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185"/>
      <c r="BJ410" s="185"/>
      <c r="BK410" s="185"/>
      <c r="BL410" s="185"/>
      <c r="BM410" s="185"/>
      <c r="BN410" s="185"/>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hidden="1" customHeight="1" outlineLevel="2">
      <c r="A411" s="9"/>
      <c r="B411" s="337"/>
      <c r="C411" s="337"/>
      <c r="D411" s="490"/>
      <c r="E411" s="337"/>
      <c r="F411" s="337"/>
      <c r="G411" s="337"/>
      <c r="H411" s="337"/>
      <c r="I411" s="337"/>
      <c r="J411" s="337"/>
      <c r="K411" s="337"/>
      <c r="L411" s="337"/>
      <c r="M411" s="461"/>
      <c r="N411" s="461"/>
      <c r="O411" s="461"/>
      <c r="P411" s="461"/>
      <c r="Q411" s="461"/>
      <c r="R411" s="102"/>
      <c r="S411" s="102"/>
      <c r="T411" s="102"/>
      <c r="U411" s="102"/>
      <c r="V411" s="102"/>
      <c r="W411" s="102"/>
      <c r="X411" s="102"/>
      <c r="Y411" s="102"/>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185"/>
      <c r="BJ411" s="185"/>
      <c r="BK411" s="185"/>
      <c r="BL411" s="185"/>
      <c r="BM411" s="185"/>
      <c r="BN411" s="185"/>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hidden="1" customHeight="1" outlineLevel="2">
      <c r="A412" s="9"/>
      <c r="B412" s="337"/>
      <c r="C412" s="337"/>
      <c r="D412" s="490"/>
      <c r="E412" s="337"/>
      <c r="F412" s="337"/>
      <c r="G412" s="337"/>
      <c r="H412" s="337"/>
      <c r="I412" s="337"/>
      <c r="J412" s="337"/>
      <c r="K412" s="337"/>
      <c r="L412" s="337"/>
      <c r="M412" s="461"/>
      <c r="N412" s="461"/>
      <c r="O412" s="461"/>
      <c r="P412" s="461"/>
      <c r="Q412" s="461"/>
      <c r="R412" s="102"/>
      <c r="S412" s="102"/>
      <c r="T412" s="102"/>
      <c r="U412" s="102"/>
      <c r="V412" s="102"/>
      <c r="W412" s="102"/>
      <c r="X412" s="102"/>
      <c r="Y412" s="102"/>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185"/>
      <c r="BJ412" s="185"/>
      <c r="BK412" s="185"/>
      <c r="BL412" s="185"/>
      <c r="BM412" s="185"/>
      <c r="BN412" s="185"/>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hidden="1" customHeight="1" outlineLevel="2">
      <c r="A413" s="9"/>
      <c r="B413" s="337"/>
      <c r="C413" s="337"/>
      <c r="D413" s="490"/>
      <c r="E413" s="337"/>
      <c r="F413" s="337"/>
      <c r="G413" s="337"/>
      <c r="H413" s="337"/>
      <c r="I413" s="337"/>
      <c r="J413" s="337"/>
      <c r="K413" s="337"/>
      <c r="L413" s="337"/>
      <c r="M413" s="461"/>
      <c r="N413" s="461"/>
      <c r="O413" s="461"/>
      <c r="P413" s="461"/>
      <c r="Q413" s="461"/>
      <c r="R413" s="102"/>
      <c r="S413" s="102"/>
      <c r="T413" s="102"/>
      <c r="U413" s="102"/>
      <c r="V413" s="102"/>
      <c r="W413" s="102"/>
      <c r="X413" s="102"/>
      <c r="Y413" s="102"/>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185"/>
      <c r="BJ413" s="185"/>
      <c r="BK413" s="185"/>
      <c r="BL413" s="185"/>
      <c r="BM413" s="185"/>
      <c r="BN413" s="185"/>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hidden="1" customHeight="1" outlineLevel="1">
      <c r="A414" s="9"/>
      <c r="B414" s="337"/>
      <c r="C414" s="337"/>
      <c r="D414" s="337"/>
      <c r="E414" s="337"/>
      <c r="F414" s="337"/>
      <c r="G414" s="337"/>
      <c r="H414" s="337"/>
      <c r="I414" s="337"/>
      <c r="J414" s="337"/>
      <c r="K414" s="337"/>
      <c r="L414" s="337"/>
      <c r="M414" s="461"/>
      <c r="N414" s="461"/>
      <c r="O414" s="461"/>
      <c r="P414" s="461"/>
      <c r="Q414" s="461"/>
      <c r="R414" s="101"/>
      <c r="S414" s="101"/>
      <c r="T414" s="101"/>
      <c r="U414" s="101"/>
      <c r="V414" s="101"/>
      <c r="W414" s="101"/>
      <c r="X414" s="101"/>
      <c r="Y414" s="101"/>
      <c r="Z414" s="210"/>
      <c r="AA414" s="210"/>
      <c r="AB414" s="210"/>
      <c r="AC414" s="210"/>
      <c r="AD414" s="210"/>
      <c r="AE414" s="210"/>
      <c r="AF414" s="210"/>
      <c r="AG414" s="210"/>
      <c r="AH414" s="210"/>
      <c r="AI414" s="210"/>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185"/>
      <c r="BJ414" s="185"/>
      <c r="BK414" s="185"/>
      <c r="BL414" s="185"/>
      <c r="BM414" s="185"/>
      <c r="BN414" s="185"/>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hidden="1" customHeight="1" outlineLevel="2">
      <c r="A415" s="9"/>
      <c r="B415" s="337"/>
      <c r="C415" s="337"/>
      <c r="D415" s="337"/>
      <c r="E415" s="337"/>
      <c r="F415" s="337"/>
      <c r="G415" s="337"/>
      <c r="H415" s="337"/>
      <c r="I415" s="337"/>
      <c r="J415" s="337"/>
      <c r="K415" s="337"/>
      <c r="L415" s="337"/>
      <c r="M415" s="461"/>
      <c r="N415" s="461"/>
      <c r="O415" s="461"/>
      <c r="P415" s="461"/>
      <c r="Q415" s="461"/>
      <c r="R415" s="102"/>
      <c r="S415" s="102"/>
      <c r="T415" s="102"/>
      <c r="U415" s="102"/>
      <c r="V415" s="102"/>
      <c r="W415" s="102"/>
      <c r="X415" s="102"/>
      <c r="Y415" s="102"/>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185"/>
      <c r="BJ415" s="185"/>
      <c r="BK415" s="185"/>
      <c r="BL415" s="185"/>
      <c r="BM415" s="185"/>
      <c r="BN415" s="18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hidden="1" customHeight="1" outlineLevel="2">
      <c r="A416" s="9"/>
      <c r="B416" s="337"/>
      <c r="C416" s="337"/>
      <c r="D416" s="490"/>
      <c r="E416" s="337"/>
      <c r="F416" s="337"/>
      <c r="G416" s="337"/>
      <c r="H416" s="337"/>
      <c r="I416" s="337"/>
      <c r="J416" s="337"/>
      <c r="K416" s="337"/>
      <c r="L416" s="337"/>
      <c r="M416" s="461"/>
      <c r="N416" s="461"/>
      <c r="O416" s="461"/>
      <c r="P416" s="461"/>
      <c r="Q416" s="461"/>
      <c r="R416" s="102"/>
      <c r="S416" s="102"/>
      <c r="T416" s="102"/>
      <c r="U416" s="102"/>
      <c r="V416" s="102"/>
      <c r="W416" s="102"/>
      <c r="X416" s="102"/>
      <c r="Y416" s="102"/>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185"/>
      <c r="BJ416" s="185"/>
      <c r="BK416" s="185"/>
      <c r="BL416" s="185"/>
      <c r="BM416" s="185"/>
      <c r="BN416" s="185"/>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hidden="1" customHeight="1" outlineLevel="2">
      <c r="A417" s="9"/>
      <c r="B417" s="337"/>
      <c r="C417" s="337"/>
      <c r="D417" s="490"/>
      <c r="E417" s="337"/>
      <c r="F417" s="337"/>
      <c r="G417" s="337"/>
      <c r="H417" s="337"/>
      <c r="I417" s="337"/>
      <c r="J417" s="337"/>
      <c r="K417" s="337"/>
      <c r="L417" s="337"/>
      <c r="M417" s="461"/>
      <c r="N417" s="461"/>
      <c r="O417" s="461"/>
      <c r="P417" s="461"/>
      <c r="Q417" s="461"/>
      <c r="R417" s="102"/>
      <c r="S417" s="102"/>
      <c r="T417" s="102"/>
      <c r="U417" s="102"/>
      <c r="V417" s="102"/>
      <c r="W417" s="102"/>
      <c r="X417" s="102"/>
      <c r="Y417" s="102"/>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185"/>
      <c r="BJ417" s="185"/>
      <c r="BK417" s="185"/>
      <c r="BL417" s="185"/>
      <c r="BM417" s="185"/>
      <c r="BN417" s="185"/>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hidden="1" customHeight="1" outlineLevel="2">
      <c r="A418" s="9"/>
      <c r="B418" s="337"/>
      <c r="C418" s="337"/>
      <c r="D418" s="490"/>
      <c r="E418" s="337"/>
      <c r="F418" s="337"/>
      <c r="G418" s="337"/>
      <c r="H418" s="337"/>
      <c r="I418" s="337"/>
      <c r="J418" s="337"/>
      <c r="K418" s="337"/>
      <c r="L418" s="337"/>
      <c r="M418" s="461"/>
      <c r="N418" s="461"/>
      <c r="O418" s="461"/>
      <c r="P418" s="461"/>
      <c r="Q418" s="461"/>
      <c r="R418" s="102"/>
      <c r="S418" s="102"/>
      <c r="T418" s="102"/>
      <c r="U418" s="102"/>
      <c r="V418" s="102"/>
      <c r="W418" s="102"/>
      <c r="X418" s="102"/>
      <c r="Y418" s="102"/>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185"/>
      <c r="BJ418" s="185"/>
      <c r="BK418" s="185"/>
      <c r="BL418" s="185"/>
      <c r="BM418" s="185"/>
      <c r="BN418" s="185"/>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hidden="1" customHeight="1" outlineLevel="2">
      <c r="A419" s="9"/>
      <c r="B419" s="337"/>
      <c r="C419" s="337"/>
      <c r="D419" s="490"/>
      <c r="E419" s="337"/>
      <c r="F419" s="337"/>
      <c r="G419" s="337"/>
      <c r="H419" s="337"/>
      <c r="I419" s="337"/>
      <c r="J419" s="337"/>
      <c r="K419" s="337"/>
      <c r="L419" s="337"/>
      <c r="M419" s="461"/>
      <c r="N419" s="461"/>
      <c r="O419" s="461"/>
      <c r="P419" s="461"/>
      <c r="Q419" s="461"/>
      <c r="R419" s="102"/>
      <c r="S419" s="102"/>
      <c r="T419" s="102"/>
      <c r="U419" s="102"/>
      <c r="V419" s="102"/>
      <c r="W419" s="102"/>
      <c r="X419" s="102"/>
      <c r="Y419" s="102"/>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2"/>
      <c r="BJ419" s="185"/>
      <c r="BK419" s="185"/>
      <c r="BL419" s="185"/>
      <c r="BM419" s="185"/>
      <c r="BN419" s="185"/>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hidden="1" customHeight="1" outlineLevel="2">
      <c r="A420" s="9"/>
      <c r="B420" s="337"/>
      <c r="C420" s="337"/>
      <c r="D420" s="490"/>
      <c r="E420" s="337"/>
      <c r="F420" s="337"/>
      <c r="G420" s="337"/>
      <c r="H420" s="337"/>
      <c r="I420" s="337"/>
      <c r="J420" s="337"/>
      <c r="K420" s="337"/>
      <c r="L420" s="337"/>
      <c r="M420" s="461"/>
      <c r="N420" s="461"/>
      <c r="O420" s="461"/>
      <c r="P420" s="461"/>
      <c r="Q420" s="461"/>
      <c r="R420" s="102"/>
      <c r="S420" s="102"/>
      <c r="T420" s="102"/>
      <c r="U420" s="102"/>
      <c r="V420" s="102"/>
      <c r="W420" s="102"/>
      <c r="X420" s="102"/>
      <c r="Y420" s="102"/>
      <c r="Z420" s="211"/>
      <c r="AA420" s="211"/>
      <c r="AB420" s="211"/>
      <c r="AC420" s="211"/>
      <c r="AD420" s="211"/>
      <c r="AE420" s="211"/>
      <c r="AF420" s="211"/>
      <c r="AG420" s="211"/>
      <c r="AH420" s="211"/>
      <c r="AI420" s="211"/>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185"/>
      <c r="BJ420" s="185"/>
      <c r="BK420" s="185"/>
      <c r="BL420" s="185"/>
      <c r="BM420" s="185"/>
      <c r="BN420" s="185"/>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hidden="1" customHeight="1" outlineLevel="2">
      <c r="A421" s="9"/>
      <c r="B421" s="337"/>
      <c r="C421" s="337"/>
      <c r="D421" s="490"/>
      <c r="E421" s="337"/>
      <c r="F421" s="337"/>
      <c r="G421" s="337"/>
      <c r="H421" s="337"/>
      <c r="I421" s="337"/>
      <c r="J421" s="337"/>
      <c r="K421" s="337"/>
      <c r="L421" s="337"/>
      <c r="M421" s="461"/>
      <c r="N421" s="461"/>
      <c r="O421" s="461"/>
      <c r="P421" s="461"/>
      <c r="Q421" s="461"/>
      <c r="R421" s="102"/>
      <c r="S421" s="102"/>
      <c r="T421" s="102"/>
      <c r="U421" s="102"/>
      <c r="V421" s="102"/>
      <c r="W421" s="102"/>
      <c r="X421" s="102"/>
      <c r="Y421" s="102"/>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185"/>
      <c r="BJ421" s="185"/>
      <c r="BK421" s="185"/>
      <c r="BL421" s="185"/>
      <c r="BM421" s="185"/>
      <c r="BN421" s="185"/>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hidden="1" customHeight="1" outlineLevel="2">
      <c r="A422" s="9"/>
      <c r="B422" s="337"/>
      <c r="C422" s="337"/>
      <c r="D422" s="490"/>
      <c r="E422" s="337"/>
      <c r="F422" s="337"/>
      <c r="G422" s="337"/>
      <c r="H422" s="337"/>
      <c r="I422" s="337"/>
      <c r="J422" s="337"/>
      <c r="K422" s="337"/>
      <c r="L422" s="337"/>
      <c r="M422" s="461"/>
      <c r="N422" s="461"/>
      <c r="O422" s="461"/>
      <c r="P422" s="461"/>
      <c r="Q422" s="461"/>
      <c r="R422" s="102"/>
      <c r="S422" s="102"/>
      <c r="T422" s="102"/>
      <c r="U422" s="102"/>
      <c r="V422" s="102"/>
      <c r="W422" s="102"/>
      <c r="X422" s="102"/>
      <c r="Y422" s="102"/>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185"/>
      <c r="BJ422" s="185"/>
      <c r="BK422" s="185"/>
      <c r="BL422" s="185"/>
      <c r="BM422" s="185"/>
      <c r="BN422" s="185"/>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hidden="1" customHeight="1" outlineLevel="2">
      <c r="A423" s="9"/>
      <c r="B423" s="337"/>
      <c r="C423" s="337"/>
      <c r="D423" s="490"/>
      <c r="E423" s="337"/>
      <c r="F423" s="337"/>
      <c r="G423" s="337"/>
      <c r="H423" s="337"/>
      <c r="I423" s="337"/>
      <c r="J423" s="337"/>
      <c r="K423" s="337"/>
      <c r="L423" s="337"/>
      <c r="M423" s="461"/>
      <c r="N423" s="461"/>
      <c r="O423" s="461"/>
      <c r="P423" s="461"/>
      <c r="Q423" s="461"/>
      <c r="R423" s="102"/>
      <c r="S423" s="102"/>
      <c r="T423" s="102"/>
      <c r="U423" s="102"/>
      <c r="V423" s="102"/>
      <c r="W423" s="102"/>
      <c r="X423" s="102"/>
      <c r="Y423" s="102"/>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185"/>
      <c r="BJ423" s="185"/>
      <c r="BK423" s="185"/>
      <c r="BL423" s="185"/>
      <c r="BM423" s="185"/>
      <c r="BN423" s="185"/>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hidden="1" customHeight="1" outlineLevel="2">
      <c r="A424" s="9"/>
      <c r="B424" s="337"/>
      <c r="C424" s="337"/>
      <c r="D424" s="490"/>
      <c r="E424" s="337"/>
      <c r="F424" s="337"/>
      <c r="G424" s="337"/>
      <c r="H424" s="337"/>
      <c r="I424" s="337"/>
      <c r="J424" s="337"/>
      <c r="K424" s="337"/>
      <c r="L424" s="337"/>
      <c r="M424" s="461"/>
      <c r="N424" s="461"/>
      <c r="O424" s="461"/>
      <c r="P424" s="461"/>
      <c r="Q424" s="461"/>
      <c r="R424" s="102"/>
      <c r="S424" s="102"/>
      <c r="T424" s="102"/>
      <c r="U424" s="102"/>
      <c r="V424" s="102"/>
      <c r="W424" s="102"/>
      <c r="X424" s="102"/>
      <c r="Y424" s="102"/>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185"/>
      <c r="BJ424" s="185"/>
      <c r="BK424" s="185"/>
      <c r="BL424" s="185"/>
      <c r="BM424" s="185"/>
      <c r="BN424" s="185"/>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hidden="1" customHeight="1" outlineLevel="2">
      <c r="A425" s="9"/>
      <c r="B425" s="337"/>
      <c r="C425" s="337"/>
      <c r="D425" s="490"/>
      <c r="E425" s="337"/>
      <c r="F425" s="337"/>
      <c r="G425" s="337"/>
      <c r="H425" s="337"/>
      <c r="I425" s="337"/>
      <c r="J425" s="337"/>
      <c r="K425" s="337"/>
      <c r="L425" s="337"/>
      <c r="M425" s="461"/>
      <c r="N425" s="461"/>
      <c r="O425" s="461"/>
      <c r="P425" s="461"/>
      <c r="Q425" s="461"/>
      <c r="R425" s="102"/>
      <c r="S425" s="102"/>
      <c r="T425" s="102"/>
      <c r="U425" s="102"/>
      <c r="V425" s="102"/>
      <c r="W425" s="102"/>
      <c r="X425" s="102"/>
      <c r="Y425" s="102"/>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185"/>
      <c r="BJ425" s="185"/>
      <c r="BK425" s="185"/>
      <c r="BL425" s="185"/>
      <c r="BM425" s="185"/>
      <c r="BN425" s="18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hidden="1" customHeight="1" outlineLevel="2">
      <c r="A426" s="9"/>
      <c r="B426" s="337"/>
      <c r="C426" s="337"/>
      <c r="D426" s="490"/>
      <c r="E426" s="337"/>
      <c r="F426" s="337"/>
      <c r="G426" s="337"/>
      <c r="H426" s="337"/>
      <c r="I426" s="337"/>
      <c r="J426" s="337"/>
      <c r="K426" s="337"/>
      <c r="L426" s="337"/>
      <c r="M426" s="461"/>
      <c r="N426" s="461"/>
      <c r="O426" s="461"/>
      <c r="P426" s="461"/>
      <c r="Q426" s="461"/>
      <c r="R426" s="102"/>
      <c r="S426" s="102"/>
      <c r="T426" s="102"/>
      <c r="U426" s="102"/>
      <c r="V426" s="102"/>
      <c r="W426" s="102"/>
      <c r="X426" s="102"/>
      <c r="Y426" s="102"/>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185"/>
      <c r="BJ426" s="185"/>
      <c r="BK426" s="185"/>
      <c r="BL426" s="185"/>
      <c r="BM426" s="185"/>
      <c r="BN426" s="185"/>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hidden="1" customHeight="1" outlineLevel="2">
      <c r="A427" s="9"/>
      <c r="B427" s="337"/>
      <c r="C427" s="337"/>
      <c r="D427" s="490"/>
      <c r="E427" s="337"/>
      <c r="F427" s="337"/>
      <c r="G427" s="337"/>
      <c r="H427" s="337"/>
      <c r="I427" s="337"/>
      <c r="J427" s="337"/>
      <c r="K427" s="337"/>
      <c r="L427" s="337"/>
      <c r="M427" s="461"/>
      <c r="N427" s="461"/>
      <c r="O427" s="461"/>
      <c r="P427" s="461"/>
      <c r="Q427" s="461"/>
      <c r="R427" s="102"/>
      <c r="S427" s="102"/>
      <c r="T427" s="102"/>
      <c r="U427" s="102"/>
      <c r="V427" s="102"/>
      <c r="W427" s="102"/>
      <c r="X427" s="102"/>
      <c r="Y427" s="102"/>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185"/>
      <c r="BJ427" s="185"/>
      <c r="BK427" s="185"/>
      <c r="BL427" s="185"/>
      <c r="BM427" s="185"/>
      <c r="BN427" s="185"/>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hidden="1" customHeight="1" outlineLevel="1">
      <c r="A428" s="9"/>
      <c r="B428" s="337"/>
      <c r="C428" s="337"/>
      <c r="D428" s="337"/>
      <c r="E428" s="337"/>
      <c r="F428" s="337"/>
      <c r="G428" s="337"/>
      <c r="H428" s="337"/>
      <c r="I428" s="337"/>
      <c r="J428" s="337"/>
      <c r="K428" s="337"/>
      <c r="L428" s="337"/>
      <c r="M428" s="461"/>
      <c r="N428" s="461"/>
      <c r="O428" s="461"/>
      <c r="P428" s="461"/>
      <c r="Q428" s="461"/>
      <c r="R428" s="101"/>
      <c r="S428" s="101"/>
      <c r="T428" s="101"/>
      <c r="U428" s="101"/>
      <c r="V428" s="101"/>
      <c r="W428" s="101"/>
      <c r="X428" s="101"/>
      <c r="Y428" s="101"/>
      <c r="Z428" s="210"/>
      <c r="AA428" s="210"/>
      <c r="AB428" s="210"/>
      <c r="AC428" s="210"/>
      <c r="AD428" s="210"/>
      <c r="AE428" s="210"/>
      <c r="AF428" s="210"/>
      <c r="AG428" s="210"/>
      <c r="AH428" s="210"/>
      <c r="AI428" s="210"/>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185"/>
      <c r="BJ428" s="185"/>
      <c r="BK428" s="185"/>
      <c r="BL428" s="185"/>
      <c r="BM428" s="185"/>
      <c r="BN428" s="185"/>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hidden="1" customHeight="1" outlineLevel="2">
      <c r="A429" s="9"/>
      <c r="B429" s="337"/>
      <c r="C429" s="337"/>
      <c r="D429" s="337"/>
      <c r="E429" s="337"/>
      <c r="F429" s="337"/>
      <c r="G429" s="337"/>
      <c r="H429" s="337"/>
      <c r="I429" s="337"/>
      <c r="J429" s="337"/>
      <c r="K429" s="337"/>
      <c r="L429" s="337"/>
      <c r="M429" s="461"/>
      <c r="N429" s="461"/>
      <c r="O429" s="461"/>
      <c r="P429" s="461"/>
      <c r="Q429" s="461"/>
      <c r="R429" s="102"/>
      <c r="S429" s="102"/>
      <c r="T429" s="102"/>
      <c r="U429" s="102"/>
      <c r="V429" s="102"/>
      <c r="W429" s="102"/>
      <c r="X429" s="102"/>
      <c r="Y429" s="102"/>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185"/>
      <c r="BJ429" s="185"/>
      <c r="BK429" s="185"/>
      <c r="BL429" s="185"/>
      <c r="BM429" s="185"/>
      <c r="BN429" s="185"/>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hidden="1" customHeight="1" outlineLevel="2">
      <c r="A430" s="9"/>
      <c r="B430" s="337"/>
      <c r="C430" s="337"/>
      <c r="D430" s="490"/>
      <c r="E430" s="337"/>
      <c r="F430" s="337"/>
      <c r="G430" s="337"/>
      <c r="H430" s="337"/>
      <c r="I430" s="337"/>
      <c r="J430" s="337"/>
      <c r="K430" s="337"/>
      <c r="L430" s="337"/>
      <c r="M430" s="461"/>
      <c r="N430" s="461"/>
      <c r="O430" s="461"/>
      <c r="P430" s="461"/>
      <c r="Q430" s="461"/>
      <c r="R430" s="102"/>
      <c r="S430" s="102"/>
      <c r="T430" s="102"/>
      <c r="U430" s="102"/>
      <c r="V430" s="102"/>
      <c r="W430" s="102"/>
      <c r="X430" s="102"/>
      <c r="Y430" s="102"/>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185"/>
      <c r="BJ430" s="185"/>
      <c r="BK430" s="185"/>
      <c r="BL430" s="185"/>
      <c r="BM430" s="185"/>
      <c r="BN430" s="185"/>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hidden="1" customHeight="1" outlineLevel="2">
      <c r="A431" s="9"/>
      <c r="B431" s="337"/>
      <c r="C431" s="337"/>
      <c r="D431" s="490"/>
      <c r="E431" s="337"/>
      <c r="F431" s="337"/>
      <c r="G431" s="337"/>
      <c r="H431" s="337"/>
      <c r="I431" s="337"/>
      <c r="J431" s="337"/>
      <c r="K431" s="337"/>
      <c r="L431" s="337"/>
      <c r="M431" s="461"/>
      <c r="N431" s="461"/>
      <c r="O431" s="461"/>
      <c r="P431" s="461"/>
      <c r="Q431" s="461"/>
      <c r="R431" s="102"/>
      <c r="S431" s="102"/>
      <c r="T431" s="102"/>
      <c r="U431" s="102"/>
      <c r="V431" s="102"/>
      <c r="W431" s="102"/>
      <c r="X431" s="102"/>
      <c r="Y431" s="102"/>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185"/>
      <c r="BJ431" s="185"/>
      <c r="BK431" s="185"/>
      <c r="BL431" s="185"/>
      <c r="BM431" s="185"/>
      <c r="BN431" s="185"/>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hidden="1" customHeight="1" outlineLevel="2">
      <c r="A432" s="9"/>
      <c r="B432" s="337"/>
      <c r="C432" s="337"/>
      <c r="D432" s="490"/>
      <c r="E432" s="337"/>
      <c r="F432" s="337"/>
      <c r="G432" s="337"/>
      <c r="H432" s="337"/>
      <c r="I432" s="337"/>
      <c r="J432" s="337"/>
      <c r="K432" s="337"/>
      <c r="L432" s="337"/>
      <c r="M432" s="461"/>
      <c r="N432" s="461"/>
      <c r="O432" s="461"/>
      <c r="P432" s="461"/>
      <c r="Q432" s="461"/>
      <c r="R432" s="102"/>
      <c r="S432" s="102"/>
      <c r="T432" s="102"/>
      <c r="U432" s="102"/>
      <c r="V432" s="102"/>
      <c r="W432" s="102"/>
      <c r="X432" s="102"/>
      <c r="Y432" s="102"/>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185"/>
      <c r="BJ432" s="185"/>
      <c r="BK432" s="185"/>
      <c r="BL432" s="185"/>
      <c r="BM432" s="185"/>
      <c r="BN432" s="185"/>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hidden="1" customHeight="1" outlineLevel="2">
      <c r="A433" s="9"/>
      <c r="B433" s="337"/>
      <c r="C433" s="337"/>
      <c r="D433" s="490"/>
      <c r="E433" s="337"/>
      <c r="F433" s="337"/>
      <c r="G433" s="337"/>
      <c r="H433" s="337"/>
      <c r="I433" s="337"/>
      <c r="J433" s="337"/>
      <c r="K433" s="337"/>
      <c r="L433" s="337"/>
      <c r="M433" s="461"/>
      <c r="N433" s="461"/>
      <c r="O433" s="461"/>
      <c r="P433" s="461"/>
      <c r="Q433" s="461"/>
      <c r="R433" s="102"/>
      <c r="S433" s="102"/>
      <c r="T433" s="102"/>
      <c r="U433" s="102"/>
      <c r="V433" s="102"/>
      <c r="W433" s="102"/>
      <c r="X433" s="102"/>
      <c r="Y433" s="102"/>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2"/>
      <c r="BJ433" s="185"/>
      <c r="BK433" s="185"/>
      <c r="BL433" s="185"/>
      <c r="BM433" s="185"/>
      <c r="BN433" s="185"/>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hidden="1" customHeight="1" outlineLevel="2">
      <c r="A434" s="9"/>
      <c r="B434" s="337"/>
      <c r="C434" s="337"/>
      <c r="D434" s="490"/>
      <c r="E434" s="337"/>
      <c r="F434" s="337"/>
      <c r="G434" s="337"/>
      <c r="H434" s="337"/>
      <c r="I434" s="337"/>
      <c r="J434" s="337"/>
      <c r="K434" s="337"/>
      <c r="L434" s="337"/>
      <c r="M434" s="461"/>
      <c r="N434" s="461"/>
      <c r="O434" s="461"/>
      <c r="P434" s="461"/>
      <c r="Q434" s="461"/>
      <c r="R434" s="102"/>
      <c r="S434" s="102"/>
      <c r="T434" s="102"/>
      <c r="U434" s="102"/>
      <c r="V434" s="102"/>
      <c r="W434" s="102"/>
      <c r="X434" s="102"/>
      <c r="Y434" s="102"/>
      <c r="Z434" s="211"/>
      <c r="AA434" s="211"/>
      <c r="AB434" s="211"/>
      <c r="AC434" s="211"/>
      <c r="AD434" s="211"/>
      <c r="AE434" s="211"/>
      <c r="AF434" s="211"/>
      <c r="AG434" s="211"/>
      <c r="AH434" s="211"/>
      <c r="AI434" s="211"/>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185"/>
      <c r="BJ434" s="185"/>
      <c r="BK434" s="185"/>
      <c r="BL434" s="185"/>
      <c r="BM434" s="185"/>
      <c r="BN434" s="185"/>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hidden="1" customHeight="1" outlineLevel="2">
      <c r="A435" s="9"/>
      <c r="B435" s="337"/>
      <c r="C435" s="337"/>
      <c r="D435" s="490"/>
      <c r="E435" s="337"/>
      <c r="F435" s="337"/>
      <c r="G435" s="337"/>
      <c r="H435" s="337"/>
      <c r="I435" s="337"/>
      <c r="J435" s="337"/>
      <c r="K435" s="337"/>
      <c r="L435" s="337"/>
      <c r="M435" s="461"/>
      <c r="N435" s="461"/>
      <c r="O435" s="461"/>
      <c r="P435" s="461"/>
      <c r="Q435" s="461"/>
      <c r="R435" s="102"/>
      <c r="S435" s="102"/>
      <c r="T435" s="102"/>
      <c r="U435" s="102"/>
      <c r="V435" s="102"/>
      <c r="W435" s="102"/>
      <c r="X435" s="102"/>
      <c r="Y435" s="102"/>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185"/>
      <c r="BJ435" s="185"/>
      <c r="BK435" s="185"/>
      <c r="BL435" s="185"/>
      <c r="BM435" s="185"/>
      <c r="BN435" s="18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hidden="1" customHeight="1" outlineLevel="2">
      <c r="A436" s="9"/>
      <c r="B436" s="337"/>
      <c r="C436" s="337"/>
      <c r="D436" s="490"/>
      <c r="E436" s="337"/>
      <c r="F436" s="337"/>
      <c r="G436" s="337"/>
      <c r="H436" s="337"/>
      <c r="I436" s="337"/>
      <c r="J436" s="337"/>
      <c r="K436" s="337"/>
      <c r="L436" s="337"/>
      <c r="M436" s="461"/>
      <c r="N436" s="461"/>
      <c r="O436" s="461"/>
      <c r="P436" s="461"/>
      <c r="Q436" s="461"/>
      <c r="R436" s="102"/>
      <c r="S436" s="102"/>
      <c r="T436" s="102"/>
      <c r="U436" s="102"/>
      <c r="V436" s="102"/>
      <c r="W436" s="102"/>
      <c r="X436" s="102"/>
      <c r="Y436" s="102"/>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185"/>
      <c r="BJ436" s="185"/>
      <c r="BK436" s="185"/>
      <c r="BL436" s="185"/>
      <c r="BM436" s="185"/>
      <c r="BN436" s="185"/>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hidden="1" customHeight="1" outlineLevel="2">
      <c r="A437" s="9"/>
      <c r="B437" s="337"/>
      <c r="C437" s="337"/>
      <c r="D437" s="490"/>
      <c r="E437" s="337"/>
      <c r="F437" s="337"/>
      <c r="G437" s="337"/>
      <c r="H437" s="337"/>
      <c r="I437" s="337"/>
      <c r="J437" s="337"/>
      <c r="K437" s="337"/>
      <c r="L437" s="337"/>
      <c r="M437" s="461"/>
      <c r="N437" s="461"/>
      <c r="O437" s="461"/>
      <c r="P437" s="461"/>
      <c r="Q437" s="461"/>
      <c r="R437" s="102"/>
      <c r="S437" s="102"/>
      <c r="T437" s="102"/>
      <c r="U437" s="102"/>
      <c r="V437" s="102"/>
      <c r="W437" s="102"/>
      <c r="X437" s="102"/>
      <c r="Y437" s="102"/>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185"/>
      <c r="BJ437" s="185"/>
      <c r="BK437" s="185"/>
      <c r="BL437" s="185"/>
      <c r="BM437" s="185"/>
      <c r="BN437" s="185"/>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hidden="1" customHeight="1" outlineLevel="2">
      <c r="A438" s="9"/>
      <c r="B438" s="337"/>
      <c r="C438" s="337"/>
      <c r="D438" s="490"/>
      <c r="E438" s="337"/>
      <c r="F438" s="337"/>
      <c r="G438" s="337"/>
      <c r="H438" s="337"/>
      <c r="I438" s="337"/>
      <c r="J438" s="337"/>
      <c r="K438" s="337"/>
      <c r="L438" s="337"/>
      <c r="M438" s="461"/>
      <c r="N438" s="461"/>
      <c r="O438" s="461"/>
      <c r="P438" s="461"/>
      <c r="Q438" s="461"/>
      <c r="R438" s="102"/>
      <c r="S438" s="102"/>
      <c r="T438" s="102"/>
      <c r="U438" s="102"/>
      <c r="V438" s="102"/>
      <c r="W438" s="102"/>
      <c r="X438" s="102"/>
      <c r="Y438" s="102"/>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185"/>
      <c r="BJ438" s="185"/>
      <c r="BK438" s="185"/>
      <c r="BL438" s="185"/>
      <c r="BM438" s="185"/>
      <c r="BN438" s="185"/>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hidden="1" customHeight="1" outlineLevel="2">
      <c r="A439" s="9"/>
      <c r="B439" s="337"/>
      <c r="C439" s="337"/>
      <c r="D439" s="490"/>
      <c r="E439" s="337"/>
      <c r="F439" s="337"/>
      <c r="G439" s="337"/>
      <c r="H439" s="337"/>
      <c r="I439" s="337"/>
      <c r="J439" s="337"/>
      <c r="K439" s="337"/>
      <c r="L439" s="337"/>
      <c r="M439" s="461"/>
      <c r="N439" s="461"/>
      <c r="O439" s="461"/>
      <c r="P439" s="461"/>
      <c r="Q439" s="461"/>
      <c r="R439" s="102"/>
      <c r="S439" s="102"/>
      <c r="T439" s="102"/>
      <c r="U439" s="102"/>
      <c r="V439" s="102"/>
      <c r="W439" s="102"/>
      <c r="X439" s="102"/>
      <c r="Y439" s="102"/>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185"/>
      <c r="BJ439" s="185"/>
      <c r="BK439" s="185"/>
      <c r="BL439" s="185"/>
      <c r="BM439" s="185"/>
      <c r="BN439" s="185"/>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hidden="1" customHeight="1" outlineLevel="2">
      <c r="A440" s="9"/>
      <c r="B440" s="337"/>
      <c r="C440" s="337"/>
      <c r="D440" s="490"/>
      <c r="E440" s="337"/>
      <c r="F440" s="337"/>
      <c r="G440" s="337"/>
      <c r="H440" s="337"/>
      <c r="I440" s="337"/>
      <c r="J440" s="337"/>
      <c r="K440" s="337"/>
      <c r="L440" s="337"/>
      <c r="M440" s="461"/>
      <c r="N440" s="461"/>
      <c r="O440" s="461"/>
      <c r="P440" s="461"/>
      <c r="Q440" s="461"/>
      <c r="R440" s="102"/>
      <c r="S440" s="102"/>
      <c r="T440" s="102"/>
      <c r="U440" s="102"/>
      <c r="V440" s="102"/>
      <c r="W440" s="102"/>
      <c r="X440" s="102"/>
      <c r="Y440" s="102"/>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185"/>
      <c r="BJ440" s="185"/>
      <c r="BK440" s="185"/>
      <c r="BL440" s="185"/>
      <c r="BM440" s="185"/>
      <c r="BN440" s="185"/>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hidden="1" customHeight="1" outlineLevel="2">
      <c r="A441" s="9"/>
      <c r="B441" s="337"/>
      <c r="C441" s="337"/>
      <c r="D441" s="490"/>
      <c r="E441" s="337"/>
      <c r="F441" s="337"/>
      <c r="G441" s="337"/>
      <c r="H441" s="337"/>
      <c r="I441" s="337"/>
      <c r="J441" s="337"/>
      <c r="K441" s="337"/>
      <c r="L441" s="337"/>
      <c r="M441" s="461"/>
      <c r="N441" s="461"/>
      <c r="O441" s="461"/>
      <c r="P441" s="461"/>
      <c r="Q441" s="461"/>
      <c r="R441" s="102"/>
      <c r="S441" s="102"/>
      <c r="T441" s="102"/>
      <c r="U441" s="102"/>
      <c r="V441" s="102"/>
      <c r="W441" s="102"/>
      <c r="X441" s="102"/>
      <c r="Y441" s="102"/>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185"/>
      <c r="BJ441" s="185"/>
      <c r="BK441" s="185"/>
      <c r="BL441" s="185"/>
      <c r="BM441" s="185"/>
      <c r="BN441" s="185"/>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hidden="1" customHeight="1" outlineLevel="1">
      <c r="A442" s="9"/>
      <c r="B442" s="337"/>
      <c r="C442" s="337"/>
      <c r="D442" s="337"/>
      <c r="E442" s="337"/>
      <c r="F442" s="337"/>
      <c r="G442" s="337"/>
      <c r="H442" s="337"/>
      <c r="I442" s="337"/>
      <c r="J442" s="337"/>
      <c r="K442" s="337"/>
      <c r="L442" s="337"/>
      <c r="M442" s="461"/>
      <c r="N442" s="461"/>
      <c r="O442" s="461"/>
      <c r="P442" s="461"/>
      <c r="Q442" s="461"/>
      <c r="R442" s="101"/>
      <c r="S442" s="101"/>
      <c r="T442" s="101"/>
      <c r="U442" s="101"/>
      <c r="V442" s="101"/>
      <c r="W442" s="101"/>
      <c r="X442" s="101"/>
      <c r="Y442" s="101"/>
      <c r="Z442" s="210"/>
      <c r="AA442" s="210"/>
      <c r="AB442" s="210"/>
      <c r="AC442" s="210"/>
      <c r="AD442" s="210"/>
      <c r="AE442" s="210"/>
      <c r="AF442" s="210"/>
      <c r="AG442" s="210"/>
      <c r="AH442" s="210"/>
      <c r="AI442" s="210"/>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185"/>
      <c r="BJ442" s="185"/>
      <c r="BK442" s="185"/>
      <c r="BL442" s="185"/>
      <c r="BM442" s="185"/>
      <c r="BN442" s="185"/>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hidden="1" customHeight="1" outlineLevel="2">
      <c r="A443" s="9"/>
      <c r="B443" s="337"/>
      <c r="C443" s="337"/>
      <c r="D443" s="337"/>
      <c r="E443" s="337"/>
      <c r="F443" s="337"/>
      <c r="G443" s="337"/>
      <c r="H443" s="337"/>
      <c r="I443" s="337"/>
      <c r="J443" s="337"/>
      <c r="K443" s="337"/>
      <c r="L443" s="337"/>
      <c r="M443" s="461"/>
      <c r="N443" s="461"/>
      <c r="O443" s="461"/>
      <c r="P443" s="461"/>
      <c r="Q443" s="461"/>
      <c r="R443" s="102"/>
      <c r="S443" s="102"/>
      <c r="T443" s="102"/>
      <c r="U443" s="102"/>
      <c r="V443" s="102"/>
      <c r="W443" s="102"/>
      <c r="X443" s="102"/>
      <c r="Y443" s="102"/>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185"/>
      <c r="BJ443" s="185"/>
      <c r="BK443" s="185"/>
      <c r="BL443" s="185"/>
      <c r="BM443" s="185"/>
      <c r="BN443" s="185"/>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hidden="1" customHeight="1" outlineLevel="2">
      <c r="A444" s="9"/>
      <c r="B444" s="337"/>
      <c r="C444" s="337"/>
      <c r="D444" s="490"/>
      <c r="E444" s="337"/>
      <c r="F444" s="337"/>
      <c r="G444" s="337"/>
      <c r="H444" s="337"/>
      <c r="I444" s="337"/>
      <c r="J444" s="337"/>
      <c r="K444" s="337"/>
      <c r="L444" s="337"/>
      <c r="M444" s="461"/>
      <c r="N444" s="461"/>
      <c r="O444" s="461"/>
      <c r="P444" s="461"/>
      <c r="Q444" s="461"/>
      <c r="R444" s="102"/>
      <c r="S444" s="102"/>
      <c r="T444" s="102"/>
      <c r="U444" s="102"/>
      <c r="V444" s="102"/>
      <c r="W444" s="102"/>
      <c r="X444" s="102"/>
      <c r="Y444" s="102"/>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185"/>
      <c r="BJ444" s="185"/>
      <c r="BK444" s="185"/>
      <c r="BL444" s="185"/>
      <c r="BM444" s="185"/>
      <c r="BN444" s="185"/>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hidden="1" customHeight="1" outlineLevel="2">
      <c r="A445" s="9"/>
      <c r="B445" s="337"/>
      <c r="C445" s="337"/>
      <c r="D445" s="490"/>
      <c r="E445" s="337"/>
      <c r="F445" s="337"/>
      <c r="G445" s="337"/>
      <c r="H445" s="337"/>
      <c r="I445" s="337"/>
      <c r="J445" s="337"/>
      <c r="K445" s="337"/>
      <c r="L445" s="337"/>
      <c r="M445" s="461"/>
      <c r="N445" s="461"/>
      <c r="O445" s="461"/>
      <c r="P445" s="461"/>
      <c r="Q445" s="461"/>
      <c r="R445" s="102"/>
      <c r="S445" s="102"/>
      <c r="T445" s="102"/>
      <c r="U445" s="102"/>
      <c r="V445" s="102"/>
      <c r="W445" s="102"/>
      <c r="X445" s="102"/>
      <c r="Y445" s="102"/>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185"/>
      <c r="BJ445" s="185"/>
      <c r="BK445" s="185"/>
      <c r="BL445" s="185"/>
      <c r="BM445" s="185"/>
      <c r="BN445" s="18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hidden="1" customHeight="1" outlineLevel="2">
      <c r="A446" s="9"/>
      <c r="B446" s="337"/>
      <c r="C446" s="337"/>
      <c r="D446" s="490"/>
      <c r="E446" s="337"/>
      <c r="F446" s="337"/>
      <c r="G446" s="337"/>
      <c r="H446" s="337"/>
      <c r="I446" s="337"/>
      <c r="J446" s="337"/>
      <c r="K446" s="337"/>
      <c r="L446" s="337"/>
      <c r="M446" s="461"/>
      <c r="N446" s="461"/>
      <c r="O446" s="461"/>
      <c r="P446" s="461"/>
      <c r="Q446" s="461"/>
      <c r="R446" s="102"/>
      <c r="S446" s="102"/>
      <c r="T446" s="102"/>
      <c r="U446" s="102"/>
      <c r="V446" s="102"/>
      <c r="W446" s="102"/>
      <c r="X446" s="102"/>
      <c r="Y446" s="102"/>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185"/>
      <c r="BJ446" s="185"/>
      <c r="BK446" s="185"/>
      <c r="BL446" s="185"/>
      <c r="BM446" s="185"/>
      <c r="BN446" s="185"/>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hidden="1" customHeight="1" outlineLevel="2">
      <c r="A447" s="9"/>
      <c r="B447" s="337"/>
      <c r="C447" s="337"/>
      <c r="D447" s="490"/>
      <c r="E447" s="337"/>
      <c r="F447" s="337"/>
      <c r="G447" s="337"/>
      <c r="H447" s="337"/>
      <c r="I447" s="337"/>
      <c r="J447" s="337"/>
      <c r="K447" s="337"/>
      <c r="L447" s="337"/>
      <c r="M447" s="461"/>
      <c r="N447" s="461"/>
      <c r="O447" s="461"/>
      <c r="P447" s="461"/>
      <c r="Q447" s="461"/>
      <c r="R447" s="102"/>
      <c r="S447" s="102"/>
      <c r="T447" s="102"/>
      <c r="U447" s="102"/>
      <c r="V447" s="102"/>
      <c r="W447" s="102"/>
      <c r="X447" s="102"/>
      <c r="Y447" s="102"/>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2"/>
      <c r="BJ447" s="185"/>
      <c r="BK447" s="185"/>
      <c r="BL447" s="185"/>
      <c r="BM447" s="185"/>
      <c r="BN447" s="185"/>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hidden="1" customHeight="1" outlineLevel="2">
      <c r="A448" s="9"/>
      <c r="B448" s="337"/>
      <c r="C448" s="337"/>
      <c r="D448" s="490"/>
      <c r="E448" s="337"/>
      <c r="F448" s="337"/>
      <c r="G448" s="337"/>
      <c r="H448" s="337"/>
      <c r="I448" s="337"/>
      <c r="J448" s="337"/>
      <c r="K448" s="337"/>
      <c r="L448" s="337"/>
      <c r="M448" s="461"/>
      <c r="N448" s="461"/>
      <c r="O448" s="461"/>
      <c r="P448" s="461"/>
      <c r="Q448" s="461"/>
      <c r="R448" s="102"/>
      <c r="S448" s="102"/>
      <c r="T448" s="102"/>
      <c r="U448" s="102"/>
      <c r="V448" s="102"/>
      <c r="W448" s="102"/>
      <c r="X448" s="102"/>
      <c r="Y448" s="102"/>
      <c r="Z448" s="211"/>
      <c r="AA448" s="211"/>
      <c r="AB448" s="211"/>
      <c r="AC448" s="211"/>
      <c r="AD448" s="211"/>
      <c r="AE448" s="211"/>
      <c r="AF448" s="211"/>
      <c r="AG448" s="211"/>
      <c r="AH448" s="211"/>
      <c r="AI448" s="211"/>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185"/>
      <c r="BJ448" s="185"/>
      <c r="BK448" s="185"/>
      <c r="BL448" s="185"/>
      <c r="BM448" s="185"/>
      <c r="BN448" s="185"/>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hidden="1" customHeight="1" outlineLevel="2">
      <c r="A449" s="9"/>
      <c r="B449" s="337"/>
      <c r="C449" s="337"/>
      <c r="D449" s="490"/>
      <c r="E449" s="337"/>
      <c r="F449" s="337"/>
      <c r="G449" s="337"/>
      <c r="H449" s="337"/>
      <c r="I449" s="337"/>
      <c r="J449" s="337"/>
      <c r="K449" s="337"/>
      <c r="L449" s="337"/>
      <c r="M449" s="461"/>
      <c r="N449" s="461"/>
      <c r="O449" s="461"/>
      <c r="P449" s="461"/>
      <c r="Q449" s="461"/>
      <c r="R449" s="102"/>
      <c r="S449" s="102"/>
      <c r="T449" s="102"/>
      <c r="U449" s="102"/>
      <c r="V449" s="102"/>
      <c r="W449" s="102"/>
      <c r="X449" s="102"/>
      <c r="Y449" s="102"/>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185"/>
      <c r="BJ449" s="185"/>
      <c r="BK449" s="185"/>
      <c r="BL449" s="185"/>
      <c r="BM449" s="185"/>
      <c r="BN449" s="185"/>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hidden="1" customHeight="1" outlineLevel="2">
      <c r="A450" s="9"/>
      <c r="B450" s="337"/>
      <c r="C450" s="337"/>
      <c r="D450" s="490"/>
      <c r="E450" s="337"/>
      <c r="F450" s="337"/>
      <c r="G450" s="337"/>
      <c r="H450" s="337"/>
      <c r="I450" s="337"/>
      <c r="J450" s="337"/>
      <c r="K450" s="337"/>
      <c r="L450" s="337"/>
      <c r="M450" s="461"/>
      <c r="N450" s="461"/>
      <c r="O450" s="461"/>
      <c r="P450" s="461"/>
      <c r="Q450" s="461"/>
      <c r="R450" s="102"/>
      <c r="S450" s="102"/>
      <c r="T450" s="102"/>
      <c r="U450" s="102"/>
      <c r="V450" s="102"/>
      <c r="W450" s="102"/>
      <c r="X450" s="102"/>
      <c r="Y450" s="102"/>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185"/>
      <c r="BJ450" s="185"/>
      <c r="BK450" s="185"/>
      <c r="BL450" s="185"/>
      <c r="BM450" s="185"/>
      <c r="BN450" s="185"/>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hidden="1" customHeight="1" outlineLevel="2">
      <c r="A451" s="9"/>
      <c r="B451" s="337"/>
      <c r="C451" s="337"/>
      <c r="D451" s="490"/>
      <c r="E451" s="337"/>
      <c r="F451" s="337"/>
      <c r="G451" s="337"/>
      <c r="H451" s="337"/>
      <c r="I451" s="337"/>
      <c r="J451" s="337"/>
      <c r="K451" s="337"/>
      <c r="L451" s="337"/>
      <c r="M451" s="461"/>
      <c r="N451" s="461"/>
      <c r="O451" s="461"/>
      <c r="P451" s="461"/>
      <c r="Q451" s="461"/>
      <c r="R451" s="102"/>
      <c r="S451" s="102"/>
      <c r="T451" s="102"/>
      <c r="U451" s="102"/>
      <c r="V451" s="102"/>
      <c r="W451" s="102"/>
      <c r="X451" s="102"/>
      <c r="Y451" s="102"/>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185"/>
      <c r="BJ451" s="185"/>
      <c r="BK451" s="185"/>
      <c r="BL451" s="185"/>
      <c r="BM451" s="185"/>
      <c r="BN451" s="185"/>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hidden="1" customHeight="1" outlineLevel="2">
      <c r="A452" s="9"/>
      <c r="B452" s="337"/>
      <c r="C452" s="337"/>
      <c r="D452" s="490"/>
      <c r="E452" s="337"/>
      <c r="F452" s="337"/>
      <c r="G452" s="337"/>
      <c r="H452" s="337"/>
      <c r="I452" s="337"/>
      <c r="J452" s="337"/>
      <c r="K452" s="337"/>
      <c r="L452" s="337"/>
      <c r="M452" s="461"/>
      <c r="N452" s="461"/>
      <c r="O452" s="461"/>
      <c r="P452" s="461"/>
      <c r="Q452" s="461"/>
      <c r="R452" s="102"/>
      <c r="S452" s="102"/>
      <c r="T452" s="102"/>
      <c r="U452" s="102"/>
      <c r="V452" s="102"/>
      <c r="W452" s="102"/>
      <c r="X452" s="102"/>
      <c r="Y452" s="102"/>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185"/>
      <c r="BJ452" s="185"/>
      <c r="BK452" s="185"/>
      <c r="BL452" s="185"/>
      <c r="BM452" s="185"/>
      <c r="BN452" s="185"/>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hidden="1" customHeight="1" outlineLevel="2">
      <c r="A453" s="9"/>
      <c r="B453" s="337"/>
      <c r="C453" s="337"/>
      <c r="D453" s="490"/>
      <c r="E453" s="337"/>
      <c r="F453" s="337"/>
      <c r="G453" s="337"/>
      <c r="H453" s="337"/>
      <c r="I453" s="337"/>
      <c r="J453" s="337"/>
      <c r="K453" s="337"/>
      <c r="L453" s="337"/>
      <c r="M453" s="461"/>
      <c r="N453" s="461"/>
      <c r="O453" s="461"/>
      <c r="P453" s="461"/>
      <c r="Q453" s="461"/>
      <c r="R453" s="102"/>
      <c r="S453" s="102"/>
      <c r="T453" s="102"/>
      <c r="U453" s="102"/>
      <c r="V453" s="102"/>
      <c r="W453" s="102"/>
      <c r="X453" s="102"/>
      <c r="Y453" s="102"/>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185"/>
      <c r="BJ453" s="185"/>
      <c r="BK453" s="185"/>
      <c r="BL453" s="185"/>
      <c r="BM453" s="185"/>
      <c r="BN453" s="185"/>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hidden="1" customHeight="1" outlineLevel="2">
      <c r="A454" s="9"/>
      <c r="B454" s="337"/>
      <c r="C454" s="337"/>
      <c r="D454" s="490"/>
      <c r="E454" s="337"/>
      <c r="F454" s="337"/>
      <c r="G454" s="337"/>
      <c r="H454" s="337"/>
      <c r="I454" s="337"/>
      <c r="J454" s="337"/>
      <c r="K454" s="337"/>
      <c r="L454" s="337"/>
      <c r="M454" s="461"/>
      <c r="N454" s="461"/>
      <c r="O454" s="461"/>
      <c r="P454" s="461"/>
      <c r="Q454" s="461"/>
      <c r="R454" s="102"/>
      <c r="S454" s="102"/>
      <c r="T454" s="102"/>
      <c r="U454" s="102"/>
      <c r="V454" s="102"/>
      <c r="W454" s="102"/>
      <c r="X454" s="102"/>
      <c r="Y454" s="102"/>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185"/>
      <c r="BJ454" s="185"/>
      <c r="BK454" s="185"/>
      <c r="BL454" s="185"/>
      <c r="BM454" s="185"/>
      <c r="BN454" s="185"/>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hidden="1" customHeight="1" outlineLevel="2">
      <c r="A455" s="9"/>
      <c r="B455" s="337"/>
      <c r="C455" s="337"/>
      <c r="D455" s="490"/>
      <c r="E455" s="337"/>
      <c r="F455" s="337"/>
      <c r="G455" s="337"/>
      <c r="H455" s="337"/>
      <c r="I455" s="337"/>
      <c r="J455" s="337"/>
      <c r="K455" s="337"/>
      <c r="L455" s="337"/>
      <c r="M455" s="461"/>
      <c r="N455" s="461"/>
      <c r="O455" s="461"/>
      <c r="P455" s="461"/>
      <c r="Q455" s="461"/>
      <c r="R455" s="102"/>
      <c r="S455" s="102"/>
      <c r="T455" s="102"/>
      <c r="U455" s="102"/>
      <c r="V455" s="102"/>
      <c r="W455" s="102"/>
      <c r="X455" s="102"/>
      <c r="Y455" s="102"/>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185"/>
      <c r="BJ455" s="185"/>
      <c r="BK455" s="185"/>
      <c r="BL455" s="185"/>
      <c r="BM455" s="185"/>
      <c r="BN455" s="18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hidden="1" customHeight="1" outlineLevel="1">
      <c r="A456" s="9"/>
      <c r="B456" s="337"/>
      <c r="C456" s="337"/>
      <c r="D456" s="337"/>
      <c r="E456" s="337"/>
      <c r="F456" s="337"/>
      <c r="G456" s="337"/>
      <c r="H456" s="337"/>
      <c r="I456" s="337"/>
      <c r="J456" s="337"/>
      <c r="K456" s="337"/>
      <c r="L456" s="337"/>
      <c r="M456" s="461"/>
      <c r="N456" s="461"/>
      <c r="O456" s="461"/>
      <c r="P456" s="461"/>
      <c r="Q456" s="461"/>
      <c r="R456" s="101"/>
      <c r="S456" s="101"/>
      <c r="T456" s="101"/>
      <c r="U456" s="101"/>
      <c r="V456" s="101"/>
      <c r="W456" s="101"/>
      <c r="X456" s="101"/>
      <c r="Y456" s="101"/>
      <c r="Z456" s="210"/>
      <c r="AA456" s="210"/>
      <c r="AB456" s="210"/>
      <c r="AC456" s="210"/>
      <c r="AD456" s="210"/>
      <c r="AE456" s="210"/>
      <c r="AF456" s="210"/>
      <c r="AG456" s="210"/>
      <c r="AH456" s="210"/>
      <c r="AI456" s="210"/>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185"/>
      <c r="BJ456" s="185"/>
      <c r="BK456" s="185"/>
      <c r="BL456" s="185"/>
      <c r="BM456" s="185"/>
      <c r="BN456" s="185"/>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hidden="1" customHeight="1" outlineLevel="2">
      <c r="A457" s="9"/>
      <c r="B457" s="337"/>
      <c r="C457" s="337"/>
      <c r="D457" s="337"/>
      <c r="E457" s="337"/>
      <c r="F457" s="337"/>
      <c r="G457" s="337"/>
      <c r="H457" s="337"/>
      <c r="I457" s="337"/>
      <c r="J457" s="337"/>
      <c r="K457" s="337"/>
      <c r="L457" s="337"/>
      <c r="M457" s="461"/>
      <c r="N457" s="461"/>
      <c r="O457" s="461"/>
      <c r="P457" s="461"/>
      <c r="Q457" s="461"/>
      <c r="R457" s="102"/>
      <c r="S457" s="102"/>
      <c r="T457" s="102"/>
      <c r="U457" s="102"/>
      <c r="V457" s="102"/>
      <c r="W457" s="102"/>
      <c r="X457" s="102"/>
      <c r="Y457" s="102"/>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185"/>
      <c r="BJ457" s="185"/>
      <c r="BK457" s="185"/>
      <c r="BL457" s="185"/>
      <c r="BM457" s="185"/>
      <c r="BN457" s="185"/>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hidden="1" customHeight="1" outlineLevel="2">
      <c r="A458" s="9"/>
      <c r="B458" s="337"/>
      <c r="C458" s="337"/>
      <c r="D458" s="490"/>
      <c r="E458" s="337"/>
      <c r="F458" s="337"/>
      <c r="G458" s="337"/>
      <c r="H458" s="337"/>
      <c r="I458" s="337"/>
      <c r="J458" s="337"/>
      <c r="K458" s="337"/>
      <c r="L458" s="337"/>
      <c r="M458" s="461"/>
      <c r="N458" s="461"/>
      <c r="O458" s="461"/>
      <c r="P458" s="461"/>
      <c r="Q458" s="461"/>
      <c r="R458" s="102"/>
      <c r="S458" s="102"/>
      <c r="T458" s="102"/>
      <c r="U458" s="102"/>
      <c r="V458" s="102"/>
      <c r="W458" s="102"/>
      <c r="X458" s="102"/>
      <c r="Y458" s="102"/>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185"/>
      <c r="BJ458" s="185"/>
      <c r="BK458" s="185"/>
      <c r="BL458" s="185"/>
      <c r="BM458" s="185"/>
      <c r="BN458" s="185"/>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hidden="1" customHeight="1" outlineLevel="2">
      <c r="A459" s="9"/>
      <c r="B459" s="337"/>
      <c r="C459" s="337"/>
      <c r="D459" s="490"/>
      <c r="E459" s="337"/>
      <c r="F459" s="337"/>
      <c r="G459" s="337"/>
      <c r="H459" s="337"/>
      <c r="I459" s="337"/>
      <c r="J459" s="337"/>
      <c r="K459" s="337"/>
      <c r="L459" s="337"/>
      <c r="M459" s="461"/>
      <c r="N459" s="461"/>
      <c r="O459" s="461"/>
      <c r="P459" s="461"/>
      <c r="Q459" s="461"/>
      <c r="R459" s="102"/>
      <c r="S459" s="102"/>
      <c r="T459" s="102"/>
      <c r="U459" s="102"/>
      <c r="V459" s="102"/>
      <c r="W459" s="102"/>
      <c r="X459" s="102"/>
      <c r="Y459" s="102"/>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185"/>
      <c r="BJ459" s="185"/>
      <c r="BK459" s="185"/>
      <c r="BL459" s="185"/>
      <c r="BM459" s="185"/>
      <c r="BN459" s="185"/>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hidden="1" customHeight="1" outlineLevel="2">
      <c r="A460" s="9"/>
      <c r="B460" s="337"/>
      <c r="C460" s="337"/>
      <c r="D460" s="490"/>
      <c r="E460" s="337"/>
      <c r="F460" s="337"/>
      <c r="G460" s="337"/>
      <c r="H460" s="337"/>
      <c r="I460" s="337"/>
      <c r="J460" s="337"/>
      <c r="K460" s="337"/>
      <c r="L460" s="337"/>
      <c r="M460" s="461"/>
      <c r="N460" s="461"/>
      <c r="O460" s="461"/>
      <c r="P460" s="461"/>
      <c r="Q460" s="461"/>
      <c r="R460" s="102"/>
      <c r="S460" s="102"/>
      <c r="T460" s="102"/>
      <c r="U460" s="102"/>
      <c r="V460" s="102"/>
      <c r="W460" s="102"/>
      <c r="X460" s="102"/>
      <c r="Y460" s="102"/>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185"/>
      <c r="BJ460" s="185"/>
      <c r="BK460" s="185"/>
      <c r="BL460" s="185"/>
      <c r="BM460" s="185"/>
      <c r="BN460" s="185"/>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hidden="1" customHeight="1" outlineLevel="2">
      <c r="A461" s="9"/>
      <c r="B461" s="337"/>
      <c r="C461" s="337"/>
      <c r="D461" s="490"/>
      <c r="E461" s="337"/>
      <c r="F461" s="337"/>
      <c r="G461" s="337"/>
      <c r="H461" s="337"/>
      <c r="I461" s="337"/>
      <c r="J461" s="337"/>
      <c r="K461" s="337"/>
      <c r="L461" s="337"/>
      <c r="M461" s="461"/>
      <c r="N461" s="461"/>
      <c r="O461" s="461"/>
      <c r="P461" s="461"/>
      <c r="Q461" s="461"/>
      <c r="R461" s="102"/>
      <c r="S461" s="102"/>
      <c r="T461" s="102"/>
      <c r="U461" s="102"/>
      <c r="V461" s="102"/>
      <c r="W461" s="102"/>
      <c r="X461" s="102"/>
      <c r="Y461" s="102"/>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2"/>
      <c r="BJ461" s="185"/>
      <c r="BK461" s="185"/>
      <c r="BL461" s="185"/>
      <c r="BM461" s="185"/>
      <c r="BN461" s="185"/>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hidden="1" customHeight="1" outlineLevel="2">
      <c r="A462" s="9"/>
      <c r="B462" s="337"/>
      <c r="C462" s="337"/>
      <c r="D462" s="490"/>
      <c r="E462" s="337"/>
      <c r="F462" s="337"/>
      <c r="G462" s="337"/>
      <c r="H462" s="337"/>
      <c r="I462" s="337"/>
      <c r="J462" s="337"/>
      <c r="K462" s="337"/>
      <c r="L462" s="337"/>
      <c r="M462" s="461"/>
      <c r="N462" s="461"/>
      <c r="O462" s="461"/>
      <c r="P462" s="461"/>
      <c r="Q462" s="461"/>
      <c r="R462" s="102"/>
      <c r="S462" s="102"/>
      <c r="T462" s="102"/>
      <c r="U462" s="102"/>
      <c r="V462" s="102"/>
      <c r="W462" s="102"/>
      <c r="X462" s="102"/>
      <c r="Y462" s="102"/>
      <c r="Z462" s="211"/>
      <c r="AA462" s="211"/>
      <c r="AB462" s="211"/>
      <c r="AC462" s="211"/>
      <c r="AD462" s="211"/>
      <c r="AE462" s="211"/>
      <c r="AF462" s="211"/>
      <c r="AG462" s="211"/>
      <c r="AH462" s="211"/>
      <c r="AI462" s="211"/>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185"/>
      <c r="BJ462" s="185"/>
      <c r="BK462" s="185"/>
      <c r="BL462" s="185"/>
      <c r="BM462" s="185"/>
      <c r="BN462" s="185"/>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hidden="1" customHeight="1" outlineLevel="2">
      <c r="A463" s="9"/>
      <c r="B463" s="337"/>
      <c r="C463" s="337"/>
      <c r="D463" s="490"/>
      <c r="E463" s="337"/>
      <c r="F463" s="337"/>
      <c r="G463" s="337"/>
      <c r="H463" s="337"/>
      <c r="I463" s="337"/>
      <c r="J463" s="337"/>
      <c r="K463" s="337"/>
      <c r="L463" s="337"/>
      <c r="M463" s="461"/>
      <c r="N463" s="461"/>
      <c r="O463" s="461"/>
      <c r="P463" s="461"/>
      <c r="Q463" s="461"/>
      <c r="R463" s="102"/>
      <c r="S463" s="102"/>
      <c r="T463" s="102"/>
      <c r="U463" s="102"/>
      <c r="V463" s="102"/>
      <c r="W463" s="102"/>
      <c r="X463" s="102"/>
      <c r="Y463" s="102"/>
      <c r="Z463" s="208"/>
      <c r="AA463" s="208"/>
      <c r="AB463" s="208"/>
      <c r="AC463" s="208"/>
      <c r="AD463" s="208"/>
      <c r="AE463" s="208"/>
      <c r="AF463" s="208"/>
      <c r="AG463" s="208"/>
      <c r="AH463" s="208"/>
      <c r="AI463" s="208"/>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185"/>
      <c r="BJ463" s="185"/>
      <c r="BK463" s="185"/>
      <c r="BL463" s="185"/>
      <c r="BM463" s="185"/>
      <c r="BN463" s="185"/>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hidden="1" customHeight="1" outlineLevel="2">
      <c r="A464" s="9"/>
      <c r="B464" s="337"/>
      <c r="C464" s="337"/>
      <c r="D464" s="490"/>
      <c r="E464" s="337"/>
      <c r="F464" s="337"/>
      <c r="G464" s="337"/>
      <c r="H464" s="337"/>
      <c r="I464" s="337"/>
      <c r="J464" s="337"/>
      <c r="K464" s="337"/>
      <c r="L464" s="337"/>
      <c r="M464" s="461"/>
      <c r="N464" s="461"/>
      <c r="O464" s="461"/>
      <c r="P464" s="461"/>
      <c r="Q464" s="461"/>
      <c r="R464" s="102"/>
      <c r="S464" s="102"/>
      <c r="T464" s="102"/>
      <c r="U464" s="102"/>
      <c r="V464" s="102"/>
      <c r="W464" s="102"/>
      <c r="X464" s="102"/>
      <c r="Y464" s="102"/>
      <c r="Z464" s="208"/>
      <c r="AA464" s="208"/>
      <c r="AB464" s="208"/>
      <c r="AC464" s="208"/>
      <c r="AD464" s="208"/>
      <c r="AE464" s="208"/>
      <c r="AF464" s="208"/>
      <c r="AG464" s="208"/>
      <c r="AH464" s="208"/>
      <c r="AI464" s="208"/>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185"/>
      <c r="BJ464" s="185"/>
      <c r="BK464" s="185"/>
      <c r="BL464" s="185"/>
      <c r="BM464" s="185"/>
      <c r="BN464" s="185"/>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hidden="1" customHeight="1" outlineLevel="2">
      <c r="A465" s="9"/>
      <c r="B465" s="337"/>
      <c r="C465" s="337"/>
      <c r="D465" s="490"/>
      <c r="E465" s="337"/>
      <c r="F465" s="337"/>
      <c r="G465" s="337"/>
      <c r="H465" s="337"/>
      <c r="I465" s="337"/>
      <c r="J465" s="337"/>
      <c r="K465" s="337"/>
      <c r="L465" s="337"/>
      <c r="M465" s="461"/>
      <c r="N465" s="461"/>
      <c r="O465" s="461"/>
      <c r="P465" s="461"/>
      <c r="Q465" s="461"/>
      <c r="R465" s="102"/>
      <c r="S465" s="102"/>
      <c r="T465" s="102"/>
      <c r="U465" s="102"/>
      <c r="V465" s="102"/>
      <c r="W465" s="102"/>
      <c r="X465" s="102"/>
      <c r="Y465" s="102"/>
      <c r="Z465" s="208"/>
      <c r="AA465" s="208"/>
      <c r="AB465" s="208"/>
      <c r="AC465" s="208"/>
      <c r="AD465" s="208"/>
      <c r="AE465" s="208"/>
      <c r="AF465" s="208"/>
      <c r="AG465" s="208"/>
      <c r="AH465" s="208"/>
      <c r="AI465" s="208"/>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185"/>
      <c r="BJ465" s="185"/>
      <c r="BK465" s="185"/>
      <c r="BL465" s="185"/>
      <c r="BM465" s="185"/>
      <c r="BN465" s="18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hidden="1" customHeight="1" outlineLevel="2">
      <c r="A466" s="9"/>
      <c r="B466" s="337"/>
      <c r="C466" s="337"/>
      <c r="D466" s="490"/>
      <c r="E466" s="337"/>
      <c r="F466" s="337"/>
      <c r="G466" s="337"/>
      <c r="H466" s="337"/>
      <c r="I466" s="337"/>
      <c r="J466" s="337"/>
      <c r="K466" s="337"/>
      <c r="L466" s="337"/>
      <c r="M466" s="461"/>
      <c r="N466" s="461"/>
      <c r="O466" s="461"/>
      <c r="P466" s="461"/>
      <c r="Q466" s="461"/>
      <c r="R466" s="102"/>
      <c r="S466" s="102"/>
      <c r="T466" s="102"/>
      <c r="U466" s="102"/>
      <c r="V466" s="102"/>
      <c r="W466" s="102"/>
      <c r="X466" s="102"/>
      <c r="Y466" s="102"/>
      <c r="Z466" s="208"/>
      <c r="AA466" s="208"/>
      <c r="AB466" s="208"/>
      <c r="AC466" s="208"/>
      <c r="AD466" s="208"/>
      <c r="AE466" s="208"/>
      <c r="AF466" s="208"/>
      <c r="AG466" s="208"/>
      <c r="AH466" s="208"/>
      <c r="AI466" s="208"/>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185"/>
      <c r="BJ466" s="185"/>
      <c r="BK466" s="185"/>
      <c r="BL466" s="185"/>
      <c r="BM466" s="185"/>
      <c r="BN466" s="185"/>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hidden="1" customHeight="1" outlineLevel="2">
      <c r="A467" s="9"/>
      <c r="B467" s="337"/>
      <c r="C467" s="337"/>
      <c r="D467" s="490"/>
      <c r="E467" s="337"/>
      <c r="F467" s="337"/>
      <c r="G467" s="337"/>
      <c r="H467" s="337"/>
      <c r="I467" s="337"/>
      <c r="J467" s="337"/>
      <c r="K467" s="337"/>
      <c r="L467" s="337"/>
      <c r="M467" s="461"/>
      <c r="N467" s="461"/>
      <c r="O467" s="461"/>
      <c r="P467" s="461"/>
      <c r="Q467" s="461"/>
      <c r="R467" s="102"/>
      <c r="S467" s="102"/>
      <c r="T467" s="102"/>
      <c r="U467" s="102"/>
      <c r="V467" s="102"/>
      <c r="W467" s="102"/>
      <c r="X467" s="102"/>
      <c r="Y467" s="102"/>
      <c r="Z467" s="208"/>
      <c r="AA467" s="208"/>
      <c r="AB467" s="208"/>
      <c r="AC467" s="208"/>
      <c r="AD467" s="208"/>
      <c r="AE467" s="208"/>
      <c r="AF467" s="208"/>
      <c r="AG467" s="208"/>
      <c r="AH467" s="208"/>
      <c r="AI467" s="208"/>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185"/>
      <c r="BJ467" s="185"/>
      <c r="BK467" s="185"/>
      <c r="BL467" s="185"/>
      <c r="BM467" s="185"/>
      <c r="BN467" s="185"/>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hidden="1" customHeight="1" outlineLevel="2">
      <c r="A468" s="9"/>
      <c r="B468" s="337"/>
      <c r="C468" s="337"/>
      <c r="D468" s="490"/>
      <c r="E468" s="337"/>
      <c r="F468" s="337"/>
      <c r="G468" s="337"/>
      <c r="H468" s="337"/>
      <c r="I468" s="337"/>
      <c r="J468" s="337"/>
      <c r="K468" s="337"/>
      <c r="L468" s="337"/>
      <c r="M468" s="461"/>
      <c r="N468" s="461"/>
      <c r="O468" s="461"/>
      <c r="P468" s="461"/>
      <c r="Q468" s="461"/>
      <c r="R468" s="102"/>
      <c r="S468" s="102"/>
      <c r="T468" s="102"/>
      <c r="U468" s="102"/>
      <c r="V468" s="102"/>
      <c r="W468" s="102"/>
      <c r="X468" s="102"/>
      <c r="Y468" s="102"/>
      <c r="Z468" s="208"/>
      <c r="AA468" s="208"/>
      <c r="AB468" s="208"/>
      <c r="AC468" s="208"/>
      <c r="AD468" s="208"/>
      <c r="AE468" s="208"/>
      <c r="AF468" s="208"/>
      <c r="AG468" s="208"/>
      <c r="AH468" s="208"/>
      <c r="AI468" s="208"/>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185"/>
      <c r="BJ468" s="185"/>
      <c r="BK468" s="185"/>
      <c r="BL468" s="185"/>
      <c r="BM468" s="185"/>
      <c r="BN468" s="185"/>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hidden="1" customHeight="1" outlineLevel="2">
      <c r="A469" s="9"/>
      <c r="B469" s="337"/>
      <c r="C469" s="337"/>
      <c r="D469" s="490"/>
      <c r="E469" s="337"/>
      <c r="F469" s="337"/>
      <c r="G469" s="337"/>
      <c r="H469" s="337"/>
      <c r="I469" s="337"/>
      <c r="J469" s="337"/>
      <c r="K469" s="337"/>
      <c r="L469" s="337"/>
      <c r="M469" s="461"/>
      <c r="N469" s="461"/>
      <c r="O469" s="461"/>
      <c r="P469" s="461"/>
      <c r="Q469" s="461"/>
      <c r="R469" s="102"/>
      <c r="S469" s="102"/>
      <c r="T469" s="102"/>
      <c r="U469" s="102"/>
      <c r="V469" s="102"/>
      <c r="W469" s="102"/>
      <c r="X469" s="102"/>
      <c r="Y469" s="102"/>
      <c r="Z469" s="208"/>
      <c r="AA469" s="208"/>
      <c r="AB469" s="208"/>
      <c r="AC469" s="208"/>
      <c r="AD469" s="208"/>
      <c r="AE469" s="208"/>
      <c r="AF469" s="208"/>
      <c r="AG469" s="208"/>
      <c r="AH469" s="208"/>
      <c r="AI469" s="208"/>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185"/>
      <c r="BJ469" s="185"/>
      <c r="BK469" s="185"/>
      <c r="BL469" s="185"/>
      <c r="BM469" s="185"/>
      <c r="BN469" s="185"/>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hidden="1" customHeight="1" outlineLevel="1">
      <c r="A470" s="9"/>
      <c r="B470" s="337"/>
      <c r="C470" s="337"/>
      <c r="D470" s="337"/>
      <c r="E470" s="337"/>
      <c r="F470" s="337"/>
      <c r="G470" s="337"/>
      <c r="H470" s="337"/>
      <c r="I470" s="337"/>
      <c r="J470" s="337"/>
      <c r="K470" s="337"/>
      <c r="L470" s="337"/>
      <c r="M470" s="461"/>
      <c r="N470" s="461"/>
      <c r="O470" s="461"/>
      <c r="P470" s="461"/>
      <c r="Q470" s="461"/>
      <c r="R470" s="101"/>
      <c r="S470" s="101"/>
      <c r="T470" s="101"/>
      <c r="U470" s="101"/>
      <c r="V470" s="101"/>
      <c r="W470" s="101"/>
      <c r="X470" s="101"/>
      <c r="Y470" s="101"/>
      <c r="Z470" s="208"/>
      <c r="AA470" s="208"/>
      <c r="AB470" s="208"/>
      <c r="AC470" s="208"/>
      <c r="AD470" s="208"/>
      <c r="AE470" s="208"/>
      <c r="AF470" s="208"/>
      <c r="AG470" s="208"/>
      <c r="AH470" s="208"/>
      <c r="AI470" s="208"/>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185"/>
      <c r="BJ470" s="185"/>
      <c r="BK470" s="185"/>
      <c r="BL470" s="185"/>
      <c r="BM470" s="185"/>
      <c r="BN470" s="185"/>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5" customFormat="1" ht="13.5" customHeight="1" collapsed="1">
      <c r="A471" s="11"/>
      <c r="B471" s="337"/>
      <c r="C471" s="337"/>
      <c r="D471" s="337"/>
      <c r="E471" s="337"/>
      <c r="F471" s="337"/>
      <c r="G471" s="337"/>
      <c r="H471" s="337"/>
      <c r="I471" s="337"/>
      <c r="J471" s="337"/>
      <c r="K471" s="337"/>
      <c r="L471" s="337"/>
      <c r="M471" s="461"/>
      <c r="N471" s="461"/>
      <c r="O471" s="461"/>
      <c r="P471" s="461"/>
      <c r="Q471" s="461"/>
      <c r="R471" s="105"/>
      <c r="S471" s="105"/>
      <c r="T471" s="105"/>
      <c r="U471" s="105"/>
      <c r="V471" s="105"/>
      <c r="W471" s="105"/>
      <c r="X471" s="105"/>
      <c r="Y471" s="105"/>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row>
    <row r="472" spans="1:255" s="185" customFormat="1">
      <c r="A472" s="11"/>
      <c r="B472" s="337"/>
      <c r="C472" s="337"/>
      <c r="D472" s="337"/>
      <c r="E472" s="337"/>
      <c r="F472" s="337"/>
      <c r="G472" s="337"/>
      <c r="H472" s="337"/>
      <c r="I472" s="337"/>
      <c r="J472" s="337"/>
      <c r="K472" s="337"/>
      <c r="L472" s="337"/>
      <c r="M472" s="105"/>
      <c r="N472" s="105"/>
      <c r="O472" s="105"/>
      <c r="P472" s="105"/>
      <c r="Q472" s="105"/>
      <c r="R472" s="105"/>
      <c r="S472" s="105"/>
      <c r="T472" s="105"/>
      <c r="U472" s="105"/>
      <c r="V472" s="105"/>
      <c r="W472" s="105"/>
      <c r="X472" s="105"/>
      <c r="Y472" s="105"/>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row>
    <row r="473" spans="1:255" s="185" customFormat="1">
      <c r="A473" s="11"/>
      <c r="B473" s="370" t="s">
        <v>165</v>
      </c>
      <c r="C473" s="371"/>
      <c r="D473" s="371"/>
      <c r="E473" s="371"/>
      <c r="F473" s="372"/>
      <c r="G473" s="342"/>
      <c r="H473" s="342"/>
      <c r="I473" s="342"/>
      <c r="J473" s="342"/>
      <c r="K473" s="342"/>
      <c r="L473" s="342"/>
      <c r="M473" s="105"/>
      <c r="N473" s="105"/>
      <c r="O473" s="105"/>
      <c r="P473" s="105"/>
      <c r="Q473" s="105"/>
      <c r="R473" s="105"/>
      <c r="S473" s="105"/>
      <c r="T473" s="105"/>
      <c r="U473" s="105"/>
      <c r="V473" s="105"/>
      <c r="W473" s="105"/>
      <c r="X473" s="105"/>
      <c r="Y473" s="105"/>
      <c r="Z473"/>
      <c r="AA473"/>
      <c r="AB473"/>
      <c r="AC473"/>
      <c r="AD473"/>
      <c r="AE473"/>
      <c r="AF473"/>
      <c r="AG473"/>
      <c r="AH473"/>
      <c r="AI473"/>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row>
    <row r="474" spans="1:255" s="185" customFormat="1">
      <c r="A474" s="11"/>
      <c r="B474" s="370" t="s">
        <v>166</v>
      </c>
      <c r="C474" s="371"/>
      <c r="D474" s="371"/>
      <c r="E474" s="371"/>
      <c r="F474" s="372">
        <f>SUM(F475:F495)</f>
        <v>884.15604025936932</v>
      </c>
      <c r="G474" s="342"/>
      <c r="H474" s="342"/>
      <c r="I474" s="342"/>
      <c r="J474" s="342"/>
      <c r="K474" s="342"/>
      <c r="L474" s="342"/>
      <c r="M474" s="105"/>
      <c r="N474" s="105"/>
      <c r="O474" s="105"/>
      <c r="P474" s="105"/>
      <c r="Q474" s="105"/>
      <c r="R474" s="105"/>
      <c r="S474" s="105"/>
      <c r="T474" s="105"/>
      <c r="U474" s="105"/>
      <c r="V474" s="105"/>
      <c r="W474" s="105"/>
      <c r="X474" s="105"/>
      <c r="Y474" s="105"/>
      <c r="Z474"/>
      <c r="AA474"/>
      <c r="AB474"/>
      <c r="AC474"/>
      <c r="AD474"/>
      <c r="AE474"/>
      <c r="AF474"/>
      <c r="AG474"/>
      <c r="AH474"/>
      <c r="AI474"/>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row>
    <row r="475" spans="1:255" s="185" customFormat="1" hidden="1" outlineLevel="1">
      <c r="A475" s="11"/>
      <c r="B475" s="370"/>
      <c r="C475" s="347" t="s">
        <v>115</v>
      </c>
      <c r="D475" s="371"/>
      <c r="E475" s="371"/>
      <c r="F475" s="372">
        <f>'Tax asset base adjustments'!H7</f>
        <v>0</v>
      </c>
      <c r="G475" s="342"/>
      <c r="H475" s="342"/>
      <c r="I475" s="342"/>
      <c r="J475" s="342"/>
      <c r="K475" s="342"/>
      <c r="L475" s="342"/>
      <c r="M475" s="105"/>
      <c r="N475" s="105"/>
      <c r="O475" s="105"/>
      <c r="P475" s="105"/>
      <c r="Q475" s="105"/>
      <c r="R475" s="105"/>
      <c r="S475" s="105"/>
      <c r="T475" s="105"/>
      <c r="U475" s="105"/>
      <c r="V475" s="105"/>
      <c r="W475" s="105"/>
      <c r="X475" s="105"/>
      <c r="Y475" s="105"/>
      <c r="Z475"/>
      <c r="AA475"/>
      <c r="AB475"/>
      <c r="AC475"/>
      <c r="AD475"/>
      <c r="AE475"/>
      <c r="AF475"/>
      <c r="AG475"/>
      <c r="AH475"/>
      <c r="AI475"/>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row>
    <row r="476" spans="1:255" s="185" customFormat="1" hidden="1" outlineLevel="1">
      <c r="A476" s="11"/>
      <c r="B476" s="370"/>
      <c r="C476" s="347" t="s">
        <v>112</v>
      </c>
      <c r="D476" s="371"/>
      <c r="E476" s="371"/>
      <c r="F476" s="372">
        <f>'Tax asset base adjustments'!H8</f>
        <v>28.000000000000004</v>
      </c>
      <c r="G476" s="342"/>
      <c r="H476" s="342"/>
      <c r="I476" s="342"/>
      <c r="J476" s="342"/>
      <c r="K476" s="342"/>
      <c r="L476" s="342"/>
      <c r="M476" s="105"/>
      <c r="N476" s="105"/>
      <c r="O476" s="105"/>
      <c r="P476" s="105"/>
      <c r="Q476" s="105"/>
      <c r="R476" s="105"/>
      <c r="S476" s="105"/>
      <c r="T476" s="105"/>
      <c r="U476" s="105"/>
      <c r="V476" s="105"/>
      <c r="W476" s="105"/>
      <c r="X476" s="105"/>
      <c r="Y476" s="105"/>
      <c r="Z476"/>
      <c r="AA476"/>
      <c r="AB476"/>
      <c r="AC476"/>
      <c r="AD476"/>
      <c r="AE476"/>
      <c r="AF476"/>
      <c r="AG476"/>
      <c r="AH476"/>
      <c r="AI476"/>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row>
    <row r="477" spans="1:255" s="185" customFormat="1" hidden="1" outlineLevel="1">
      <c r="A477" s="11"/>
      <c r="B477" s="370"/>
      <c r="C477" s="347" t="s">
        <v>117</v>
      </c>
      <c r="D477" s="371"/>
      <c r="E477" s="371"/>
      <c r="F477" s="372">
        <f>'Tax asset base adjustments'!H9</f>
        <v>179.69592869025459</v>
      </c>
      <c r="G477" s="342"/>
      <c r="H477" s="342"/>
      <c r="I477" s="342"/>
      <c r="J477" s="342"/>
      <c r="K477" s="342"/>
      <c r="L477" s="342"/>
      <c r="M477" s="105"/>
      <c r="N477" s="105"/>
      <c r="O477" s="105"/>
      <c r="P477" s="105"/>
      <c r="Q477" s="105"/>
      <c r="R477" s="105"/>
      <c r="S477" s="105"/>
      <c r="T477" s="105"/>
      <c r="U477" s="105"/>
      <c r="V477" s="105"/>
      <c r="W477" s="105"/>
      <c r="X477" s="105"/>
      <c r="Y477" s="105"/>
      <c r="Z477"/>
      <c r="AA477"/>
      <c r="AB477"/>
      <c r="AC477"/>
      <c r="AD477"/>
      <c r="AE477"/>
      <c r="AF477"/>
      <c r="AG477"/>
      <c r="AH477"/>
      <c r="AI477"/>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row>
    <row r="478" spans="1:255" s="185" customFormat="1" hidden="1" outlineLevel="1">
      <c r="A478" s="11"/>
      <c r="B478" s="370"/>
      <c r="C478" s="347" t="s">
        <v>118</v>
      </c>
      <c r="D478" s="371"/>
      <c r="E478" s="371"/>
      <c r="F478" s="372">
        <f>'Tax asset base adjustments'!H10</f>
        <v>311.70000000000005</v>
      </c>
      <c r="G478" s="342"/>
      <c r="H478" s="342"/>
      <c r="I478" s="342"/>
      <c r="J478" s="342"/>
      <c r="K478" s="342"/>
      <c r="L478" s="342"/>
      <c r="M478" s="105"/>
      <c r="N478" s="105"/>
      <c r="O478" s="105"/>
      <c r="P478" s="105"/>
      <c r="Q478" s="105"/>
      <c r="R478" s="105"/>
      <c r="S478" s="105"/>
      <c r="T478" s="105"/>
      <c r="U478" s="105"/>
      <c r="V478" s="105"/>
      <c r="W478" s="105"/>
      <c r="X478" s="105"/>
      <c r="Y478" s="105"/>
      <c r="Z478"/>
      <c r="AA478"/>
      <c r="AB478"/>
      <c r="AC478"/>
      <c r="AD478"/>
      <c r="AE478"/>
      <c r="AF478"/>
      <c r="AG478"/>
      <c r="AH478"/>
      <c r="AI47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row>
    <row r="479" spans="1:255" s="185" customFormat="1" hidden="1" outlineLevel="1">
      <c r="A479" s="11"/>
      <c r="B479" s="370"/>
      <c r="C479" s="347" t="s">
        <v>119</v>
      </c>
      <c r="D479" s="371"/>
      <c r="E479" s="371"/>
      <c r="F479" s="372">
        <f>'Tax asset base adjustments'!H11</f>
        <v>59.100000000000016</v>
      </c>
      <c r="G479" s="342"/>
      <c r="H479" s="342"/>
      <c r="I479" s="342"/>
      <c r="J479" s="342"/>
      <c r="K479" s="342"/>
      <c r="L479" s="342"/>
      <c r="M479" s="105"/>
      <c r="N479" s="105"/>
      <c r="O479" s="105"/>
      <c r="P479" s="105"/>
      <c r="Q479" s="105"/>
      <c r="R479" s="105"/>
      <c r="S479" s="105"/>
      <c r="T479" s="105"/>
      <c r="U479" s="105"/>
      <c r="V479" s="105"/>
      <c r="W479" s="105"/>
      <c r="X479" s="105"/>
      <c r="Y479" s="105"/>
      <c r="Z479"/>
      <c r="AA479"/>
      <c r="AB479"/>
      <c r="AC479"/>
      <c r="AD479"/>
      <c r="AE479"/>
      <c r="AF479"/>
      <c r="AG479"/>
      <c r="AH479"/>
      <c r="AI479"/>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row>
    <row r="480" spans="1:255" s="185" customFormat="1" hidden="1" outlineLevel="1">
      <c r="A480" s="11"/>
      <c r="B480" s="370"/>
      <c r="C480" s="347" t="s">
        <v>120</v>
      </c>
      <c r="D480" s="371"/>
      <c r="E480" s="371"/>
      <c r="F480" s="372">
        <f>'Tax asset base adjustments'!H12</f>
        <v>40.000000000000007</v>
      </c>
      <c r="G480" s="342"/>
      <c r="H480" s="342"/>
      <c r="I480" s="342"/>
      <c r="J480" s="342"/>
      <c r="K480" s="342"/>
      <c r="L480" s="342"/>
      <c r="M480" s="105"/>
      <c r="N480" s="105"/>
      <c r="O480" s="105"/>
      <c r="P480" s="105"/>
      <c r="Q480" s="105"/>
      <c r="R480" s="105"/>
      <c r="S480" s="105"/>
      <c r="T480" s="105"/>
      <c r="U480" s="105"/>
      <c r="V480" s="105"/>
      <c r="W480" s="105"/>
      <c r="X480" s="105"/>
      <c r="Y480" s="105"/>
      <c r="Z480"/>
      <c r="AA480"/>
      <c r="AB480"/>
      <c r="AC480"/>
      <c r="AD480"/>
      <c r="AE480"/>
      <c r="AF480"/>
      <c r="AG480"/>
      <c r="AH480"/>
      <c r="AI480"/>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row>
    <row r="481" spans="1:60" s="185" customFormat="1" hidden="1" outlineLevel="1">
      <c r="A481" s="11"/>
      <c r="B481" s="370"/>
      <c r="C481" s="347" t="s">
        <v>121</v>
      </c>
      <c r="D481" s="371"/>
      <c r="E481" s="371"/>
      <c r="F481" s="372">
        <f>'Tax asset base adjustments'!H13</f>
        <v>42.800000000000004</v>
      </c>
      <c r="G481" s="342"/>
      <c r="H481" s="342"/>
      <c r="I481" s="342"/>
      <c r="J481" s="342"/>
      <c r="K481" s="342"/>
      <c r="L481" s="342"/>
      <c r="M481" s="105"/>
      <c r="N481" s="105"/>
      <c r="O481" s="105"/>
      <c r="P481" s="105"/>
      <c r="Q481" s="105"/>
      <c r="R481" s="105"/>
      <c r="S481" s="105"/>
      <c r="T481" s="105"/>
      <c r="U481" s="105"/>
      <c r="V481" s="105"/>
      <c r="W481" s="105"/>
      <c r="X481" s="105"/>
      <c r="Y481" s="105"/>
      <c r="Z481"/>
      <c r="AA481"/>
      <c r="AB481"/>
      <c r="AC481"/>
      <c r="AD481"/>
      <c r="AE481"/>
      <c r="AF481"/>
      <c r="AG481"/>
      <c r="AH481"/>
      <c r="AI481"/>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row>
    <row r="482" spans="1:60" s="185" customFormat="1" hidden="1" outlineLevel="1">
      <c r="A482" s="11"/>
      <c r="B482" s="370"/>
      <c r="C482" s="347" t="s">
        <v>122</v>
      </c>
      <c r="D482" s="371"/>
      <c r="E482" s="371"/>
      <c r="F482" s="372">
        <f>'Tax asset base adjustments'!H14</f>
        <v>0</v>
      </c>
      <c r="G482" s="342"/>
      <c r="H482" s="342"/>
      <c r="I482" s="342"/>
      <c r="J482" s="342"/>
      <c r="K482" s="342"/>
      <c r="L482" s="342"/>
      <c r="M482" s="105"/>
      <c r="N482" s="105"/>
      <c r="O482" s="105"/>
      <c r="P482" s="105"/>
      <c r="Q482" s="105"/>
      <c r="R482" s="105"/>
      <c r="S482" s="105"/>
      <c r="T482" s="105"/>
      <c r="U482" s="105"/>
      <c r="V482" s="105"/>
      <c r="W482" s="105"/>
      <c r="X482" s="105"/>
      <c r="Y482" s="105"/>
      <c r="Z482"/>
      <c r="AA482"/>
      <c r="AB482"/>
      <c r="AC482"/>
      <c r="AD482"/>
      <c r="AE482"/>
      <c r="AF482"/>
      <c r="AG482"/>
      <c r="AH482"/>
      <c r="AI482"/>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row>
    <row r="483" spans="1:60" s="185" customFormat="1" hidden="1" outlineLevel="1">
      <c r="A483" s="11"/>
      <c r="B483" s="370"/>
      <c r="C483" s="347" t="s">
        <v>116</v>
      </c>
      <c r="D483" s="371"/>
      <c r="E483" s="371"/>
      <c r="F483" s="372">
        <f>'Tax asset base adjustments'!H15</f>
        <v>0</v>
      </c>
      <c r="G483" s="342"/>
      <c r="H483" s="342"/>
      <c r="I483" s="342"/>
      <c r="J483" s="342"/>
      <c r="K483" s="342"/>
      <c r="L483" s="342"/>
      <c r="M483" s="105"/>
      <c r="N483" s="105"/>
      <c r="O483" s="105"/>
      <c r="P483" s="105"/>
      <c r="Q483" s="105"/>
      <c r="R483" s="105"/>
      <c r="S483" s="105"/>
      <c r="T483" s="105"/>
      <c r="U483" s="105"/>
      <c r="V483" s="105"/>
      <c r="W483" s="105"/>
      <c r="X483" s="105"/>
      <c r="Y483" s="105"/>
      <c r="Z483"/>
      <c r="AA483"/>
      <c r="AB483"/>
      <c r="AC483"/>
      <c r="AD483"/>
      <c r="AE483"/>
      <c r="AF483"/>
      <c r="AG483"/>
      <c r="AH483"/>
      <c r="AI483"/>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row>
    <row r="484" spans="1:60" s="185" customFormat="1" hidden="1" outlineLevel="1">
      <c r="A484" s="11"/>
      <c r="B484" s="370"/>
      <c r="C484" s="347" t="s">
        <v>123</v>
      </c>
      <c r="D484" s="371"/>
      <c r="E484" s="371"/>
      <c r="F484" s="372">
        <f>'Tax asset base adjustments'!H16</f>
        <v>21.800000000000004</v>
      </c>
      <c r="G484" s="342"/>
      <c r="H484" s="342"/>
      <c r="I484" s="342"/>
      <c r="J484" s="342"/>
      <c r="K484" s="342"/>
      <c r="L484" s="342"/>
      <c r="M484" s="105"/>
      <c r="N484" s="105"/>
      <c r="O484" s="105"/>
      <c r="P484" s="105"/>
      <c r="Q484" s="105"/>
      <c r="R484" s="105"/>
      <c r="S484" s="105"/>
      <c r="T484" s="105"/>
      <c r="U484" s="105"/>
      <c r="V484" s="105"/>
      <c r="W484" s="105"/>
      <c r="X484" s="105"/>
      <c r="Y484" s="105"/>
      <c r="Z484"/>
      <c r="AA484"/>
      <c r="AB484"/>
      <c r="AC484"/>
      <c r="AD484"/>
      <c r="AE484"/>
      <c r="AF484"/>
      <c r="AG484"/>
      <c r="AH484"/>
      <c r="AI484"/>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row>
    <row r="485" spans="1:60" s="185" customFormat="1" hidden="1" outlineLevel="1">
      <c r="A485" s="11"/>
      <c r="B485" s="370"/>
      <c r="C485" s="347" t="s">
        <v>113</v>
      </c>
      <c r="D485" s="371"/>
      <c r="E485" s="371"/>
      <c r="F485" s="372">
        <f>'Tax asset base adjustments'!H17</f>
        <v>0</v>
      </c>
      <c r="G485" s="342"/>
      <c r="H485" s="342"/>
      <c r="I485" s="342"/>
      <c r="J485" s="342"/>
      <c r="K485" s="342"/>
      <c r="L485" s="342"/>
      <c r="M485" s="105"/>
      <c r="N485" s="105"/>
      <c r="O485" s="105"/>
      <c r="P485" s="105"/>
      <c r="Q485" s="105"/>
      <c r="R485" s="105"/>
      <c r="S485" s="105"/>
      <c r="T485" s="105"/>
      <c r="U485" s="105"/>
      <c r="V485" s="105"/>
      <c r="W485" s="105"/>
      <c r="X485" s="105"/>
      <c r="Y485" s="105"/>
      <c r="Z485"/>
      <c r="AA485"/>
      <c r="AB485"/>
      <c r="AC485"/>
      <c r="AD485"/>
      <c r="AE485"/>
      <c r="AF485"/>
      <c r="AG485"/>
      <c r="AH485"/>
      <c r="AI485"/>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row>
    <row r="486" spans="1:60" s="185" customFormat="1" hidden="1" outlineLevel="1">
      <c r="A486" s="11"/>
      <c r="B486" s="370"/>
      <c r="C486" s="347" t="s">
        <v>114</v>
      </c>
      <c r="D486" s="371"/>
      <c r="E486" s="371"/>
      <c r="F486" s="372">
        <f>'Tax asset base adjustments'!H18</f>
        <v>0</v>
      </c>
      <c r="G486" s="342"/>
      <c r="H486" s="342"/>
      <c r="I486" s="342"/>
      <c r="J486" s="342"/>
      <c r="K486" s="342"/>
      <c r="L486" s="342"/>
      <c r="M486" s="105"/>
      <c r="N486" s="105"/>
      <c r="O486" s="105"/>
      <c r="P486" s="105"/>
      <c r="Q486" s="105"/>
      <c r="R486" s="105"/>
      <c r="S486" s="105"/>
      <c r="T486" s="105"/>
      <c r="U486" s="105"/>
      <c r="V486" s="105"/>
      <c r="W486" s="105"/>
      <c r="X486" s="105"/>
      <c r="Y486" s="105"/>
      <c r="Z486"/>
      <c r="AA486"/>
      <c r="AB486"/>
      <c r="AC486"/>
      <c r="AD486"/>
      <c r="AE486"/>
      <c r="AF486"/>
      <c r="AG486"/>
      <c r="AH486"/>
      <c r="AI486"/>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row>
    <row r="487" spans="1:60" s="185" customFormat="1" hidden="1" outlineLevel="1">
      <c r="A487" s="11"/>
      <c r="B487" s="370"/>
      <c r="C487" s="347" t="s">
        <v>124</v>
      </c>
      <c r="D487" s="371"/>
      <c r="E487" s="371"/>
      <c r="F487" s="372">
        <f>'Tax asset base adjustments'!H19</f>
        <v>39.20000000000001</v>
      </c>
      <c r="G487" s="342"/>
      <c r="H487" s="342"/>
      <c r="I487" s="342"/>
      <c r="J487" s="342"/>
      <c r="K487" s="342"/>
      <c r="L487" s="342"/>
      <c r="M487" s="105"/>
      <c r="N487" s="105"/>
      <c r="O487" s="105"/>
      <c r="P487" s="105"/>
      <c r="Q487" s="105"/>
      <c r="R487" s="105"/>
      <c r="S487" s="105"/>
      <c r="T487" s="105"/>
      <c r="U487" s="105"/>
      <c r="V487" s="105"/>
      <c r="W487" s="105"/>
      <c r="X487" s="105"/>
      <c r="Y487" s="105"/>
      <c r="Z487"/>
      <c r="AA487"/>
      <c r="AB487"/>
      <c r="AC487"/>
      <c r="AD487"/>
      <c r="AE487"/>
      <c r="AF487"/>
      <c r="AG487"/>
      <c r="AH487"/>
      <c r="AI487"/>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row>
    <row r="488" spans="1:60" s="185" customFormat="1" hidden="1" outlineLevel="1">
      <c r="A488" s="11"/>
      <c r="B488" s="370"/>
      <c r="C488" s="347" t="s">
        <v>125</v>
      </c>
      <c r="D488" s="371"/>
      <c r="E488" s="371"/>
      <c r="F488" s="372">
        <f>'Tax asset base adjustments'!H20</f>
        <v>0</v>
      </c>
      <c r="G488" s="342"/>
      <c r="H488" s="342"/>
      <c r="I488" s="342"/>
      <c r="J488" s="342"/>
      <c r="K488" s="342"/>
      <c r="L488" s="342"/>
      <c r="M488" s="105"/>
      <c r="N488" s="105"/>
      <c r="O488" s="105"/>
      <c r="P488" s="105"/>
      <c r="Q488" s="105"/>
      <c r="R488" s="105"/>
      <c r="S488" s="105"/>
      <c r="T488" s="105"/>
      <c r="U488" s="105"/>
      <c r="V488" s="105"/>
      <c r="W488" s="105"/>
      <c r="X488" s="105"/>
      <c r="Y488" s="105"/>
      <c r="Z488"/>
      <c r="AA488"/>
      <c r="AB488"/>
      <c r="AC488"/>
      <c r="AD488"/>
      <c r="AE488"/>
      <c r="AF488"/>
      <c r="AG488"/>
      <c r="AH488"/>
      <c r="AI48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row>
    <row r="489" spans="1:60" s="185" customFormat="1" hidden="1" outlineLevel="1">
      <c r="A489" s="11"/>
      <c r="B489" s="370"/>
      <c r="C489" s="347" t="s">
        <v>126</v>
      </c>
      <c r="D489" s="371"/>
      <c r="E489" s="371"/>
      <c r="F489" s="372">
        <f>'Tax asset base adjustments'!H21</f>
        <v>5.0925454224890405</v>
      </c>
      <c r="G489" s="342"/>
      <c r="H489" s="342"/>
      <c r="I489" s="342"/>
      <c r="J489" s="342"/>
      <c r="K489" s="342"/>
      <c r="L489" s="342"/>
      <c r="M489" s="105"/>
      <c r="N489" s="105"/>
      <c r="O489" s="105"/>
      <c r="P489" s="105"/>
      <c r="Q489" s="105"/>
      <c r="R489" s="105"/>
      <c r="S489" s="105"/>
      <c r="T489" s="105"/>
      <c r="U489" s="105"/>
      <c r="V489" s="105"/>
      <c r="W489" s="105"/>
      <c r="X489" s="105"/>
      <c r="Y489" s="105"/>
      <c r="Z489"/>
      <c r="AA489"/>
      <c r="AB489"/>
      <c r="AC489"/>
      <c r="AD489"/>
      <c r="AE489"/>
      <c r="AF489"/>
      <c r="AG489"/>
      <c r="AH489"/>
      <c r="AI489"/>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row>
    <row r="490" spans="1:60" s="185" customFormat="1" hidden="1" outlineLevel="1">
      <c r="A490" s="11"/>
      <c r="B490" s="370"/>
      <c r="C490" s="347" t="s">
        <v>127</v>
      </c>
      <c r="D490" s="371"/>
      <c r="E490" s="371"/>
      <c r="F490" s="372">
        <f>'Tax asset base adjustments'!H22</f>
        <v>23.318524773960721</v>
      </c>
      <c r="G490" s="342"/>
      <c r="H490" s="342"/>
      <c r="I490" s="342"/>
      <c r="J490" s="342"/>
      <c r="K490" s="342"/>
      <c r="L490" s="342"/>
      <c r="M490" s="105"/>
      <c r="N490" s="105"/>
      <c r="O490" s="105"/>
      <c r="P490" s="105"/>
      <c r="Q490" s="105"/>
      <c r="R490" s="105"/>
      <c r="S490" s="105"/>
      <c r="T490" s="105"/>
      <c r="U490" s="105"/>
      <c r="V490" s="105"/>
      <c r="W490" s="105"/>
      <c r="X490" s="105"/>
      <c r="Y490" s="105"/>
      <c r="Z490"/>
      <c r="AA490"/>
      <c r="AB490"/>
      <c r="AC490"/>
      <c r="AD490"/>
      <c r="AE490"/>
      <c r="AF490"/>
      <c r="AG490"/>
      <c r="AH490"/>
      <c r="AI490"/>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row>
    <row r="491" spans="1:60" s="185" customFormat="1" hidden="1" outlineLevel="1">
      <c r="A491" s="11"/>
      <c r="B491" s="370"/>
      <c r="C491" s="347" t="s">
        <v>128</v>
      </c>
      <c r="D491" s="371"/>
      <c r="E491" s="371"/>
      <c r="F491" s="372">
        <f>'Tax asset base adjustments'!H23</f>
        <v>0</v>
      </c>
      <c r="G491" s="342"/>
      <c r="H491" s="342"/>
      <c r="I491" s="342"/>
      <c r="J491" s="342"/>
      <c r="K491" s="342"/>
      <c r="L491" s="342"/>
      <c r="M491" s="105"/>
      <c r="N491" s="105"/>
      <c r="O491" s="105"/>
      <c r="P491" s="105"/>
      <c r="Q491" s="105"/>
      <c r="R491" s="105"/>
      <c r="S491" s="105"/>
      <c r="T491" s="105"/>
      <c r="U491" s="105"/>
      <c r="V491" s="105"/>
      <c r="W491" s="105"/>
      <c r="X491" s="105"/>
      <c r="Y491" s="105"/>
      <c r="Z491"/>
      <c r="AA491"/>
      <c r="AB491"/>
      <c r="AC491"/>
      <c r="AD491"/>
      <c r="AE491"/>
      <c r="AF491"/>
      <c r="AG491"/>
      <c r="AH491"/>
      <c r="AI491"/>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row>
    <row r="492" spans="1:60" s="185" customFormat="1" hidden="1" outlineLevel="1">
      <c r="A492" s="11"/>
      <c r="B492" s="370"/>
      <c r="C492" s="347" t="s">
        <v>129</v>
      </c>
      <c r="D492" s="371"/>
      <c r="E492" s="371"/>
      <c r="F492" s="372">
        <f>'Tax asset base adjustments'!H24</f>
        <v>58.18304400000001</v>
      </c>
      <c r="G492" s="342"/>
      <c r="H492" s="342"/>
      <c r="I492" s="342"/>
      <c r="J492" s="342"/>
      <c r="K492" s="342"/>
      <c r="L492" s="342"/>
      <c r="M492" s="105"/>
      <c r="N492" s="105"/>
      <c r="O492" s="105"/>
      <c r="P492" s="105"/>
      <c r="Q492" s="105"/>
      <c r="R492" s="105"/>
      <c r="S492" s="105"/>
      <c r="T492" s="105"/>
      <c r="U492" s="105"/>
      <c r="V492" s="105"/>
      <c r="W492" s="105"/>
      <c r="X492" s="105"/>
      <c r="Y492" s="105"/>
      <c r="Z492"/>
      <c r="AA492"/>
      <c r="AB492"/>
      <c r="AC492"/>
      <c r="AD492"/>
      <c r="AE492"/>
      <c r="AF492"/>
      <c r="AG492"/>
      <c r="AH492"/>
      <c r="AI492"/>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row>
    <row r="493" spans="1:60" s="185" customFormat="1" hidden="1" outlineLevel="1">
      <c r="A493" s="11"/>
      <c r="B493" s="370"/>
      <c r="C493" s="347" t="s">
        <v>130</v>
      </c>
      <c r="D493" s="371"/>
      <c r="E493" s="371"/>
      <c r="F493" s="372">
        <f>'Tax asset base adjustments'!H25</f>
        <v>21.417092769813603</v>
      </c>
      <c r="G493" s="342"/>
      <c r="H493" s="342"/>
      <c r="I493" s="342"/>
      <c r="J493" s="342"/>
      <c r="K493" s="342"/>
      <c r="L493" s="342"/>
      <c r="M493" s="105"/>
      <c r="N493" s="105"/>
      <c r="O493" s="105"/>
      <c r="P493" s="105"/>
      <c r="Q493" s="105"/>
      <c r="R493" s="105"/>
      <c r="S493" s="105"/>
      <c r="T493" s="105"/>
      <c r="U493" s="105"/>
      <c r="V493" s="105"/>
      <c r="W493" s="105"/>
      <c r="X493" s="105"/>
      <c r="Y493" s="105"/>
      <c r="Z493"/>
      <c r="AA493"/>
      <c r="AB493"/>
      <c r="AC493"/>
      <c r="AD493"/>
      <c r="AE493"/>
      <c r="AF493"/>
      <c r="AG493"/>
      <c r="AH493"/>
      <c r="AI493"/>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row>
    <row r="494" spans="1:60" s="185" customFormat="1" hidden="1" outlineLevel="1">
      <c r="A494" s="11"/>
      <c r="B494" s="370"/>
      <c r="C494" s="347" t="s">
        <v>131</v>
      </c>
      <c r="D494" s="371"/>
      <c r="E494" s="371"/>
      <c r="F494" s="372">
        <f>'Tax asset base adjustments'!H26</f>
        <v>53.84890460285137</v>
      </c>
      <c r="G494" s="342"/>
      <c r="H494" s="342"/>
      <c r="I494" s="342"/>
      <c r="J494" s="342"/>
      <c r="K494" s="342"/>
      <c r="L494" s="342"/>
      <c r="M494" s="105"/>
      <c r="N494" s="105"/>
      <c r="O494" s="105"/>
      <c r="P494" s="105"/>
      <c r="Q494" s="105"/>
      <c r="R494" s="105"/>
      <c r="S494" s="105"/>
      <c r="T494" s="105"/>
      <c r="U494" s="105"/>
      <c r="V494" s="105"/>
      <c r="W494" s="105"/>
      <c r="X494" s="105"/>
      <c r="Y494" s="105"/>
      <c r="Z494"/>
      <c r="AA494"/>
      <c r="AB494"/>
      <c r="AC494"/>
      <c r="AD494"/>
      <c r="AE494"/>
      <c r="AF494"/>
      <c r="AG494"/>
      <c r="AH494"/>
      <c r="AI494"/>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row>
    <row r="495" spans="1:60" s="185" customFormat="1" hidden="1" outlineLevel="1">
      <c r="A495" s="11"/>
      <c r="B495" s="370"/>
      <c r="C495" s="347" t="s">
        <v>139</v>
      </c>
      <c r="D495" s="371"/>
      <c r="E495" s="371"/>
      <c r="F495" s="372">
        <f>'Tax asset base adjustments'!H27</f>
        <v>0</v>
      </c>
      <c r="G495" s="342"/>
      <c r="H495" s="342"/>
      <c r="I495" s="342"/>
      <c r="J495" s="342"/>
      <c r="K495" s="342"/>
      <c r="L495" s="342"/>
      <c r="M495" s="105"/>
      <c r="N495" s="105"/>
      <c r="O495" s="105"/>
      <c r="P495" s="105"/>
      <c r="Q495" s="105"/>
      <c r="R495" s="105"/>
      <c r="S495" s="105"/>
      <c r="T495" s="105"/>
      <c r="U495" s="105"/>
      <c r="V495" s="105"/>
      <c r="W495" s="105"/>
      <c r="X495" s="105"/>
      <c r="Y495" s="105"/>
      <c r="Z495"/>
      <c r="AA495"/>
      <c r="AB495"/>
      <c r="AC495"/>
      <c r="AD495"/>
      <c r="AE495"/>
      <c r="AF495"/>
      <c r="AG495"/>
      <c r="AH495"/>
      <c r="AI495"/>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row>
    <row r="496" spans="1:60" s="185" customFormat="1" collapsed="1">
      <c r="A496" s="11"/>
      <c r="B496" s="340"/>
      <c r="C496" s="341"/>
      <c r="D496" s="341"/>
      <c r="E496" s="341"/>
      <c r="F496" s="342"/>
      <c r="G496" s="342"/>
      <c r="H496" s="342"/>
      <c r="I496" s="342"/>
      <c r="J496" s="342"/>
      <c r="K496" s="342"/>
      <c r="L496" s="342"/>
      <c r="M496" s="105"/>
      <c r="N496" s="105"/>
      <c r="O496" s="105"/>
      <c r="P496" s="105"/>
      <c r="Q496" s="105"/>
      <c r="R496" s="105"/>
      <c r="S496" s="105"/>
      <c r="T496" s="105"/>
      <c r="U496" s="105"/>
      <c r="V496" s="105"/>
      <c r="W496" s="105"/>
      <c r="X496" s="105"/>
      <c r="Y496" s="105"/>
      <c r="Z496"/>
      <c r="AA496"/>
      <c r="AB496"/>
      <c r="AC496"/>
      <c r="AD496"/>
      <c r="AE496"/>
      <c r="AF496"/>
      <c r="AG496"/>
      <c r="AH496"/>
      <c r="AI496"/>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row>
    <row r="497" spans="1:60" s="185" customFormat="1">
      <c r="A497" s="11"/>
      <c r="B497" s="340"/>
      <c r="C497" s="341"/>
      <c r="D497" s="341"/>
      <c r="E497" s="341"/>
      <c r="F497" s="342"/>
      <c r="G497" s="342"/>
      <c r="H497" s="342"/>
      <c r="I497" s="342"/>
      <c r="J497" s="342"/>
      <c r="K497" s="342"/>
      <c r="L497" s="342"/>
      <c r="M497" s="105"/>
      <c r="N497" s="105"/>
      <c r="O497" s="105"/>
      <c r="P497" s="105"/>
      <c r="Q497" s="105"/>
      <c r="R497" s="105"/>
      <c r="S497" s="105"/>
      <c r="T497" s="105"/>
      <c r="U497" s="105"/>
      <c r="V497" s="105"/>
      <c r="W497" s="105"/>
      <c r="X497" s="105"/>
      <c r="Y497" s="105"/>
      <c r="Z497"/>
      <c r="AA497"/>
      <c r="AB497"/>
      <c r="AC497"/>
      <c r="AD497"/>
      <c r="AE497"/>
      <c r="AF497"/>
      <c r="AG497"/>
      <c r="AH497"/>
      <c r="AI497"/>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row>
    <row r="498" spans="1:60" s="185" customFormat="1">
      <c r="A498" s="11"/>
      <c r="B498" s="340"/>
      <c r="C498" s="341"/>
      <c r="D498" s="341"/>
      <c r="E498" s="341"/>
      <c r="F498" s="342"/>
      <c r="G498" s="342"/>
      <c r="H498" s="342"/>
      <c r="I498" s="342"/>
      <c r="J498" s="342"/>
      <c r="K498" s="342"/>
      <c r="L498" s="342"/>
      <c r="M498" s="105"/>
      <c r="N498" s="105"/>
      <c r="O498" s="105"/>
      <c r="P498" s="105"/>
      <c r="Q498" s="105"/>
      <c r="R498" s="105"/>
      <c r="S498" s="105"/>
      <c r="T498" s="105"/>
      <c r="U498" s="105"/>
      <c r="V498" s="105"/>
      <c r="W498" s="105"/>
      <c r="X498" s="105"/>
      <c r="Y498" s="105"/>
      <c r="Z498"/>
      <c r="AA498"/>
      <c r="AB498"/>
      <c r="AC498"/>
      <c r="AD498"/>
      <c r="AE498"/>
      <c r="AF498"/>
      <c r="AG498"/>
      <c r="AH498"/>
      <c r="AI49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row>
    <row r="500" spans="1:60">
      <c r="B500" s="463" t="s">
        <v>202</v>
      </c>
      <c r="C500" s="332"/>
      <c r="D500" s="332"/>
      <c r="E500" s="332"/>
      <c r="F500" s="332"/>
      <c r="G500" s="332"/>
      <c r="H500" s="332"/>
      <c r="I500" s="332"/>
      <c r="J500" s="332"/>
      <c r="K500" s="334">
        <f>SUM(K501:K521)</f>
        <v>245.86737923189028</v>
      </c>
    </row>
    <row r="501" spans="1:60">
      <c r="B501" s="328"/>
      <c r="C501" s="329" t="s">
        <v>115</v>
      </c>
      <c r="D501" s="328"/>
      <c r="E501" s="328"/>
      <c r="F501" s="328"/>
      <c r="G501" s="328"/>
      <c r="H501" s="328"/>
      <c r="I501" s="328"/>
      <c r="J501" s="328"/>
      <c r="K501" s="331"/>
    </row>
    <row r="502" spans="1:60">
      <c r="B502" s="328"/>
      <c r="C502" s="329" t="s">
        <v>112</v>
      </c>
      <c r="D502" s="328"/>
      <c r="E502" s="328"/>
      <c r="F502" s="328"/>
      <c r="G502" s="328"/>
      <c r="H502" s="328"/>
      <c r="I502" s="328"/>
      <c r="J502" s="328"/>
      <c r="K502" s="331"/>
    </row>
    <row r="503" spans="1:60">
      <c r="B503" s="328"/>
      <c r="C503" s="329" t="s">
        <v>117</v>
      </c>
      <c r="D503" s="328"/>
      <c r="E503" s="328"/>
      <c r="F503" s="328"/>
      <c r="G503" s="328"/>
      <c r="H503" s="328"/>
      <c r="I503" s="328"/>
      <c r="J503" s="328"/>
      <c r="K503" s="331"/>
    </row>
    <row r="504" spans="1:60">
      <c r="B504" s="328"/>
      <c r="C504" s="329" t="s">
        <v>118</v>
      </c>
      <c r="D504" s="328"/>
      <c r="E504" s="328"/>
      <c r="F504" s="328"/>
      <c r="G504" s="328"/>
      <c r="H504" s="328"/>
      <c r="I504" s="328"/>
      <c r="J504" s="328"/>
      <c r="K504" s="331"/>
    </row>
    <row r="505" spans="1:60">
      <c r="B505" s="328"/>
      <c r="C505" s="329" t="s">
        <v>119</v>
      </c>
      <c r="D505" s="328"/>
      <c r="E505" s="328"/>
      <c r="F505" s="328"/>
      <c r="G505" s="328"/>
      <c r="H505" s="328"/>
      <c r="I505" s="328"/>
      <c r="J505" s="328"/>
      <c r="K505" s="331"/>
    </row>
    <row r="506" spans="1:60">
      <c r="B506" s="328"/>
      <c r="C506" s="329" t="s">
        <v>120</v>
      </c>
      <c r="D506" s="328"/>
      <c r="E506" s="328"/>
      <c r="F506" s="328"/>
      <c r="G506" s="328"/>
      <c r="H506" s="328"/>
      <c r="I506" s="328"/>
      <c r="J506" s="328"/>
      <c r="K506" s="331"/>
    </row>
    <row r="507" spans="1:60">
      <c r="B507" s="328"/>
      <c r="C507" s="329" t="s">
        <v>121</v>
      </c>
      <c r="D507" s="328"/>
      <c r="E507" s="328"/>
      <c r="F507" s="328"/>
      <c r="G507" s="328"/>
      <c r="H507" s="328"/>
      <c r="I507" s="328"/>
      <c r="J507" s="328"/>
      <c r="K507" s="331">
        <v>114.54406831120973</v>
      </c>
    </row>
    <row r="508" spans="1:60">
      <c r="B508" s="328"/>
      <c r="C508" s="329" t="s">
        <v>122</v>
      </c>
      <c r="D508" s="328"/>
      <c r="E508" s="328"/>
      <c r="F508" s="328"/>
      <c r="G508" s="328"/>
      <c r="H508" s="328"/>
      <c r="I508" s="328"/>
      <c r="J508" s="328"/>
      <c r="K508" s="331">
        <v>96.565858490349655</v>
      </c>
    </row>
    <row r="509" spans="1:60">
      <c r="B509" s="328"/>
      <c r="C509" s="329" t="s">
        <v>116</v>
      </c>
      <c r="D509" s="328"/>
      <c r="E509" s="328"/>
      <c r="F509" s="328"/>
      <c r="G509" s="328"/>
      <c r="H509" s="328"/>
      <c r="I509" s="328"/>
      <c r="J509" s="328"/>
      <c r="K509" s="331"/>
    </row>
    <row r="510" spans="1:60">
      <c r="B510" s="328"/>
      <c r="C510" s="329" t="s">
        <v>123</v>
      </c>
      <c r="D510" s="328"/>
      <c r="E510" s="328"/>
      <c r="F510" s="328"/>
      <c r="G510" s="328"/>
      <c r="H510" s="328"/>
      <c r="I510" s="328"/>
      <c r="J510" s="328"/>
      <c r="K510" s="331"/>
    </row>
    <row r="511" spans="1:60">
      <c r="B511" s="328"/>
      <c r="C511" s="329" t="s">
        <v>113</v>
      </c>
      <c r="D511" s="328"/>
      <c r="E511" s="328"/>
      <c r="F511" s="328"/>
      <c r="G511" s="328"/>
      <c r="H511" s="328"/>
      <c r="I511" s="328"/>
      <c r="J511" s="328"/>
      <c r="K511" s="331"/>
    </row>
    <row r="512" spans="1:60">
      <c r="B512" s="328"/>
      <c r="C512" s="329" t="s">
        <v>114</v>
      </c>
      <c r="D512" s="328"/>
      <c r="E512" s="328"/>
      <c r="F512" s="328"/>
      <c r="G512" s="328"/>
      <c r="H512" s="328"/>
      <c r="I512" s="328"/>
      <c r="J512" s="328"/>
      <c r="K512" s="331"/>
    </row>
    <row r="513" spans="2:11">
      <c r="B513" s="328"/>
      <c r="C513" s="329" t="s">
        <v>124</v>
      </c>
      <c r="D513" s="328"/>
      <c r="E513" s="328"/>
      <c r="F513" s="328"/>
      <c r="G513" s="328"/>
      <c r="H513" s="328"/>
      <c r="I513" s="328"/>
      <c r="J513" s="328"/>
      <c r="K513" s="331"/>
    </row>
    <row r="514" spans="2:11">
      <c r="B514" s="328"/>
      <c r="C514" s="329" t="s">
        <v>125</v>
      </c>
      <c r="D514" s="328"/>
      <c r="E514" s="328"/>
      <c r="F514" s="328"/>
      <c r="G514" s="328"/>
      <c r="H514" s="328"/>
      <c r="I514" s="328"/>
      <c r="J514" s="328"/>
      <c r="K514" s="331"/>
    </row>
    <row r="515" spans="2:11">
      <c r="B515" s="328"/>
      <c r="C515" s="329" t="s">
        <v>126</v>
      </c>
      <c r="D515" s="328"/>
      <c r="E515" s="328"/>
      <c r="F515" s="328"/>
      <c r="G515" s="328"/>
      <c r="H515" s="328"/>
      <c r="I515" s="328"/>
      <c r="J515" s="328"/>
      <c r="K515" s="331">
        <v>0.86156321272288905</v>
      </c>
    </row>
    <row r="516" spans="2:11">
      <c r="B516" s="328"/>
      <c r="C516" s="329" t="s">
        <v>127</v>
      </c>
      <c r="D516" s="328"/>
      <c r="E516" s="328"/>
      <c r="F516" s="328"/>
      <c r="G516" s="328"/>
      <c r="H516" s="328"/>
      <c r="I516" s="328"/>
      <c r="J516" s="328"/>
      <c r="K516" s="331">
        <v>1.5592896373196932</v>
      </c>
    </row>
    <row r="517" spans="2:11">
      <c r="B517" s="328"/>
      <c r="C517" s="329" t="s">
        <v>128</v>
      </c>
      <c r="D517" s="328"/>
      <c r="E517" s="328"/>
      <c r="F517" s="328"/>
      <c r="G517" s="328"/>
      <c r="H517" s="328"/>
      <c r="I517" s="328"/>
      <c r="J517" s="328"/>
      <c r="K517" s="331">
        <v>7.5296441140526318E-2</v>
      </c>
    </row>
    <row r="518" spans="2:11">
      <c r="B518" s="328"/>
      <c r="C518" s="329" t="s">
        <v>129</v>
      </c>
      <c r="D518" s="328"/>
      <c r="E518" s="328"/>
      <c r="F518" s="328"/>
      <c r="G518" s="328"/>
      <c r="H518" s="328"/>
      <c r="I518" s="328"/>
      <c r="J518" s="328"/>
      <c r="K518" s="331">
        <v>21.688281580001405</v>
      </c>
    </row>
    <row r="519" spans="2:11">
      <c r="B519" s="328"/>
      <c r="C519" s="329" t="s">
        <v>130</v>
      </c>
      <c r="D519" s="328"/>
      <c r="E519" s="328"/>
      <c r="F519" s="328"/>
      <c r="G519" s="328"/>
      <c r="H519" s="328"/>
      <c r="I519" s="328"/>
      <c r="J519" s="328"/>
      <c r="K519" s="331">
        <v>3.4060024394863397</v>
      </c>
    </row>
    <row r="520" spans="2:11">
      <c r="B520" s="328"/>
      <c r="C520" s="329" t="s">
        <v>131</v>
      </c>
      <c r="D520" s="328"/>
      <c r="E520" s="328"/>
      <c r="F520" s="328"/>
      <c r="G520" s="328"/>
      <c r="H520" s="328"/>
      <c r="I520" s="328"/>
      <c r="J520" s="328"/>
      <c r="K520" s="331">
        <v>6.5042514777345941</v>
      </c>
    </row>
    <row r="521" spans="2:11">
      <c r="B521" s="328"/>
      <c r="C521" s="329" t="s">
        <v>139</v>
      </c>
      <c r="D521" s="328"/>
      <c r="E521" s="328"/>
      <c r="F521" s="328"/>
      <c r="G521" s="328"/>
      <c r="H521" s="328"/>
      <c r="I521" s="328"/>
      <c r="J521" s="328"/>
      <c r="K521" s="331">
        <v>0.66276764192544968</v>
      </c>
    </row>
    <row r="522" spans="2:11">
      <c r="B522" s="328"/>
      <c r="C522" s="329"/>
      <c r="D522" s="328"/>
      <c r="E522" s="328"/>
      <c r="F522" s="328"/>
      <c r="G522" s="328"/>
      <c r="H522" s="328"/>
      <c r="I522" s="328"/>
      <c r="J522" s="328"/>
      <c r="K522" s="330"/>
    </row>
    <row r="525" spans="2:11">
      <c r="B525" s="463" t="s">
        <v>164</v>
      </c>
      <c r="C525" s="333"/>
      <c r="D525" s="332"/>
      <c r="E525" s="332"/>
      <c r="F525" s="332"/>
      <c r="G525" s="332"/>
      <c r="H525" s="332"/>
      <c r="I525" s="332"/>
      <c r="J525" s="332"/>
      <c r="K525" s="334">
        <f>SUM(K526:K546)</f>
        <v>8559.3129319699419</v>
      </c>
    </row>
    <row r="526" spans="2:11">
      <c r="B526" s="328"/>
      <c r="C526" s="329" t="s">
        <v>115</v>
      </c>
      <c r="D526" s="328"/>
      <c r="E526" s="328"/>
      <c r="F526" s="328"/>
      <c r="G526" s="328"/>
      <c r="H526" s="328"/>
      <c r="I526" s="328"/>
      <c r="J526" s="328"/>
      <c r="K526" s="331">
        <f>L8-K501</f>
        <v>934.37997282641049</v>
      </c>
    </row>
    <row r="527" spans="2:11">
      <c r="B527" s="328"/>
      <c r="C527" s="329" t="s">
        <v>112</v>
      </c>
      <c r="D527" s="328"/>
      <c r="E527" s="328"/>
      <c r="F527" s="328"/>
      <c r="G527" s="328"/>
      <c r="H527" s="328"/>
      <c r="I527" s="328"/>
      <c r="J527" s="328"/>
      <c r="K527" s="331">
        <f t="shared" ref="K527:K546" si="15">L9-K502</f>
        <v>128.85613054089143</v>
      </c>
    </row>
    <row r="528" spans="2:11">
      <c r="B528" s="328"/>
      <c r="C528" s="329" t="s">
        <v>117</v>
      </c>
      <c r="D528" s="328"/>
      <c r="E528" s="328"/>
      <c r="F528" s="328"/>
      <c r="G528" s="328"/>
      <c r="H528" s="328"/>
      <c r="I528" s="328"/>
      <c r="J528" s="328"/>
      <c r="K528" s="331">
        <f t="shared" si="15"/>
        <v>1867.02702410344</v>
      </c>
    </row>
    <row r="529" spans="2:11">
      <c r="B529" s="328"/>
      <c r="C529" s="329" t="s">
        <v>118</v>
      </c>
      <c r="D529" s="328"/>
      <c r="E529" s="328"/>
      <c r="F529" s="328"/>
      <c r="G529" s="328"/>
      <c r="H529" s="328"/>
      <c r="I529" s="328"/>
      <c r="J529" s="328"/>
      <c r="K529" s="331">
        <f t="shared" si="15"/>
        <v>2568.6717638234641</v>
      </c>
    </row>
    <row r="530" spans="2:11">
      <c r="B530" s="328"/>
      <c r="C530" s="329" t="s">
        <v>119</v>
      </c>
      <c r="D530" s="328"/>
      <c r="E530" s="328"/>
      <c r="F530" s="328"/>
      <c r="G530" s="328"/>
      <c r="H530" s="328"/>
      <c r="I530" s="328"/>
      <c r="J530" s="328"/>
      <c r="K530" s="331">
        <f t="shared" si="15"/>
        <v>463.21478969842332</v>
      </c>
    </row>
    <row r="531" spans="2:11">
      <c r="B531" s="328"/>
      <c r="C531" s="329" t="s">
        <v>120</v>
      </c>
      <c r="D531" s="328"/>
      <c r="E531" s="328"/>
      <c r="F531" s="328"/>
      <c r="G531" s="328"/>
      <c r="H531" s="328"/>
      <c r="I531" s="328"/>
      <c r="J531" s="328"/>
      <c r="K531" s="331">
        <f t="shared" si="15"/>
        <v>1294.2362362398121</v>
      </c>
    </row>
    <row r="532" spans="2:11">
      <c r="B532" s="328"/>
      <c r="C532" s="329" t="s">
        <v>121</v>
      </c>
      <c r="D532" s="328"/>
      <c r="E532" s="328"/>
      <c r="F532" s="328"/>
      <c r="G532" s="328"/>
      <c r="H532" s="328"/>
      <c r="I532" s="328"/>
      <c r="J532" s="328"/>
      <c r="K532" s="331">
        <f t="shared" si="15"/>
        <v>35.153295722790276</v>
      </c>
    </row>
    <row r="533" spans="2:11">
      <c r="B533" s="328"/>
      <c r="C533" s="329" t="s">
        <v>122</v>
      </c>
      <c r="D533" s="328"/>
      <c r="E533" s="328"/>
      <c r="F533" s="328"/>
      <c r="G533" s="328"/>
      <c r="H533" s="328"/>
      <c r="I533" s="328"/>
      <c r="J533" s="328"/>
      <c r="K533" s="331">
        <f t="shared" si="15"/>
        <v>0</v>
      </c>
    </row>
    <row r="534" spans="2:11">
      <c r="B534" s="328"/>
      <c r="C534" s="329" t="s">
        <v>116</v>
      </c>
      <c r="D534" s="328"/>
      <c r="E534" s="328"/>
      <c r="F534" s="328"/>
      <c r="G534" s="328"/>
      <c r="H534" s="328"/>
      <c r="I534" s="328"/>
      <c r="J534" s="328"/>
      <c r="K534" s="331">
        <f t="shared" si="15"/>
        <v>17.004905441150001</v>
      </c>
    </row>
    <row r="535" spans="2:11">
      <c r="B535" s="328"/>
      <c r="C535" s="329" t="s">
        <v>123</v>
      </c>
      <c r="D535" s="328"/>
      <c r="E535" s="328"/>
      <c r="F535" s="328"/>
      <c r="G535" s="328"/>
      <c r="H535" s="328"/>
      <c r="I535" s="328"/>
      <c r="J535" s="328"/>
      <c r="K535" s="331">
        <f t="shared" si="15"/>
        <v>30.497520606900721</v>
      </c>
    </row>
    <row r="536" spans="2:11">
      <c r="B536" s="328"/>
      <c r="C536" s="329" t="s">
        <v>113</v>
      </c>
      <c r="D536" s="328"/>
      <c r="E536" s="328"/>
      <c r="F536" s="328"/>
      <c r="G536" s="328"/>
      <c r="H536" s="328"/>
      <c r="I536" s="328"/>
      <c r="J536" s="328"/>
      <c r="K536" s="331">
        <f t="shared" si="15"/>
        <v>214.34132411381216</v>
      </c>
    </row>
    <row r="537" spans="2:11">
      <c r="B537" s="328"/>
      <c r="C537" s="329" t="s">
        <v>114</v>
      </c>
      <c r="D537" s="328"/>
      <c r="E537" s="328"/>
      <c r="F537" s="328"/>
      <c r="G537" s="328"/>
      <c r="H537" s="328"/>
      <c r="I537" s="328"/>
      <c r="J537" s="328"/>
      <c r="K537" s="331">
        <f t="shared" si="15"/>
        <v>51.410485750058932</v>
      </c>
    </row>
    <row r="538" spans="2:11">
      <c r="B538" s="328"/>
      <c r="C538" s="329" t="s">
        <v>124</v>
      </c>
      <c r="D538" s="328"/>
      <c r="E538" s="328"/>
      <c r="F538" s="328"/>
      <c r="G538" s="328"/>
      <c r="H538" s="328"/>
      <c r="I538" s="328"/>
      <c r="J538" s="328"/>
      <c r="K538" s="331">
        <f t="shared" si="15"/>
        <v>420.48625605611659</v>
      </c>
    </row>
    <row r="539" spans="2:11">
      <c r="B539" s="328"/>
      <c r="C539" s="329" t="s">
        <v>125</v>
      </c>
      <c r="D539" s="328"/>
      <c r="E539" s="328"/>
      <c r="F539" s="328"/>
      <c r="G539" s="328"/>
      <c r="H539" s="328"/>
      <c r="I539" s="328"/>
      <c r="J539" s="328"/>
      <c r="K539" s="331">
        <f t="shared" si="15"/>
        <v>0</v>
      </c>
    </row>
    <row r="540" spans="2:11">
      <c r="B540" s="328"/>
      <c r="C540" s="329" t="s">
        <v>126</v>
      </c>
      <c r="D540" s="328"/>
      <c r="E540" s="328"/>
      <c r="F540" s="328"/>
      <c r="G540" s="328"/>
      <c r="H540" s="328"/>
      <c r="I540" s="328"/>
      <c r="J540" s="328"/>
      <c r="K540" s="331">
        <f t="shared" si="15"/>
        <v>29.87017791832103</v>
      </c>
    </row>
    <row r="541" spans="2:11">
      <c r="B541" s="328"/>
      <c r="C541" s="329" t="s">
        <v>127</v>
      </c>
      <c r="D541" s="328"/>
      <c r="E541" s="328"/>
      <c r="F541" s="328"/>
      <c r="G541" s="328"/>
      <c r="H541" s="328"/>
      <c r="I541" s="328"/>
      <c r="J541" s="328"/>
      <c r="K541" s="331">
        <f t="shared" si="15"/>
        <v>54.060175974475101</v>
      </c>
    </row>
    <row r="542" spans="2:11">
      <c r="B542" s="328"/>
      <c r="C542" s="329" t="s">
        <v>128</v>
      </c>
      <c r="D542" s="328"/>
      <c r="E542" s="328"/>
      <c r="F542" s="328"/>
      <c r="G542" s="328"/>
      <c r="H542" s="328"/>
      <c r="I542" s="328"/>
      <c r="J542" s="328"/>
      <c r="K542" s="331">
        <f t="shared" si="15"/>
        <v>2.610508503927162</v>
      </c>
    </row>
    <row r="543" spans="2:11">
      <c r="B543" s="328"/>
      <c r="C543" s="329" t="s">
        <v>129</v>
      </c>
      <c r="D543" s="328"/>
      <c r="E543" s="328"/>
      <c r="F543" s="328"/>
      <c r="G543" s="328"/>
      <c r="H543" s="328"/>
      <c r="I543" s="328"/>
      <c r="J543" s="328"/>
      <c r="K543" s="331">
        <f t="shared" si="15"/>
        <v>80.928390652229567</v>
      </c>
    </row>
    <row r="544" spans="2:11">
      <c r="B544" s="328"/>
      <c r="C544" s="329" t="s">
        <v>130</v>
      </c>
      <c r="D544" s="328"/>
      <c r="E544" s="328"/>
      <c r="F544" s="328"/>
      <c r="G544" s="328"/>
      <c r="H544" s="328"/>
      <c r="I544" s="328"/>
      <c r="J544" s="328"/>
      <c r="K544" s="331">
        <f t="shared" si="15"/>
        <v>118.0852401255149</v>
      </c>
    </row>
    <row r="545" spans="2:11">
      <c r="B545" s="328"/>
      <c r="C545" s="329" t="s">
        <v>131</v>
      </c>
      <c r="D545" s="328"/>
      <c r="E545" s="328"/>
      <c r="F545" s="328"/>
      <c r="G545" s="328"/>
      <c r="H545" s="328"/>
      <c r="I545" s="328"/>
      <c r="J545" s="328"/>
      <c r="K545" s="331">
        <f t="shared" si="15"/>
        <v>225.50074793864667</v>
      </c>
    </row>
    <row r="546" spans="2:11">
      <c r="B546" s="328"/>
      <c r="C546" s="329" t="s">
        <v>139</v>
      </c>
      <c r="D546" s="328"/>
      <c r="E546" s="328"/>
      <c r="F546" s="328"/>
      <c r="G546" s="328"/>
      <c r="H546" s="328"/>
      <c r="I546" s="328"/>
      <c r="J546" s="328"/>
      <c r="K546" s="331">
        <f t="shared" si="15"/>
        <v>22.977985933559953</v>
      </c>
    </row>
    <row r="547" spans="2:11">
      <c r="B547" s="328"/>
      <c r="C547" s="329"/>
      <c r="D547" s="328"/>
      <c r="E547" s="328"/>
      <c r="F547" s="328"/>
      <c r="G547" s="328"/>
      <c r="H547" s="328"/>
      <c r="I547" s="328"/>
      <c r="J547" s="328"/>
      <c r="K547" s="330"/>
    </row>
  </sheetData>
  <mergeCells count="30">
    <mergeCell ref="D216:D226"/>
    <mergeCell ref="D73:D83"/>
    <mergeCell ref="D86:D96"/>
    <mergeCell ref="D99:D109"/>
    <mergeCell ref="D112:D122"/>
    <mergeCell ref="D125:D135"/>
    <mergeCell ref="D138:D148"/>
    <mergeCell ref="D151:D161"/>
    <mergeCell ref="D164:D174"/>
    <mergeCell ref="D177:D187"/>
    <mergeCell ref="D190:D200"/>
    <mergeCell ref="D203:D213"/>
    <mergeCell ref="D374:D385"/>
    <mergeCell ref="D229:D239"/>
    <mergeCell ref="D242:D252"/>
    <mergeCell ref="D255:D265"/>
    <mergeCell ref="D268:D278"/>
    <mergeCell ref="D281:D291"/>
    <mergeCell ref="D294:D304"/>
    <mergeCell ref="D307:D317"/>
    <mergeCell ref="D320:D330"/>
    <mergeCell ref="D333:D343"/>
    <mergeCell ref="D346:D357"/>
    <mergeCell ref="D360:D371"/>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scale="39" orientation="portrait"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4:AL87"/>
  <sheetViews>
    <sheetView zoomScale="85" zoomScaleNormal="85" workbookViewId="0"/>
  </sheetViews>
  <sheetFormatPr defaultRowHeight="12.75"/>
  <cols>
    <col min="2" max="2" width="48" bestFit="1" customWidth="1"/>
    <col min="3" max="3" width="9.5703125" bestFit="1" customWidth="1"/>
    <col min="4" max="5" width="12" bestFit="1" customWidth="1"/>
    <col min="6" max="6" width="10.7109375" customWidth="1"/>
    <col min="7" max="7" width="15" customWidth="1"/>
    <col min="8" max="8" width="18.28515625" customWidth="1"/>
    <col min="9" max="9" width="15.140625" customWidth="1"/>
    <col min="10" max="10" width="17.28515625" customWidth="1"/>
    <col min="11" max="11" width="15.85546875" customWidth="1"/>
    <col min="12" max="12" width="14.28515625" customWidth="1"/>
    <col min="13" max="13" width="19.28515625" customWidth="1"/>
    <col min="14" max="14" width="15.140625" customWidth="1"/>
    <col min="15" max="15" width="14.5703125" customWidth="1"/>
    <col min="17" max="17" width="17.140625" customWidth="1"/>
    <col min="18" max="18" width="15.28515625" customWidth="1"/>
    <col min="20" max="20" width="14.42578125" customWidth="1"/>
    <col min="26" max="26" width="45.85546875" bestFit="1" customWidth="1"/>
    <col min="27" max="27" width="19.85546875" bestFit="1" customWidth="1"/>
    <col min="28" max="28" width="14.85546875" bestFit="1" customWidth="1"/>
    <col min="29" max="29" width="12.85546875" bestFit="1" customWidth="1"/>
    <col min="30" max="30" width="19.85546875" bestFit="1" customWidth="1"/>
    <col min="37" max="38" width="9.5703125" bestFit="1" customWidth="1"/>
  </cols>
  <sheetData>
    <row r="4" spans="2:38" ht="15">
      <c r="B4" s="381" t="s">
        <v>167</v>
      </c>
    </row>
    <row r="5" spans="2:38" ht="15">
      <c r="B5" s="382" t="s">
        <v>169</v>
      </c>
      <c r="D5" s="397" t="s">
        <v>170</v>
      </c>
      <c r="F5" s="398" t="s">
        <v>168</v>
      </c>
      <c r="G5" s="390"/>
      <c r="H5" s="390"/>
      <c r="Q5" s="425"/>
      <c r="R5" s="214"/>
      <c r="Z5" s="425"/>
      <c r="AA5" s="214"/>
      <c r="AB5" s="214"/>
      <c r="AC5" s="214"/>
      <c r="AD5" s="214"/>
      <c r="AE5" s="214"/>
      <c r="AF5" s="214"/>
      <c r="AG5" s="214"/>
      <c r="AH5" s="214"/>
      <c r="AI5" s="214"/>
      <c r="AJ5" s="214"/>
      <c r="AK5" s="214"/>
      <c r="AL5" s="214"/>
    </row>
    <row r="6" spans="2:38" ht="45">
      <c r="B6" s="383"/>
      <c r="C6" s="383"/>
      <c r="D6" s="383" t="s">
        <v>171</v>
      </c>
      <c r="E6" s="383"/>
      <c r="F6" s="383" t="s">
        <v>172</v>
      </c>
      <c r="G6" s="384" t="s">
        <v>173</v>
      </c>
      <c r="H6" s="383" t="s">
        <v>174</v>
      </c>
      <c r="I6" s="383"/>
      <c r="J6" s="383" t="s">
        <v>175</v>
      </c>
      <c r="K6" s="383" t="s">
        <v>176</v>
      </c>
      <c r="L6" s="383" t="s">
        <v>177</v>
      </c>
      <c r="M6" s="383" t="s">
        <v>178</v>
      </c>
      <c r="N6" s="383"/>
      <c r="Q6" s="493"/>
      <c r="R6" s="493"/>
      <c r="Z6" s="214"/>
      <c r="AA6" s="214"/>
      <c r="AB6" s="214"/>
      <c r="AC6" s="214"/>
      <c r="AD6" s="214"/>
      <c r="AE6" s="214"/>
      <c r="AF6" s="214"/>
      <c r="AG6" s="214"/>
      <c r="AH6" s="214"/>
      <c r="AI6" s="214"/>
      <c r="AJ6" s="214"/>
      <c r="AK6" s="214"/>
      <c r="AL6" s="214"/>
    </row>
    <row r="7" spans="2:38">
      <c r="B7" t="s">
        <v>115</v>
      </c>
      <c r="D7" s="267">
        <v>523.59300404358601</v>
      </c>
      <c r="E7" s="267"/>
      <c r="F7" s="267">
        <v>364.48910320268573</v>
      </c>
      <c r="G7" s="267">
        <v>0</v>
      </c>
      <c r="H7" s="267">
        <f t="shared" ref="H7:H27" si="0">G7/(1+previous_vanilla)^0.5</f>
        <v>0</v>
      </c>
      <c r="J7" s="267">
        <f>'Tax value roll forward'!$F40</f>
        <v>162.595</v>
      </c>
      <c r="K7" s="267">
        <f>J7-H7</f>
        <v>162.595</v>
      </c>
      <c r="L7" s="385">
        <f>D7-F7</f>
        <v>159.10390084090028</v>
      </c>
      <c r="M7" s="267">
        <f>F7+K7</f>
        <v>527.0841032026857</v>
      </c>
      <c r="Q7" s="494"/>
      <c r="R7" s="399"/>
      <c r="Z7" s="214"/>
      <c r="AA7" s="214"/>
      <c r="AB7" s="214"/>
      <c r="AC7" s="214"/>
      <c r="AD7" s="214"/>
      <c r="AE7" s="214"/>
      <c r="AF7" s="221"/>
      <c r="AG7" s="221"/>
      <c r="AH7" s="221"/>
      <c r="AI7" s="221"/>
      <c r="AJ7" s="214"/>
      <c r="AK7" s="399"/>
      <c r="AL7" s="399"/>
    </row>
    <row r="8" spans="2:38">
      <c r="B8" t="s">
        <v>112</v>
      </c>
      <c r="D8" s="267">
        <v>31.716960502499997</v>
      </c>
      <c r="E8" s="267"/>
      <c r="F8" s="267">
        <v>59.716960502500001</v>
      </c>
      <c r="G8" s="267">
        <v>29.58704874813581</v>
      </c>
      <c r="H8" s="267">
        <f t="shared" si="0"/>
        <v>28.000000000000004</v>
      </c>
      <c r="J8" s="267">
        <f>'Tax value roll forward'!$F41</f>
        <v>0</v>
      </c>
      <c r="K8" s="267">
        <f t="shared" ref="K8:K27" si="1">J8-H8</f>
        <v>-28.000000000000004</v>
      </c>
      <c r="L8" s="385">
        <f t="shared" ref="L8:L27" si="2">D8-F8</f>
        <v>-28.000000000000004</v>
      </c>
      <c r="M8" s="267">
        <f t="shared" ref="M8:M27" si="3">F8+K8</f>
        <v>31.716960502499997</v>
      </c>
      <c r="Q8" s="494"/>
      <c r="R8" s="399"/>
      <c r="Z8" s="214"/>
      <c r="AA8" s="214"/>
      <c r="AB8" s="214"/>
      <c r="AC8" s="214"/>
      <c r="AD8" s="214"/>
      <c r="AE8" s="214"/>
      <c r="AF8" s="221"/>
      <c r="AG8" s="221"/>
      <c r="AH8" s="221"/>
      <c r="AI8" s="221"/>
      <c r="AJ8" s="214"/>
      <c r="AK8" s="399"/>
      <c r="AL8" s="399"/>
    </row>
    <row r="9" spans="2:38">
      <c r="B9" t="s">
        <v>117</v>
      </c>
      <c r="D9" s="267">
        <v>804.5719823357731</v>
      </c>
      <c r="E9" s="267"/>
      <c r="F9" s="267">
        <v>807.90842585082771</v>
      </c>
      <c r="G9" s="267">
        <v>189.88115007143207</v>
      </c>
      <c r="H9" s="267">
        <f t="shared" si="0"/>
        <v>179.69592869025459</v>
      </c>
      <c r="J9" s="267">
        <f>'Tax value roll forward'!$F42</f>
        <v>193.45869004000002</v>
      </c>
      <c r="K9" s="267">
        <f t="shared" si="1"/>
        <v>13.762761349745432</v>
      </c>
      <c r="L9" s="385">
        <f t="shared" si="2"/>
        <v>-3.3364435150546115</v>
      </c>
      <c r="M9" s="267">
        <f t="shared" si="3"/>
        <v>821.67118720057317</v>
      </c>
      <c r="Q9" s="494"/>
      <c r="R9" s="399"/>
      <c r="Z9" s="214"/>
      <c r="AA9" s="214"/>
      <c r="AB9" s="214"/>
      <c r="AC9" s="214"/>
      <c r="AD9" s="214"/>
      <c r="AE9" s="214"/>
      <c r="AF9" s="221"/>
      <c r="AG9" s="221"/>
      <c r="AH9" s="221"/>
      <c r="AI9" s="221"/>
      <c r="AJ9" s="214"/>
      <c r="AK9" s="399"/>
      <c r="AL9" s="399"/>
    </row>
    <row r="10" spans="2:38">
      <c r="B10" t="s">
        <v>118</v>
      </c>
      <c r="D10" s="267">
        <v>1371.1668749666985</v>
      </c>
      <c r="E10" s="267"/>
      <c r="F10" s="267">
        <v>1419.5598289877933</v>
      </c>
      <c r="G10" s="267">
        <v>329.36725338549758</v>
      </c>
      <c r="H10" s="267">
        <f t="shared" si="0"/>
        <v>311.70000000000005</v>
      </c>
      <c r="J10" s="267">
        <f>'Tax value roll forward'!$F43</f>
        <v>286.03801247999996</v>
      </c>
      <c r="K10" s="267">
        <f t="shared" si="1"/>
        <v>-25.661987520000082</v>
      </c>
      <c r="L10" s="385">
        <f t="shared" si="2"/>
        <v>-48.392954021094738</v>
      </c>
      <c r="M10" s="267">
        <f t="shared" si="3"/>
        <v>1393.8978414677931</v>
      </c>
      <c r="Q10" s="494"/>
      <c r="R10" s="399"/>
      <c r="Z10" s="214"/>
      <c r="AA10" s="214"/>
      <c r="AB10" s="214"/>
      <c r="AC10" s="214"/>
      <c r="AD10" s="214"/>
      <c r="AE10" s="214"/>
      <c r="AF10" s="221"/>
      <c r="AG10" s="221"/>
      <c r="AH10" s="221"/>
      <c r="AI10" s="221"/>
      <c r="AJ10" s="214"/>
      <c r="AK10" s="399"/>
      <c r="AL10" s="399"/>
    </row>
    <row r="11" spans="2:38">
      <c r="B11" t="s">
        <v>119</v>
      </c>
      <c r="D11" s="267">
        <v>277.12268231291318</v>
      </c>
      <c r="E11" s="267"/>
      <c r="F11" s="267">
        <v>282.36654102291311</v>
      </c>
      <c r="G11" s="267">
        <v>62.449806464815232</v>
      </c>
      <c r="H11" s="267">
        <f t="shared" si="0"/>
        <v>59.100000000000016</v>
      </c>
      <c r="J11" s="267">
        <f>'Tax value roll forward'!$F44</f>
        <v>53.933070549999997</v>
      </c>
      <c r="K11" s="267">
        <f t="shared" si="1"/>
        <v>-5.1669294500000191</v>
      </c>
      <c r="L11" s="385">
        <f t="shared" si="2"/>
        <v>-5.2438587099999268</v>
      </c>
      <c r="M11" s="267">
        <f t="shared" si="3"/>
        <v>277.19961157291311</v>
      </c>
      <c r="Q11" s="494"/>
      <c r="R11" s="399"/>
      <c r="Z11" s="214"/>
      <c r="AA11" s="214"/>
      <c r="AB11" s="214"/>
      <c r="AC11" s="214"/>
      <c r="AD11" s="214"/>
      <c r="AE11" s="214"/>
      <c r="AF11" s="221"/>
      <c r="AG11" s="221"/>
      <c r="AH11" s="221"/>
      <c r="AI11" s="221"/>
      <c r="AJ11" s="214"/>
      <c r="AK11" s="399"/>
      <c r="AL11" s="399"/>
    </row>
    <row r="12" spans="2:38">
      <c r="B12" t="s">
        <v>120</v>
      </c>
      <c r="D12" s="267">
        <v>521.97481222890337</v>
      </c>
      <c r="E12" s="267"/>
      <c r="F12" s="267">
        <v>451.3684698400034</v>
      </c>
      <c r="G12" s="267">
        <v>42.267212497336871</v>
      </c>
      <c r="H12" s="267">
        <f t="shared" si="0"/>
        <v>40.000000000000007</v>
      </c>
      <c r="J12" s="267">
        <f>'Tax value roll forward'!$F45</f>
        <v>136.73957485000003</v>
      </c>
      <c r="K12" s="267">
        <f t="shared" si="1"/>
        <v>96.739574850000025</v>
      </c>
      <c r="L12" s="385">
        <f t="shared" si="2"/>
        <v>70.606342388899975</v>
      </c>
      <c r="M12" s="267">
        <f t="shared" si="3"/>
        <v>548.10804469000345</v>
      </c>
      <c r="Q12" s="494"/>
      <c r="R12" s="399"/>
      <c r="Z12" s="214"/>
      <c r="AA12" s="214"/>
      <c r="AB12" s="214"/>
      <c r="AC12" s="214"/>
      <c r="AD12" s="214"/>
      <c r="AE12" s="214"/>
      <c r="AF12" s="221"/>
      <c r="AG12" s="221"/>
      <c r="AH12" s="221"/>
      <c r="AI12" s="221"/>
      <c r="AJ12" s="214"/>
      <c r="AK12" s="399"/>
      <c r="AL12" s="399"/>
    </row>
    <row r="13" spans="2:38">
      <c r="B13" t="s">
        <v>121</v>
      </c>
      <c r="D13" s="267">
        <v>184.27480604119998</v>
      </c>
      <c r="E13" s="267"/>
      <c r="F13" s="267">
        <v>203.41371776120002</v>
      </c>
      <c r="G13" s="267">
        <v>45.225917372150448</v>
      </c>
      <c r="H13" s="267">
        <f t="shared" si="0"/>
        <v>42.800000000000004</v>
      </c>
      <c r="J13" s="267">
        <f>'Tax value roll forward'!$F46</f>
        <v>23.878879999999999</v>
      </c>
      <c r="K13" s="267">
        <f t="shared" si="1"/>
        <v>-18.921120000000005</v>
      </c>
      <c r="L13" s="385">
        <f t="shared" si="2"/>
        <v>-19.138911720000038</v>
      </c>
      <c r="M13" s="267">
        <f t="shared" si="3"/>
        <v>184.49259776120002</v>
      </c>
      <c r="Q13" s="494"/>
      <c r="R13" s="399"/>
      <c r="Z13" s="214"/>
      <c r="AA13" s="214"/>
      <c r="AB13" s="214"/>
      <c r="AC13" s="214"/>
      <c r="AD13" s="214"/>
      <c r="AE13" s="214"/>
      <c r="AF13" s="221"/>
      <c r="AG13" s="221"/>
      <c r="AH13" s="221"/>
      <c r="AI13" s="221"/>
      <c r="AJ13" s="214"/>
      <c r="AK13" s="399"/>
      <c r="AL13" s="399"/>
    </row>
    <row r="14" spans="2:38">
      <c r="B14" t="s">
        <v>122</v>
      </c>
      <c r="D14" s="267">
        <v>0</v>
      </c>
      <c r="E14" s="267"/>
      <c r="F14" s="267"/>
      <c r="G14" s="267">
        <v>0</v>
      </c>
      <c r="H14" s="267">
        <f t="shared" si="0"/>
        <v>0</v>
      </c>
      <c r="J14" s="267">
        <f>'Tax value roll forward'!$F47</f>
        <v>0</v>
      </c>
      <c r="K14" s="267">
        <f t="shared" si="1"/>
        <v>0</v>
      </c>
      <c r="L14" s="385">
        <f t="shared" si="2"/>
        <v>0</v>
      </c>
      <c r="M14" s="267">
        <f t="shared" si="3"/>
        <v>0</v>
      </c>
      <c r="Q14" s="494"/>
      <c r="R14" s="399"/>
      <c r="Z14" s="214"/>
      <c r="AA14" s="214"/>
      <c r="AB14" s="214"/>
      <c r="AC14" s="214"/>
      <c r="AD14" s="214"/>
      <c r="AE14" s="214"/>
      <c r="AF14" s="221"/>
      <c r="AG14" s="221"/>
      <c r="AH14" s="221"/>
      <c r="AI14" s="221"/>
      <c r="AJ14" s="214"/>
      <c r="AK14" s="399"/>
      <c r="AL14" s="399"/>
    </row>
    <row r="15" spans="2:38">
      <c r="B15" t="s">
        <v>116</v>
      </c>
      <c r="D15" s="267">
        <v>0</v>
      </c>
      <c r="E15" s="267"/>
      <c r="F15" s="267"/>
      <c r="G15" s="267">
        <v>0</v>
      </c>
      <c r="H15" s="267">
        <f t="shared" si="0"/>
        <v>0</v>
      </c>
      <c r="J15" s="267">
        <f>'Tax value roll forward'!$F48</f>
        <v>0</v>
      </c>
      <c r="K15" s="267">
        <f t="shared" si="1"/>
        <v>0</v>
      </c>
      <c r="L15" s="385">
        <f t="shared" si="2"/>
        <v>0</v>
      </c>
      <c r="M15" s="267">
        <f t="shared" si="3"/>
        <v>0</v>
      </c>
      <c r="Q15" s="494"/>
      <c r="R15" s="399"/>
      <c r="Z15" s="214"/>
      <c r="AA15" s="214"/>
      <c r="AB15" s="214"/>
      <c r="AC15" s="214"/>
      <c r="AD15" s="214"/>
      <c r="AE15" s="214"/>
      <c r="AF15" s="221"/>
      <c r="AG15" s="221"/>
      <c r="AH15" s="221"/>
      <c r="AI15" s="221"/>
      <c r="AJ15" s="214"/>
      <c r="AK15" s="399"/>
      <c r="AL15" s="399"/>
    </row>
    <row r="16" spans="2:38">
      <c r="B16" t="s">
        <v>123</v>
      </c>
      <c r="D16" s="267">
        <v>83.81708239453134</v>
      </c>
      <c r="E16" s="267"/>
      <c r="F16" s="267">
        <v>68.056379530131338</v>
      </c>
      <c r="G16" s="267">
        <v>23.035630811048595</v>
      </c>
      <c r="H16" s="267">
        <f t="shared" si="0"/>
        <v>21.800000000000004</v>
      </c>
      <c r="J16" s="267">
        <f>'Tax value roll forward'!$F49</f>
        <v>37.599999999999994</v>
      </c>
      <c r="K16" s="267">
        <f t="shared" si="1"/>
        <v>15.79999999999999</v>
      </c>
      <c r="L16" s="385">
        <f t="shared" si="2"/>
        <v>15.760702864400002</v>
      </c>
      <c r="M16" s="267">
        <f t="shared" si="3"/>
        <v>83.856379530131335</v>
      </c>
      <c r="Q16" s="494"/>
      <c r="R16" s="399"/>
      <c r="Z16" s="214"/>
      <c r="AA16" s="214"/>
      <c r="AB16" s="214"/>
      <c r="AC16" s="214"/>
      <c r="AD16" s="214"/>
      <c r="AE16" s="214"/>
      <c r="AF16" s="221"/>
      <c r="AG16" s="221"/>
      <c r="AH16" s="221"/>
      <c r="AI16" s="221"/>
      <c r="AJ16" s="214"/>
      <c r="AK16" s="399"/>
      <c r="AL16" s="399"/>
    </row>
    <row r="17" spans="2:38">
      <c r="B17" t="s">
        <v>113</v>
      </c>
      <c r="D17" s="267">
        <v>0</v>
      </c>
      <c r="E17" s="267"/>
      <c r="F17" s="267"/>
      <c r="G17" s="267">
        <v>0</v>
      </c>
      <c r="H17" s="267">
        <f t="shared" si="0"/>
        <v>0</v>
      </c>
      <c r="J17" s="267">
        <f>'Tax value roll forward'!$F50</f>
        <v>0</v>
      </c>
      <c r="K17" s="267">
        <f t="shared" si="1"/>
        <v>0</v>
      </c>
      <c r="L17" s="385">
        <f t="shared" si="2"/>
        <v>0</v>
      </c>
      <c r="M17" s="267">
        <f t="shared" si="3"/>
        <v>0</v>
      </c>
      <c r="Q17" s="494"/>
      <c r="R17" s="399"/>
      <c r="Z17" s="214"/>
      <c r="AA17" s="214"/>
      <c r="AB17" s="214"/>
      <c r="AC17" s="214"/>
      <c r="AD17" s="214"/>
      <c r="AE17" s="214"/>
      <c r="AF17" s="221"/>
      <c r="AG17" s="221"/>
      <c r="AH17" s="221"/>
      <c r="AI17" s="221"/>
      <c r="AJ17" s="214"/>
      <c r="AK17" s="399"/>
      <c r="AL17" s="399"/>
    </row>
    <row r="18" spans="2:38">
      <c r="B18" t="s">
        <v>114</v>
      </c>
      <c r="D18" s="267">
        <v>0</v>
      </c>
      <c r="E18" s="267"/>
      <c r="F18" s="267"/>
      <c r="G18" s="267">
        <v>0</v>
      </c>
      <c r="H18" s="267">
        <f t="shared" si="0"/>
        <v>0</v>
      </c>
      <c r="J18" s="267">
        <f>'Tax value roll forward'!$F51</f>
        <v>0</v>
      </c>
      <c r="K18" s="267">
        <f t="shared" si="1"/>
        <v>0</v>
      </c>
      <c r="L18" s="385">
        <f t="shared" si="2"/>
        <v>0</v>
      </c>
      <c r="M18" s="267">
        <f t="shared" si="3"/>
        <v>0</v>
      </c>
      <c r="Q18" s="494"/>
      <c r="R18" s="399"/>
      <c r="Z18" s="214"/>
      <c r="AA18" s="214"/>
      <c r="AB18" s="214"/>
      <c r="AC18" s="214"/>
      <c r="AD18" s="214"/>
      <c r="AE18" s="214"/>
      <c r="AF18" s="221"/>
      <c r="AG18" s="221"/>
      <c r="AH18" s="221"/>
      <c r="AI18" s="221"/>
      <c r="AJ18" s="214"/>
      <c r="AK18" s="399"/>
      <c r="AL18" s="399"/>
    </row>
    <row r="19" spans="2:38">
      <c r="B19" t="s">
        <v>124</v>
      </c>
      <c r="D19" s="267">
        <v>289.31211687772134</v>
      </c>
      <c r="E19" s="267"/>
      <c r="F19" s="267">
        <v>271.76676983772137</v>
      </c>
      <c r="G19" s="267">
        <v>41.421868247390137</v>
      </c>
      <c r="H19" s="267">
        <f t="shared" si="0"/>
        <v>39.20000000000001</v>
      </c>
      <c r="J19" s="267">
        <f>'Tax value roll forward'!$F52</f>
        <v>106.25104311999999</v>
      </c>
      <c r="K19" s="267">
        <f t="shared" si="1"/>
        <v>67.051043119999974</v>
      </c>
      <c r="L19" s="385">
        <f t="shared" si="2"/>
        <v>17.545347039999967</v>
      </c>
      <c r="M19" s="267">
        <f t="shared" si="3"/>
        <v>338.81781295772134</v>
      </c>
      <c r="Q19" s="494"/>
      <c r="R19" s="399"/>
      <c r="Z19" s="214"/>
      <c r="AA19" s="214"/>
      <c r="AB19" s="214"/>
      <c r="AC19" s="214"/>
      <c r="AD19" s="214"/>
      <c r="AE19" s="214"/>
      <c r="AF19" s="221"/>
      <c r="AG19" s="221"/>
      <c r="AH19" s="221"/>
      <c r="AI19" s="221"/>
      <c r="AJ19" s="214"/>
      <c r="AK19" s="399"/>
      <c r="AL19" s="399"/>
    </row>
    <row r="20" spans="2:38">
      <c r="B20" t="s">
        <v>125</v>
      </c>
      <c r="D20" s="267">
        <v>0</v>
      </c>
      <c r="E20" s="267"/>
      <c r="F20" s="267">
        <v>0</v>
      </c>
      <c r="G20" s="267">
        <v>0</v>
      </c>
      <c r="H20" s="267">
        <f t="shared" si="0"/>
        <v>0</v>
      </c>
      <c r="J20" s="267">
        <f>'Tax value roll forward'!$F53</f>
        <v>0</v>
      </c>
      <c r="K20" s="267">
        <f t="shared" si="1"/>
        <v>0</v>
      </c>
      <c r="L20" s="385">
        <f t="shared" si="2"/>
        <v>0</v>
      </c>
      <c r="M20" s="267">
        <f t="shared" si="3"/>
        <v>0</v>
      </c>
      <c r="Q20" s="494"/>
      <c r="R20" s="399"/>
      <c r="Z20" s="214"/>
      <c r="AA20" s="214"/>
      <c r="AB20" s="214"/>
      <c r="AC20" s="214"/>
      <c r="AD20" s="214"/>
      <c r="AE20" s="214"/>
      <c r="AF20" s="221"/>
      <c r="AG20" s="221"/>
      <c r="AH20" s="221"/>
      <c r="AI20" s="221"/>
      <c r="AJ20" s="214"/>
      <c r="AK20" s="399"/>
      <c r="AL20" s="399"/>
    </row>
    <row r="21" spans="2:38">
      <c r="B21" t="s">
        <v>126</v>
      </c>
      <c r="D21" s="267">
        <v>21.704664339317883</v>
      </c>
      <c r="E21" s="267"/>
      <c r="F21" s="267">
        <v>21.75732733772557</v>
      </c>
      <c r="G21" s="267">
        <v>5.3811924881171107</v>
      </c>
      <c r="H21" s="267">
        <f t="shared" si="0"/>
        <v>5.0925454224890405</v>
      </c>
      <c r="J21" s="267">
        <f>'Tax value roll forward'!$F54</f>
        <v>5.1463040990344</v>
      </c>
      <c r="K21" s="267">
        <f t="shared" si="1"/>
        <v>5.3758676545359485E-2</v>
      </c>
      <c r="L21" s="385">
        <f t="shared" si="2"/>
        <v>-5.2662998407686956E-2</v>
      </c>
      <c r="M21" s="267">
        <f t="shared" si="3"/>
        <v>21.811086014270931</v>
      </c>
      <c r="Q21" s="494"/>
      <c r="R21" s="399"/>
      <c r="Z21" s="214"/>
      <c r="AA21" s="214"/>
      <c r="AB21" s="214"/>
      <c r="AC21" s="214"/>
      <c r="AD21" s="214"/>
      <c r="AE21" s="214"/>
      <c r="AF21" s="221"/>
      <c r="AG21" s="221"/>
      <c r="AH21" s="221"/>
      <c r="AI21" s="221"/>
      <c r="AJ21" s="214"/>
      <c r="AK21" s="399"/>
      <c r="AL21" s="399"/>
    </row>
    <row r="22" spans="2:38">
      <c r="B22" t="s">
        <v>127</v>
      </c>
      <c r="D22" s="267">
        <v>77.458361614613679</v>
      </c>
      <c r="E22" s="267"/>
      <c r="F22" s="267">
        <v>89.153553399427565</v>
      </c>
      <c r="G22" s="267">
        <v>24.640226043635298</v>
      </c>
      <c r="H22" s="267">
        <f t="shared" si="0"/>
        <v>23.318524773960721</v>
      </c>
      <c r="J22" s="267">
        <f>'Tax value roll forward'!$F55</f>
        <v>11.2</v>
      </c>
      <c r="K22" s="267">
        <f t="shared" si="1"/>
        <v>-12.118524773960722</v>
      </c>
      <c r="L22" s="385">
        <f t="shared" si="2"/>
        <v>-11.695191784813886</v>
      </c>
      <c r="M22" s="267">
        <f t="shared" si="3"/>
        <v>77.03502862546685</v>
      </c>
      <c r="Q22" s="494"/>
      <c r="R22" s="399"/>
      <c r="Z22" s="214"/>
      <c r="AA22" s="214"/>
      <c r="AB22" s="214"/>
      <c r="AC22" s="214"/>
      <c r="AD22" s="214"/>
      <c r="AE22" s="214"/>
      <c r="AF22" s="221"/>
      <c r="AG22" s="221"/>
      <c r="AH22" s="221"/>
      <c r="AI22" s="221"/>
      <c r="AJ22" s="214"/>
      <c r="AK22" s="399"/>
      <c r="AL22" s="399"/>
    </row>
    <row r="23" spans="2:38">
      <c r="B23" t="s">
        <v>128</v>
      </c>
      <c r="D23" s="267">
        <v>1.6980395394922241</v>
      </c>
      <c r="E23" s="267"/>
      <c r="F23" s="267">
        <v>1.7158400813501418</v>
      </c>
      <c r="G23" s="267">
        <v>0</v>
      </c>
      <c r="H23" s="267">
        <f t="shared" si="0"/>
        <v>0</v>
      </c>
      <c r="J23" s="267">
        <f>'Tax value roll forward'!$F56</f>
        <v>0.7</v>
      </c>
      <c r="K23" s="267">
        <f t="shared" si="1"/>
        <v>0.7</v>
      </c>
      <c r="L23" s="385">
        <f t="shared" si="2"/>
        <v>-1.7800541857917684E-2</v>
      </c>
      <c r="M23" s="267">
        <f t="shared" si="3"/>
        <v>2.4158400813501419</v>
      </c>
      <c r="Q23" s="494"/>
      <c r="R23" s="399"/>
      <c r="Z23" s="214"/>
      <c r="AA23" s="214"/>
      <c r="AB23" s="214"/>
      <c r="AC23" s="214"/>
      <c r="AD23" s="214"/>
      <c r="AE23" s="214"/>
      <c r="AF23" s="221"/>
      <c r="AG23" s="221"/>
      <c r="AH23" s="221"/>
      <c r="AI23" s="221"/>
      <c r="AJ23" s="214"/>
      <c r="AK23" s="399"/>
      <c r="AL23" s="399"/>
    </row>
    <row r="24" spans="2:38">
      <c r="B24" t="s">
        <v>129</v>
      </c>
      <c r="D24" s="267">
        <v>148.80239604508463</v>
      </c>
      <c r="E24" s="267"/>
      <c r="F24" s="267">
        <v>109.21420141312143</v>
      </c>
      <c r="G24" s="267">
        <v>61.480877112247526</v>
      </c>
      <c r="H24" s="267">
        <f t="shared" si="0"/>
        <v>58.18304400000001</v>
      </c>
      <c r="J24" s="267">
        <f>'Tax value roll forward'!$F57</f>
        <v>85.238499999999988</v>
      </c>
      <c r="K24" s="267">
        <f t="shared" si="1"/>
        <v>27.055455999999978</v>
      </c>
      <c r="L24" s="385">
        <f t="shared" si="2"/>
        <v>39.588194631963205</v>
      </c>
      <c r="M24" s="267">
        <f t="shared" si="3"/>
        <v>136.26965741312142</v>
      </c>
      <c r="Q24" s="494"/>
      <c r="R24" s="399"/>
      <c r="Z24" s="214"/>
      <c r="AA24" s="214"/>
      <c r="AB24" s="214"/>
      <c r="AC24" s="214"/>
      <c r="AD24" s="214"/>
      <c r="AE24" s="214"/>
      <c r="AF24" s="221"/>
      <c r="AG24" s="221"/>
      <c r="AH24" s="221"/>
      <c r="AI24" s="221"/>
      <c r="AJ24" s="214"/>
      <c r="AK24" s="399"/>
      <c r="AL24" s="399"/>
    </row>
    <row r="25" spans="2:38">
      <c r="B25" t="s">
        <v>130</v>
      </c>
      <c r="D25" s="267">
        <v>74.530535455396148</v>
      </c>
      <c r="E25" s="267"/>
      <c r="F25" s="267">
        <v>73.318249566841089</v>
      </c>
      <c r="G25" s="267">
        <v>22.631020279422213</v>
      </c>
      <c r="H25" s="267">
        <f t="shared" si="0"/>
        <v>21.417092769813603</v>
      </c>
      <c r="J25" s="267">
        <f>'Tax value roll forward'!$F58</f>
        <v>22.870834231266599</v>
      </c>
      <c r="K25" s="267">
        <f t="shared" si="1"/>
        <v>1.4537414614529958</v>
      </c>
      <c r="L25" s="385">
        <f t="shared" si="2"/>
        <v>1.2122858885550585</v>
      </c>
      <c r="M25" s="267">
        <f t="shared" si="3"/>
        <v>74.771991028294082</v>
      </c>
      <c r="Q25" s="494"/>
      <c r="R25" s="399"/>
      <c r="Z25" s="214"/>
      <c r="AA25" s="214"/>
      <c r="AB25" s="214"/>
      <c r="AC25" s="214"/>
      <c r="AD25" s="214"/>
      <c r="AE25" s="214"/>
      <c r="AF25" s="221"/>
      <c r="AG25" s="221"/>
      <c r="AH25" s="221"/>
      <c r="AI25" s="221"/>
      <c r="AJ25" s="214"/>
      <c r="AK25" s="399"/>
      <c r="AL25" s="399"/>
    </row>
    <row r="26" spans="2:38">
      <c r="B26" t="s">
        <v>131</v>
      </c>
      <c r="D26" s="267">
        <v>141.13315342894143</v>
      </c>
      <c r="E26" s="267"/>
      <c r="F26" s="267">
        <v>139.10623453727609</v>
      </c>
      <c r="G26" s="267">
        <v>56.901077339938503</v>
      </c>
      <c r="H26" s="267">
        <f t="shared" si="0"/>
        <v>53.84890460285137</v>
      </c>
      <c r="J26" s="267">
        <f>'Tax value roll forward'!$F59</f>
        <v>55</v>
      </c>
      <c r="K26" s="267">
        <f t="shared" si="1"/>
        <v>1.1510953971486302</v>
      </c>
      <c r="L26" s="385">
        <f t="shared" si="2"/>
        <v>2.026918891665332</v>
      </c>
      <c r="M26" s="267">
        <f t="shared" si="3"/>
        <v>140.25732993442472</v>
      </c>
      <c r="Q26" s="494"/>
      <c r="R26" s="399"/>
      <c r="Z26" s="214"/>
      <c r="AA26" s="214"/>
      <c r="AB26" s="214"/>
      <c r="AC26" s="214"/>
      <c r="AD26" s="214"/>
      <c r="AE26" s="214"/>
      <c r="AF26" s="221"/>
      <c r="AG26" s="221"/>
      <c r="AH26" s="221"/>
      <c r="AI26" s="221"/>
      <c r="AJ26" s="214"/>
      <c r="AK26" s="399"/>
      <c r="AL26" s="399"/>
    </row>
    <row r="27" spans="2:38">
      <c r="B27" t="s">
        <v>139</v>
      </c>
      <c r="D27" s="267">
        <v>0</v>
      </c>
      <c r="E27" s="267"/>
      <c r="F27" s="267">
        <v>0</v>
      </c>
      <c r="G27" s="267">
        <v>0</v>
      </c>
      <c r="H27" s="267">
        <f t="shared" si="0"/>
        <v>0</v>
      </c>
      <c r="J27" s="267">
        <f>'Tax value roll forward'!$F60</f>
        <v>0</v>
      </c>
      <c r="K27" s="267">
        <f t="shared" si="1"/>
        <v>0</v>
      </c>
      <c r="L27" s="385">
        <f t="shared" si="2"/>
        <v>0</v>
      </c>
      <c r="M27" s="267">
        <f t="shared" si="3"/>
        <v>0</v>
      </c>
      <c r="Q27" s="494"/>
      <c r="R27" s="399"/>
      <c r="Z27" s="214"/>
      <c r="AA27" s="214"/>
      <c r="AB27" s="214"/>
      <c r="AC27" s="214"/>
      <c r="AD27" s="214"/>
      <c r="AE27" s="214"/>
      <c r="AF27" s="221"/>
      <c r="AG27" s="221"/>
      <c r="AH27" s="221"/>
      <c r="AI27" s="221"/>
      <c r="AJ27" s="214"/>
      <c r="AK27" s="399"/>
      <c r="AL27" s="399"/>
    </row>
    <row r="28" spans="2:38">
      <c r="B28" s="369" t="s">
        <v>22</v>
      </c>
      <c r="C28" s="369"/>
      <c r="D28" s="387">
        <v>4552.8774721266736</v>
      </c>
      <c r="E28" s="387"/>
      <c r="F28" s="387">
        <v>4362.9116028715171</v>
      </c>
      <c r="G28" s="437">
        <v>934.27028086116718</v>
      </c>
      <c r="H28" s="439">
        <f>SUM(H7:H27)</f>
        <v>884.15604025936932</v>
      </c>
      <c r="I28" s="369"/>
      <c r="J28" s="387">
        <f>SUM(J7:J27)</f>
        <v>1180.649909370301</v>
      </c>
      <c r="K28" s="387">
        <f>SUM(K7:K27)</f>
        <v>296.4938691109316</v>
      </c>
      <c r="L28" s="386">
        <f>SUM(L7:L27)</f>
        <v>189.96586925515498</v>
      </c>
      <c r="M28" s="387">
        <f>SUM(M7:M27)</f>
        <v>4659.4054719824499</v>
      </c>
      <c r="N28" s="369"/>
      <c r="Q28" s="494"/>
      <c r="R28" s="399"/>
      <c r="Z28" s="214"/>
      <c r="AA28" s="214"/>
      <c r="AB28" s="214"/>
      <c r="AC28" s="214"/>
      <c r="AD28" s="214"/>
      <c r="AE28" s="214"/>
      <c r="AF28" s="221"/>
      <c r="AG28" s="221"/>
      <c r="AH28" s="221"/>
      <c r="AI28" s="221"/>
      <c r="AJ28" s="214"/>
      <c r="AK28" s="399"/>
      <c r="AL28" s="399"/>
    </row>
    <row r="29" spans="2:38">
      <c r="F29" s="267">
        <f>D28-F28</f>
        <v>189.96586925515658</v>
      </c>
      <c r="L29" s="267">
        <f>L28-K28</f>
        <v>-106.52799985577661</v>
      </c>
    </row>
    <row r="30" spans="2:38">
      <c r="B30" s="368" t="s">
        <v>189</v>
      </c>
      <c r="C30" s="368"/>
      <c r="D30" s="368"/>
      <c r="E30" s="368"/>
      <c r="F30" s="368"/>
      <c r="G30" s="368"/>
      <c r="H30" s="368"/>
      <c r="I30" s="368"/>
      <c r="J30" s="368">
        <v>1019.272</v>
      </c>
    </row>
    <row r="31" spans="2:38">
      <c r="B31" s="418"/>
      <c r="C31" s="418"/>
      <c r="D31" s="418"/>
      <c r="E31" s="418"/>
      <c r="F31" s="418"/>
      <c r="G31" s="418"/>
      <c r="H31" s="418"/>
      <c r="I31" s="418"/>
      <c r="J31" s="418"/>
    </row>
    <row r="32" spans="2:38">
      <c r="B32" s="396" t="s">
        <v>179</v>
      </c>
      <c r="G32" s="436"/>
      <c r="Q32">
        <v>1</v>
      </c>
      <c r="R32">
        <v>2</v>
      </c>
      <c r="S32">
        <v>3</v>
      </c>
      <c r="T32">
        <v>4</v>
      </c>
      <c r="U32">
        <v>5</v>
      </c>
    </row>
    <row r="33" spans="2:21" ht="15">
      <c r="B33" s="397" t="s">
        <v>180</v>
      </c>
      <c r="C33" s="397" t="s">
        <v>181</v>
      </c>
      <c r="E33" t="s">
        <v>193</v>
      </c>
      <c r="I33">
        <v>5</v>
      </c>
      <c r="K33" s="388" t="s">
        <v>182</v>
      </c>
      <c r="L33" s="388"/>
      <c r="M33" s="388"/>
      <c r="N33" s="388"/>
      <c r="O33" s="388"/>
      <c r="Q33" s="389" t="s">
        <v>183</v>
      </c>
      <c r="R33" s="390"/>
      <c r="S33" s="390"/>
      <c r="T33" s="390"/>
      <c r="U33" s="390"/>
    </row>
    <row r="34" spans="2:21" ht="36.75">
      <c r="B34" s="369"/>
      <c r="C34" s="391" t="s">
        <v>184</v>
      </c>
      <c r="D34" s="391" t="s">
        <v>185</v>
      </c>
      <c r="E34" s="369" t="s">
        <v>185</v>
      </c>
      <c r="F34" s="392"/>
      <c r="G34" s="392"/>
      <c r="H34" s="392" t="s">
        <v>186</v>
      </c>
      <c r="I34" s="392" t="s">
        <v>187</v>
      </c>
      <c r="J34" s="392"/>
      <c r="K34" s="393" t="s">
        <v>111</v>
      </c>
      <c r="L34" s="393" t="s">
        <v>159</v>
      </c>
      <c r="M34" s="393" t="s">
        <v>160</v>
      </c>
      <c r="N34" s="393" t="s">
        <v>161</v>
      </c>
      <c r="O34" s="393" t="s">
        <v>162</v>
      </c>
      <c r="P34" s="369"/>
      <c r="Q34" s="393" t="s">
        <v>111</v>
      </c>
      <c r="R34" s="393" t="s">
        <v>159</v>
      </c>
      <c r="S34" s="393" t="s">
        <v>160</v>
      </c>
      <c r="T34" s="393" t="s">
        <v>161</v>
      </c>
      <c r="U34" s="393" t="s">
        <v>162</v>
      </c>
    </row>
    <row r="35" spans="2:21">
      <c r="B35" t="s">
        <v>115</v>
      </c>
      <c r="C35" t="s">
        <v>109</v>
      </c>
      <c r="D35" s="394">
        <v>47.5</v>
      </c>
      <c r="E35" s="385">
        <f>Input!L7</f>
        <v>46.298951338166589</v>
      </c>
      <c r="F35" s="267"/>
      <c r="H35" s="267">
        <f t="shared" ref="H35:H55" si="4">IFERROR(K7/D35,0)</f>
        <v>3.4230526315789471</v>
      </c>
      <c r="I35" s="267">
        <f>H35*$I$33</f>
        <v>17.115263157894734</v>
      </c>
      <c r="K35" s="267">
        <v>24.089709061749971</v>
      </c>
      <c r="L35" s="267">
        <v>9.5142951035734669</v>
      </c>
      <c r="M35" s="267">
        <v>9.1818205682452767</v>
      </c>
      <c r="N35" s="267">
        <v>9.118638728965843</v>
      </c>
      <c r="O35" s="267">
        <v>8.7791640475111041</v>
      </c>
      <c r="Q35" s="267">
        <f>IF(Q$32&lt;=$D35,K35+$H35,K35)</f>
        <v>27.512761693328919</v>
      </c>
      <c r="R35" s="267">
        <f t="shared" ref="R35:U50" si="5">IF(R$32&lt;=$D35,L35+$H35,L35)</f>
        <v>12.937347735152414</v>
      </c>
      <c r="S35" s="267">
        <f t="shared" si="5"/>
        <v>12.604873199824224</v>
      </c>
      <c r="T35" s="267">
        <f t="shared" si="5"/>
        <v>12.541691360544791</v>
      </c>
      <c r="U35" s="267">
        <f t="shared" si="5"/>
        <v>12.202216679090052</v>
      </c>
    </row>
    <row r="36" spans="2:21">
      <c r="B36" t="s">
        <v>112</v>
      </c>
      <c r="C36" t="s">
        <v>109</v>
      </c>
      <c r="D36" s="394">
        <v>40</v>
      </c>
      <c r="E36" s="385">
        <f>Input!L8</f>
        <v>70</v>
      </c>
      <c r="F36" s="267"/>
      <c r="H36" s="267">
        <f t="shared" si="4"/>
        <v>-0.70000000000000007</v>
      </c>
      <c r="I36" s="267">
        <f t="shared" ref="I36:I55" si="6">H36*$I$33</f>
        <v>-3.5000000000000004</v>
      </c>
      <c r="K36" s="267">
        <v>1.5132553975</v>
      </c>
      <c r="L36" s="267">
        <v>1.5132553975</v>
      </c>
      <c r="M36" s="267">
        <v>1.5132553975</v>
      </c>
      <c r="N36" s="267">
        <v>1.5132553975</v>
      </c>
      <c r="O36" s="267">
        <v>1.5132553975</v>
      </c>
      <c r="Q36" s="267">
        <f t="shared" ref="Q36:U55" si="7">IF(Q$32&lt;=$D36,K36+$H36,K36)</f>
        <v>0.81325539749999998</v>
      </c>
      <c r="R36" s="267">
        <f t="shared" si="5"/>
        <v>0.81325539749999998</v>
      </c>
      <c r="S36" s="267">
        <f t="shared" si="5"/>
        <v>0.81325539749999998</v>
      </c>
      <c r="T36" s="267">
        <f t="shared" si="5"/>
        <v>0.81325539749999998</v>
      </c>
      <c r="U36" s="267">
        <f t="shared" si="5"/>
        <v>0.81325539749999998</v>
      </c>
    </row>
    <row r="37" spans="2:21">
      <c r="B37" t="s">
        <v>117</v>
      </c>
      <c r="C37" t="s">
        <v>109</v>
      </c>
      <c r="D37" s="394">
        <v>48.7</v>
      </c>
      <c r="E37" s="385">
        <f>Input!L9</f>
        <v>58.033383369141177</v>
      </c>
      <c r="F37" s="267"/>
      <c r="H37" s="267">
        <f t="shared" si="4"/>
        <v>0.2826029024588384</v>
      </c>
      <c r="I37" s="267">
        <f t="shared" si="6"/>
        <v>1.4130145122941919</v>
      </c>
      <c r="K37" s="267">
        <v>70.086010365151608</v>
      </c>
      <c r="L37" s="267">
        <v>22.705818602281166</v>
      </c>
      <c r="M37" s="267">
        <v>22.359872149672643</v>
      </c>
      <c r="N37" s="267">
        <v>22.002451530583951</v>
      </c>
      <c r="O37" s="267">
        <v>19.027940589209855</v>
      </c>
      <c r="Q37" s="267">
        <f t="shared" si="7"/>
        <v>70.368613267610442</v>
      </c>
      <c r="R37" s="267">
        <f t="shared" si="5"/>
        <v>22.988421504740003</v>
      </c>
      <c r="S37" s="267">
        <f t="shared" si="5"/>
        <v>22.642475052131481</v>
      </c>
      <c r="T37" s="267">
        <f t="shared" si="5"/>
        <v>22.285054433042788</v>
      </c>
      <c r="U37" s="267">
        <f t="shared" si="5"/>
        <v>19.310543491668692</v>
      </c>
    </row>
    <row r="38" spans="2:21">
      <c r="B38" t="s">
        <v>118</v>
      </c>
      <c r="C38" t="s">
        <v>109</v>
      </c>
      <c r="D38" s="394">
        <v>40</v>
      </c>
      <c r="E38" s="385">
        <f>Input!L10</f>
        <v>46.842831924321999</v>
      </c>
      <c r="F38" s="267"/>
      <c r="H38" s="267">
        <f t="shared" si="4"/>
        <v>-0.64154968800000201</v>
      </c>
      <c r="I38" s="267">
        <f t="shared" si="6"/>
        <v>-3.2077484400000102</v>
      </c>
      <c r="K38" s="267">
        <v>71.679794248081706</v>
      </c>
      <c r="L38" s="267">
        <v>51.957536392266562</v>
      </c>
      <c r="M38" s="267">
        <v>45.407605679817685</v>
      </c>
      <c r="N38" s="267">
        <v>44.555781081543593</v>
      </c>
      <c r="O38" s="267">
        <v>41.553859061983339</v>
      </c>
      <c r="Q38" s="267">
        <f t="shared" si="7"/>
        <v>71.038244560081708</v>
      </c>
      <c r="R38" s="267">
        <f t="shared" si="5"/>
        <v>51.315986704266557</v>
      </c>
      <c r="S38" s="267">
        <f t="shared" si="5"/>
        <v>44.76605599181768</v>
      </c>
      <c r="T38" s="267">
        <f t="shared" si="5"/>
        <v>43.914231393543588</v>
      </c>
      <c r="U38" s="267">
        <f t="shared" si="5"/>
        <v>40.912309373983334</v>
      </c>
    </row>
    <row r="39" spans="2:21">
      <c r="B39" t="s">
        <v>119</v>
      </c>
      <c r="C39" t="s">
        <v>109</v>
      </c>
      <c r="D39" s="394">
        <v>42</v>
      </c>
      <c r="E39" s="385">
        <f>Input!L11</f>
        <v>45.887214388616371</v>
      </c>
      <c r="F39" s="267"/>
      <c r="H39" s="267">
        <f t="shared" si="4"/>
        <v>-0.12302212976190521</v>
      </c>
      <c r="I39" s="267">
        <f t="shared" si="6"/>
        <v>-0.61511064880952604</v>
      </c>
      <c r="K39" s="267">
        <v>23.625298526742093</v>
      </c>
      <c r="L39" s="267">
        <v>9.5333953240317264</v>
      </c>
      <c r="M39" s="267">
        <v>9.0045137130443553</v>
      </c>
      <c r="N39" s="267">
        <v>8.4138958845258909</v>
      </c>
      <c r="O39" s="267">
        <v>7.4055997497307562</v>
      </c>
      <c r="Q39" s="267">
        <f t="shared" si="7"/>
        <v>23.502276396980186</v>
      </c>
      <c r="R39" s="267">
        <f t="shared" si="5"/>
        <v>9.4103731942698214</v>
      </c>
      <c r="S39" s="267">
        <f t="shared" si="5"/>
        <v>8.8814915832824504</v>
      </c>
      <c r="T39" s="267">
        <f t="shared" si="5"/>
        <v>8.2908737547639859</v>
      </c>
      <c r="U39" s="267">
        <f t="shared" si="5"/>
        <v>7.2825776199688512</v>
      </c>
    </row>
    <row r="40" spans="2:21">
      <c r="B40" t="s">
        <v>120</v>
      </c>
      <c r="C40" t="s">
        <v>109</v>
      </c>
      <c r="D40" s="394">
        <v>45.8</v>
      </c>
      <c r="E40" s="385">
        <f>Input!L12</f>
        <v>52.073244732796169</v>
      </c>
      <c r="F40" s="267"/>
      <c r="H40" s="267">
        <f t="shared" si="4"/>
        <v>2.1122177914847167</v>
      </c>
      <c r="I40" s="267">
        <f t="shared" si="6"/>
        <v>10.561088957423584</v>
      </c>
      <c r="K40" s="267">
        <v>26.62825488818099</v>
      </c>
      <c r="L40" s="267">
        <v>13.143726723903301</v>
      </c>
      <c r="M40" s="267">
        <v>13.577667146826057</v>
      </c>
      <c r="N40" s="267">
        <v>13.480929596540717</v>
      </c>
      <c r="O40" s="267">
        <v>11.802466791117975</v>
      </c>
      <c r="Q40" s="267">
        <f t="shared" si="7"/>
        <v>28.740472679665707</v>
      </c>
      <c r="R40" s="267">
        <f t="shared" si="5"/>
        <v>15.255944515388018</v>
      </c>
      <c r="S40" s="267">
        <f t="shared" si="5"/>
        <v>15.689884938310774</v>
      </c>
      <c r="T40" s="267">
        <f t="shared" si="5"/>
        <v>15.593147388025434</v>
      </c>
      <c r="U40" s="267">
        <f t="shared" si="5"/>
        <v>13.914684582602693</v>
      </c>
    </row>
    <row r="41" spans="2:21">
      <c r="B41" t="s">
        <v>121</v>
      </c>
      <c r="C41" t="s">
        <v>109</v>
      </c>
      <c r="D41" s="394">
        <v>25</v>
      </c>
      <c r="E41" s="385">
        <f>Input!L13</f>
        <v>25</v>
      </c>
      <c r="F41" s="267"/>
      <c r="H41" s="267">
        <f t="shared" si="4"/>
        <v>-0.75684480000000021</v>
      </c>
      <c r="I41" s="267">
        <f t="shared" si="6"/>
        <v>-3.7842240000000009</v>
      </c>
      <c r="K41" s="267">
        <v>8.6500585436000001</v>
      </c>
      <c r="L41" s="267">
        <v>8.0554590636000007</v>
      </c>
      <c r="M41" s="267">
        <v>7.7162533136000002</v>
      </c>
      <c r="N41" s="267">
        <v>7.4091359735999998</v>
      </c>
      <c r="O41" s="267">
        <v>7.1051991835999999</v>
      </c>
      <c r="Q41" s="267">
        <f t="shared" si="7"/>
        <v>7.8932137435999996</v>
      </c>
      <c r="R41" s="267">
        <f t="shared" si="5"/>
        <v>7.2986142636000002</v>
      </c>
      <c r="S41" s="267">
        <f t="shared" si="5"/>
        <v>6.9594085135999997</v>
      </c>
      <c r="T41" s="267">
        <f t="shared" si="5"/>
        <v>6.6522911735999992</v>
      </c>
      <c r="U41" s="267">
        <f t="shared" si="5"/>
        <v>6.3483543835999994</v>
      </c>
    </row>
    <row r="42" spans="2:21">
      <c r="B42" t="s">
        <v>122</v>
      </c>
      <c r="C42" t="s">
        <v>109</v>
      </c>
      <c r="D42" s="394">
        <v>15</v>
      </c>
      <c r="E42" s="385">
        <f>Input!L14</f>
        <v>15</v>
      </c>
      <c r="F42" s="267"/>
      <c r="H42" s="267">
        <f t="shared" si="4"/>
        <v>0</v>
      </c>
      <c r="I42" s="267">
        <f t="shared" si="6"/>
        <v>0</v>
      </c>
      <c r="K42" s="267">
        <v>0</v>
      </c>
      <c r="L42" s="267">
        <v>0</v>
      </c>
      <c r="M42" s="267">
        <v>0</v>
      </c>
      <c r="N42" s="267">
        <v>0</v>
      </c>
      <c r="O42" s="267">
        <v>0</v>
      </c>
      <c r="Q42" s="267">
        <f t="shared" si="7"/>
        <v>0</v>
      </c>
      <c r="R42" s="267">
        <f t="shared" si="5"/>
        <v>0</v>
      </c>
      <c r="S42" s="267">
        <f t="shared" si="5"/>
        <v>0</v>
      </c>
      <c r="T42" s="267">
        <f t="shared" si="5"/>
        <v>0</v>
      </c>
      <c r="U42" s="267">
        <f t="shared" si="5"/>
        <v>0</v>
      </c>
    </row>
    <row r="43" spans="2:21">
      <c r="B43" t="s">
        <v>116</v>
      </c>
      <c r="C43" t="s">
        <v>109</v>
      </c>
      <c r="D43" s="394">
        <v>10</v>
      </c>
      <c r="E43" s="385">
        <f>Input!L15</f>
        <v>10</v>
      </c>
      <c r="F43" s="267"/>
      <c r="H43" s="267">
        <f t="shared" si="4"/>
        <v>0</v>
      </c>
      <c r="I43" s="267">
        <f t="shared" si="6"/>
        <v>0</v>
      </c>
      <c r="K43" s="267">
        <v>0</v>
      </c>
      <c r="L43" s="267">
        <v>0</v>
      </c>
      <c r="M43" s="267">
        <v>0</v>
      </c>
      <c r="N43" s="267">
        <v>0</v>
      </c>
      <c r="O43" s="267">
        <v>0</v>
      </c>
      <c r="Q43" s="267">
        <f t="shared" si="7"/>
        <v>0</v>
      </c>
      <c r="R43" s="267">
        <f t="shared" si="5"/>
        <v>0</v>
      </c>
      <c r="S43" s="267">
        <f t="shared" si="5"/>
        <v>0</v>
      </c>
      <c r="T43" s="267">
        <f t="shared" si="5"/>
        <v>0</v>
      </c>
      <c r="U43" s="267">
        <f t="shared" si="5"/>
        <v>0</v>
      </c>
    </row>
    <row r="44" spans="2:21">
      <c r="B44" t="s">
        <v>123</v>
      </c>
      <c r="C44" t="s">
        <v>109</v>
      </c>
      <c r="D44" s="394">
        <v>7.4</v>
      </c>
      <c r="E44" s="385">
        <f>Input!L16</f>
        <v>10.221009481131924</v>
      </c>
      <c r="F44" s="267"/>
      <c r="H44" s="267">
        <f t="shared" si="4"/>
        <v>2.1351351351351338</v>
      </c>
      <c r="I44" s="267">
        <f t="shared" si="6"/>
        <v>10.675675675675668</v>
      </c>
      <c r="K44" s="267">
        <v>14.4188780215538</v>
      </c>
      <c r="L44" s="267">
        <v>11.170701953753799</v>
      </c>
      <c r="M44" s="267">
        <v>8.7545803407137992</v>
      </c>
      <c r="N44" s="267">
        <v>6.0526479277938003</v>
      </c>
      <c r="O44" s="267">
        <v>3.2846749677938001</v>
      </c>
      <c r="Q44" s="267">
        <f t="shared" si="7"/>
        <v>16.554013156688935</v>
      </c>
      <c r="R44" s="267">
        <f t="shared" si="5"/>
        <v>13.305837088888932</v>
      </c>
      <c r="S44" s="267">
        <f t="shared" si="5"/>
        <v>10.889715475848933</v>
      </c>
      <c r="T44" s="267">
        <f t="shared" si="5"/>
        <v>8.1877830629289345</v>
      </c>
      <c r="U44" s="267">
        <f t="shared" si="5"/>
        <v>5.4198101029289338</v>
      </c>
    </row>
    <row r="45" spans="2:21">
      <c r="B45" t="s">
        <v>113</v>
      </c>
      <c r="C45" t="s">
        <v>109</v>
      </c>
      <c r="D45" s="394">
        <v>7</v>
      </c>
      <c r="E45" s="385">
        <f>Input!L17</f>
        <v>7</v>
      </c>
      <c r="F45" s="267"/>
      <c r="H45" s="267">
        <f t="shared" si="4"/>
        <v>0</v>
      </c>
      <c r="I45" s="267">
        <f t="shared" si="6"/>
        <v>0</v>
      </c>
      <c r="K45" s="267">
        <v>0</v>
      </c>
      <c r="L45" s="267">
        <v>0</v>
      </c>
      <c r="M45" s="267">
        <v>0</v>
      </c>
      <c r="N45" s="267">
        <v>0</v>
      </c>
      <c r="O45" s="267">
        <v>0</v>
      </c>
      <c r="Q45" s="267">
        <f t="shared" si="7"/>
        <v>0</v>
      </c>
      <c r="R45" s="267">
        <f t="shared" si="5"/>
        <v>0</v>
      </c>
      <c r="S45" s="267">
        <f t="shared" si="5"/>
        <v>0</v>
      </c>
      <c r="T45" s="267">
        <f t="shared" si="5"/>
        <v>0</v>
      </c>
      <c r="U45" s="267">
        <f t="shared" si="5"/>
        <v>0</v>
      </c>
    </row>
    <row r="46" spans="2:21">
      <c r="B46" t="s">
        <v>114</v>
      </c>
      <c r="C46" t="s">
        <v>109</v>
      </c>
      <c r="D46" s="394">
        <v>15</v>
      </c>
      <c r="E46" s="385">
        <f>Input!L18</f>
        <v>15</v>
      </c>
      <c r="F46" s="267"/>
      <c r="H46" s="267">
        <f t="shared" si="4"/>
        <v>0</v>
      </c>
      <c r="I46" s="267">
        <f t="shared" si="6"/>
        <v>0</v>
      </c>
      <c r="K46" s="267">
        <v>0</v>
      </c>
      <c r="L46" s="267">
        <v>0</v>
      </c>
      <c r="M46" s="267">
        <v>0</v>
      </c>
      <c r="N46" s="267">
        <v>0</v>
      </c>
      <c r="O46" s="267">
        <v>0</v>
      </c>
      <c r="Q46" s="267">
        <f t="shared" si="7"/>
        <v>0</v>
      </c>
      <c r="R46" s="267">
        <f t="shared" si="5"/>
        <v>0</v>
      </c>
      <c r="S46" s="267">
        <f t="shared" si="5"/>
        <v>0</v>
      </c>
      <c r="T46" s="267">
        <f t="shared" si="5"/>
        <v>0</v>
      </c>
      <c r="U46" s="267">
        <f t="shared" si="5"/>
        <v>0</v>
      </c>
    </row>
    <row r="47" spans="2:21">
      <c r="B47" t="s">
        <v>124</v>
      </c>
      <c r="C47" t="s">
        <v>109</v>
      </c>
      <c r="D47" s="394" t="s">
        <v>109</v>
      </c>
      <c r="E47" s="385" t="str">
        <f>Input!L19</f>
        <v>n/a</v>
      </c>
      <c r="F47" s="267"/>
      <c r="H47" s="267">
        <f t="shared" si="4"/>
        <v>0</v>
      </c>
      <c r="I47" s="267">
        <f t="shared" si="6"/>
        <v>0</v>
      </c>
      <c r="K47" s="267">
        <v>0</v>
      </c>
      <c r="L47" s="267">
        <v>0</v>
      </c>
      <c r="M47" s="267">
        <v>0</v>
      </c>
      <c r="N47" s="267">
        <v>0</v>
      </c>
      <c r="O47" s="267">
        <v>0</v>
      </c>
      <c r="Q47" s="267">
        <f t="shared" si="7"/>
        <v>0</v>
      </c>
      <c r="R47" s="267">
        <f t="shared" si="5"/>
        <v>0</v>
      </c>
      <c r="S47" s="267">
        <f t="shared" si="5"/>
        <v>0</v>
      </c>
      <c r="T47" s="267">
        <f t="shared" si="5"/>
        <v>0</v>
      </c>
      <c r="U47" s="267">
        <f t="shared" si="5"/>
        <v>0</v>
      </c>
    </row>
    <row r="48" spans="2:21">
      <c r="B48" t="s">
        <v>125</v>
      </c>
      <c r="C48" t="s">
        <v>109</v>
      </c>
      <c r="D48" s="394" t="s">
        <v>109</v>
      </c>
      <c r="E48" s="385" t="str">
        <f>Input!L20</f>
        <v>n/a</v>
      </c>
      <c r="F48" s="267"/>
      <c r="H48" s="267">
        <f t="shared" si="4"/>
        <v>0</v>
      </c>
      <c r="I48" s="267">
        <f t="shared" si="6"/>
        <v>0</v>
      </c>
      <c r="K48" s="267">
        <v>0</v>
      </c>
      <c r="L48" s="267">
        <v>0</v>
      </c>
      <c r="M48" s="267">
        <v>0</v>
      </c>
      <c r="N48" s="267">
        <v>0</v>
      </c>
      <c r="O48" s="267">
        <v>0</v>
      </c>
      <c r="Q48" s="267">
        <f t="shared" si="7"/>
        <v>0</v>
      </c>
      <c r="R48" s="267">
        <f t="shared" si="5"/>
        <v>0</v>
      </c>
      <c r="S48" s="267">
        <f t="shared" si="5"/>
        <v>0</v>
      </c>
      <c r="T48" s="267">
        <f t="shared" si="5"/>
        <v>0</v>
      </c>
      <c r="U48" s="267">
        <f t="shared" si="5"/>
        <v>0</v>
      </c>
    </row>
    <row r="49" spans="2:21">
      <c r="B49" t="s">
        <v>126</v>
      </c>
      <c r="C49" t="s">
        <v>109</v>
      </c>
      <c r="D49" s="394">
        <v>10.6</v>
      </c>
      <c r="E49" s="385">
        <f>Input!L21</f>
        <v>17.439221952066688</v>
      </c>
      <c r="F49" s="267"/>
      <c r="H49" s="267">
        <f t="shared" si="4"/>
        <v>5.071573258996178E-3</v>
      </c>
      <c r="I49" s="267">
        <f t="shared" si="6"/>
        <v>2.535786629498089E-2</v>
      </c>
      <c r="K49" s="267">
        <v>2.9546380039553255</v>
      </c>
      <c r="L49" s="267">
        <v>2.8192464817479834</v>
      </c>
      <c r="M49" s="267">
        <v>2.7555421860669558</v>
      </c>
      <c r="N49" s="267">
        <v>2.5036044109707833</v>
      </c>
      <c r="O49" s="267">
        <v>2.3180459042215196</v>
      </c>
      <c r="Q49" s="267">
        <f t="shared" si="7"/>
        <v>2.9597095772143218</v>
      </c>
      <c r="R49" s="267">
        <f t="shared" si="5"/>
        <v>2.8243180550069797</v>
      </c>
      <c r="S49" s="267">
        <f t="shared" si="5"/>
        <v>2.7606137593259521</v>
      </c>
      <c r="T49" s="267">
        <f t="shared" si="5"/>
        <v>2.5086759842297797</v>
      </c>
      <c r="U49" s="267">
        <f t="shared" si="5"/>
        <v>2.3231174774805159</v>
      </c>
    </row>
    <row r="50" spans="2:21">
      <c r="B50" t="s">
        <v>127</v>
      </c>
      <c r="C50" t="s">
        <v>109</v>
      </c>
      <c r="D50" s="394" t="s">
        <v>109</v>
      </c>
      <c r="E50" s="385" t="str">
        <f>Input!L22</f>
        <v>n/a</v>
      </c>
      <c r="F50" s="267"/>
      <c r="H50" s="267">
        <f t="shared" si="4"/>
        <v>0</v>
      </c>
      <c r="I50" s="267">
        <f t="shared" si="6"/>
        <v>0</v>
      </c>
      <c r="K50" s="267">
        <v>0</v>
      </c>
      <c r="L50" s="267">
        <v>0</v>
      </c>
      <c r="M50" s="267">
        <v>0</v>
      </c>
      <c r="N50" s="267">
        <v>0</v>
      </c>
      <c r="O50" s="267">
        <v>0</v>
      </c>
      <c r="Q50" s="267">
        <f t="shared" si="7"/>
        <v>0</v>
      </c>
      <c r="R50" s="267">
        <f t="shared" si="5"/>
        <v>0</v>
      </c>
      <c r="S50" s="267">
        <f t="shared" si="5"/>
        <v>0</v>
      </c>
      <c r="T50" s="267">
        <f t="shared" si="5"/>
        <v>0</v>
      </c>
      <c r="U50" s="267">
        <f t="shared" si="5"/>
        <v>0</v>
      </c>
    </row>
    <row r="51" spans="2:21">
      <c r="B51" t="s">
        <v>128</v>
      </c>
      <c r="C51" t="s">
        <v>109</v>
      </c>
      <c r="D51" s="394">
        <v>10.5</v>
      </c>
      <c r="E51" s="385">
        <f>Input!L23</f>
        <v>29.444039815489198</v>
      </c>
      <c r="F51" s="267"/>
      <c r="H51" s="267">
        <f t="shared" si="4"/>
        <v>6.6666666666666666E-2</v>
      </c>
      <c r="I51" s="267">
        <f t="shared" si="6"/>
        <v>0.33333333333333331</v>
      </c>
      <c r="K51" s="267">
        <v>0.26611424126598116</v>
      </c>
      <c r="L51" s="267">
        <v>0.26611424126598116</v>
      </c>
      <c r="M51" s="267">
        <v>0.2625917287761711</v>
      </c>
      <c r="N51" s="267">
        <v>0.2088078200766639</v>
      </c>
      <c r="O51" s="267">
        <v>0.24325502862379175</v>
      </c>
      <c r="Q51" s="267">
        <f t="shared" si="7"/>
        <v>0.33278090793264781</v>
      </c>
      <c r="R51" s="267">
        <f t="shared" si="7"/>
        <v>0.33278090793264781</v>
      </c>
      <c r="S51" s="267">
        <f t="shared" si="7"/>
        <v>0.32925839544283775</v>
      </c>
      <c r="T51" s="267">
        <f t="shared" si="7"/>
        <v>0.27547448674333058</v>
      </c>
      <c r="U51" s="267">
        <f t="shared" si="7"/>
        <v>0.30992169529045843</v>
      </c>
    </row>
    <row r="52" spans="2:21">
      <c r="B52" t="s">
        <v>129</v>
      </c>
      <c r="C52" t="s">
        <v>109</v>
      </c>
      <c r="D52" s="394">
        <v>4</v>
      </c>
      <c r="E52" s="385">
        <f>Input!L24</f>
        <v>5</v>
      </c>
      <c r="F52" s="267"/>
      <c r="H52" s="267">
        <f t="shared" si="4"/>
        <v>6.7638639999999945</v>
      </c>
      <c r="I52" s="267">
        <f t="shared" si="6"/>
        <v>33.819319999999976</v>
      </c>
      <c r="K52" s="267">
        <v>26.012245734038132</v>
      </c>
      <c r="L52" s="267">
        <v>23.44368587618764</v>
      </c>
      <c r="M52" s="267">
        <v>17.410561606582679</v>
      </c>
      <c r="N52" s="267">
        <v>5.9830542670899582</v>
      </c>
      <c r="O52" s="267">
        <v>5.9945088852979413</v>
      </c>
      <c r="Q52" s="267">
        <f t="shared" si="7"/>
        <v>32.77610973403813</v>
      </c>
      <c r="R52" s="267">
        <f t="shared" si="7"/>
        <v>30.207549876187635</v>
      </c>
      <c r="S52" s="267">
        <f t="shared" si="7"/>
        <v>24.174425606582673</v>
      </c>
      <c r="T52" s="267">
        <f t="shared" si="7"/>
        <v>12.746918267089953</v>
      </c>
      <c r="U52" s="267">
        <f t="shared" si="7"/>
        <v>5.9945088852979413</v>
      </c>
    </row>
    <row r="53" spans="2:21">
      <c r="B53" t="s">
        <v>130</v>
      </c>
      <c r="C53" t="s">
        <v>109</v>
      </c>
      <c r="D53" s="394">
        <v>20</v>
      </c>
      <c r="E53" s="385">
        <f>Input!L25</f>
        <v>10.244186762015632</v>
      </c>
      <c r="F53" s="267"/>
      <c r="H53" s="267">
        <f t="shared" si="4"/>
        <v>7.2687073072649794E-2</v>
      </c>
      <c r="I53" s="267">
        <f t="shared" si="6"/>
        <v>0.36343536536324894</v>
      </c>
      <c r="K53" s="267">
        <v>10.135373278289661</v>
      </c>
      <c r="L53" s="267">
        <v>8.7583940101293347</v>
      </c>
      <c r="M53" s="267">
        <v>7.1888531792584631</v>
      </c>
      <c r="N53" s="267">
        <v>5.1556561921748409</v>
      </c>
      <c r="O53" s="267">
        <v>2.9076991336115667</v>
      </c>
      <c r="Q53" s="267">
        <f t="shared" si="7"/>
        <v>10.208060351362311</v>
      </c>
      <c r="R53" s="267">
        <f t="shared" si="7"/>
        <v>8.831081083201985</v>
      </c>
      <c r="S53" s="267">
        <f t="shared" si="7"/>
        <v>7.2615402523311126</v>
      </c>
      <c r="T53" s="267">
        <f t="shared" si="7"/>
        <v>5.2283432652474904</v>
      </c>
      <c r="U53" s="267">
        <f t="shared" si="7"/>
        <v>2.9803862066842166</v>
      </c>
    </row>
    <row r="54" spans="2:21">
      <c r="B54" t="s">
        <v>131</v>
      </c>
      <c r="C54" t="s">
        <v>109</v>
      </c>
      <c r="D54" s="394">
        <v>40</v>
      </c>
      <c r="E54" s="385">
        <f>Input!L26</f>
        <v>35.916896031439698</v>
      </c>
      <c r="F54" s="267"/>
      <c r="H54" s="267">
        <f t="shared" si="4"/>
        <v>2.8777384928715753E-2</v>
      </c>
      <c r="I54" s="267">
        <f t="shared" si="6"/>
        <v>0.14388692464357877</v>
      </c>
      <c r="K54" s="267">
        <v>6.0293765591764927</v>
      </c>
      <c r="L54" s="267">
        <v>5.737524246349258</v>
      </c>
      <c r="M54" s="267">
        <v>5.4561646671470312</v>
      </c>
      <c r="N54" s="267">
        <v>5.2795991982578476</v>
      </c>
      <c r="O54" s="267">
        <v>5.0823836613231643</v>
      </c>
      <c r="Q54" s="267">
        <f t="shared" si="7"/>
        <v>6.0581539441052081</v>
      </c>
      <c r="R54" s="267">
        <f t="shared" si="7"/>
        <v>5.7663016312779733</v>
      </c>
      <c r="S54" s="267">
        <f t="shared" si="7"/>
        <v>5.4849420520757466</v>
      </c>
      <c r="T54" s="267">
        <f t="shared" si="7"/>
        <v>5.308376583186563</v>
      </c>
      <c r="U54" s="267">
        <f t="shared" si="7"/>
        <v>5.1111610462518797</v>
      </c>
    </row>
    <row r="55" spans="2:21">
      <c r="B55" t="s">
        <v>139</v>
      </c>
      <c r="C55" t="s">
        <v>109</v>
      </c>
      <c r="D55" s="394">
        <v>47.42815308482453</v>
      </c>
      <c r="E55" s="385">
        <f>Input!L27</f>
        <v>47.42815308482453</v>
      </c>
      <c r="F55" s="267"/>
      <c r="H55" s="267">
        <f t="shared" si="4"/>
        <v>0</v>
      </c>
      <c r="I55" s="267">
        <f t="shared" si="6"/>
        <v>0</v>
      </c>
      <c r="K55" s="267">
        <v>0</v>
      </c>
      <c r="L55" s="267">
        <v>0</v>
      </c>
      <c r="M55" s="267">
        <v>0</v>
      </c>
      <c r="N55" s="267">
        <v>0</v>
      </c>
      <c r="O55" s="267">
        <v>0</v>
      </c>
      <c r="Q55" s="267">
        <f t="shared" si="7"/>
        <v>0</v>
      </c>
      <c r="R55" s="267">
        <f t="shared" si="7"/>
        <v>0</v>
      </c>
      <c r="S55" s="267">
        <f t="shared" si="7"/>
        <v>0</v>
      </c>
      <c r="T55" s="267">
        <f t="shared" si="7"/>
        <v>0</v>
      </c>
      <c r="U55" s="267">
        <f t="shared" si="7"/>
        <v>0</v>
      </c>
    </row>
    <row r="56" spans="2:21">
      <c r="B56" s="369"/>
      <c r="C56" s="369"/>
      <c r="D56" s="369"/>
      <c r="E56" s="369"/>
      <c r="F56" s="387"/>
      <c r="G56" s="387"/>
      <c r="H56" s="387">
        <f t="shared" ref="H56:I56" si="8">SUM(H35:H55)</f>
        <v>12.668658540822751</v>
      </c>
      <c r="I56" s="387">
        <f t="shared" si="8"/>
        <v>63.343292704113757</v>
      </c>
      <c r="J56" s="387"/>
      <c r="K56" s="387">
        <f>SUM(K35:K55)</f>
        <v>286.08900686928581</v>
      </c>
      <c r="L56" s="387">
        <f t="shared" ref="L56:O56" si="9">SUM(L35:L55)</f>
        <v>168.61915341659022</v>
      </c>
      <c r="M56" s="387">
        <f t="shared" si="9"/>
        <v>150.58928167725114</v>
      </c>
      <c r="N56" s="387">
        <f t="shared" si="9"/>
        <v>131.67745800962388</v>
      </c>
      <c r="O56" s="387">
        <f t="shared" si="9"/>
        <v>117.01805240152483</v>
      </c>
      <c r="P56" s="369"/>
      <c r="Q56" s="387">
        <f>SUM(Q35:Q55)</f>
        <v>298.75766541010847</v>
      </c>
      <c r="R56" s="387">
        <f t="shared" ref="R56:U56" si="10">SUM(R35:R55)</f>
        <v>181.28781195741297</v>
      </c>
      <c r="S56" s="387">
        <f t="shared" si="10"/>
        <v>163.25794021807386</v>
      </c>
      <c r="T56" s="387">
        <f t="shared" si="10"/>
        <v>144.34611655044665</v>
      </c>
      <c r="U56" s="387">
        <f t="shared" si="10"/>
        <v>122.92284694234758</v>
      </c>
    </row>
    <row r="57" spans="2:21">
      <c r="O57" s="267">
        <f>SUM(K56:O56)</f>
        <v>853.99295237427589</v>
      </c>
      <c r="U57" s="267">
        <f>SUM(Q56:U56)</f>
        <v>910.57238107838953</v>
      </c>
    </row>
    <row r="58" spans="2:21" ht="15">
      <c r="Q58" s="395" t="s">
        <v>188</v>
      </c>
      <c r="R58" s="369"/>
      <c r="S58" s="369"/>
      <c r="T58" s="369"/>
      <c r="U58" s="387">
        <f>O57-U57</f>
        <v>-56.579428704113639</v>
      </c>
    </row>
    <row r="59" spans="2:21">
      <c r="K59" s="267"/>
      <c r="L59" s="267"/>
      <c r="M59" s="267"/>
      <c r="N59" s="267"/>
      <c r="O59" s="267"/>
    </row>
    <row r="60" spans="2:21">
      <c r="Q60" s="267"/>
      <c r="R60" s="267"/>
      <c r="S60" s="267"/>
      <c r="T60" s="267"/>
      <c r="U60" s="267"/>
    </row>
    <row r="61" spans="2:21">
      <c r="J61" s="403"/>
      <c r="K61" s="424" t="s">
        <v>191</v>
      </c>
      <c r="L61" s="403"/>
      <c r="M61" s="403"/>
      <c r="N61" s="403"/>
      <c r="O61" s="403"/>
      <c r="Q61" s="267"/>
      <c r="R61" s="267"/>
      <c r="S61" s="267"/>
      <c r="T61" s="267"/>
      <c r="U61" s="267"/>
    </row>
    <row r="62" spans="2:21">
      <c r="D62" s="426"/>
      <c r="E62" s="426"/>
      <c r="G62" s="427"/>
      <c r="J62" t="s">
        <v>115</v>
      </c>
      <c r="K62" s="267">
        <v>27.439103623874185</v>
      </c>
      <c r="L62" s="267">
        <v>12.863689665697679</v>
      </c>
      <c r="M62" s="267">
        <v>12.531215130369493</v>
      </c>
      <c r="N62" s="267">
        <v>12.468033291090057</v>
      </c>
      <c r="O62" s="267">
        <v>12.128558609635316</v>
      </c>
      <c r="Q62" s="267"/>
      <c r="R62" s="267"/>
      <c r="S62" s="267"/>
      <c r="T62" s="267"/>
      <c r="U62" s="267"/>
    </row>
    <row r="63" spans="2:21">
      <c r="D63" s="426"/>
      <c r="E63" s="426"/>
      <c r="G63" s="428"/>
      <c r="J63" t="s">
        <v>112</v>
      </c>
      <c r="K63" s="267">
        <v>0.81325539749999998</v>
      </c>
      <c r="L63" s="267">
        <v>0.81325539749999998</v>
      </c>
      <c r="M63" s="267">
        <v>0.81325539749999998</v>
      </c>
      <c r="N63" s="267">
        <v>0.81325539749999998</v>
      </c>
      <c r="O63" s="267">
        <v>0.81325539749999998</v>
      </c>
      <c r="Q63" s="267"/>
      <c r="R63" s="267"/>
      <c r="S63" s="267"/>
      <c r="T63" s="267"/>
      <c r="U63" s="267"/>
    </row>
    <row r="64" spans="2:21">
      <c r="D64" s="426"/>
      <c r="E64" s="426"/>
      <c r="G64" s="428"/>
      <c r="J64" t="s">
        <v>117</v>
      </c>
      <c r="K64" s="267">
        <v>69.97584018289497</v>
      </c>
      <c r="L64" s="267">
        <v>22.595648420024517</v>
      </c>
      <c r="M64" s="267">
        <v>22.249701967415994</v>
      </c>
      <c r="N64" s="267">
        <v>21.892281348327305</v>
      </c>
      <c r="O64" s="267">
        <v>18.91777040695321</v>
      </c>
      <c r="Q64" s="267"/>
      <c r="R64" s="267"/>
      <c r="S64" s="267"/>
      <c r="T64" s="267"/>
      <c r="U64" s="267"/>
    </row>
    <row r="65" spans="4:21">
      <c r="D65" s="426"/>
      <c r="E65" s="426"/>
      <c r="G65" s="428"/>
      <c r="J65" t="s">
        <v>118</v>
      </c>
      <c r="K65" s="267">
        <v>70.424970397554333</v>
      </c>
      <c r="L65" s="267">
        <v>50.892712541739193</v>
      </c>
      <c r="M65" s="267">
        <v>44.34278182929031</v>
      </c>
      <c r="N65" s="267">
        <v>43.30095723101622</v>
      </c>
      <c r="O65" s="267">
        <v>40.299035211455973</v>
      </c>
      <c r="Q65" s="267"/>
      <c r="R65" s="267"/>
      <c r="S65" s="267"/>
      <c r="T65" s="267"/>
      <c r="U65" s="267"/>
    </row>
    <row r="66" spans="4:21">
      <c r="D66" s="426"/>
      <c r="E66" s="426"/>
      <c r="G66" s="428"/>
      <c r="J66" t="s">
        <v>119</v>
      </c>
      <c r="K66" s="267">
        <v>23.50303923954765</v>
      </c>
      <c r="L66" s="267">
        <v>8.2711360368372802</v>
      </c>
      <c r="M66" s="267">
        <v>7.74225442584991</v>
      </c>
      <c r="N66" s="267">
        <v>8.2916365973314452</v>
      </c>
      <c r="O66" s="267">
        <v>7.2833404625363123</v>
      </c>
      <c r="Q66" s="267"/>
      <c r="R66" s="267"/>
      <c r="S66" s="267"/>
      <c r="T66" s="267"/>
      <c r="U66" s="267"/>
    </row>
    <row r="67" spans="4:21">
      <c r="D67" s="426"/>
      <c r="E67" s="426"/>
      <c r="G67" s="428"/>
      <c r="J67" t="s">
        <v>120</v>
      </c>
      <c r="K67" s="267">
        <v>28.001838714758993</v>
      </c>
      <c r="L67" s="267">
        <v>14.517310550481302</v>
      </c>
      <c r="M67" s="267">
        <v>14.951250973404056</v>
      </c>
      <c r="N67" s="267">
        <v>14.854513423118718</v>
      </c>
      <c r="O67" s="267">
        <v>13.176050617695974</v>
      </c>
      <c r="Q67" s="267"/>
      <c r="R67" s="267"/>
      <c r="S67" s="267"/>
      <c r="T67" s="267"/>
      <c r="U67" s="267"/>
    </row>
    <row r="68" spans="4:21">
      <c r="D68" s="426"/>
      <c r="E68" s="426"/>
      <c r="G68" s="427"/>
      <c r="J68" t="s">
        <v>121</v>
      </c>
      <c r="K68" s="267">
        <v>7.8845020748000003</v>
      </c>
      <c r="L68" s="267">
        <v>7.2899025947999991</v>
      </c>
      <c r="M68" s="267">
        <v>6.9506968448000013</v>
      </c>
      <c r="N68" s="267">
        <v>6.6435795047999999</v>
      </c>
      <c r="O68" s="267">
        <v>6.3396427148000001</v>
      </c>
      <c r="Q68" s="267"/>
      <c r="R68" s="267"/>
      <c r="S68" s="267"/>
      <c r="T68" s="267"/>
      <c r="U68" s="267"/>
    </row>
    <row r="69" spans="4:21">
      <c r="D69" s="426"/>
      <c r="E69" s="426"/>
      <c r="G69" s="427"/>
      <c r="J69" t="s">
        <v>122</v>
      </c>
      <c r="K69" s="267">
        <v>0</v>
      </c>
      <c r="L69" s="267">
        <v>0</v>
      </c>
      <c r="M69" s="267">
        <v>0</v>
      </c>
      <c r="N69" s="267">
        <v>0</v>
      </c>
      <c r="O69" s="267">
        <v>0</v>
      </c>
      <c r="Q69" s="267"/>
      <c r="R69" s="267"/>
      <c r="S69" s="267"/>
      <c r="T69" s="267"/>
      <c r="U69" s="267"/>
    </row>
    <row r="70" spans="4:21">
      <c r="D70" s="426"/>
      <c r="E70" s="426"/>
      <c r="G70" s="427"/>
      <c r="J70" t="s">
        <v>116</v>
      </c>
      <c r="K70" s="267">
        <v>0</v>
      </c>
      <c r="L70" s="267">
        <v>0</v>
      </c>
      <c r="M70" s="267">
        <v>0</v>
      </c>
      <c r="N70" s="267">
        <v>0</v>
      </c>
      <c r="O70" s="267">
        <v>0</v>
      </c>
      <c r="Q70" s="267"/>
      <c r="R70" s="267"/>
      <c r="S70" s="267"/>
      <c r="T70" s="267"/>
      <c r="U70" s="267"/>
    </row>
    <row r="71" spans="4:21">
      <c r="D71" s="426"/>
      <c r="E71" s="426"/>
      <c r="G71" s="428"/>
      <c r="J71" t="s">
        <v>123</v>
      </c>
      <c r="K71" s="267">
        <v>12.778778509433801</v>
      </c>
      <c r="L71" s="267">
        <v>9.5306024416337998</v>
      </c>
      <c r="M71" s="267">
        <v>7.1144808285937993</v>
      </c>
      <c r="N71" s="267">
        <v>6.812548415673799</v>
      </c>
      <c r="O71" s="267">
        <v>6.4445754556737986</v>
      </c>
      <c r="Q71" s="267"/>
      <c r="R71" s="267"/>
      <c r="S71" s="267"/>
      <c r="T71" s="267"/>
      <c r="U71" s="267"/>
    </row>
    <row r="72" spans="4:21">
      <c r="D72" s="426"/>
      <c r="E72" s="426"/>
      <c r="G72" s="427"/>
      <c r="J72" t="s">
        <v>113</v>
      </c>
      <c r="K72" s="267">
        <v>0</v>
      </c>
      <c r="L72" s="267">
        <v>0</v>
      </c>
      <c r="M72" s="267">
        <v>0</v>
      </c>
      <c r="N72" s="267">
        <v>0</v>
      </c>
      <c r="O72" s="267">
        <v>0</v>
      </c>
      <c r="Q72" s="267"/>
      <c r="R72" s="267"/>
      <c r="S72" s="267"/>
      <c r="T72" s="267"/>
      <c r="U72" s="267"/>
    </row>
    <row r="73" spans="4:21">
      <c r="D73" s="426"/>
      <c r="E73" s="426"/>
      <c r="G73" s="427"/>
      <c r="J73" t="s">
        <v>114</v>
      </c>
      <c r="K73" s="267">
        <v>0</v>
      </c>
      <c r="L73" s="267">
        <v>0</v>
      </c>
      <c r="M73" s="267">
        <v>0</v>
      </c>
      <c r="N73" s="267">
        <v>0</v>
      </c>
      <c r="O73" s="267">
        <v>0</v>
      </c>
      <c r="Q73" s="267"/>
      <c r="R73" s="267"/>
      <c r="S73" s="267"/>
      <c r="T73" s="267"/>
      <c r="U73" s="267"/>
    </row>
    <row r="74" spans="4:21">
      <c r="D74" s="426"/>
      <c r="E74" s="426"/>
      <c r="G74" s="427"/>
      <c r="J74" t="s">
        <v>124</v>
      </c>
      <c r="K74" s="267">
        <v>0</v>
      </c>
      <c r="L74" s="267">
        <v>0</v>
      </c>
      <c r="M74" s="267">
        <v>0</v>
      </c>
      <c r="N74" s="267">
        <v>0</v>
      </c>
      <c r="O74" s="267">
        <v>0</v>
      </c>
      <c r="Q74" s="267"/>
      <c r="R74" s="267"/>
      <c r="S74" s="267"/>
      <c r="T74" s="267"/>
      <c r="U74" s="267"/>
    </row>
    <row r="75" spans="4:21">
      <c r="D75" s="426"/>
      <c r="E75" s="426"/>
      <c r="G75" s="427"/>
      <c r="J75" t="s">
        <v>125</v>
      </c>
      <c r="K75" s="267">
        <v>0</v>
      </c>
      <c r="L75" s="267">
        <v>0</v>
      </c>
      <c r="M75" s="267">
        <v>0</v>
      </c>
      <c r="N75" s="267">
        <v>0</v>
      </c>
      <c r="O75" s="267">
        <v>0</v>
      </c>
      <c r="Q75" s="267"/>
      <c r="R75" s="267"/>
      <c r="S75" s="267"/>
      <c r="T75" s="267"/>
      <c r="U75" s="267"/>
    </row>
    <row r="76" spans="4:21">
      <c r="D76" s="426"/>
      <c r="E76" s="426"/>
      <c r="G76" s="428"/>
      <c r="J76" t="s">
        <v>126</v>
      </c>
      <c r="K76" s="267">
        <v>2.758393935083189</v>
      </c>
      <c r="L76" s="267">
        <v>2.6656451626013102</v>
      </c>
      <c r="M76" s="267">
        <v>2.6264701232260106</v>
      </c>
      <c r="N76" s="267">
        <v>2.3885182074903857</v>
      </c>
      <c r="O76" s="267">
        <v>2.210007698046224</v>
      </c>
      <c r="Q76" s="267"/>
      <c r="R76" s="267"/>
      <c r="S76" s="267"/>
      <c r="T76" s="267"/>
      <c r="U76" s="267"/>
    </row>
    <row r="77" spans="4:21">
      <c r="D77" s="426"/>
      <c r="E77" s="426"/>
      <c r="G77" s="427"/>
      <c r="J77" t="s">
        <v>127</v>
      </c>
      <c r="K77" s="267">
        <v>0</v>
      </c>
      <c r="L77" s="267">
        <v>0</v>
      </c>
      <c r="M77" s="267">
        <v>0</v>
      </c>
      <c r="N77" s="267">
        <v>0</v>
      </c>
      <c r="O77" s="267">
        <v>0</v>
      </c>
      <c r="Q77" s="267"/>
      <c r="R77" s="267"/>
      <c r="S77" s="267"/>
      <c r="T77" s="267"/>
      <c r="U77" s="267"/>
    </row>
    <row r="78" spans="4:21">
      <c r="D78" s="426"/>
      <c r="E78" s="426"/>
      <c r="G78" s="428"/>
      <c r="J78" t="s">
        <v>128</v>
      </c>
      <c r="K78" s="267">
        <v>0.2641021117380406</v>
      </c>
      <c r="L78" s="267">
        <v>0.2641021117380406</v>
      </c>
      <c r="M78" s="267">
        <v>0.26058900935772311</v>
      </c>
      <c r="N78" s="267">
        <v>0.20825000673873456</v>
      </c>
      <c r="O78" s="267">
        <v>0.24130396564834758</v>
      </c>
      <c r="Q78" s="267"/>
      <c r="R78" s="267"/>
      <c r="S78" s="267"/>
      <c r="T78" s="267"/>
      <c r="U78" s="267"/>
    </row>
    <row r="79" spans="4:21">
      <c r="D79" s="426"/>
      <c r="E79" s="426"/>
      <c r="G79" s="428"/>
      <c r="J79" t="s">
        <v>129</v>
      </c>
      <c r="K79" s="267">
        <v>29.930751267454923</v>
      </c>
      <c r="L79" s="267">
        <v>27.369053111179845</v>
      </c>
      <c r="M79" s="267">
        <v>21.352045849001787</v>
      </c>
      <c r="N79" s="267">
        <v>9.9550661784963381</v>
      </c>
      <c r="O79" s="267">
        <v>9.9664901966108275</v>
      </c>
      <c r="Q79" s="267"/>
      <c r="R79" s="267"/>
      <c r="S79" s="267"/>
      <c r="T79" s="267"/>
      <c r="U79" s="267"/>
    </row>
    <row r="80" spans="4:21">
      <c r="D80" s="426"/>
      <c r="E80" s="426"/>
      <c r="G80" s="427"/>
      <c r="J80" t="s">
        <v>130</v>
      </c>
      <c r="K80" s="267">
        <v>10.16452107244657</v>
      </c>
      <c r="L80" s="267">
        <v>8.7912202939211141</v>
      </c>
      <c r="M80" s="267">
        <v>7.2258723654499857</v>
      </c>
      <c r="N80" s="267">
        <v>5.1981069009866214</v>
      </c>
      <c r="O80" s="267">
        <v>2.9561550793435853</v>
      </c>
      <c r="Q80" s="267"/>
      <c r="R80" s="267"/>
      <c r="S80" s="267"/>
      <c r="T80" s="267"/>
      <c r="U80" s="267"/>
    </row>
    <row r="81" spans="4:21">
      <c r="D81" s="426"/>
      <c r="E81" s="426"/>
      <c r="G81" s="427"/>
      <c r="J81" t="s">
        <v>131</v>
      </c>
      <c r="K81" s="267">
        <v>6.0747894224567052</v>
      </c>
      <c r="L81" s="267">
        <v>5.7837167696668228</v>
      </c>
      <c r="M81" s="267">
        <v>5.5031088200059406</v>
      </c>
      <c r="N81" s="267">
        <v>5.3270150316004097</v>
      </c>
      <c r="O81" s="267">
        <v>5.1303263401493338</v>
      </c>
      <c r="Q81" s="267"/>
      <c r="R81" s="267"/>
      <c r="S81" s="267"/>
      <c r="T81" s="267"/>
      <c r="U81" s="267"/>
    </row>
    <row r="82" spans="4:21">
      <c r="D82" s="426"/>
      <c r="E82" s="426"/>
      <c r="G82" s="427"/>
      <c r="J82" t="s">
        <v>139</v>
      </c>
      <c r="K82" s="267" t="s">
        <v>109</v>
      </c>
      <c r="L82" s="267" t="s">
        <v>109</v>
      </c>
      <c r="M82" s="267" t="s">
        <v>109</v>
      </c>
      <c r="N82" s="267" t="s">
        <v>109</v>
      </c>
      <c r="O82" s="267" t="s">
        <v>109</v>
      </c>
      <c r="Q82" s="267"/>
      <c r="R82" s="267"/>
      <c r="S82" s="267"/>
      <c r="T82" s="267"/>
      <c r="U82" s="267"/>
    </row>
    <row r="83" spans="4:21">
      <c r="D83" s="426"/>
      <c r="E83" s="426"/>
      <c r="G83" s="427"/>
      <c r="J83" s="369"/>
      <c r="K83" s="387">
        <f>SUM(K62:K82)</f>
        <v>290.01388594954341</v>
      </c>
      <c r="L83" s="387">
        <f t="shared" ref="L83:O83" si="11">SUM(L62:L82)</f>
        <v>171.64799509782094</v>
      </c>
      <c r="M83" s="387">
        <f t="shared" si="11"/>
        <v>153.66372356426501</v>
      </c>
      <c r="N83" s="387">
        <f t="shared" si="11"/>
        <v>138.15376153417006</v>
      </c>
      <c r="O83" s="387">
        <f t="shared" si="11"/>
        <v>125.90651215604892</v>
      </c>
    </row>
    <row r="84" spans="4:21" ht="25.5">
      <c r="J84" s="419" t="s">
        <v>192</v>
      </c>
      <c r="K84" s="267">
        <f>K83-K56</f>
        <v>3.9248790802575968</v>
      </c>
      <c r="L84" s="267">
        <f t="shared" ref="L84:O84" si="12">L83-L56</f>
        <v>3.0288416812307162</v>
      </c>
      <c r="M84" s="267">
        <f t="shared" si="12"/>
        <v>3.0744418870138759</v>
      </c>
      <c r="N84" s="267">
        <f t="shared" si="12"/>
        <v>6.4763035245461822</v>
      </c>
      <c r="O84" s="267">
        <f t="shared" si="12"/>
        <v>8.8884597545240922</v>
      </c>
    </row>
    <row r="85" spans="4:21">
      <c r="J85" s="420"/>
      <c r="O85" s="267">
        <f>SUM(K84:O84)</f>
        <v>25.392925927572463</v>
      </c>
    </row>
    <row r="86" spans="4:21" ht="25.5">
      <c r="J86" s="421" t="s">
        <v>190</v>
      </c>
      <c r="K86" s="422">
        <f>K83-Q56</f>
        <v>-8.7437794605650652</v>
      </c>
      <c r="L86" s="422">
        <f t="shared" ref="L86:O86" si="13">L83-R56</f>
        <v>-9.6398168595920311</v>
      </c>
      <c r="M86" s="422">
        <f t="shared" si="13"/>
        <v>-9.5942166538088429</v>
      </c>
      <c r="N86" s="422">
        <f t="shared" si="13"/>
        <v>-6.1923550162765935</v>
      </c>
      <c r="O86" s="422">
        <f t="shared" si="13"/>
        <v>2.9836652137013431</v>
      </c>
    </row>
    <row r="87" spans="4:21">
      <c r="J87" s="403"/>
      <c r="K87" s="403"/>
      <c r="L87" s="403"/>
      <c r="M87" s="403"/>
      <c r="N87" s="403"/>
      <c r="O87" s="423">
        <f>SUM(K86:O86)</f>
        <v>-31.18650277654119</v>
      </c>
    </row>
  </sheetData>
  <pageMargins left="0.7" right="0.7" top="0.75" bottom="0.75" header="0.3" footer="0.3"/>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Tax asset base adjustments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keywords>Set 1</cp:keywords>
  <cp:lastModifiedBy>Tuomainen, Anton</cp:lastModifiedBy>
  <cp:lastPrinted>2014-09-24T05:03:01Z</cp:lastPrinted>
  <dcterms:created xsi:type="dcterms:W3CDTF">2000-02-13T23:07:37Z</dcterms:created>
  <dcterms:modified xsi:type="dcterms:W3CDTF">2015-04-29T03:05:06Z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