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400" windowHeight="14295" tabRatio="777" firstSheet="3" activeTab="4"/>
  </bookViews>
  <sheets>
    <sheet name="Background &amp; Method" sheetId="7" r:id="rId1"/>
    <sheet name="Metering Service Charges --&gt;" sheetId="31" r:id="rId2"/>
    <sheet name="AER Smoothed Charges" sheetId="44" r:id="rId3"/>
    <sheet name="AER Unsmoothed Charges" sheetId="43" r:id="rId4"/>
    <sheet name="AER Upfront charge" sheetId="45" r:id="rId5"/>
    <sheet name="Annual Metering Charges" sheetId="5" r:id="rId6"/>
    <sheet name="Upfront Metering Charges" sheetId="27" r:id="rId7"/>
    <sheet name="Opening RAB SCS Recovery" sheetId="30" r:id="rId8"/>
    <sheet name="MSC Workings --&gt;" sheetId="32" r:id="rId9"/>
    <sheet name="Summary of Revisions" sheetId="41" r:id="rId10"/>
    <sheet name="Calculation Variables" sheetId="20" r:id="rId11"/>
    <sheet name="Pricing Calc (Per Service)" sheetId="21" r:id="rId12"/>
    <sheet name="Forecast Opex Analysis" sheetId="37" r:id="rId13"/>
    <sheet name="Forecast Opex CAM Output" sheetId="38" r:id="rId14"/>
    <sheet name="PNL (before escalators)" sheetId="39" r:id="rId15"/>
    <sheet name="PNL (after escalators)" sheetId="40" r:id="rId16"/>
    <sheet name="Recoverable Replcmt RAB" sheetId="15" r:id="rId17"/>
    <sheet name="Recoverable Opening RAB" sheetId="23" r:id="rId18"/>
    <sheet name="Opening RAB Workings" sheetId="13" r:id="rId19"/>
    <sheet name="System RAB %" sheetId="1" r:id="rId20"/>
    <sheet name="Historic Metering Capex" sheetId="36" r:id="rId21"/>
    <sheet name="Forecast Metering Capex" sheetId="14" r:id="rId22"/>
    <sheet name="Service Volumes" sheetId="16" r:id="rId23"/>
    <sheet name="Customer Numbers" sheetId="29" r:id="rId24"/>
  </sheets>
  <definedNames>
    <definedName name="_xlnm._FilterDatabase" localSheetId="13" hidden="1">'Forecast Opex CAM Output'!$B$21:$J$710</definedName>
    <definedName name="anscount" hidden="1">1</definedName>
  </definedNames>
  <calcPr calcId="145621"/>
</workbook>
</file>

<file path=xl/calcChain.xml><?xml version="1.0" encoding="utf-8"?>
<calcChain xmlns="http://schemas.openxmlformats.org/spreadsheetml/2006/main">
  <c r="B62" i="45" l="1"/>
  <c r="B63" i="45"/>
  <c r="B64" i="45"/>
  <c r="B61" i="45"/>
  <c r="B56" i="45"/>
  <c r="B57" i="45"/>
  <c r="B58" i="45"/>
  <c r="B55" i="45"/>
  <c r="B50" i="45"/>
  <c r="B51" i="45"/>
  <c r="B52" i="45"/>
  <c r="B49" i="45"/>
  <c r="B41" i="45"/>
  <c r="B42" i="45"/>
  <c r="B43" i="45"/>
  <c r="B40" i="45"/>
  <c r="B35" i="45"/>
  <c r="B36" i="45"/>
  <c r="B37" i="45"/>
  <c r="B34" i="45"/>
  <c r="B29" i="45"/>
  <c r="B30" i="45"/>
  <c r="B31" i="45"/>
  <c r="B28" i="45"/>
  <c r="B20" i="45"/>
  <c r="B21" i="45"/>
  <c r="B22" i="45"/>
  <c r="B19" i="45"/>
  <c r="B16" i="45"/>
  <c r="B15" i="45"/>
  <c r="B14" i="45"/>
  <c r="B13" i="45"/>
  <c r="B8" i="45"/>
  <c r="B9" i="45"/>
  <c r="B10" i="45"/>
  <c r="B7" i="45"/>
  <c r="C17" i="27"/>
  <c r="H63" i="44" l="1"/>
  <c r="I63" i="44"/>
  <c r="J63" i="44"/>
  <c r="K63" i="44"/>
  <c r="I62" i="44"/>
  <c r="J62" i="44"/>
  <c r="K62" i="44"/>
  <c r="H62" i="44"/>
  <c r="H61" i="44"/>
  <c r="I61" i="44"/>
  <c r="J61" i="44"/>
  <c r="K61" i="44"/>
  <c r="I60" i="44"/>
  <c r="J60" i="44"/>
  <c r="K60" i="44"/>
  <c r="H60" i="44"/>
  <c r="H59" i="44"/>
  <c r="I59" i="44"/>
  <c r="J59" i="44"/>
  <c r="K59" i="44"/>
  <c r="I58" i="44"/>
  <c r="J58" i="44"/>
  <c r="K58" i="44"/>
  <c r="H58" i="44"/>
  <c r="H57" i="44"/>
  <c r="I57" i="44"/>
  <c r="J57" i="44"/>
  <c r="K57" i="44"/>
  <c r="I56" i="44"/>
  <c r="J56" i="44"/>
  <c r="K56" i="44"/>
  <c r="H56" i="44"/>
  <c r="H55" i="44"/>
  <c r="I55" i="44"/>
  <c r="J55" i="44"/>
  <c r="K55" i="44"/>
  <c r="I54" i="44"/>
  <c r="J54" i="44"/>
  <c r="K54" i="44"/>
  <c r="H54" i="44"/>
  <c r="H53" i="44"/>
  <c r="I53" i="44"/>
  <c r="J53" i="44"/>
  <c r="K53" i="44"/>
  <c r="I52" i="44"/>
  <c r="J52" i="44"/>
  <c r="K52" i="44"/>
  <c r="H52" i="44"/>
  <c r="H51" i="44"/>
  <c r="I51" i="44"/>
  <c r="J51" i="44"/>
  <c r="K51" i="44"/>
  <c r="I50" i="44"/>
  <c r="J50" i="44"/>
  <c r="K50" i="44"/>
  <c r="H50" i="44"/>
  <c r="H49" i="44"/>
  <c r="I49" i="44"/>
  <c r="J49" i="44"/>
  <c r="K49" i="44"/>
  <c r="I48" i="44"/>
  <c r="J48" i="44"/>
  <c r="K48" i="44"/>
  <c r="H48" i="44"/>
  <c r="H69" i="44"/>
  <c r="I69" i="44"/>
  <c r="G69" i="44"/>
  <c r="P4" i="44" l="1"/>
  <c r="Q4" i="44" s="1"/>
  <c r="Q5" i="44"/>
  <c r="P5" i="44"/>
  <c r="O5" i="44"/>
  <c r="N5" i="44"/>
  <c r="Q3" i="44" l="1"/>
  <c r="P3" i="44"/>
  <c r="O3" i="44"/>
  <c r="A38" i="44"/>
  <c r="A37" i="44"/>
  <c r="A36" i="44"/>
  <c r="B33" i="44"/>
  <c r="L31" i="44"/>
  <c r="K31" i="44"/>
  <c r="J31" i="44"/>
  <c r="I31" i="44"/>
  <c r="H31" i="44"/>
  <c r="B29" i="44"/>
  <c r="L27" i="44"/>
  <c r="K27" i="44"/>
  <c r="J27" i="44"/>
  <c r="I27" i="44"/>
  <c r="H27" i="44"/>
  <c r="B25" i="44"/>
  <c r="L23" i="44"/>
  <c r="K23" i="44"/>
  <c r="J23" i="44"/>
  <c r="I23" i="44"/>
  <c r="H23" i="44"/>
  <c r="H25" i="44" s="1"/>
  <c r="B21" i="44"/>
  <c r="L19" i="44"/>
  <c r="K19" i="44"/>
  <c r="J19" i="44"/>
  <c r="I19" i="44"/>
  <c r="H19" i="44"/>
  <c r="B17" i="44"/>
  <c r="L15" i="44"/>
  <c r="K15" i="44"/>
  <c r="J15" i="44"/>
  <c r="I15" i="44"/>
  <c r="H15" i="44"/>
  <c r="B13" i="44"/>
  <c r="L11" i="44"/>
  <c r="K11" i="44"/>
  <c r="J11" i="44"/>
  <c r="I11" i="44"/>
  <c r="H11" i="44"/>
  <c r="B9" i="44"/>
  <c r="L7" i="44"/>
  <c r="K7" i="44"/>
  <c r="J7" i="44"/>
  <c r="I7" i="44"/>
  <c r="H7" i="44"/>
  <c r="B5" i="44"/>
  <c r="L3" i="44"/>
  <c r="K3" i="44"/>
  <c r="J3" i="44"/>
  <c r="I3" i="44"/>
  <c r="H3" i="44"/>
  <c r="L2" i="44"/>
  <c r="Q2" i="44" s="1"/>
  <c r="K2" i="44"/>
  <c r="P2" i="44" s="1"/>
  <c r="J2" i="44"/>
  <c r="O2" i="44" s="1"/>
  <c r="I2" i="44"/>
  <c r="H2" i="44"/>
  <c r="J36" i="44" l="1"/>
  <c r="H33" i="44"/>
  <c r="H5" i="44"/>
  <c r="H13" i="44"/>
  <c r="K36" i="44"/>
  <c r="H36" i="44"/>
  <c r="L36" i="44"/>
  <c r="H17" i="44"/>
  <c r="H29" i="44"/>
  <c r="H21" i="44"/>
  <c r="H9" i="44"/>
  <c r="I36" i="44"/>
  <c r="H38" i="44" l="1"/>
  <c r="H154" i="21"/>
  <c r="H153" i="21"/>
  <c r="H152" i="21"/>
  <c r="H151" i="21"/>
  <c r="H150" i="21"/>
  <c r="H149" i="21"/>
  <c r="H148" i="21"/>
  <c r="H147" i="21"/>
  <c r="A38" i="43"/>
  <c r="A43" i="43" s="1"/>
  <c r="A37" i="43"/>
  <c r="A42" i="43" s="1"/>
  <c r="A36" i="43"/>
  <c r="A41" i="43" s="1"/>
  <c r="L31" i="43"/>
  <c r="K31" i="43"/>
  <c r="J31" i="43"/>
  <c r="I31" i="43"/>
  <c r="H31" i="43"/>
  <c r="L27" i="43"/>
  <c r="K27" i="43"/>
  <c r="J27" i="43"/>
  <c r="I27" i="43"/>
  <c r="H27" i="43"/>
  <c r="L23" i="43"/>
  <c r="K23" i="43"/>
  <c r="J23" i="43"/>
  <c r="I23" i="43"/>
  <c r="H23" i="43"/>
  <c r="L19" i="43"/>
  <c r="K19" i="43"/>
  <c r="J19" i="43"/>
  <c r="I19" i="43"/>
  <c r="H19" i="43"/>
  <c r="L15" i="43"/>
  <c r="K15" i="43"/>
  <c r="J15" i="43"/>
  <c r="I15" i="43"/>
  <c r="H15" i="43"/>
  <c r="L11" i="43"/>
  <c r="K11" i="43"/>
  <c r="J11" i="43"/>
  <c r="I11" i="43"/>
  <c r="H11" i="43"/>
  <c r="L7" i="43"/>
  <c r="K7" i="43"/>
  <c r="J7" i="43"/>
  <c r="I7" i="43"/>
  <c r="H7" i="43"/>
  <c r="L3" i="43"/>
  <c r="K3" i="43"/>
  <c r="J3" i="43"/>
  <c r="I3" i="43"/>
  <c r="H3" i="43"/>
  <c r="L2" i="43"/>
  <c r="K2" i="43"/>
  <c r="J2" i="43"/>
  <c r="I2" i="43"/>
  <c r="H2" i="43"/>
  <c r="B33" i="43"/>
  <c r="B29" i="43"/>
  <c r="B25" i="43"/>
  <c r="B21" i="43"/>
  <c r="B17" i="43"/>
  <c r="B13" i="43"/>
  <c r="H13" i="43" s="1"/>
  <c r="B9" i="43"/>
  <c r="B5" i="43"/>
  <c r="H5" i="43" s="1"/>
  <c r="J36" i="43" l="1"/>
  <c r="J41" i="43" s="1"/>
  <c r="H36" i="43"/>
  <c r="H41" i="43" s="1"/>
  <c r="H29" i="43"/>
  <c r="H33" i="43"/>
  <c r="K36" i="43"/>
  <c r="K41" i="43" s="1"/>
  <c r="H9" i="43"/>
  <c r="L36" i="43"/>
  <c r="L41" i="43" s="1"/>
  <c r="I36" i="43"/>
  <c r="I41" i="43" s="1"/>
  <c r="H25" i="43"/>
  <c r="H21" i="43"/>
  <c r="H17" i="43"/>
  <c r="H38" i="43" l="1"/>
  <c r="H43" i="43" s="1"/>
  <c r="E34" i="23" l="1"/>
  <c r="F34" i="23"/>
  <c r="G34" i="23"/>
  <c r="H34" i="23"/>
  <c r="D34" i="23"/>
  <c r="B38" i="23" l="1"/>
  <c r="H92" i="21"/>
  <c r="H93" i="21"/>
  <c r="G92" i="21"/>
  <c r="G93" i="21"/>
  <c r="F92" i="21"/>
  <c r="F93" i="21"/>
  <c r="E92" i="21"/>
  <c r="E93" i="21"/>
  <c r="H91" i="21"/>
  <c r="G91" i="21"/>
  <c r="F91" i="21"/>
  <c r="E91" i="21"/>
  <c r="D92" i="21"/>
  <c r="D93" i="21"/>
  <c r="D91" i="21"/>
  <c r="H113" i="21" l="1"/>
  <c r="H109" i="21"/>
  <c r="H112" i="21"/>
  <c r="H108" i="21"/>
  <c r="H111" i="21"/>
  <c r="H107" i="21"/>
  <c r="H114" i="21"/>
  <c r="H110" i="21"/>
  <c r="H133" i="21"/>
  <c r="H129" i="21"/>
  <c r="H132" i="21"/>
  <c r="H128" i="21"/>
  <c r="H131" i="21"/>
  <c r="H127" i="21"/>
  <c r="H134" i="21"/>
  <c r="H130" i="21"/>
  <c r="H124" i="21"/>
  <c r="H120" i="21"/>
  <c r="H123" i="21"/>
  <c r="H119" i="21"/>
  <c r="H122" i="21"/>
  <c r="H118" i="21"/>
  <c r="H121" i="21"/>
  <c r="H117" i="21"/>
  <c r="D38" i="15"/>
  <c r="D40" i="15" s="1"/>
  <c r="D27" i="23"/>
  <c r="D23" i="23"/>
  <c r="D24" i="23" s="1"/>
  <c r="C38" i="23"/>
  <c r="D52" i="15"/>
  <c r="B56" i="15"/>
  <c r="D48" i="15"/>
  <c r="D35" i="15"/>
  <c r="D55" i="15" l="1"/>
  <c r="D96" i="21"/>
  <c r="D22" i="23"/>
  <c r="D21" i="23"/>
  <c r="E21" i="23" s="1"/>
  <c r="F21" i="23" s="1"/>
  <c r="G21" i="23" s="1"/>
  <c r="H21" i="23" s="1"/>
  <c r="C26" i="13"/>
  <c r="D25" i="23" l="1"/>
  <c r="E22" i="23" s="1"/>
  <c r="E23" i="23" l="1"/>
  <c r="E27" i="23"/>
  <c r="D29" i="23"/>
  <c r="D37" i="23" s="1"/>
  <c r="D36" i="23" s="1"/>
  <c r="E24" i="23" l="1"/>
  <c r="E25" i="23" s="1"/>
  <c r="F22" i="23" s="1"/>
  <c r="F23" i="23" l="1"/>
  <c r="F24" i="23" s="1"/>
  <c r="F25" i="23" s="1"/>
  <c r="G22" i="23" s="1"/>
  <c r="F27" i="23"/>
  <c r="E29" i="23"/>
  <c r="E37" i="23" s="1"/>
  <c r="E36" i="23" s="1"/>
  <c r="G23" i="23" l="1"/>
  <c r="G27" i="23"/>
  <c r="F29" i="23"/>
  <c r="F37" i="23" s="1"/>
  <c r="F36" i="23" s="1"/>
  <c r="G24" i="23" l="1"/>
  <c r="G25" i="23" s="1"/>
  <c r="H22" i="23" s="1"/>
  <c r="H23" i="23" l="1"/>
  <c r="H24" i="23" s="1"/>
  <c r="H25" i="23" s="1"/>
  <c r="H27" i="23"/>
  <c r="G29" i="23"/>
  <c r="G37" i="23" s="1"/>
  <c r="G36" i="23" s="1"/>
  <c r="C37" i="23" l="1"/>
  <c r="H29" i="23"/>
  <c r="H37" i="23" s="1"/>
  <c r="H36" i="23" s="1"/>
  <c r="C39" i="23" l="1"/>
  <c r="C20" i="1"/>
  <c r="C44" i="1"/>
  <c r="D20" i="1"/>
  <c r="D44" i="1"/>
  <c r="E20" i="1"/>
  <c r="E44" i="1"/>
  <c r="F20" i="1"/>
  <c r="F44" i="1"/>
  <c r="G20" i="1"/>
  <c r="G44" i="1"/>
  <c r="H44" i="1"/>
  <c r="C23" i="1"/>
  <c r="C45" i="1"/>
  <c r="D23" i="1"/>
  <c r="D45" i="1"/>
  <c r="E23" i="1"/>
  <c r="E45" i="1"/>
  <c r="F23" i="1"/>
  <c r="F45" i="1"/>
  <c r="G23" i="1"/>
  <c r="G45" i="1"/>
  <c r="H45" i="1"/>
  <c r="C25" i="1"/>
  <c r="C38" i="1"/>
  <c r="C33" i="1"/>
  <c r="C24" i="1"/>
  <c r="C34" i="1"/>
  <c r="C35" i="1"/>
  <c r="C36" i="1"/>
  <c r="C40" i="1"/>
  <c r="C46" i="1"/>
  <c r="D25" i="1"/>
  <c r="D38" i="1"/>
  <c r="D33" i="1"/>
  <c r="D24" i="1"/>
  <c r="D34" i="1"/>
  <c r="D35" i="1"/>
  <c r="D36" i="1"/>
  <c r="D40" i="1"/>
  <c r="D46" i="1"/>
  <c r="E25" i="1"/>
  <c r="E38" i="1"/>
  <c r="E33" i="1"/>
  <c r="E24" i="1"/>
  <c r="E34" i="1"/>
  <c r="E35" i="1"/>
  <c r="E36" i="1"/>
  <c r="E40" i="1"/>
  <c r="E46" i="1"/>
  <c r="F25" i="1"/>
  <c r="F38" i="1"/>
  <c r="F33" i="1"/>
  <c r="F24" i="1"/>
  <c r="F34" i="1"/>
  <c r="F35" i="1"/>
  <c r="F36" i="1"/>
  <c r="F40" i="1"/>
  <c r="F46" i="1"/>
  <c r="G25" i="1"/>
  <c r="G38" i="1"/>
  <c r="G33" i="1"/>
  <c r="G24" i="1"/>
  <c r="G34" i="1"/>
  <c r="G35" i="1"/>
  <c r="G36" i="1"/>
  <c r="G40" i="1"/>
  <c r="G46" i="1"/>
  <c r="H46" i="1"/>
  <c r="C26" i="1"/>
  <c r="C47" i="1"/>
  <c r="D26" i="1"/>
  <c r="D47" i="1"/>
  <c r="E26" i="1"/>
  <c r="E47" i="1"/>
  <c r="F26" i="1"/>
  <c r="F47" i="1"/>
  <c r="G26" i="1"/>
  <c r="G47" i="1"/>
  <c r="H47" i="1"/>
  <c r="H48" i="1"/>
  <c r="H20" i="1"/>
  <c r="C21" i="1"/>
  <c r="D21" i="1"/>
  <c r="E21" i="1"/>
  <c r="F21" i="1"/>
  <c r="G21" i="1"/>
  <c r="H21" i="1"/>
  <c r="C22" i="1"/>
  <c r="D22" i="1"/>
  <c r="E22" i="1"/>
  <c r="F22" i="1"/>
  <c r="G22" i="1"/>
  <c r="H22" i="1"/>
  <c r="H23" i="1"/>
  <c r="H24" i="1"/>
  <c r="H25" i="1"/>
  <c r="H26" i="1"/>
  <c r="C27" i="1"/>
  <c r="D27" i="1"/>
  <c r="E27" i="1"/>
  <c r="F27" i="1"/>
  <c r="G27" i="1"/>
  <c r="H27" i="1"/>
  <c r="H28" i="1"/>
  <c r="H50" i="1"/>
  <c r="C36" i="13"/>
  <c r="C37" i="13"/>
  <c r="C38" i="13" s="1"/>
  <c r="D54" i="16"/>
  <c r="D194" i="16"/>
  <c r="D55" i="16"/>
  <c r="D195" i="16"/>
  <c r="D56" i="16"/>
  <c r="D196" i="16"/>
  <c r="D57" i="16"/>
  <c r="D197" i="16"/>
  <c r="D58" i="16"/>
  <c r="D198" i="16"/>
  <c r="D59" i="16"/>
  <c r="D199" i="16"/>
  <c r="D60" i="16"/>
  <c r="D200" i="16"/>
  <c r="D202" i="16"/>
  <c r="D45" i="16"/>
  <c r="D186" i="16"/>
  <c r="D46" i="16"/>
  <c r="D187" i="16"/>
  <c r="D47" i="16"/>
  <c r="D188" i="16"/>
  <c r="D48" i="16"/>
  <c r="D189" i="16"/>
  <c r="D191" i="16"/>
  <c r="D23" i="16"/>
  <c r="D164" i="16"/>
  <c r="D24" i="16"/>
  <c r="D165" i="16"/>
  <c r="D25" i="16"/>
  <c r="D166" i="16"/>
  <c r="D26" i="16"/>
  <c r="D167" i="16"/>
  <c r="D27" i="16"/>
  <c r="D168" i="16"/>
  <c r="D28" i="16"/>
  <c r="D169" i="16"/>
  <c r="D29" i="16"/>
  <c r="D170" i="16"/>
  <c r="D30" i="16"/>
  <c r="D171" i="16"/>
  <c r="D31" i="16"/>
  <c r="D172" i="16"/>
  <c r="D32" i="16"/>
  <c r="D173" i="16"/>
  <c r="D33" i="16"/>
  <c r="D174" i="16"/>
  <c r="D34" i="16"/>
  <c r="D175" i="16"/>
  <c r="D35" i="16"/>
  <c r="D176" i="16"/>
  <c r="D36" i="16"/>
  <c r="D177" i="16"/>
  <c r="D37" i="16"/>
  <c r="D178" i="16"/>
  <c r="D38" i="16"/>
  <c r="D179" i="16"/>
  <c r="D39" i="16"/>
  <c r="D180" i="16"/>
  <c r="D40" i="16"/>
  <c r="D181" i="16"/>
  <c r="D183" i="16"/>
  <c r="D204" i="16"/>
  <c r="E54" i="16"/>
  <c r="E194" i="16"/>
  <c r="E55" i="16"/>
  <c r="E195" i="16"/>
  <c r="E56" i="16"/>
  <c r="E196" i="16"/>
  <c r="E57" i="16"/>
  <c r="E197" i="16"/>
  <c r="E58" i="16"/>
  <c r="E198" i="16"/>
  <c r="E59" i="16"/>
  <c r="E199" i="16"/>
  <c r="E60" i="16"/>
  <c r="E200" i="16"/>
  <c r="E202" i="16"/>
  <c r="E45" i="16"/>
  <c r="E186" i="16"/>
  <c r="E46" i="16"/>
  <c r="E187" i="16"/>
  <c r="E47" i="16"/>
  <c r="E188" i="16"/>
  <c r="E48" i="16"/>
  <c r="E189" i="16"/>
  <c r="E191" i="16"/>
  <c r="E23" i="16"/>
  <c r="E164" i="16"/>
  <c r="E24" i="16"/>
  <c r="E165" i="16"/>
  <c r="E25" i="16"/>
  <c r="E166" i="16"/>
  <c r="E26" i="16"/>
  <c r="E167" i="16"/>
  <c r="E27" i="16"/>
  <c r="E168" i="16"/>
  <c r="E28" i="16"/>
  <c r="E169" i="16"/>
  <c r="E29" i="16"/>
  <c r="E170" i="16"/>
  <c r="E30" i="16"/>
  <c r="E171" i="16"/>
  <c r="E31" i="16"/>
  <c r="E172" i="16"/>
  <c r="E32" i="16"/>
  <c r="E173" i="16"/>
  <c r="E33" i="16"/>
  <c r="E174" i="16"/>
  <c r="E34" i="16"/>
  <c r="E175" i="16"/>
  <c r="E35" i="16"/>
  <c r="E176" i="16"/>
  <c r="E36" i="16"/>
  <c r="E177" i="16"/>
  <c r="E37" i="16"/>
  <c r="E178" i="16"/>
  <c r="E38" i="16"/>
  <c r="E179" i="16"/>
  <c r="E39" i="16"/>
  <c r="E180" i="16"/>
  <c r="E40" i="16"/>
  <c r="E181" i="16"/>
  <c r="E183" i="16"/>
  <c r="E204" i="16"/>
  <c r="E207" i="16"/>
  <c r="D96" i="37"/>
  <c r="D134" i="37"/>
  <c r="F54" i="16"/>
  <c r="F194" i="16"/>
  <c r="F55" i="16"/>
  <c r="F195" i="16"/>
  <c r="F56" i="16"/>
  <c r="F196" i="16"/>
  <c r="F57" i="16"/>
  <c r="F197" i="16"/>
  <c r="F58" i="16"/>
  <c r="F198" i="16"/>
  <c r="F59" i="16"/>
  <c r="F199" i="16"/>
  <c r="F60" i="16"/>
  <c r="F200" i="16"/>
  <c r="F202" i="16"/>
  <c r="F45" i="16"/>
  <c r="F186" i="16"/>
  <c r="F46" i="16"/>
  <c r="F187" i="16"/>
  <c r="F47" i="16"/>
  <c r="F188" i="16"/>
  <c r="F48" i="16"/>
  <c r="F189" i="16"/>
  <c r="F191" i="16"/>
  <c r="F23" i="16"/>
  <c r="F164" i="16"/>
  <c r="F24" i="16"/>
  <c r="F165" i="16"/>
  <c r="F25" i="16"/>
  <c r="F166" i="16"/>
  <c r="F26" i="16"/>
  <c r="F167" i="16"/>
  <c r="F27" i="16"/>
  <c r="F168" i="16"/>
  <c r="F28" i="16"/>
  <c r="F169" i="16"/>
  <c r="F29" i="16"/>
  <c r="F170" i="16"/>
  <c r="F30" i="16"/>
  <c r="F171" i="16"/>
  <c r="F31" i="16"/>
  <c r="F172" i="16"/>
  <c r="F32" i="16"/>
  <c r="F173" i="16"/>
  <c r="F33" i="16"/>
  <c r="F174" i="16"/>
  <c r="F34" i="16"/>
  <c r="F175" i="16"/>
  <c r="F35" i="16"/>
  <c r="F176" i="16"/>
  <c r="F36" i="16"/>
  <c r="F177" i="16"/>
  <c r="F37" i="16"/>
  <c r="F178" i="16"/>
  <c r="F38" i="16"/>
  <c r="F179" i="16"/>
  <c r="F39" i="16"/>
  <c r="F180" i="16"/>
  <c r="F40" i="16"/>
  <c r="F181" i="16"/>
  <c r="F183" i="16"/>
  <c r="F204" i="16"/>
  <c r="F207" i="16"/>
  <c r="E96" i="37"/>
  <c r="E134" i="37"/>
  <c r="G54" i="16"/>
  <c r="G194" i="16"/>
  <c r="G55" i="16"/>
  <c r="G195" i="16"/>
  <c r="G56" i="16"/>
  <c r="G196" i="16"/>
  <c r="G57" i="16"/>
  <c r="G197" i="16"/>
  <c r="G58" i="16"/>
  <c r="G198" i="16"/>
  <c r="G59" i="16"/>
  <c r="G199" i="16"/>
  <c r="G60" i="16"/>
  <c r="G200" i="16"/>
  <c r="G202" i="16"/>
  <c r="G45" i="16"/>
  <c r="G186" i="16"/>
  <c r="G46" i="16"/>
  <c r="G187" i="16"/>
  <c r="G47" i="16"/>
  <c r="G188" i="16"/>
  <c r="G48" i="16"/>
  <c r="G189" i="16"/>
  <c r="G191" i="16"/>
  <c r="G23" i="16"/>
  <c r="G164" i="16"/>
  <c r="G24" i="16"/>
  <c r="G165" i="16"/>
  <c r="G25" i="16"/>
  <c r="G166" i="16"/>
  <c r="G26" i="16"/>
  <c r="G167" i="16"/>
  <c r="G27" i="16"/>
  <c r="G168" i="16"/>
  <c r="G28" i="16"/>
  <c r="G169" i="16"/>
  <c r="G29" i="16"/>
  <c r="G170" i="16"/>
  <c r="G30" i="16"/>
  <c r="G171" i="16"/>
  <c r="G31" i="16"/>
  <c r="G172" i="16"/>
  <c r="G32" i="16"/>
  <c r="G173" i="16"/>
  <c r="G33" i="16"/>
  <c r="G174" i="16"/>
  <c r="G34" i="16"/>
  <c r="G175" i="16"/>
  <c r="G35" i="16"/>
  <c r="G176" i="16"/>
  <c r="G36" i="16"/>
  <c r="G177" i="16"/>
  <c r="G37" i="16"/>
  <c r="G178" i="16"/>
  <c r="G38" i="16"/>
  <c r="G179" i="16"/>
  <c r="G39" i="16"/>
  <c r="G180" i="16"/>
  <c r="G40" i="16"/>
  <c r="G181" i="16"/>
  <c r="G183" i="16"/>
  <c r="G204" i="16"/>
  <c r="G207" i="16"/>
  <c r="F96" i="37"/>
  <c r="F134" i="37"/>
  <c r="H54" i="16"/>
  <c r="H194" i="16"/>
  <c r="H55" i="16"/>
  <c r="H195" i="16"/>
  <c r="H56" i="16"/>
  <c r="H196" i="16"/>
  <c r="H57" i="16"/>
  <c r="H197" i="16"/>
  <c r="H58" i="16"/>
  <c r="H198" i="16"/>
  <c r="H59" i="16"/>
  <c r="H199" i="16"/>
  <c r="H60" i="16"/>
  <c r="H200" i="16"/>
  <c r="H202" i="16"/>
  <c r="H45" i="16"/>
  <c r="H186" i="16"/>
  <c r="H46" i="16"/>
  <c r="H187" i="16"/>
  <c r="H47" i="16"/>
  <c r="H188" i="16"/>
  <c r="H48" i="16"/>
  <c r="H189" i="16"/>
  <c r="H191" i="16"/>
  <c r="H23" i="16"/>
  <c r="H164" i="16"/>
  <c r="H24" i="16"/>
  <c r="H165" i="16"/>
  <c r="H25" i="16"/>
  <c r="H166" i="16"/>
  <c r="H26" i="16"/>
  <c r="H167" i="16"/>
  <c r="H27" i="16"/>
  <c r="H168" i="16"/>
  <c r="H28" i="16"/>
  <c r="H169" i="16"/>
  <c r="H29" i="16"/>
  <c r="H170" i="16"/>
  <c r="H30" i="16"/>
  <c r="H171" i="16"/>
  <c r="H31" i="16"/>
  <c r="H172" i="16"/>
  <c r="H32" i="16"/>
  <c r="H173" i="16"/>
  <c r="H33" i="16"/>
  <c r="H174" i="16"/>
  <c r="H34" i="16"/>
  <c r="H175" i="16"/>
  <c r="H35" i="16"/>
  <c r="H176" i="16"/>
  <c r="H36" i="16"/>
  <c r="H177" i="16"/>
  <c r="H37" i="16"/>
  <c r="H178" i="16"/>
  <c r="H38" i="16"/>
  <c r="H179" i="16"/>
  <c r="H39" i="16"/>
  <c r="H180" i="16"/>
  <c r="H40" i="16"/>
  <c r="H181" i="16"/>
  <c r="H183" i="16"/>
  <c r="H204" i="16"/>
  <c r="H207" i="16"/>
  <c r="G96" i="37"/>
  <c r="G134" i="37"/>
  <c r="I54" i="16"/>
  <c r="I194" i="16"/>
  <c r="I55" i="16"/>
  <c r="I195" i="16"/>
  <c r="I56" i="16"/>
  <c r="I196" i="16"/>
  <c r="I57" i="16"/>
  <c r="I197" i="16"/>
  <c r="I58" i="16"/>
  <c r="I198" i="16"/>
  <c r="I59" i="16"/>
  <c r="I199" i="16"/>
  <c r="I60" i="16"/>
  <c r="I200" i="16"/>
  <c r="I202" i="16"/>
  <c r="I45" i="16"/>
  <c r="I186" i="16"/>
  <c r="I46" i="16"/>
  <c r="I187" i="16"/>
  <c r="I47" i="16"/>
  <c r="I188" i="16"/>
  <c r="I48" i="16"/>
  <c r="I189" i="16"/>
  <c r="I191" i="16"/>
  <c r="I23" i="16"/>
  <c r="I164" i="16"/>
  <c r="I24" i="16"/>
  <c r="I165" i="16"/>
  <c r="I25" i="16"/>
  <c r="I166" i="16"/>
  <c r="I26" i="16"/>
  <c r="I167" i="16"/>
  <c r="I27" i="16"/>
  <c r="I168" i="16"/>
  <c r="I28" i="16"/>
  <c r="I169" i="16"/>
  <c r="I29" i="16"/>
  <c r="I170" i="16"/>
  <c r="I30" i="16"/>
  <c r="I171" i="16"/>
  <c r="I31" i="16"/>
  <c r="I172" i="16"/>
  <c r="I32" i="16"/>
  <c r="I173" i="16"/>
  <c r="I33" i="16"/>
  <c r="I174" i="16"/>
  <c r="I34" i="16"/>
  <c r="I175" i="16"/>
  <c r="I35" i="16"/>
  <c r="I176" i="16"/>
  <c r="I36" i="16"/>
  <c r="I177" i="16"/>
  <c r="I37" i="16"/>
  <c r="I178" i="16"/>
  <c r="I38" i="16"/>
  <c r="I179" i="16"/>
  <c r="I39" i="16"/>
  <c r="I180" i="16"/>
  <c r="I40" i="16"/>
  <c r="I181" i="16"/>
  <c r="I183" i="16"/>
  <c r="I204" i="16"/>
  <c r="I207" i="16"/>
  <c r="H96" i="37"/>
  <c r="H134" i="37"/>
  <c r="J54" i="16"/>
  <c r="J194" i="16"/>
  <c r="J55" i="16"/>
  <c r="J195" i="16"/>
  <c r="J56" i="16"/>
  <c r="J196" i="16"/>
  <c r="J57" i="16"/>
  <c r="J197" i="16"/>
  <c r="J58" i="16"/>
  <c r="J198" i="16"/>
  <c r="J59" i="16"/>
  <c r="J199" i="16"/>
  <c r="J60" i="16"/>
  <c r="J200" i="16"/>
  <c r="J202" i="16"/>
  <c r="J45" i="16"/>
  <c r="J186" i="16"/>
  <c r="J46" i="16"/>
  <c r="J187" i="16"/>
  <c r="J47" i="16"/>
  <c r="J188" i="16"/>
  <c r="J48" i="16"/>
  <c r="J189" i="16"/>
  <c r="J191" i="16"/>
  <c r="J23" i="16"/>
  <c r="J164" i="16"/>
  <c r="J24" i="16"/>
  <c r="J165" i="16"/>
  <c r="J25" i="16"/>
  <c r="J166" i="16"/>
  <c r="J26" i="16"/>
  <c r="J167" i="16"/>
  <c r="J27" i="16"/>
  <c r="J168" i="16"/>
  <c r="J28" i="16"/>
  <c r="J169" i="16"/>
  <c r="J29" i="16"/>
  <c r="J170" i="16"/>
  <c r="J30" i="16"/>
  <c r="J171" i="16"/>
  <c r="J31" i="16"/>
  <c r="J172" i="16"/>
  <c r="J32" i="16"/>
  <c r="J173" i="16"/>
  <c r="J33" i="16"/>
  <c r="J174" i="16"/>
  <c r="J34" i="16"/>
  <c r="J175" i="16"/>
  <c r="J35" i="16"/>
  <c r="J176" i="16"/>
  <c r="J36" i="16"/>
  <c r="J177" i="16"/>
  <c r="J37" i="16"/>
  <c r="J178" i="16"/>
  <c r="J38" i="16"/>
  <c r="J179" i="16"/>
  <c r="J39" i="16"/>
  <c r="J180" i="16"/>
  <c r="J183" i="16"/>
  <c r="J204" i="16"/>
  <c r="J207" i="16"/>
  <c r="I96" i="37"/>
  <c r="I134" i="37"/>
  <c r="C135" i="37"/>
  <c r="N137" i="37"/>
  <c r="N54" i="16"/>
  <c r="N194" i="16"/>
  <c r="N55" i="16"/>
  <c r="N195" i="16"/>
  <c r="N56" i="16"/>
  <c r="N196" i="16"/>
  <c r="N57" i="16"/>
  <c r="N197" i="16"/>
  <c r="N58" i="16"/>
  <c r="N198" i="16"/>
  <c r="N59" i="16"/>
  <c r="N199" i="16"/>
  <c r="N60" i="16"/>
  <c r="N200" i="16"/>
  <c r="N202" i="16"/>
  <c r="N45" i="16"/>
  <c r="N186" i="16"/>
  <c r="N46" i="16"/>
  <c r="N187" i="16"/>
  <c r="N47" i="16"/>
  <c r="N188" i="16"/>
  <c r="N48" i="16"/>
  <c r="N189" i="16"/>
  <c r="N191" i="16"/>
  <c r="N23" i="16"/>
  <c r="N164" i="16"/>
  <c r="N24" i="16"/>
  <c r="N165" i="16"/>
  <c r="N25" i="16"/>
  <c r="N166" i="16"/>
  <c r="N26" i="16"/>
  <c r="N167" i="16"/>
  <c r="N27" i="16"/>
  <c r="N168" i="16"/>
  <c r="N28" i="16"/>
  <c r="N169" i="16"/>
  <c r="N29" i="16"/>
  <c r="N170" i="16"/>
  <c r="N30" i="16"/>
  <c r="N171" i="16"/>
  <c r="N31" i="16"/>
  <c r="N172" i="16"/>
  <c r="N32" i="16"/>
  <c r="N173" i="16"/>
  <c r="N33" i="16"/>
  <c r="N174" i="16"/>
  <c r="N34" i="16"/>
  <c r="N175" i="16"/>
  <c r="N35" i="16"/>
  <c r="N176" i="16"/>
  <c r="N36" i="16"/>
  <c r="N177" i="16"/>
  <c r="N37" i="16"/>
  <c r="N178" i="16"/>
  <c r="N38" i="16"/>
  <c r="N179" i="16"/>
  <c r="N39" i="16"/>
  <c r="N180" i="16"/>
  <c r="N183" i="16"/>
  <c r="N204" i="16"/>
  <c r="O54" i="16"/>
  <c r="O194" i="16"/>
  <c r="O55" i="16"/>
  <c r="O195" i="16"/>
  <c r="O56" i="16"/>
  <c r="O196" i="16"/>
  <c r="O57" i="16"/>
  <c r="O197" i="16"/>
  <c r="O58" i="16"/>
  <c r="O198" i="16"/>
  <c r="O59" i="16"/>
  <c r="O199" i="16"/>
  <c r="O60" i="16"/>
  <c r="O200" i="16"/>
  <c r="O202" i="16"/>
  <c r="O45" i="16"/>
  <c r="O186" i="16"/>
  <c r="O46" i="16"/>
  <c r="O187" i="16"/>
  <c r="O47" i="16"/>
  <c r="O188" i="16"/>
  <c r="O48" i="16"/>
  <c r="O189" i="16"/>
  <c r="O191" i="16"/>
  <c r="O23" i="16"/>
  <c r="O164" i="16"/>
  <c r="O24" i="16"/>
  <c r="O165" i="16"/>
  <c r="O25" i="16"/>
  <c r="O166" i="16"/>
  <c r="O26" i="16"/>
  <c r="O167" i="16"/>
  <c r="O27" i="16"/>
  <c r="O168" i="16"/>
  <c r="O28" i="16"/>
  <c r="O169" i="16"/>
  <c r="O29" i="16"/>
  <c r="O170" i="16"/>
  <c r="O30" i="16"/>
  <c r="O171" i="16"/>
  <c r="O31" i="16"/>
  <c r="O172" i="16"/>
  <c r="O32" i="16"/>
  <c r="O173" i="16"/>
  <c r="O33" i="16"/>
  <c r="O174" i="16"/>
  <c r="O34" i="16"/>
  <c r="O175" i="16"/>
  <c r="O35" i="16"/>
  <c r="O176" i="16"/>
  <c r="O36" i="16"/>
  <c r="O177" i="16"/>
  <c r="O37" i="16"/>
  <c r="O178" i="16"/>
  <c r="O38" i="16"/>
  <c r="O179" i="16"/>
  <c r="O39" i="16"/>
  <c r="O180" i="16"/>
  <c r="O183" i="16"/>
  <c r="O204" i="16"/>
  <c r="O207" i="16"/>
  <c r="N96" i="37"/>
  <c r="N138" i="37"/>
  <c r="N139" i="37"/>
  <c r="N141" i="37"/>
  <c r="N142" i="37"/>
  <c r="N143" i="37"/>
  <c r="N145" i="37"/>
  <c r="N146" i="37"/>
  <c r="N147" i="37"/>
  <c r="N149" i="37"/>
  <c r="N151" i="37"/>
  <c r="N223" i="37"/>
  <c r="N224" i="37"/>
  <c r="N225" i="37"/>
  <c r="N227" i="37"/>
  <c r="N230" i="37"/>
  <c r="N231" i="37"/>
  <c r="N232" i="37"/>
  <c r="N234" i="37"/>
  <c r="N259" i="37"/>
  <c r="G15" i="41"/>
  <c r="G41" i="41" s="1"/>
  <c r="G54" i="41" s="1"/>
  <c r="M137" i="37"/>
  <c r="M54" i="16"/>
  <c r="M194" i="16"/>
  <c r="M55" i="16"/>
  <c r="M195" i="16"/>
  <c r="M56" i="16"/>
  <c r="M196" i="16"/>
  <c r="M57" i="16"/>
  <c r="M197" i="16"/>
  <c r="M58" i="16"/>
  <c r="M198" i="16"/>
  <c r="M59" i="16"/>
  <c r="M199" i="16"/>
  <c r="M60" i="16"/>
  <c r="M200" i="16"/>
  <c r="M202" i="16"/>
  <c r="M45" i="16"/>
  <c r="M186" i="16"/>
  <c r="M46" i="16"/>
  <c r="M187" i="16"/>
  <c r="M47" i="16"/>
  <c r="M188" i="16"/>
  <c r="M48" i="16"/>
  <c r="M189" i="16"/>
  <c r="M191" i="16"/>
  <c r="M23" i="16"/>
  <c r="M164" i="16"/>
  <c r="M24" i="16"/>
  <c r="M165" i="16"/>
  <c r="M25" i="16"/>
  <c r="M166" i="16"/>
  <c r="M26" i="16"/>
  <c r="M167" i="16"/>
  <c r="M27" i="16"/>
  <c r="M168" i="16"/>
  <c r="M28" i="16"/>
  <c r="M169" i="16"/>
  <c r="M29" i="16"/>
  <c r="M170" i="16"/>
  <c r="M30" i="16"/>
  <c r="M171" i="16"/>
  <c r="M31" i="16"/>
  <c r="M172" i="16"/>
  <c r="M32" i="16"/>
  <c r="M173" i="16"/>
  <c r="M33" i="16"/>
  <c r="M174" i="16"/>
  <c r="M34" i="16"/>
  <c r="M175" i="16"/>
  <c r="M35" i="16"/>
  <c r="M176" i="16"/>
  <c r="M36" i="16"/>
  <c r="M177" i="16"/>
  <c r="M37" i="16"/>
  <c r="M178" i="16"/>
  <c r="M38" i="16"/>
  <c r="M179" i="16"/>
  <c r="M39" i="16"/>
  <c r="M180" i="16"/>
  <c r="M183" i="16"/>
  <c r="M204" i="16"/>
  <c r="N207" i="16"/>
  <c r="M96" i="37"/>
  <c r="M138" i="37"/>
  <c r="M139" i="37"/>
  <c r="M141" i="37"/>
  <c r="M142" i="37"/>
  <c r="M143" i="37"/>
  <c r="M145" i="37"/>
  <c r="M146" i="37"/>
  <c r="M147" i="37"/>
  <c r="M149" i="37"/>
  <c r="M151" i="37"/>
  <c r="M223" i="37"/>
  <c r="M224" i="37"/>
  <c r="M225" i="37"/>
  <c r="M227" i="37"/>
  <c r="M230" i="37"/>
  <c r="M231" i="37"/>
  <c r="M232" i="37"/>
  <c r="M234" i="37"/>
  <c r="M259" i="37"/>
  <c r="F15" i="41"/>
  <c r="F41" i="41" s="1"/>
  <c r="F54" i="41" s="1"/>
  <c r="L137" i="37"/>
  <c r="L54" i="16"/>
  <c r="L194" i="16"/>
  <c r="L55" i="16"/>
  <c r="L195" i="16"/>
  <c r="L56" i="16"/>
  <c r="L196" i="16"/>
  <c r="L57" i="16"/>
  <c r="L197" i="16"/>
  <c r="L58" i="16"/>
  <c r="L198" i="16"/>
  <c r="L59" i="16"/>
  <c r="L199" i="16"/>
  <c r="L60" i="16"/>
  <c r="L200" i="16"/>
  <c r="L202" i="16"/>
  <c r="L45" i="16"/>
  <c r="L186" i="16"/>
  <c r="L46" i="16"/>
  <c r="L187" i="16"/>
  <c r="L47" i="16"/>
  <c r="L188" i="16"/>
  <c r="L48" i="16"/>
  <c r="L189" i="16"/>
  <c r="L191" i="16"/>
  <c r="L23" i="16"/>
  <c r="L164" i="16"/>
  <c r="L24" i="16"/>
  <c r="L165" i="16"/>
  <c r="L25" i="16"/>
  <c r="L166" i="16"/>
  <c r="L26" i="16"/>
  <c r="L167" i="16"/>
  <c r="L27" i="16"/>
  <c r="L168" i="16"/>
  <c r="L28" i="16"/>
  <c r="L169" i="16"/>
  <c r="L29" i="16"/>
  <c r="L170" i="16"/>
  <c r="L30" i="16"/>
  <c r="L171" i="16"/>
  <c r="L31" i="16"/>
  <c r="L172" i="16"/>
  <c r="L32" i="16"/>
  <c r="L173" i="16"/>
  <c r="L33" i="16"/>
  <c r="L174" i="16"/>
  <c r="L34" i="16"/>
  <c r="L175" i="16"/>
  <c r="L35" i="16"/>
  <c r="L176" i="16"/>
  <c r="L36" i="16"/>
  <c r="L177" i="16"/>
  <c r="L37" i="16"/>
  <c r="L178" i="16"/>
  <c r="L38" i="16"/>
  <c r="L179" i="16"/>
  <c r="L39" i="16"/>
  <c r="L180" i="16"/>
  <c r="L183" i="16"/>
  <c r="L204" i="16"/>
  <c r="M207" i="16"/>
  <c r="L96" i="37"/>
  <c r="L138" i="37"/>
  <c r="L139" i="37"/>
  <c r="L141" i="37"/>
  <c r="L142" i="37"/>
  <c r="L143" i="37"/>
  <c r="L145" i="37"/>
  <c r="L146" i="37"/>
  <c r="L147" i="37"/>
  <c r="L149" i="37"/>
  <c r="L151" i="37"/>
  <c r="L223" i="37"/>
  <c r="L224" i="37"/>
  <c r="L225" i="37"/>
  <c r="L227" i="37"/>
  <c r="L230" i="37"/>
  <c r="L231" i="37"/>
  <c r="L232" i="37"/>
  <c r="L234" i="37"/>
  <c r="L259" i="37"/>
  <c r="E15" i="41"/>
  <c r="E41" i="41" s="1"/>
  <c r="E54" i="41" s="1"/>
  <c r="K137" i="37"/>
  <c r="K54" i="16"/>
  <c r="K194" i="16"/>
  <c r="K55" i="16"/>
  <c r="K195" i="16"/>
  <c r="K56" i="16"/>
  <c r="K196" i="16"/>
  <c r="K57" i="16"/>
  <c r="K197" i="16"/>
  <c r="K58" i="16"/>
  <c r="K198" i="16"/>
  <c r="K59" i="16"/>
  <c r="K199" i="16"/>
  <c r="K60" i="16"/>
  <c r="K200" i="16"/>
  <c r="K202" i="16"/>
  <c r="K45" i="16"/>
  <c r="K186" i="16"/>
  <c r="K46" i="16"/>
  <c r="K187" i="16"/>
  <c r="K47" i="16"/>
  <c r="K188" i="16"/>
  <c r="K48" i="16"/>
  <c r="K189" i="16"/>
  <c r="K191" i="16"/>
  <c r="K23" i="16"/>
  <c r="K164" i="16"/>
  <c r="K24" i="16"/>
  <c r="K165" i="16"/>
  <c r="K25" i="16"/>
  <c r="K166" i="16"/>
  <c r="K26" i="16"/>
  <c r="K167" i="16"/>
  <c r="K27" i="16"/>
  <c r="K168" i="16"/>
  <c r="K28" i="16"/>
  <c r="K169" i="16"/>
  <c r="K29" i="16"/>
  <c r="K170" i="16"/>
  <c r="K30" i="16"/>
  <c r="K171" i="16"/>
  <c r="K31" i="16"/>
  <c r="K172" i="16"/>
  <c r="K32" i="16"/>
  <c r="K173" i="16"/>
  <c r="K33" i="16"/>
  <c r="K174" i="16"/>
  <c r="K34" i="16"/>
  <c r="K175" i="16"/>
  <c r="K35" i="16"/>
  <c r="K176" i="16"/>
  <c r="K36" i="16"/>
  <c r="K177" i="16"/>
  <c r="K37" i="16"/>
  <c r="K178" i="16"/>
  <c r="K38" i="16"/>
  <c r="K179" i="16"/>
  <c r="K39" i="16"/>
  <c r="K180" i="16"/>
  <c r="K183" i="16"/>
  <c r="K204" i="16"/>
  <c r="L207" i="16"/>
  <c r="K96" i="37"/>
  <c r="K138" i="37"/>
  <c r="K139" i="37"/>
  <c r="K141" i="37"/>
  <c r="K142" i="37"/>
  <c r="K143" i="37"/>
  <c r="K145" i="37"/>
  <c r="K146" i="37"/>
  <c r="K147" i="37"/>
  <c r="K149" i="37"/>
  <c r="K151" i="37"/>
  <c r="K223" i="37"/>
  <c r="K224" i="37"/>
  <c r="K225" i="37"/>
  <c r="K227" i="37"/>
  <c r="K230" i="37"/>
  <c r="K231" i="37"/>
  <c r="K232" i="37"/>
  <c r="K234" i="37"/>
  <c r="K259" i="37"/>
  <c r="D15" i="41"/>
  <c r="D41" i="41" s="1"/>
  <c r="D54" i="41" s="1"/>
  <c r="J137" i="37"/>
  <c r="K207" i="16"/>
  <c r="J96" i="37"/>
  <c r="J138" i="37"/>
  <c r="J139" i="37"/>
  <c r="J141" i="37"/>
  <c r="J142" i="37"/>
  <c r="J143" i="37"/>
  <c r="J145" i="37"/>
  <c r="J146" i="37"/>
  <c r="J147" i="37"/>
  <c r="J149" i="37"/>
  <c r="J151" i="37"/>
  <c r="J223" i="37"/>
  <c r="J224" i="37"/>
  <c r="J225" i="37"/>
  <c r="J227" i="37"/>
  <c r="J230" i="37"/>
  <c r="J231" i="37"/>
  <c r="J232" i="37"/>
  <c r="J234" i="37"/>
  <c r="J259" i="37"/>
  <c r="C15" i="41"/>
  <c r="C41" i="41" s="1"/>
  <c r="C54" i="41" s="1"/>
  <c r="N258" i="37"/>
  <c r="G14" i="41"/>
  <c r="G40" i="41" s="1"/>
  <c r="M258" i="37"/>
  <c r="F14" i="41"/>
  <c r="F40" i="41" s="1"/>
  <c r="F53" i="41" s="1"/>
  <c r="L258" i="37"/>
  <c r="E14" i="41"/>
  <c r="E40" i="41" s="1"/>
  <c r="E53" i="41" s="1"/>
  <c r="K258" i="37"/>
  <c r="D14" i="41"/>
  <c r="D40" i="41" s="1"/>
  <c r="D53" i="41" s="1"/>
  <c r="J258" i="37"/>
  <c r="C14" i="41"/>
  <c r="C40" i="41" s="1"/>
  <c r="N257" i="37"/>
  <c r="G13" i="41"/>
  <c r="G39" i="41" s="1"/>
  <c r="G52" i="41" s="1"/>
  <c r="M257" i="37"/>
  <c r="F13" i="41"/>
  <c r="F39" i="41" s="1"/>
  <c r="L257" i="37"/>
  <c r="E13" i="41"/>
  <c r="E39" i="41" s="1"/>
  <c r="E52" i="41" s="1"/>
  <c r="K257" i="37"/>
  <c r="D13" i="41"/>
  <c r="D39" i="41" s="1"/>
  <c r="J257" i="37"/>
  <c r="C13" i="41"/>
  <c r="C39" i="41" s="1"/>
  <c r="G71" i="27"/>
  <c r="G70" i="27"/>
  <c r="G69" i="27"/>
  <c r="G68" i="27"/>
  <c r="G65" i="27"/>
  <c r="G64" i="27"/>
  <c r="G63" i="27"/>
  <c r="G62" i="27"/>
  <c r="I71" i="27"/>
  <c r="E71" i="27"/>
  <c r="I70" i="27"/>
  <c r="E70" i="27"/>
  <c r="I69" i="27"/>
  <c r="E69" i="27"/>
  <c r="I68" i="27"/>
  <c r="E68" i="27"/>
  <c r="I65" i="27"/>
  <c r="E65" i="27"/>
  <c r="I64" i="27"/>
  <c r="E64" i="27"/>
  <c r="I63" i="27"/>
  <c r="E63" i="27"/>
  <c r="I62" i="27"/>
  <c r="E62" i="27"/>
  <c r="I91" i="27"/>
  <c r="I129" i="27" s="1"/>
  <c r="G90" i="27"/>
  <c r="G128" i="27" s="1"/>
  <c r="E89" i="27"/>
  <c r="I85" i="27"/>
  <c r="I123" i="27" s="1"/>
  <c r="E85" i="27"/>
  <c r="G84" i="27"/>
  <c r="G122" i="27" s="1"/>
  <c r="I83" i="27"/>
  <c r="E83" i="27"/>
  <c r="E121" i="27" s="1"/>
  <c r="G82" i="27"/>
  <c r="D50" i="14"/>
  <c r="E50" i="14"/>
  <c r="F50" i="14"/>
  <c r="G50" i="14"/>
  <c r="K241" i="37"/>
  <c r="L241" i="37"/>
  <c r="M241" i="37"/>
  <c r="N241" i="37"/>
  <c r="D106" i="27"/>
  <c r="D216" i="37"/>
  <c r="I48" i="37"/>
  <c r="H48" i="37"/>
  <c r="G48" i="37"/>
  <c r="F48" i="37"/>
  <c r="E48" i="37"/>
  <c r="D48" i="37"/>
  <c r="D217" i="37"/>
  <c r="D131" i="37"/>
  <c r="D50" i="37"/>
  <c r="D55" i="37"/>
  <c r="D60" i="37"/>
  <c r="D126" i="37"/>
  <c r="D167" i="37"/>
  <c r="D168" i="37"/>
  <c r="D128" i="37"/>
  <c r="D177" i="37"/>
  <c r="D178" i="37"/>
  <c r="D129" i="37"/>
  <c r="D197" i="37"/>
  <c r="D198" i="37"/>
  <c r="D130" i="37"/>
  <c r="D132" i="37"/>
  <c r="E50" i="37"/>
  <c r="E55" i="37"/>
  <c r="E60" i="37"/>
  <c r="E126" i="37"/>
  <c r="E167" i="37"/>
  <c r="E168" i="37"/>
  <c r="E128" i="37"/>
  <c r="E177" i="37"/>
  <c r="E178" i="37"/>
  <c r="E129" i="37"/>
  <c r="E197" i="37"/>
  <c r="E198" i="37"/>
  <c r="E130" i="37"/>
  <c r="E216" i="37"/>
  <c r="E217" i="37"/>
  <c r="E131" i="37"/>
  <c r="E132" i="37"/>
  <c r="F50" i="37"/>
  <c r="F55" i="37"/>
  <c r="F60" i="37"/>
  <c r="F126" i="37"/>
  <c r="F167" i="37"/>
  <c r="F168" i="37"/>
  <c r="F128" i="37"/>
  <c r="F177" i="37"/>
  <c r="F178" i="37"/>
  <c r="F129" i="37"/>
  <c r="F197" i="37"/>
  <c r="F198" i="37"/>
  <c r="F130" i="37"/>
  <c r="F216" i="37"/>
  <c r="F217" i="37"/>
  <c r="F131" i="37"/>
  <c r="F132" i="37"/>
  <c r="G50" i="37"/>
  <c r="G55" i="37"/>
  <c r="G60" i="37"/>
  <c r="G126" i="37"/>
  <c r="G167" i="37"/>
  <c r="G168" i="37"/>
  <c r="G128" i="37"/>
  <c r="G177" i="37"/>
  <c r="G178" i="37"/>
  <c r="G129" i="37"/>
  <c r="G197" i="37"/>
  <c r="G198" i="37"/>
  <c r="G130" i="37"/>
  <c r="G216" i="37"/>
  <c r="G217" i="37"/>
  <c r="G131" i="37"/>
  <c r="G132" i="37"/>
  <c r="H50" i="37"/>
  <c r="H55" i="37"/>
  <c r="H60" i="37"/>
  <c r="H126" i="37"/>
  <c r="H167" i="37"/>
  <c r="H168" i="37"/>
  <c r="H128" i="37"/>
  <c r="H177" i="37"/>
  <c r="H178" i="37"/>
  <c r="H129" i="37"/>
  <c r="H197" i="37"/>
  <c r="H198" i="37"/>
  <c r="H130" i="37"/>
  <c r="H216" i="37"/>
  <c r="H217" i="37"/>
  <c r="H131" i="37"/>
  <c r="H132" i="37"/>
  <c r="I50" i="37"/>
  <c r="I55" i="37"/>
  <c r="I60" i="37"/>
  <c r="I126" i="37"/>
  <c r="I167" i="37"/>
  <c r="I168" i="37"/>
  <c r="I128" i="37"/>
  <c r="I177" i="37"/>
  <c r="I178" i="37"/>
  <c r="I129" i="37"/>
  <c r="I197" i="37"/>
  <c r="I198" i="37"/>
  <c r="I130" i="37"/>
  <c r="I216" i="37"/>
  <c r="I217" i="37"/>
  <c r="I131" i="37"/>
  <c r="I132" i="37"/>
  <c r="K48" i="37"/>
  <c r="D56" i="37"/>
  <c r="D58" i="37"/>
  <c r="E56" i="37"/>
  <c r="E58" i="37"/>
  <c r="F56" i="37"/>
  <c r="F58" i="37"/>
  <c r="G56" i="37"/>
  <c r="G58" i="37"/>
  <c r="H56" i="37"/>
  <c r="H58" i="37"/>
  <c r="I56" i="37"/>
  <c r="I58" i="37"/>
  <c r="J241" i="37"/>
  <c r="L48" i="37"/>
  <c r="M48" i="37"/>
  <c r="N48" i="37"/>
  <c r="D105" i="27"/>
  <c r="D107" i="27"/>
  <c r="D109" i="27"/>
  <c r="D111" i="27"/>
  <c r="D113" i="27"/>
  <c r="E127" i="27"/>
  <c r="E123" i="27"/>
  <c r="I121" i="27"/>
  <c r="G120" i="27"/>
  <c r="H19" i="14"/>
  <c r="C23" i="14"/>
  <c r="C25" i="14"/>
  <c r="C31" i="14"/>
  <c r="C33" i="14"/>
  <c r="C18" i="15"/>
  <c r="C34" i="14"/>
  <c r="C19" i="15"/>
  <c r="C18" i="41"/>
  <c r="C44" i="41" s="1"/>
  <c r="D23" i="14"/>
  <c r="D25" i="14"/>
  <c r="D31" i="14"/>
  <c r="D33" i="14"/>
  <c r="D18" i="15"/>
  <c r="D34" i="14"/>
  <c r="D19" i="15"/>
  <c r="E23" i="14"/>
  <c r="E25" i="14"/>
  <c r="E31" i="14"/>
  <c r="E33" i="14"/>
  <c r="E18" i="15"/>
  <c r="E34" i="14"/>
  <c r="E19" i="15"/>
  <c r="F23" i="14"/>
  <c r="F25" i="14"/>
  <c r="F31" i="14"/>
  <c r="F33" i="14"/>
  <c r="F18" i="15"/>
  <c r="F34" i="14"/>
  <c r="F19" i="15"/>
  <c r="G23" i="14"/>
  <c r="G25" i="14"/>
  <c r="G31" i="14"/>
  <c r="G33" i="14"/>
  <c r="G18" i="15"/>
  <c r="G34" i="14"/>
  <c r="G19" i="15"/>
  <c r="J250" i="37"/>
  <c r="J253" i="37"/>
  <c r="K250" i="37"/>
  <c r="K253" i="37"/>
  <c r="L250" i="37"/>
  <c r="L253" i="37"/>
  <c r="M250" i="37"/>
  <c r="M253" i="37"/>
  <c r="N250" i="37"/>
  <c r="N253" i="37"/>
  <c r="J254" i="37"/>
  <c r="K254" i="37"/>
  <c r="L254" i="37"/>
  <c r="M254" i="37"/>
  <c r="N254" i="37"/>
  <c r="J255" i="37"/>
  <c r="K255" i="37"/>
  <c r="L255" i="37"/>
  <c r="M255" i="37"/>
  <c r="N255" i="37"/>
  <c r="H31" i="41"/>
  <c r="H32" i="41"/>
  <c r="H33" i="41"/>
  <c r="H26" i="41"/>
  <c r="H27" i="41"/>
  <c r="H28" i="41"/>
  <c r="H29" i="41"/>
  <c r="H35" i="41"/>
  <c r="G33" i="41"/>
  <c r="G29" i="41"/>
  <c r="G35" i="41"/>
  <c r="F33" i="41"/>
  <c r="F29" i="41"/>
  <c r="F35" i="41"/>
  <c r="E33" i="41"/>
  <c r="E29" i="41"/>
  <c r="E35" i="41"/>
  <c r="D33" i="41"/>
  <c r="D29" i="41"/>
  <c r="D35" i="41"/>
  <c r="C33" i="41"/>
  <c r="C29" i="41"/>
  <c r="C35" i="41"/>
  <c r="O80" i="16"/>
  <c r="O81" i="16"/>
  <c r="O86" i="16"/>
  <c r="O89" i="16"/>
  <c r="O104" i="16"/>
  <c r="O105" i="16"/>
  <c r="O106" i="16"/>
  <c r="O107" i="16"/>
  <c r="O108" i="16"/>
  <c r="O109" i="16"/>
  <c r="O110" i="16"/>
  <c r="O265" i="16"/>
  <c r="H27" i="21"/>
  <c r="H40" i="21" s="1"/>
  <c r="O74" i="16"/>
  <c r="O75" i="16"/>
  <c r="O78" i="16"/>
  <c r="O79" i="16"/>
  <c r="O258" i="16"/>
  <c r="H20" i="21"/>
  <c r="H33" i="21"/>
  <c r="O76" i="16"/>
  <c r="O77" i="16"/>
  <c r="O259" i="16"/>
  <c r="H21" i="21"/>
  <c r="H34" i="21" s="1"/>
  <c r="O82" i="16"/>
  <c r="O83" i="16"/>
  <c r="O84" i="16"/>
  <c r="O85" i="16"/>
  <c r="O261" i="16"/>
  <c r="H23" i="21"/>
  <c r="H36" i="21"/>
  <c r="O87" i="16"/>
  <c r="O88" i="16"/>
  <c r="O262" i="16"/>
  <c r="H24" i="21"/>
  <c r="H37" i="21" s="1"/>
  <c r="O90" i="16"/>
  <c r="O263" i="16"/>
  <c r="H25" i="21"/>
  <c r="H38" i="21" s="1"/>
  <c r="O96" i="16"/>
  <c r="O97" i="16"/>
  <c r="O98" i="16"/>
  <c r="O99" i="16"/>
  <c r="O264" i="16"/>
  <c r="H26" i="21"/>
  <c r="H39" i="21"/>
  <c r="H51" i="21"/>
  <c r="H44" i="21"/>
  <c r="H45" i="21"/>
  <c r="H47" i="21"/>
  <c r="H48" i="21"/>
  <c r="H50" i="21"/>
  <c r="H62" i="21"/>
  <c r="H55" i="21"/>
  <c r="H56" i="21"/>
  <c r="H58" i="21"/>
  <c r="H59" i="21"/>
  <c r="H61" i="21"/>
  <c r="H77" i="21"/>
  <c r="H80" i="21"/>
  <c r="H82" i="21"/>
  <c r="H83" i="21"/>
  <c r="H66" i="21"/>
  <c r="H69" i="21"/>
  <c r="H71" i="21"/>
  <c r="H72" i="21"/>
  <c r="N80" i="16"/>
  <c r="N81" i="16"/>
  <c r="N86" i="16"/>
  <c r="N89" i="16"/>
  <c r="N104" i="16"/>
  <c r="N105" i="16"/>
  <c r="N106" i="16"/>
  <c r="N107" i="16"/>
  <c r="N108" i="16"/>
  <c r="N109" i="16"/>
  <c r="N110" i="16"/>
  <c r="N265" i="16"/>
  <c r="G27" i="21"/>
  <c r="G40" i="21"/>
  <c r="N74" i="16"/>
  <c r="N75" i="16"/>
  <c r="N78" i="16"/>
  <c r="N79" i="16"/>
  <c r="N258" i="16"/>
  <c r="G20" i="21"/>
  <c r="G33" i="21" s="1"/>
  <c r="N76" i="16"/>
  <c r="N77" i="16"/>
  <c r="N259" i="16"/>
  <c r="G21" i="21"/>
  <c r="G34" i="21"/>
  <c r="N82" i="16"/>
  <c r="N83" i="16"/>
  <c r="N84" i="16"/>
  <c r="N85" i="16"/>
  <c r="N261" i="16"/>
  <c r="G23" i="21"/>
  <c r="N87" i="16"/>
  <c r="N88" i="16"/>
  <c r="N262" i="16"/>
  <c r="G24" i="21"/>
  <c r="G37" i="21"/>
  <c r="N90" i="16"/>
  <c r="N263" i="16"/>
  <c r="G25" i="21"/>
  <c r="G38" i="21"/>
  <c r="N96" i="16"/>
  <c r="N97" i="16"/>
  <c r="N98" i="16"/>
  <c r="N99" i="16"/>
  <c r="N264" i="16"/>
  <c r="G26" i="21"/>
  <c r="G51" i="21"/>
  <c r="G45" i="21"/>
  <c r="G48" i="21"/>
  <c r="G49" i="21"/>
  <c r="G50" i="21"/>
  <c r="G62" i="21"/>
  <c r="G56" i="21"/>
  <c r="G59" i="21"/>
  <c r="G60" i="21"/>
  <c r="G61" i="21"/>
  <c r="G84" i="21"/>
  <c r="G77" i="21"/>
  <c r="G78" i="21"/>
  <c r="G80" i="21"/>
  <c r="G81" i="21"/>
  <c r="G82" i="21"/>
  <c r="G73" i="21"/>
  <c r="G66" i="21"/>
  <c r="G67" i="21"/>
  <c r="G69" i="21"/>
  <c r="G70" i="21"/>
  <c r="G71" i="21"/>
  <c r="M80" i="16"/>
  <c r="M81" i="16"/>
  <c r="M86" i="16"/>
  <c r="M89" i="16"/>
  <c r="M104" i="16"/>
  <c r="M105" i="16"/>
  <c r="M106" i="16"/>
  <c r="M107" i="16"/>
  <c r="M108" i="16"/>
  <c r="M109" i="16"/>
  <c r="M110" i="16"/>
  <c r="M265" i="16"/>
  <c r="F27" i="21"/>
  <c r="F40" i="21"/>
  <c r="M74" i="16"/>
  <c r="M75" i="16"/>
  <c r="M78" i="16"/>
  <c r="M79" i="16"/>
  <c r="M258" i="16"/>
  <c r="F20" i="21"/>
  <c r="M76" i="16"/>
  <c r="M77" i="16"/>
  <c r="M259" i="16"/>
  <c r="F21" i="21"/>
  <c r="F34" i="21"/>
  <c r="M82" i="16"/>
  <c r="M83" i="16"/>
  <c r="M84" i="16"/>
  <c r="M85" i="16"/>
  <c r="M261" i="16"/>
  <c r="F23" i="21"/>
  <c r="M87" i="16"/>
  <c r="M88" i="16"/>
  <c r="M262" i="16"/>
  <c r="F24" i="21"/>
  <c r="F37" i="21"/>
  <c r="M90" i="16"/>
  <c r="M263" i="16"/>
  <c r="F25" i="21"/>
  <c r="F38" i="21"/>
  <c r="M96" i="16"/>
  <c r="M97" i="16"/>
  <c r="M98" i="16"/>
  <c r="M99" i="16"/>
  <c r="M264" i="16"/>
  <c r="F26" i="21"/>
  <c r="F39" i="21" s="1"/>
  <c r="F51" i="21"/>
  <c r="F45" i="21"/>
  <c r="F48" i="21"/>
  <c r="F49" i="21"/>
  <c r="F50" i="21"/>
  <c r="F62" i="21"/>
  <c r="F56" i="21"/>
  <c r="F59" i="21"/>
  <c r="F60" i="21"/>
  <c r="F61" i="21"/>
  <c r="F84" i="21"/>
  <c r="F78" i="21"/>
  <c r="F81" i="21"/>
  <c r="F82" i="21"/>
  <c r="F83" i="21"/>
  <c r="F73" i="21"/>
  <c r="F67" i="21"/>
  <c r="F70" i="21"/>
  <c r="F71" i="21"/>
  <c r="F72" i="21"/>
  <c r="L80" i="16"/>
  <c r="L81" i="16"/>
  <c r="L86" i="16"/>
  <c r="L89" i="16"/>
  <c r="L104" i="16"/>
  <c r="L105" i="16"/>
  <c r="L106" i="16"/>
  <c r="L107" i="16"/>
  <c r="L108" i="16"/>
  <c r="L109" i="16"/>
  <c r="L110" i="16"/>
  <c r="L265" i="16"/>
  <c r="E27" i="21"/>
  <c r="L74" i="16"/>
  <c r="L75" i="16"/>
  <c r="L78" i="16"/>
  <c r="L79" i="16"/>
  <c r="L258" i="16"/>
  <c r="E20" i="21"/>
  <c r="E33" i="21"/>
  <c r="L76" i="16"/>
  <c r="L77" i="16"/>
  <c r="L259" i="16"/>
  <c r="E21" i="21"/>
  <c r="L82" i="16"/>
  <c r="L83" i="16"/>
  <c r="L84" i="16"/>
  <c r="L85" i="16"/>
  <c r="L261" i="16"/>
  <c r="E23" i="21"/>
  <c r="E36" i="21"/>
  <c r="L87" i="16"/>
  <c r="L88" i="16"/>
  <c r="L262" i="16"/>
  <c r="E24" i="21"/>
  <c r="L90" i="16"/>
  <c r="L263" i="16"/>
  <c r="E25" i="21"/>
  <c r="E38" i="21" s="1"/>
  <c r="L96" i="16"/>
  <c r="L97" i="16"/>
  <c r="L98" i="16"/>
  <c r="L99" i="16"/>
  <c r="L264" i="16"/>
  <c r="E26" i="21"/>
  <c r="E39" i="21"/>
  <c r="E44" i="21"/>
  <c r="E47" i="21"/>
  <c r="E50" i="21"/>
  <c r="E55" i="21"/>
  <c r="E58" i="21"/>
  <c r="E60" i="21"/>
  <c r="E61" i="21"/>
  <c r="E77" i="21"/>
  <c r="E80" i="21"/>
  <c r="E83" i="21"/>
  <c r="E66" i="21"/>
  <c r="E69" i="21"/>
  <c r="E71" i="21"/>
  <c r="E72" i="21"/>
  <c r="K80" i="16"/>
  <c r="K81" i="16"/>
  <c r="K86" i="16"/>
  <c r="K89" i="16"/>
  <c r="K104" i="16"/>
  <c r="K105" i="16"/>
  <c r="K106" i="16"/>
  <c r="K107" i="16"/>
  <c r="K108" i="16"/>
  <c r="K109" i="16"/>
  <c r="K110" i="16"/>
  <c r="K265" i="16"/>
  <c r="D27" i="21"/>
  <c r="D40" i="21"/>
  <c r="K74" i="16"/>
  <c r="K75" i="16"/>
  <c r="K78" i="16"/>
  <c r="K79" i="16"/>
  <c r="K258" i="16"/>
  <c r="D20" i="21"/>
  <c r="K76" i="16"/>
  <c r="K77" i="16"/>
  <c r="K259" i="16"/>
  <c r="D21" i="21"/>
  <c r="D34" i="21"/>
  <c r="K82" i="16"/>
  <c r="K83" i="16"/>
  <c r="K84" i="16"/>
  <c r="K85" i="16"/>
  <c r="K261" i="16"/>
  <c r="D23" i="21"/>
  <c r="K87" i="16"/>
  <c r="K88" i="16"/>
  <c r="K262" i="16"/>
  <c r="D24" i="21"/>
  <c r="D37" i="21"/>
  <c r="K90" i="16"/>
  <c r="K263" i="16"/>
  <c r="D25" i="21"/>
  <c r="D38" i="21"/>
  <c r="K96" i="16"/>
  <c r="K97" i="16"/>
  <c r="K98" i="16"/>
  <c r="K99" i="16"/>
  <c r="K264" i="16"/>
  <c r="D26" i="21"/>
  <c r="D51" i="21"/>
  <c r="D45" i="21"/>
  <c r="D48" i="21"/>
  <c r="D49" i="21"/>
  <c r="D50" i="21"/>
  <c r="D62" i="21"/>
  <c r="D56" i="21"/>
  <c r="D59" i="21"/>
  <c r="D60" i="21"/>
  <c r="D84" i="21"/>
  <c r="D77" i="21"/>
  <c r="D78" i="21"/>
  <c r="D80" i="21"/>
  <c r="D81" i="21"/>
  <c r="D82" i="21"/>
  <c r="D73" i="21"/>
  <c r="D67" i="21"/>
  <c r="D69" i="21"/>
  <c r="D70" i="21"/>
  <c r="D71" i="21"/>
  <c r="K260" i="37"/>
  <c r="K261" i="37"/>
  <c r="L260" i="37"/>
  <c r="L261" i="37"/>
  <c r="M260" i="37"/>
  <c r="M261" i="37"/>
  <c r="N260" i="37"/>
  <c r="N261" i="37"/>
  <c r="J260" i="37"/>
  <c r="J261" i="37"/>
  <c r="K37" i="37"/>
  <c r="K38" i="37"/>
  <c r="K41" i="37"/>
  <c r="K251" i="37"/>
  <c r="L37" i="37"/>
  <c r="L38" i="37"/>
  <c r="L41" i="37"/>
  <c r="L251" i="37"/>
  <c r="M37" i="37"/>
  <c r="M38" i="37"/>
  <c r="M41" i="37"/>
  <c r="M251" i="37"/>
  <c r="N37" i="37"/>
  <c r="N38" i="37"/>
  <c r="N41" i="37"/>
  <c r="N251" i="37"/>
  <c r="J37" i="37"/>
  <c r="J38" i="37"/>
  <c r="J41" i="37"/>
  <c r="J251" i="37"/>
  <c r="K237" i="37"/>
  <c r="K238" i="37"/>
  <c r="K239" i="37"/>
  <c r="L237" i="37"/>
  <c r="L238" i="37"/>
  <c r="L239" i="37"/>
  <c r="M237" i="37"/>
  <c r="M238" i="37"/>
  <c r="M239" i="37"/>
  <c r="N237" i="37"/>
  <c r="N238" i="37"/>
  <c r="N239" i="37"/>
  <c r="J237" i="37"/>
  <c r="J238" i="37"/>
  <c r="J239" i="37"/>
  <c r="K235" i="37"/>
  <c r="L235" i="37"/>
  <c r="M235" i="37"/>
  <c r="N235" i="37"/>
  <c r="J235" i="37"/>
  <c r="K228" i="37"/>
  <c r="L228" i="37"/>
  <c r="M228" i="37"/>
  <c r="N228" i="37"/>
  <c r="J228" i="37"/>
  <c r="H38" i="40"/>
  <c r="G38" i="40"/>
  <c r="F38" i="40"/>
  <c r="E38" i="40"/>
  <c r="D38" i="40"/>
  <c r="H38" i="39"/>
  <c r="G38" i="39"/>
  <c r="F38" i="39"/>
  <c r="E38" i="39"/>
  <c r="D38" i="39"/>
  <c r="J708" i="38"/>
  <c r="B709" i="38"/>
  <c r="J710" i="38"/>
  <c r="I708" i="38"/>
  <c r="I710" i="38"/>
  <c r="H708" i="38"/>
  <c r="H710" i="38"/>
  <c r="G708" i="38"/>
  <c r="G710" i="38"/>
  <c r="F708" i="38"/>
  <c r="F710" i="38"/>
  <c r="B708" i="38"/>
  <c r="J570" i="38"/>
  <c r="B571" i="38"/>
  <c r="J572" i="38"/>
  <c r="I570" i="38"/>
  <c r="I572" i="38"/>
  <c r="H570" i="38"/>
  <c r="H572" i="38"/>
  <c r="G570" i="38"/>
  <c r="G572" i="38"/>
  <c r="F570" i="38"/>
  <c r="F572" i="38"/>
  <c r="B570" i="38"/>
  <c r="J91" i="38"/>
  <c r="B92" i="38"/>
  <c r="J93" i="38"/>
  <c r="I91" i="38"/>
  <c r="I93" i="38"/>
  <c r="H91" i="38"/>
  <c r="H93" i="38"/>
  <c r="G91" i="38"/>
  <c r="G93" i="38"/>
  <c r="F91" i="38"/>
  <c r="F93" i="38"/>
  <c r="B91" i="38"/>
  <c r="J32" i="38"/>
  <c r="B33" i="38"/>
  <c r="J34" i="38"/>
  <c r="I32" i="38"/>
  <c r="I34" i="38"/>
  <c r="H32" i="38"/>
  <c r="H34" i="38"/>
  <c r="G32" i="38"/>
  <c r="G34" i="38"/>
  <c r="F32" i="38"/>
  <c r="F34" i="38"/>
  <c r="B32" i="38"/>
  <c r="J13" i="20"/>
  <c r="K13" i="20" s="1"/>
  <c r="L13" i="20" s="1"/>
  <c r="M13" i="20" s="1"/>
  <c r="M11" i="20"/>
  <c r="L11" i="20"/>
  <c r="K11" i="20"/>
  <c r="J11" i="20"/>
  <c r="I11" i="20"/>
  <c r="E62" i="16"/>
  <c r="E50" i="16"/>
  <c r="E42" i="16"/>
  <c r="E65" i="16"/>
  <c r="E66" i="16"/>
  <c r="E67" i="16"/>
  <c r="F62" i="16"/>
  <c r="F50" i="16"/>
  <c r="F42" i="16"/>
  <c r="F65" i="16"/>
  <c r="F66" i="16"/>
  <c r="F67" i="16"/>
  <c r="F70" i="16"/>
  <c r="E95" i="37"/>
  <c r="G62" i="16"/>
  <c r="G50" i="16"/>
  <c r="G42" i="16"/>
  <c r="G65" i="16"/>
  <c r="G66" i="16"/>
  <c r="G67" i="16"/>
  <c r="G70" i="16"/>
  <c r="F95" i="37"/>
  <c r="H62" i="16"/>
  <c r="H50" i="16"/>
  <c r="H42" i="16"/>
  <c r="H65" i="16"/>
  <c r="H66" i="16"/>
  <c r="H67" i="16"/>
  <c r="H70" i="16"/>
  <c r="G95" i="37"/>
  <c r="I62" i="16"/>
  <c r="I50" i="16"/>
  <c r="I42" i="16"/>
  <c r="I65" i="16"/>
  <c r="I66" i="16"/>
  <c r="I67" i="16"/>
  <c r="I70" i="16"/>
  <c r="H95" i="37"/>
  <c r="J62" i="16"/>
  <c r="J50" i="16"/>
  <c r="J42" i="16"/>
  <c r="J65" i="16"/>
  <c r="J66" i="16"/>
  <c r="J67" i="16"/>
  <c r="J70" i="16"/>
  <c r="I95" i="37"/>
  <c r="K62" i="16"/>
  <c r="K50" i="16"/>
  <c r="K42" i="16"/>
  <c r="K65" i="16"/>
  <c r="K66" i="16"/>
  <c r="K67" i="16"/>
  <c r="K70" i="16"/>
  <c r="J95" i="37"/>
  <c r="L62" i="16"/>
  <c r="L50" i="16"/>
  <c r="L42" i="16"/>
  <c r="L65" i="16"/>
  <c r="L66" i="16"/>
  <c r="L67" i="16"/>
  <c r="L70" i="16"/>
  <c r="K95" i="37"/>
  <c r="M62" i="16"/>
  <c r="M50" i="16"/>
  <c r="M42" i="16"/>
  <c r="M65" i="16"/>
  <c r="M66" i="16"/>
  <c r="M67" i="16"/>
  <c r="M70" i="16"/>
  <c r="L95" i="37"/>
  <c r="N62" i="16"/>
  <c r="N50" i="16"/>
  <c r="N42" i="16"/>
  <c r="N65" i="16"/>
  <c r="N66" i="16"/>
  <c r="N67" i="16"/>
  <c r="N70" i="16"/>
  <c r="M95" i="37"/>
  <c r="O62" i="16"/>
  <c r="O50" i="16"/>
  <c r="O42" i="16"/>
  <c r="O65" i="16"/>
  <c r="O66" i="16"/>
  <c r="O67" i="16"/>
  <c r="O70" i="16"/>
  <c r="N95" i="37"/>
  <c r="D62" i="16"/>
  <c r="D50" i="16"/>
  <c r="D42" i="16"/>
  <c r="D65" i="16"/>
  <c r="D66" i="16"/>
  <c r="D67" i="16"/>
  <c r="E70" i="16"/>
  <c r="D95" i="37"/>
  <c r="E74" i="16"/>
  <c r="E75" i="16"/>
  <c r="E78" i="16"/>
  <c r="E79" i="16"/>
  <c r="E80" i="16"/>
  <c r="E81" i="16"/>
  <c r="E258" i="16"/>
  <c r="F74" i="16"/>
  <c r="F75" i="16"/>
  <c r="F78" i="16"/>
  <c r="F79" i="16"/>
  <c r="F80" i="16"/>
  <c r="F81" i="16"/>
  <c r="F258" i="16"/>
  <c r="G74" i="16"/>
  <c r="G75" i="16"/>
  <c r="G78" i="16"/>
  <c r="G79" i="16"/>
  <c r="G80" i="16"/>
  <c r="G81" i="16"/>
  <c r="G258" i="16"/>
  <c r="H74" i="16"/>
  <c r="H75" i="16"/>
  <c r="H78" i="16"/>
  <c r="H79" i="16"/>
  <c r="H80" i="16"/>
  <c r="H81" i="16"/>
  <c r="H258" i="16"/>
  <c r="E76" i="16"/>
  <c r="E77" i="16"/>
  <c r="E259" i="16"/>
  <c r="F76" i="16"/>
  <c r="F77" i="16"/>
  <c r="F259" i="16"/>
  <c r="G76" i="16"/>
  <c r="G77" i="16"/>
  <c r="G259" i="16"/>
  <c r="H76" i="16"/>
  <c r="H77" i="16"/>
  <c r="H259" i="16"/>
  <c r="E91" i="16"/>
  <c r="E260" i="16"/>
  <c r="F91" i="16"/>
  <c r="F260" i="16"/>
  <c r="G91" i="16"/>
  <c r="G260" i="16"/>
  <c r="H91" i="16"/>
  <c r="H260" i="16"/>
  <c r="E82" i="16"/>
  <c r="E83" i="16"/>
  <c r="E84" i="16"/>
  <c r="E85" i="16"/>
  <c r="E86" i="16"/>
  <c r="E261" i="16"/>
  <c r="F82" i="16"/>
  <c r="F83" i="16"/>
  <c r="F84" i="16"/>
  <c r="F85" i="16"/>
  <c r="F86" i="16"/>
  <c r="F261" i="16"/>
  <c r="G82" i="16"/>
  <c r="G83" i="16"/>
  <c r="G84" i="16"/>
  <c r="G85" i="16"/>
  <c r="G86" i="16"/>
  <c r="G261" i="16"/>
  <c r="H82" i="16"/>
  <c r="H83" i="16"/>
  <c r="H84" i="16"/>
  <c r="H85" i="16"/>
  <c r="H86" i="16"/>
  <c r="H261" i="16"/>
  <c r="E87" i="16"/>
  <c r="E88" i="16"/>
  <c r="E89" i="16"/>
  <c r="E262" i="16"/>
  <c r="F87" i="16"/>
  <c r="F88" i="16"/>
  <c r="F89" i="16"/>
  <c r="F262" i="16"/>
  <c r="G87" i="16"/>
  <c r="G88" i="16"/>
  <c r="G89" i="16"/>
  <c r="G262" i="16"/>
  <c r="H87" i="16"/>
  <c r="H88" i="16"/>
  <c r="H89" i="16"/>
  <c r="H262" i="16"/>
  <c r="E90" i="16"/>
  <c r="E263" i="16"/>
  <c r="F90" i="16"/>
  <c r="F263" i="16"/>
  <c r="G90" i="16"/>
  <c r="G263" i="16"/>
  <c r="H90" i="16"/>
  <c r="H263" i="16"/>
  <c r="E96" i="16"/>
  <c r="E97" i="16"/>
  <c r="E98" i="16"/>
  <c r="E99" i="16"/>
  <c r="E264" i="16"/>
  <c r="F96" i="16"/>
  <c r="F97" i="16"/>
  <c r="F98" i="16"/>
  <c r="F99" i="16"/>
  <c r="F264" i="16"/>
  <c r="G96" i="16"/>
  <c r="G97" i="16"/>
  <c r="G98" i="16"/>
  <c r="G99" i="16"/>
  <c r="G264" i="16"/>
  <c r="H96" i="16"/>
  <c r="H97" i="16"/>
  <c r="H98" i="16"/>
  <c r="H99" i="16"/>
  <c r="H264" i="16"/>
  <c r="E104" i="16"/>
  <c r="E105" i="16"/>
  <c r="E106" i="16"/>
  <c r="E107" i="16"/>
  <c r="E108" i="16"/>
  <c r="E109" i="16"/>
  <c r="E110" i="16"/>
  <c r="E265" i="16"/>
  <c r="F104" i="16"/>
  <c r="F105" i="16"/>
  <c r="F106" i="16"/>
  <c r="F107" i="16"/>
  <c r="F108" i="16"/>
  <c r="F109" i="16"/>
  <c r="F110" i="16"/>
  <c r="F265" i="16"/>
  <c r="G104" i="16"/>
  <c r="G105" i="16"/>
  <c r="G106" i="16"/>
  <c r="G107" i="16"/>
  <c r="G108" i="16"/>
  <c r="G109" i="16"/>
  <c r="G110" i="16"/>
  <c r="G265" i="16"/>
  <c r="H104" i="16"/>
  <c r="H105" i="16"/>
  <c r="H106" i="16"/>
  <c r="H107" i="16"/>
  <c r="H108" i="16"/>
  <c r="H109" i="16"/>
  <c r="H110" i="16"/>
  <c r="H265" i="16"/>
  <c r="E266" i="16"/>
  <c r="F266" i="16"/>
  <c r="G266" i="16"/>
  <c r="H266" i="16"/>
  <c r="E241" i="16"/>
  <c r="E242" i="16"/>
  <c r="E243" i="16"/>
  <c r="E244" i="16"/>
  <c r="E245" i="16"/>
  <c r="E246" i="16"/>
  <c r="E247" i="16"/>
  <c r="E249" i="16"/>
  <c r="E233" i="16"/>
  <c r="E234" i="16"/>
  <c r="E235" i="16"/>
  <c r="E236" i="16"/>
  <c r="E238" i="16"/>
  <c r="E211" i="16"/>
  <c r="E212" i="16"/>
  <c r="E213" i="16"/>
  <c r="E214" i="16"/>
  <c r="E215" i="16"/>
  <c r="E216" i="16"/>
  <c r="E217" i="16"/>
  <c r="E218" i="16"/>
  <c r="E219" i="16"/>
  <c r="E220" i="16"/>
  <c r="E221" i="16"/>
  <c r="E222" i="16"/>
  <c r="E223" i="16"/>
  <c r="E224" i="16"/>
  <c r="E225" i="16"/>
  <c r="E226" i="16"/>
  <c r="E227" i="16"/>
  <c r="E228" i="16"/>
  <c r="E230" i="16"/>
  <c r="E251" i="16"/>
  <c r="E267" i="16"/>
  <c r="F241" i="16"/>
  <c r="F242" i="16"/>
  <c r="F243" i="16"/>
  <c r="F244" i="16"/>
  <c r="F245" i="16"/>
  <c r="F246" i="16"/>
  <c r="F247" i="16"/>
  <c r="F249" i="16"/>
  <c r="F233" i="16"/>
  <c r="F234" i="16"/>
  <c r="F235" i="16"/>
  <c r="F236" i="16"/>
  <c r="F238" i="16"/>
  <c r="F211" i="16"/>
  <c r="F212" i="16"/>
  <c r="F213" i="16"/>
  <c r="F214" i="16"/>
  <c r="F215" i="16"/>
  <c r="F216" i="16"/>
  <c r="F217" i="16"/>
  <c r="F218" i="16"/>
  <c r="F219" i="16"/>
  <c r="F220" i="16"/>
  <c r="F221" i="16"/>
  <c r="F222" i="16"/>
  <c r="F223" i="16"/>
  <c r="F224" i="16"/>
  <c r="F225" i="16"/>
  <c r="F226" i="16"/>
  <c r="F227" i="16"/>
  <c r="F228" i="16"/>
  <c r="F230" i="16"/>
  <c r="F251" i="16"/>
  <c r="F267" i="16"/>
  <c r="G241" i="16"/>
  <c r="G242" i="16"/>
  <c r="G243" i="16"/>
  <c r="G244" i="16"/>
  <c r="G245" i="16"/>
  <c r="G246" i="16"/>
  <c r="G247" i="16"/>
  <c r="G249" i="16"/>
  <c r="G233" i="16"/>
  <c r="G234" i="16"/>
  <c r="G235" i="16"/>
  <c r="G236" i="16"/>
  <c r="G238" i="16"/>
  <c r="G211" i="16"/>
  <c r="G212" i="16"/>
  <c r="G213" i="16"/>
  <c r="G214" i="16"/>
  <c r="G215" i="16"/>
  <c r="G216" i="16"/>
  <c r="G217" i="16"/>
  <c r="G218" i="16"/>
  <c r="G219" i="16"/>
  <c r="G220" i="16"/>
  <c r="G221" i="16"/>
  <c r="G222" i="16"/>
  <c r="G223" i="16"/>
  <c r="G224" i="16"/>
  <c r="G225" i="16"/>
  <c r="G226" i="16"/>
  <c r="G227" i="16"/>
  <c r="G228" i="16"/>
  <c r="G230" i="16"/>
  <c r="G251" i="16"/>
  <c r="G267" i="16"/>
  <c r="H241" i="16"/>
  <c r="H242" i="16"/>
  <c r="H243" i="16"/>
  <c r="H244" i="16"/>
  <c r="H245" i="16"/>
  <c r="H246" i="16"/>
  <c r="H247" i="16"/>
  <c r="H249" i="16"/>
  <c r="H233" i="16"/>
  <c r="H234" i="16"/>
  <c r="H235" i="16"/>
  <c r="H236" i="16"/>
  <c r="H238" i="16"/>
  <c r="H211" i="16"/>
  <c r="H212" i="16"/>
  <c r="H213" i="16"/>
  <c r="H214" i="16"/>
  <c r="H215" i="16"/>
  <c r="H216" i="16"/>
  <c r="H217" i="16"/>
  <c r="H218" i="16"/>
  <c r="H219" i="16"/>
  <c r="H220" i="16"/>
  <c r="H221" i="16"/>
  <c r="H222" i="16"/>
  <c r="H223" i="16"/>
  <c r="H224" i="16"/>
  <c r="H225" i="16"/>
  <c r="H226" i="16"/>
  <c r="H227" i="16"/>
  <c r="H228" i="16"/>
  <c r="H230" i="16"/>
  <c r="H251" i="16"/>
  <c r="H267" i="16"/>
  <c r="E93" i="16"/>
  <c r="F93" i="16"/>
  <c r="G93" i="16"/>
  <c r="H93" i="16"/>
  <c r="E101" i="16"/>
  <c r="F101" i="16"/>
  <c r="G101" i="16"/>
  <c r="H101" i="16"/>
  <c r="E112" i="16"/>
  <c r="F112" i="16"/>
  <c r="G112" i="16"/>
  <c r="H112" i="16"/>
  <c r="E114" i="16"/>
  <c r="F114" i="16"/>
  <c r="G114" i="16"/>
  <c r="H114" i="16"/>
  <c r="E115" i="16"/>
  <c r="F115" i="16"/>
  <c r="G115" i="16"/>
  <c r="H115" i="16"/>
  <c r="E116" i="16"/>
  <c r="F116" i="16"/>
  <c r="G116" i="16"/>
  <c r="H116" i="16"/>
  <c r="D51" i="16"/>
  <c r="E51" i="16"/>
  <c r="F51" i="16"/>
  <c r="G51" i="16"/>
  <c r="D63" i="16"/>
  <c r="E63" i="16"/>
  <c r="F63" i="16"/>
  <c r="G63" i="16"/>
  <c r="C129" i="29"/>
  <c r="F129" i="29"/>
  <c r="E129" i="29"/>
  <c r="D129" i="29"/>
  <c r="N50" i="37"/>
  <c r="N55" i="37"/>
  <c r="N60" i="37"/>
  <c r="N51" i="37"/>
  <c r="N56" i="37"/>
  <c r="N61" i="37"/>
  <c r="N63" i="37"/>
  <c r="N93" i="37"/>
  <c r="N107" i="37"/>
  <c r="M50" i="37"/>
  <c r="M55" i="37"/>
  <c r="M60" i="37"/>
  <c r="M51" i="37"/>
  <c r="M56" i="37"/>
  <c r="M61" i="37"/>
  <c r="M63" i="37"/>
  <c r="M93" i="37"/>
  <c r="M107" i="37"/>
  <c r="L50" i="37"/>
  <c r="L55" i="37"/>
  <c r="L60" i="37"/>
  <c r="L51" i="37"/>
  <c r="L56" i="37"/>
  <c r="L61" i="37"/>
  <c r="L63" i="37"/>
  <c r="L93" i="37"/>
  <c r="L107" i="37"/>
  <c r="K50" i="37"/>
  <c r="K55" i="37"/>
  <c r="K60" i="37"/>
  <c r="K51" i="37"/>
  <c r="K56" i="37"/>
  <c r="K61" i="37"/>
  <c r="K63" i="37"/>
  <c r="K93" i="37"/>
  <c r="K107" i="37"/>
  <c r="J50" i="37"/>
  <c r="J55" i="37"/>
  <c r="J60" i="37"/>
  <c r="J51" i="37"/>
  <c r="J56" i="37"/>
  <c r="J61" i="37"/>
  <c r="J63" i="37"/>
  <c r="J93" i="37"/>
  <c r="J107" i="37"/>
  <c r="N108" i="37"/>
  <c r="N110" i="37"/>
  <c r="N111" i="37"/>
  <c r="M108" i="37"/>
  <c r="M110" i="37"/>
  <c r="M111" i="37"/>
  <c r="L108" i="37"/>
  <c r="L110" i="37"/>
  <c r="L111" i="37"/>
  <c r="K108" i="37"/>
  <c r="K110" i="37"/>
  <c r="K111" i="37"/>
  <c r="J108" i="37"/>
  <c r="J110" i="37"/>
  <c r="J111" i="37"/>
  <c r="J99" i="37"/>
  <c r="K99" i="37"/>
  <c r="L99" i="37"/>
  <c r="M99" i="37"/>
  <c r="N99" i="37"/>
  <c r="C105" i="37"/>
  <c r="D51" i="37"/>
  <c r="D61" i="37"/>
  <c r="D63" i="37"/>
  <c r="D93" i="37"/>
  <c r="D99" i="37"/>
  <c r="E51" i="37"/>
  <c r="E61" i="37"/>
  <c r="E63" i="37"/>
  <c r="E93" i="37"/>
  <c r="E99" i="37"/>
  <c r="F51" i="37"/>
  <c r="F61" i="37"/>
  <c r="F63" i="37"/>
  <c r="F93" i="37"/>
  <c r="F99" i="37"/>
  <c r="G51" i="37"/>
  <c r="G61" i="37"/>
  <c r="G63" i="37"/>
  <c r="G93" i="37"/>
  <c r="G99" i="37"/>
  <c r="H51" i="37"/>
  <c r="H61" i="37"/>
  <c r="H63" i="37"/>
  <c r="H93" i="37"/>
  <c r="H99" i="37"/>
  <c r="I51" i="37"/>
  <c r="I61" i="37"/>
  <c r="I63" i="37"/>
  <c r="I93" i="37"/>
  <c r="I99" i="37"/>
  <c r="C104" i="37"/>
  <c r="D105" i="37"/>
  <c r="J98" i="37"/>
  <c r="K98" i="37"/>
  <c r="L98" i="37"/>
  <c r="M98" i="37"/>
  <c r="N98" i="37"/>
  <c r="C102" i="37"/>
  <c r="D98" i="37"/>
  <c r="E98" i="37"/>
  <c r="F98" i="37"/>
  <c r="G98" i="37"/>
  <c r="H98" i="37"/>
  <c r="I98" i="37"/>
  <c r="C101" i="37"/>
  <c r="D102" i="37"/>
  <c r="B93" i="37"/>
  <c r="N64" i="37"/>
  <c r="M64" i="37"/>
  <c r="L64" i="37"/>
  <c r="K64" i="37"/>
  <c r="J64" i="37"/>
  <c r="I64" i="37"/>
  <c r="H64" i="37"/>
  <c r="G64" i="37"/>
  <c r="F64" i="37"/>
  <c r="E64" i="37"/>
  <c r="D64" i="37"/>
  <c r="N58" i="37"/>
  <c r="M58" i="37"/>
  <c r="L58" i="37"/>
  <c r="K58" i="37"/>
  <c r="J58" i="37"/>
  <c r="N53" i="37"/>
  <c r="M53" i="37"/>
  <c r="L53" i="37"/>
  <c r="K53" i="37"/>
  <c r="J53" i="37"/>
  <c r="I53" i="37"/>
  <c r="H53" i="37"/>
  <c r="G53" i="37"/>
  <c r="F53" i="37"/>
  <c r="E53" i="37"/>
  <c r="D53" i="37"/>
  <c r="I37" i="37"/>
  <c r="I38" i="37"/>
  <c r="I41" i="37"/>
  <c r="H37" i="37"/>
  <c r="H38" i="37"/>
  <c r="H41" i="37"/>
  <c r="G37" i="37"/>
  <c r="G38" i="37"/>
  <c r="G41" i="37"/>
  <c r="F37" i="37"/>
  <c r="F38" i="37"/>
  <c r="F41" i="37"/>
  <c r="E37" i="37"/>
  <c r="E38" i="37"/>
  <c r="E41" i="37"/>
  <c r="D37" i="37"/>
  <c r="D38" i="37"/>
  <c r="D41" i="37"/>
  <c r="N39" i="37"/>
  <c r="M39" i="37"/>
  <c r="L39" i="37"/>
  <c r="K39" i="37"/>
  <c r="J39" i="37"/>
  <c r="I39" i="37"/>
  <c r="H39" i="37"/>
  <c r="G39" i="37"/>
  <c r="F39" i="37"/>
  <c r="E39" i="37"/>
  <c r="D39" i="37"/>
  <c r="N35" i="37"/>
  <c r="M35" i="37"/>
  <c r="L35" i="37"/>
  <c r="K35" i="37"/>
  <c r="J35" i="37"/>
  <c r="I35" i="37"/>
  <c r="H35" i="37"/>
  <c r="G35" i="37"/>
  <c r="F35" i="37"/>
  <c r="E35" i="37"/>
  <c r="D35" i="37"/>
  <c r="N33" i="37"/>
  <c r="M33" i="37"/>
  <c r="L33" i="37"/>
  <c r="K33" i="37"/>
  <c r="J33" i="37"/>
  <c r="I33" i="37"/>
  <c r="H33" i="37"/>
  <c r="G33" i="37"/>
  <c r="F33" i="37"/>
  <c r="E33" i="37"/>
  <c r="D33" i="37"/>
  <c r="N29" i="37"/>
  <c r="M29" i="37"/>
  <c r="L29" i="37"/>
  <c r="K29" i="37"/>
  <c r="J29" i="37"/>
  <c r="I29" i="37"/>
  <c r="H29" i="37"/>
  <c r="G29" i="37"/>
  <c r="F29" i="37"/>
  <c r="E29" i="37"/>
  <c r="D29" i="37"/>
  <c r="N27" i="37"/>
  <c r="M27" i="37"/>
  <c r="L27" i="37"/>
  <c r="K27" i="37"/>
  <c r="J27" i="37"/>
  <c r="I27" i="37"/>
  <c r="H27" i="37"/>
  <c r="G27" i="37"/>
  <c r="F27" i="37"/>
  <c r="E27" i="37"/>
  <c r="D27" i="37"/>
  <c r="D35" i="36"/>
  <c r="E35" i="36"/>
  <c r="F35" i="36"/>
  <c r="G35" i="36"/>
  <c r="H35" i="36"/>
  <c r="I35" i="36"/>
  <c r="J35" i="36"/>
  <c r="C35" i="36"/>
  <c r="H34" i="1"/>
  <c r="H33" i="1"/>
  <c r="H40" i="1"/>
  <c r="D28" i="1"/>
  <c r="D29" i="1"/>
  <c r="E28" i="1"/>
  <c r="E29" i="1"/>
  <c r="F28" i="1"/>
  <c r="F29" i="1"/>
  <c r="G28" i="1"/>
  <c r="G29" i="1"/>
  <c r="C28" i="1"/>
  <c r="C29" i="1"/>
  <c r="D44" i="14"/>
  <c r="D35" i="14"/>
  <c r="D46" i="14"/>
  <c r="E44" i="14"/>
  <c r="E35" i="14"/>
  <c r="E46" i="14"/>
  <c r="F44" i="14"/>
  <c r="F35" i="14"/>
  <c r="F46" i="14"/>
  <c r="G44" i="14"/>
  <c r="G35" i="14"/>
  <c r="G46" i="14"/>
  <c r="H42" i="14"/>
  <c r="H43" i="14"/>
  <c r="H44" i="14"/>
  <c r="H33" i="14"/>
  <c r="H34" i="14"/>
  <c r="H35" i="14"/>
  <c r="H46" i="14"/>
  <c r="D47" i="14"/>
  <c r="E47" i="14"/>
  <c r="F47" i="14"/>
  <c r="G47" i="14"/>
  <c r="H47" i="14"/>
  <c r="C44" i="14"/>
  <c r="C35" i="14"/>
  <c r="C46" i="14"/>
  <c r="C47" i="14"/>
  <c r="C52" i="14"/>
  <c r="D52" i="14"/>
  <c r="E52" i="14"/>
  <c r="F52" i="14"/>
  <c r="G52" i="14"/>
  <c r="H52" i="14"/>
  <c r="H20" i="14"/>
  <c r="H21" i="14"/>
  <c r="G21" i="14"/>
  <c r="F21" i="14"/>
  <c r="E21" i="14"/>
  <c r="D21" i="14"/>
  <c r="C21" i="14"/>
  <c r="G129" i="29"/>
  <c r="H38" i="1"/>
  <c r="H35" i="1"/>
  <c r="C22" i="15"/>
  <c r="C23" i="15" s="1"/>
  <c r="C25" i="15" s="1"/>
  <c r="D34" i="15" s="1"/>
  <c r="D22" i="15"/>
  <c r="D23" i="15" s="1"/>
  <c r="D25" i="15" s="1"/>
  <c r="E34" i="15" s="1"/>
  <c r="E22" i="15"/>
  <c r="E23" i="15" s="1"/>
  <c r="E25" i="15" s="1"/>
  <c r="F34" i="15" s="1"/>
  <c r="F22" i="15"/>
  <c r="F23" i="15" s="1"/>
  <c r="F25" i="15" s="1"/>
  <c r="G34" i="15" s="1"/>
  <c r="G22" i="15"/>
  <c r="G23" i="15" s="1"/>
  <c r="G25" i="15" s="1"/>
  <c r="H34" i="15" s="1"/>
  <c r="H56" i="15" s="1"/>
  <c r="K91" i="16"/>
  <c r="K260" i="16"/>
  <c r="D22" i="21"/>
  <c r="D35" i="21" s="1"/>
  <c r="J75" i="16"/>
  <c r="O91" i="16"/>
  <c r="O260" i="16"/>
  <c r="H22" i="21"/>
  <c r="H35" i="21" s="1"/>
  <c r="L91" i="16"/>
  <c r="L260" i="16"/>
  <c r="E22" i="21"/>
  <c r="E57" i="21" s="1"/>
  <c r="M91" i="16"/>
  <c r="M260" i="16"/>
  <c r="F22" i="21"/>
  <c r="F35" i="21" s="1"/>
  <c r="N91" i="16"/>
  <c r="N260" i="16"/>
  <c r="G22" i="21"/>
  <c r="G57" i="21" s="1"/>
  <c r="C16" i="27"/>
  <c r="J181" i="16"/>
  <c r="K181" i="16"/>
  <c r="K228" i="16"/>
  <c r="L181" i="16"/>
  <c r="L228" i="16"/>
  <c r="M181" i="16"/>
  <c r="M228" i="16"/>
  <c r="N181" i="16"/>
  <c r="N228" i="16"/>
  <c r="O181" i="16"/>
  <c r="O228" i="16"/>
  <c r="D48" i="1"/>
  <c r="D50" i="1"/>
  <c r="E48" i="1"/>
  <c r="E50" i="1"/>
  <c r="F48" i="1"/>
  <c r="F50" i="1"/>
  <c r="C48" i="1"/>
  <c r="C50" i="1"/>
  <c r="B47" i="1"/>
  <c r="B46" i="1"/>
  <c r="B45" i="1"/>
  <c r="B44" i="1"/>
  <c r="C33" i="13"/>
  <c r="C34" i="13"/>
  <c r="L129" i="29"/>
  <c r="M129" i="29"/>
  <c r="K129" i="29"/>
  <c r="N129" i="29"/>
  <c r="J129" i="29"/>
  <c r="I129" i="29"/>
  <c r="H129" i="29"/>
  <c r="L213" i="16"/>
  <c r="K215" i="16"/>
  <c r="L244" i="16"/>
  <c r="M101" i="16"/>
  <c r="M246" i="16"/>
  <c r="K221" i="16"/>
  <c r="O101" i="16"/>
  <c r="L235" i="16"/>
  <c r="J220" i="16"/>
  <c r="J83" i="16"/>
  <c r="I108" i="16"/>
  <c r="I245" i="16"/>
  <c r="J217" i="16"/>
  <c r="J80" i="16"/>
  <c r="J81" i="16"/>
  <c r="J86" i="16"/>
  <c r="J89" i="16"/>
  <c r="J104" i="16"/>
  <c r="J105" i="16"/>
  <c r="J106" i="16"/>
  <c r="J107" i="16"/>
  <c r="J108" i="16"/>
  <c r="J109" i="16"/>
  <c r="J110" i="16"/>
  <c r="J265" i="16"/>
  <c r="J77" i="16"/>
  <c r="J214" i="16"/>
  <c r="K220" i="16"/>
  <c r="N246" i="16"/>
  <c r="N112" i="16"/>
  <c r="J51" i="16"/>
  <c r="M112" i="16"/>
  <c r="K244" i="16"/>
  <c r="M225" i="16"/>
  <c r="L247" i="16"/>
  <c r="M212" i="16"/>
  <c r="O222" i="16"/>
  <c r="M245" i="16"/>
  <c r="O247" i="16"/>
  <c r="M226" i="16"/>
  <c r="K234" i="16"/>
  <c r="L243" i="16"/>
  <c r="K245" i="16"/>
  <c r="N227" i="16"/>
  <c r="O224" i="16"/>
  <c r="O245" i="16"/>
  <c r="L112" i="16"/>
  <c r="J212" i="16"/>
  <c r="N222" i="16"/>
  <c r="J74" i="16"/>
  <c r="I51" i="16"/>
  <c r="N217" i="16"/>
  <c r="I104" i="16"/>
  <c r="I105" i="16"/>
  <c r="I106" i="16"/>
  <c r="I107" i="16"/>
  <c r="I109" i="16"/>
  <c r="I110" i="16"/>
  <c r="I112" i="16"/>
  <c r="I227" i="16"/>
  <c r="I90" i="16"/>
  <c r="I263" i="16"/>
  <c r="I88" i="16"/>
  <c r="I225" i="16"/>
  <c r="I244" i="16"/>
  <c r="I224" i="16"/>
  <c r="I87" i="16"/>
  <c r="I89" i="16"/>
  <c r="I262" i="16"/>
  <c r="I212" i="16"/>
  <c r="I75" i="16"/>
  <c r="J243" i="16"/>
  <c r="J90" i="16"/>
  <c r="J263" i="16"/>
  <c r="J227" i="16"/>
  <c r="L226" i="16"/>
  <c r="L51" i="16"/>
  <c r="L216" i="16"/>
  <c r="N226" i="16"/>
  <c r="K51" i="16"/>
  <c r="M220" i="16"/>
  <c r="O234" i="16"/>
  <c r="K218" i="16"/>
  <c r="M235" i="16"/>
  <c r="O214" i="16"/>
  <c r="N214" i="16"/>
  <c r="M215" i="16"/>
  <c r="L219" i="16"/>
  <c r="L214" i="16"/>
  <c r="N51" i="16"/>
  <c r="K214" i="16"/>
  <c r="J79" i="16"/>
  <c r="J216" i="16"/>
  <c r="L224" i="16"/>
  <c r="O242" i="16"/>
  <c r="J88" i="16"/>
  <c r="J225" i="16"/>
  <c r="O112" i="16"/>
  <c r="J97" i="16"/>
  <c r="J234" i="16"/>
  <c r="K223" i="16"/>
  <c r="J112" i="16"/>
  <c r="J235" i="16"/>
  <c r="J98" i="16"/>
  <c r="I99" i="16"/>
  <c r="I236" i="16"/>
  <c r="K242" i="16"/>
  <c r="N243" i="16"/>
  <c r="N242" i="16"/>
  <c r="L245" i="16"/>
  <c r="O246" i="16"/>
  <c r="J226" i="16"/>
  <c r="J213" i="16"/>
  <c r="J76" i="16"/>
  <c r="J259" i="16"/>
  <c r="L227" i="16"/>
  <c r="N213" i="16"/>
  <c r="N216" i="16"/>
  <c r="L221" i="16"/>
  <c r="N101" i="16"/>
  <c r="N224" i="16"/>
  <c r="L246" i="16"/>
  <c r="M221" i="16"/>
  <c r="I226" i="16"/>
  <c r="I215" i="16"/>
  <c r="I78" i="16"/>
  <c r="I79" i="16"/>
  <c r="I84" i="16"/>
  <c r="I85" i="16"/>
  <c r="I96" i="16"/>
  <c r="I97" i="16"/>
  <c r="I98" i="16"/>
  <c r="I264" i="16"/>
  <c r="I234" i="16"/>
  <c r="I235" i="16"/>
  <c r="I228" i="16"/>
  <c r="I91" i="16"/>
  <c r="I260" i="16"/>
  <c r="I220" i="16"/>
  <c r="I83" i="16"/>
  <c r="I216" i="16"/>
  <c r="M219" i="16"/>
  <c r="N235" i="16"/>
  <c r="L217" i="16"/>
  <c r="I246" i="16"/>
  <c r="M227" i="16"/>
  <c r="N215" i="16"/>
  <c r="G48" i="1"/>
  <c r="G50" i="1"/>
  <c r="M218" i="16"/>
  <c r="L215" i="16"/>
  <c r="J221" i="16"/>
  <c r="J84" i="16"/>
  <c r="J99" i="16"/>
  <c r="J236" i="16"/>
  <c r="J242" i="16"/>
  <c r="J215" i="16"/>
  <c r="J78" i="16"/>
  <c r="J85" i="16"/>
  <c r="J96" i="16"/>
  <c r="J264" i="16"/>
  <c r="I242" i="16"/>
  <c r="K216" i="16"/>
  <c r="N221" i="16"/>
  <c r="L220" i="16"/>
  <c r="O219" i="16"/>
  <c r="K226" i="16"/>
  <c r="M213" i="16"/>
  <c r="M234" i="16"/>
  <c r="I222" i="16"/>
  <c r="H51" i="16"/>
  <c r="I74" i="16"/>
  <c r="J222" i="16"/>
  <c r="K213" i="16"/>
  <c r="M223" i="16"/>
  <c r="L101" i="16"/>
  <c r="K222" i="16"/>
  <c r="O226" i="16"/>
  <c r="M236" i="16"/>
  <c r="N219" i="16"/>
  <c r="O235" i="16"/>
  <c r="K247" i="16"/>
  <c r="O220" i="16"/>
  <c r="M247" i="16"/>
  <c r="O213" i="16"/>
  <c r="N223" i="16"/>
  <c r="N225" i="16"/>
  <c r="O51" i="16"/>
  <c r="M216" i="16"/>
  <c r="N244" i="16"/>
  <c r="I80" i="16"/>
  <c r="I81" i="16"/>
  <c r="I86" i="16"/>
  <c r="I265" i="16"/>
  <c r="I217" i="16"/>
  <c r="N220" i="16"/>
  <c r="N218" i="16"/>
  <c r="I77" i="16"/>
  <c r="I214" i="16"/>
  <c r="K101" i="16"/>
  <c r="I243" i="16"/>
  <c r="L218" i="16"/>
  <c r="L212" i="16"/>
  <c r="L225" i="16"/>
  <c r="K246" i="16"/>
  <c r="O243" i="16"/>
  <c r="M224" i="16"/>
  <c r="K227" i="16"/>
  <c r="O218" i="16"/>
  <c r="J87" i="16"/>
  <c r="J262" i="16"/>
  <c r="J224" i="16"/>
  <c r="I218" i="16"/>
  <c r="J247" i="16"/>
  <c r="L236" i="16"/>
  <c r="K225" i="16"/>
  <c r="O212" i="16"/>
  <c r="O227" i="16"/>
  <c r="J91" i="16"/>
  <c r="J260" i="16"/>
  <c r="J228" i="16"/>
  <c r="I101" i="16"/>
  <c r="J82" i="16"/>
  <c r="J261" i="16"/>
  <c r="J219" i="16"/>
  <c r="J223" i="16"/>
  <c r="J218" i="16"/>
  <c r="M244" i="16"/>
  <c r="O221" i="16"/>
  <c r="I76" i="16"/>
  <c r="I259" i="16"/>
  <c r="I213" i="16"/>
  <c r="L234" i="16"/>
  <c r="L223" i="16"/>
  <c r="K235" i="16"/>
  <c r="O244" i="16"/>
  <c r="K224" i="16"/>
  <c r="N236" i="16"/>
  <c r="K243" i="16"/>
  <c r="K212" i="16"/>
  <c r="N245" i="16"/>
  <c r="O225" i="16"/>
  <c r="O236" i="16"/>
  <c r="M222" i="16"/>
  <c r="J244" i="16"/>
  <c r="I219" i="16"/>
  <c r="I82" i="16"/>
  <c r="I261" i="16"/>
  <c r="K236" i="16"/>
  <c r="L242" i="16"/>
  <c r="M214" i="16"/>
  <c r="K112" i="16"/>
  <c r="M242" i="16"/>
  <c r="O216" i="16"/>
  <c r="M217" i="16"/>
  <c r="O223" i="16"/>
  <c r="K219" i="16"/>
  <c r="L222" i="16"/>
  <c r="K217" i="16"/>
  <c r="N247" i="16"/>
  <c r="N212" i="16"/>
  <c r="N234" i="16"/>
  <c r="O217" i="16"/>
  <c r="M51" i="16"/>
  <c r="J101" i="16"/>
  <c r="M243" i="16"/>
  <c r="J245" i="16"/>
  <c r="I223" i="16"/>
  <c r="I221" i="16"/>
  <c r="O215" i="16"/>
  <c r="I247" i="16"/>
  <c r="J246" i="16"/>
  <c r="K93" i="16"/>
  <c r="K114" i="16"/>
  <c r="K115" i="16"/>
  <c r="K116" i="16"/>
  <c r="K211" i="16"/>
  <c r="K230" i="16"/>
  <c r="J241" i="16"/>
  <c r="J249" i="16"/>
  <c r="J233" i="16"/>
  <c r="J238" i="16"/>
  <c r="J211" i="16"/>
  <c r="J230" i="16"/>
  <c r="J251" i="16"/>
  <c r="K63" i="16"/>
  <c r="N233" i="16"/>
  <c r="N238" i="16"/>
  <c r="L211" i="16"/>
  <c r="L230" i="16"/>
  <c r="M211" i="16"/>
  <c r="M230" i="16"/>
  <c r="L93" i="16"/>
  <c r="L114" i="16"/>
  <c r="L115" i="16"/>
  <c r="L116" i="16"/>
  <c r="L63" i="16"/>
  <c r="J63" i="16"/>
  <c r="J93" i="16"/>
  <c r="J114" i="16"/>
  <c r="J115" i="16"/>
  <c r="J116" i="16"/>
  <c r="K233" i="16"/>
  <c r="K238" i="16"/>
  <c r="I63" i="16"/>
  <c r="L241" i="16"/>
  <c r="L249" i="16"/>
  <c r="L233" i="16"/>
  <c r="L238" i="16"/>
  <c r="L251" i="16"/>
  <c r="N211" i="16"/>
  <c r="N230" i="16"/>
  <c r="I233" i="16"/>
  <c r="I238" i="16"/>
  <c r="J258" i="16"/>
  <c r="J266" i="16"/>
  <c r="N241" i="16"/>
  <c r="N249" i="16"/>
  <c r="N251" i="16"/>
  <c r="I241" i="16"/>
  <c r="I249" i="16"/>
  <c r="I211" i="16"/>
  <c r="I230" i="16"/>
  <c r="I251" i="16"/>
  <c r="M115" i="16"/>
  <c r="M93" i="16"/>
  <c r="M114" i="16"/>
  <c r="M116" i="16"/>
  <c r="M63" i="16"/>
  <c r="O233" i="16"/>
  <c r="O238" i="16"/>
  <c r="I115" i="16"/>
  <c r="I93" i="16"/>
  <c r="I114" i="16"/>
  <c r="I116" i="16"/>
  <c r="N93" i="16"/>
  <c r="N114" i="16"/>
  <c r="N115" i="16"/>
  <c r="N116" i="16"/>
  <c r="N63" i="16"/>
  <c r="O93" i="16"/>
  <c r="O114" i="16"/>
  <c r="O115" i="16"/>
  <c r="O116" i="16"/>
  <c r="O68" i="16"/>
  <c r="O63" i="16"/>
  <c r="M241" i="16"/>
  <c r="M249" i="16"/>
  <c r="M233" i="16"/>
  <c r="M238" i="16"/>
  <c r="M251" i="16"/>
  <c r="K241" i="16"/>
  <c r="K249" i="16"/>
  <c r="K251" i="16"/>
  <c r="I258" i="16"/>
  <c r="I266" i="16"/>
  <c r="O205" i="16"/>
  <c r="O241" i="16"/>
  <c r="O249" i="16"/>
  <c r="O211" i="16"/>
  <c r="O230" i="16"/>
  <c r="O251" i="16"/>
  <c r="H63" i="16"/>
  <c r="I267" i="16"/>
  <c r="K68" i="16"/>
  <c r="M68" i="16"/>
  <c r="K205" i="16"/>
  <c r="L266" i="16"/>
  <c r="L267" i="16"/>
  <c r="L68" i="16"/>
  <c r="N266" i="16"/>
  <c r="N267" i="16"/>
  <c r="N205" i="16"/>
  <c r="L205" i="16"/>
  <c r="M266" i="16"/>
  <c r="M267" i="16"/>
  <c r="M205" i="16"/>
  <c r="J68" i="16"/>
  <c r="O266" i="16"/>
  <c r="O267" i="16"/>
  <c r="J267" i="16"/>
  <c r="N68" i="16"/>
  <c r="J205" i="16"/>
  <c r="K266" i="16"/>
  <c r="K267" i="16"/>
  <c r="H28" i="21"/>
  <c r="D28" i="21"/>
  <c r="E28" i="21"/>
  <c r="G28" i="21"/>
  <c r="E82" i="27" l="1"/>
  <c r="E120" i="27" s="1"/>
  <c r="I82" i="27"/>
  <c r="I120" i="27" s="1"/>
  <c r="G83" i="27"/>
  <c r="G121" i="27" s="1"/>
  <c r="E84" i="27"/>
  <c r="E122" i="27" s="1"/>
  <c r="I84" i="27"/>
  <c r="I122" i="27" s="1"/>
  <c r="G85" i="27"/>
  <c r="G123" i="27" s="1"/>
  <c r="G88" i="27"/>
  <c r="G126" i="27" s="1"/>
  <c r="I89" i="27"/>
  <c r="I127" i="27" s="1"/>
  <c r="E91" i="27"/>
  <c r="E129" i="27" s="1"/>
  <c r="E88" i="27"/>
  <c r="E126" i="27" s="1"/>
  <c r="I88" i="27"/>
  <c r="I126" i="27" s="1"/>
  <c r="G89" i="27"/>
  <c r="G127" i="27" s="1"/>
  <c r="E90" i="27"/>
  <c r="E128" i="27" s="1"/>
  <c r="I90" i="27"/>
  <c r="I128" i="27" s="1"/>
  <c r="G91" i="27"/>
  <c r="G129" i="27" s="1"/>
  <c r="G56" i="15"/>
  <c r="H46" i="15"/>
  <c r="E56" i="15"/>
  <c r="F43" i="15"/>
  <c r="F44" i="15"/>
  <c r="G44" i="15" s="1"/>
  <c r="H44" i="15" s="1"/>
  <c r="F56" i="15"/>
  <c r="G45" i="15"/>
  <c r="H45" i="15" s="1"/>
  <c r="D36" i="15"/>
  <c r="E32" i="15" s="1"/>
  <c r="D56" i="15"/>
  <c r="E43" i="15"/>
  <c r="E48" i="15" s="1"/>
  <c r="E35" i="15" s="1"/>
  <c r="H15" i="41"/>
  <c r="C16" i="41"/>
  <c r="D68" i="21"/>
  <c r="D79" i="21"/>
  <c r="D85" i="21" s="1"/>
  <c r="D57" i="21"/>
  <c r="D46" i="21"/>
  <c r="E46" i="21"/>
  <c r="E35" i="21"/>
  <c r="F57" i="21"/>
  <c r="G68" i="21"/>
  <c r="G74" i="21" s="1"/>
  <c r="G46" i="21"/>
  <c r="G35" i="21"/>
  <c r="D39" i="21"/>
  <c r="D83" i="21"/>
  <c r="D72" i="21"/>
  <c r="D33" i="21"/>
  <c r="D44" i="21"/>
  <c r="D55" i="21"/>
  <c r="E34" i="21"/>
  <c r="E45" i="21"/>
  <c r="E56" i="21"/>
  <c r="E78" i="21"/>
  <c r="E67" i="21"/>
  <c r="F36" i="21"/>
  <c r="F47" i="21"/>
  <c r="F58" i="21"/>
  <c r="F80" i="21"/>
  <c r="F69" i="21"/>
  <c r="G36" i="21"/>
  <c r="G47" i="21"/>
  <c r="G58" i="21"/>
  <c r="H41" i="21"/>
  <c r="F28" i="21"/>
  <c r="E68" i="21"/>
  <c r="E79" i="21"/>
  <c r="F68" i="21"/>
  <c r="F79" i="21"/>
  <c r="F46" i="21"/>
  <c r="G79" i="21"/>
  <c r="H68" i="21"/>
  <c r="H79" i="21"/>
  <c r="H57" i="21"/>
  <c r="H46" i="21"/>
  <c r="D66" i="21"/>
  <c r="D74" i="21" s="1"/>
  <c r="D61" i="21"/>
  <c r="D36" i="21"/>
  <c r="D47" i="21"/>
  <c r="D58" i="21"/>
  <c r="E82" i="21"/>
  <c r="E49" i="21"/>
  <c r="E37" i="21"/>
  <c r="E48" i="21"/>
  <c r="E59" i="21"/>
  <c r="E81" i="21"/>
  <c r="E70" i="21"/>
  <c r="E40" i="21"/>
  <c r="E51" i="21"/>
  <c r="E62" i="21"/>
  <c r="E84" i="21"/>
  <c r="E73" i="21"/>
  <c r="F33" i="21"/>
  <c r="F44" i="21"/>
  <c r="F55" i="21"/>
  <c r="F77" i="21"/>
  <c r="F66" i="21"/>
  <c r="F74" i="21" s="1"/>
  <c r="G39" i="21"/>
  <c r="G83" i="21"/>
  <c r="G72" i="21"/>
  <c r="G55" i="21"/>
  <c r="G44" i="21"/>
  <c r="H70" i="21"/>
  <c r="H67" i="21"/>
  <c r="H73" i="21"/>
  <c r="H81" i="21"/>
  <c r="H78" i="21"/>
  <c r="H84" i="21"/>
  <c r="H60" i="21"/>
  <c r="H49" i="21"/>
  <c r="E16" i="41"/>
  <c r="H55" i="5"/>
  <c r="H43" i="5"/>
  <c r="H37" i="5"/>
  <c r="H19" i="5"/>
  <c r="G16" i="41"/>
  <c r="H13" i="41"/>
  <c r="E42" i="41"/>
  <c r="E55" i="41" s="1"/>
  <c r="G42" i="41"/>
  <c r="G55" i="41" s="1"/>
  <c r="G53" i="41"/>
  <c r="H40" i="41"/>
  <c r="H53" i="41" s="1"/>
  <c r="C53" i="41"/>
  <c r="H41" i="41"/>
  <c r="H54" i="41" s="1"/>
  <c r="D16" i="41"/>
  <c r="F16" i="41"/>
  <c r="H14" i="41"/>
  <c r="D42" i="41"/>
  <c r="D55" i="41" s="1"/>
  <c r="D52" i="41"/>
  <c r="F42" i="41"/>
  <c r="F55" i="41" s="1"/>
  <c r="F52" i="41"/>
  <c r="H39" i="41"/>
  <c r="C42" i="41"/>
  <c r="C55" i="41" s="1"/>
  <c r="C52" i="41"/>
  <c r="C57" i="41"/>
  <c r="C40" i="13"/>
  <c r="C42" i="13"/>
  <c r="C44" i="13"/>
  <c r="C41" i="13"/>
  <c r="C43" i="13"/>
  <c r="C45" i="13"/>
  <c r="H121" i="5" l="1"/>
  <c r="H172" i="5" s="1"/>
  <c r="H139" i="5"/>
  <c r="H190" i="5" s="1"/>
  <c r="H145" i="5"/>
  <c r="H196" i="5" s="1"/>
  <c r="H157" i="5"/>
  <c r="H208" i="5" s="1"/>
  <c r="C56" i="15"/>
  <c r="E38" i="15"/>
  <c r="E33" i="15"/>
  <c r="E36" i="15" s="1"/>
  <c r="F32" i="15" s="1"/>
  <c r="G43" i="15"/>
  <c r="F48" i="15"/>
  <c r="F35" i="15" s="1"/>
  <c r="H16" i="41"/>
  <c r="D138" i="21"/>
  <c r="D137" i="21"/>
  <c r="D16" i="5" s="1"/>
  <c r="D143" i="21"/>
  <c r="D141" i="21"/>
  <c r="D144" i="21"/>
  <c r="D58" i="5" s="1"/>
  <c r="D142" i="21"/>
  <c r="D140" i="21"/>
  <c r="H74" i="21"/>
  <c r="G52" i="21"/>
  <c r="G117" i="21"/>
  <c r="G14" i="5" s="1"/>
  <c r="G116" i="5" s="1"/>
  <c r="G167" i="5" s="1"/>
  <c r="F63" i="21"/>
  <c r="F127" i="21" s="1"/>
  <c r="F15" i="5" s="1"/>
  <c r="F117" i="5" s="1"/>
  <c r="F168" i="5" s="1"/>
  <c r="F41" i="21"/>
  <c r="F107" i="21" s="1"/>
  <c r="F13" i="5" s="1"/>
  <c r="H49" i="5"/>
  <c r="H31" i="5"/>
  <c r="H13" i="5"/>
  <c r="H63" i="21"/>
  <c r="E74" i="21"/>
  <c r="E63" i="21"/>
  <c r="E128" i="21" s="1"/>
  <c r="E21" i="5" s="1"/>
  <c r="E123" i="5" s="1"/>
  <c r="E174" i="5" s="1"/>
  <c r="D63" i="21"/>
  <c r="D130" i="21" s="1"/>
  <c r="D41" i="21"/>
  <c r="D107" i="21" s="1"/>
  <c r="D113" i="21"/>
  <c r="H45" i="5"/>
  <c r="H147" i="5" s="1"/>
  <c r="H198" i="5" s="1"/>
  <c r="H85" i="21"/>
  <c r="G63" i="21"/>
  <c r="G127" i="21"/>
  <c r="G15" i="5" s="1"/>
  <c r="G117" i="5" s="1"/>
  <c r="G168" i="5" s="1"/>
  <c r="F85" i="21"/>
  <c r="F52" i="21"/>
  <c r="F117" i="21"/>
  <c r="F14" i="5" s="1"/>
  <c r="F116" i="5" s="1"/>
  <c r="F167" i="5" s="1"/>
  <c r="D133" i="21"/>
  <c r="G85" i="21"/>
  <c r="H52" i="21"/>
  <c r="H26" i="5" s="1"/>
  <c r="H128" i="5" s="1"/>
  <c r="H179" i="5" s="1"/>
  <c r="G130" i="21"/>
  <c r="G33" i="5" s="1"/>
  <c r="G135" i="5" s="1"/>
  <c r="G186" i="5" s="1"/>
  <c r="F130" i="21"/>
  <c r="F33" i="5" s="1"/>
  <c r="F135" i="5" s="1"/>
  <c r="F186" i="5" s="1"/>
  <c r="F110" i="21"/>
  <c r="F31" i="5" s="1"/>
  <c r="E41" i="21"/>
  <c r="E85" i="21"/>
  <c r="E52" i="21"/>
  <c r="D52" i="21"/>
  <c r="E109" i="21"/>
  <c r="E25" i="5" s="1"/>
  <c r="D119" i="21"/>
  <c r="D139" i="21"/>
  <c r="G41" i="21"/>
  <c r="G113" i="21" s="1"/>
  <c r="G49" i="5" s="1"/>
  <c r="H25" i="5"/>
  <c r="H52" i="41"/>
  <c r="H42" i="41"/>
  <c r="H55" i="41" s="1"/>
  <c r="C39" i="13"/>
  <c r="C47" i="13" s="1"/>
  <c r="C16" i="23" s="1"/>
  <c r="E127" i="5" l="1"/>
  <c r="E178" i="5" s="1"/>
  <c r="G151" i="5"/>
  <c r="G202" i="5" s="1"/>
  <c r="F133" i="5"/>
  <c r="F184" i="5" s="1"/>
  <c r="F115" i="5"/>
  <c r="F166" i="5" s="1"/>
  <c r="D4" i="43"/>
  <c r="J4" i="43" s="1"/>
  <c r="H133" i="5"/>
  <c r="H184" i="5" s="1"/>
  <c r="H151" i="5"/>
  <c r="H202" i="5" s="1"/>
  <c r="H127" i="5"/>
  <c r="H178" i="5" s="1"/>
  <c r="H115" i="5"/>
  <c r="H166" i="5" s="1"/>
  <c r="D160" i="5"/>
  <c r="D211" i="5" s="1"/>
  <c r="D118" i="5"/>
  <c r="D169" i="5" s="1"/>
  <c r="E40" i="15"/>
  <c r="E96" i="21" s="1"/>
  <c r="F33" i="15"/>
  <c r="F38" i="15"/>
  <c r="F36" i="15"/>
  <c r="G32" i="15" s="1"/>
  <c r="E55" i="15"/>
  <c r="H43" i="15"/>
  <c r="H48" i="15" s="1"/>
  <c r="H35" i="15" s="1"/>
  <c r="G48" i="15"/>
  <c r="G35" i="15" s="1"/>
  <c r="D13" i="5"/>
  <c r="D33" i="5"/>
  <c r="D135" i="5" s="1"/>
  <c r="D186" i="5" s="1"/>
  <c r="D26" i="5"/>
  <c r="D128" i="5" s="1"/>
  <c r="D179" i="5" s="1"/>
  <c r="D118" i="21"/>
  <c r="D123" i="21"/>
  <c r="D121" i="21"/>
  <c r="D124" i="21"/>
  <c r="D122" i="21"/>
  <c r="D120" i="21"/>
  <c r="D28" i="5"/>
  <c r="D130" i="5" s="1"/>
  <c r="D181" i="5" s="1"/>
  <c r="D117" i="21"/>
  <c r="E117" i="21"/>
  <c r="E14" i="5" s="1"/>
  <c r="E116" i="5" s="1"/>
  <c r="E167" i="5" s="1"/>
  <c r="E124" i="21"/>
  <c r="E56" i="5" s="1"/>
  <c r="E158" i="5" s="1"/>
  <c r="E209" i="5" s="1"/>
  <c r="E122" i="21"/>
  <c r="E44" i="5" s="1"/>
  <c r="E146" i="5" s="1"/>
  <c r="E197" i="5" s="1"/>
  <c r="E120" i="21"/>
  <c r="E32" i="5" s="1"/>
  <c r="E134" i="5" s="1"/>
  <c r="E185" i="5" s="1"/>
  <c r="E118" i="21"/>
  <c r="E20" i="5" s="1"/>
  <c r="E122" i="5" s="1"/>
  <c r="E173" i="5" s="1"/>
  <c r="E123" i="21"/>
  <c r="E50" i="5" s="1"/>
  <c r="E152" i="5" s="1"/>
  <c r="E203" i="5" s="1"/>
  <c r="E121" i="21"/>
  <c r="E38" i="5" s="1"/>
  <c r="E140" i="5" s="1"/>
  <c r="E191" i="5" s="1"/>
  <c r="E119" i="21"/>
  <c r="E26" i="5" s="1"/>
  <c r="E128" i="5" s="1"/>
  <c r="E179" i="5" s="1"/>
  <c r="E110" i="21"/>
  <c r="E31" i="5" s="1"/>
  <c r="E107" i="21"/>
  <c r="E13" i="5" s="1"/>
  <c r="E113" i="21"/>
  <c r="E49" i="5" s="1"/>
  <c r="E112" i="21"/>
  <c r="E43" i="5" s="1"/>
  <c r="E111" i="21"/>
  <c r="E37" i="5" s="1"/>
  <c r="F118" i="21"/>
  <c r="F20" i="5" s="1"/>
  <c r="F122" i="5" s="1"/>
  <c r="F173" i="5" s="1"/>
  <c r="F124" i="21"/>
  <c r="F56" i="5" s="1"/>
  <c r="F158" i="5" s="1"/>
  <c r="F209" i="5" s="1"/>
  <c r="F122" i="21"/>
  <c r="F44" i="5" s="1"/>
  <c r="F146" i="5" s="1"/>
  <c r="F197" i="5" s="1"/>
  <c r="F120" i="21"/>
  <c r="F32" i="5" s="1"/>
  <c r="F134" i="5" s="1"/>
  <c r="F185" i="5" s="1"/>
  <c r="F123" i="21"/>
  <c r="F50" i="5" s="1"/>
  <c r="F152" i="5" s="1"/>
  <c r="F203" i="5" s="1"/>
  <c r="F121" i="21"/>
  <c r="F38" i="5" s="1"/>
  <c r="F140" i="5" s="1"/>
  <c r="F191" i="5" s="1"/>
  <c r="F119" i="21"/>
  <c r="F26" i="5" s="1"/>
  <c r="F128" i="5" s="1"/>
  <c r="F179" i="5" s="1"/>
  <c r="G132" i="21"/>
  <c r="G45" i="5" s="1"/>
  <c r="G147" i="5" s="1"/>
  <c r="G198" i="5" s="1"/>
  <c r="G131" i="21"/>
  <c r="G39" i="5" s="1"/>
  <c r="G141" i="5" s="1"/>
  <c r="G192" i="5" s="1"/>
  <c r="G128" i="21"/>
  <c r="G21" i="5" s="1"/>
  <c r="G123" i="5" s="1"/>
  <c r="G174" i="5" s="1"/>
  <c r="G129" i="21"/>
  <c r="G27" i="5" s="1"/>
  <c r="G129" i="5" s="1"/>
  <c r="G180" i="5" s="1"/>
  <c r="G134" i="21"/>
  <c r="G57" i="5" s="1"/>
  <c r="G159" i="5" s="1"/>
  <c r="G210" i="5" s="1"/>
  <c r="G133" i="21"/>
  <c r="G51" i="5" s="1"/>
  <c r="G153" i="5" s="1"/>
  <c r="G204" i="5" s="1"/>
  <c r="D129" i="21"/>
  <c r="D127" i="21"/>
  <c r="E108" i="21"/>
  <c r="E19" i="5" s="1"/>
  <c r="H51" i="5"/>
  <c r="H153" i="5" s="1"/>
  <c r="H204" i="5" s="1"/>
  <c r="H39" i="5"/>
  <c r="H141" i="5" s="1"/>
  <c r="H192" i="5" s="1"/>
  <c r="H57" i="5"/>
  <c r="H159" i="5" s="1"/>
  <c r="H210" i="5" s="1"/>
  <c r="H21" i="5"/>
  <c r="H123" i="5" s="1"/>
  <c r="H174" i="5" s="1"/>
  <c r="H15" i="5"/>
  <c r="H117" i="5" s="1"/>
  <c r="H168" i="5" s="1"/>
  <c r="H33" i="5"/>
  <c r="H135" i="5" s="1"/>
  <c r="H186" i="5" s="1"/>
  <c r="H27" i="5"/>
  <c r="H129" i="5" s="1"/>
  <c r="H180" i="5" s="1"/>
  <c r="G124" i="21"/>
  <c r="G56" i="5" s="1"/>
  <c r="G158" i="5" s="1"/>
  <c r="G209" i="5" s="1"/>
  <c r="G122" i="21"/>
  <c r="G44" i="5" s="1"/>
  <c r="G146" i="5" s="1"/>
  <c r="G197" i="5" s="1"/>
  <c r="G120" i="21"/>
  <c r="G32" i="5" s="1"/>
  <c r="G134" i="5" s="1"/>
  <c r="G185" i="5" s="1"/>
  <c r="G118" i="21"/>
  <c r="G20" i="5" s="1"/>
  <c r="G122" i="5" s="1"/>
  <c r="G173" i="5" s="1"/>
  <c r="G123" i="21"/>
  <c r="G50" i="5" s="1"/>
  <c r="G152" i="5" s="1"/>
  <c r="G203" i="5" s="1"/>
  <c r="G121" i="21"/>
  <c r="G38" i="5" s="1"/>
  <c r="G140" i="5" s="1"/>
  <c r="G191" i="5" s="1"/>
  <c r="G119" i="21"/>
  <c r="G26" i="5" s="1"/>
  <c r="G128" i="5" s="1"/>
  <c r="G179" i="5" s="1"/>
  <c r="D34" i="5"/>
  <c r="D52" i="5"/>
  <c r="D22" i="5"/>
  <c r="G108" i="21"/>
  <c r="G19" i="5" s="1"/>
  <c r="G111" i="21"/>
  <c r="G37" i="5" s="1"/>
  <c r="G107" i="21"/>
  <c r="G13" i="5" s="1"/>
  <c r="G112" i="21"/>
  <c r="G43" i="5" s="1"/>
  <c r="G114" i="21"/>
  <c r="G55" i="5" s="1"/>
  <c r="G109" i="21"/>
  <c r="G25" i="5" s="1"/>
  <c r="G110" i="21"/>
  <c r="G31" i="5" s="1"/>
  <c r="H20" i="5"/>
  <c r="H50" i="5"/>
  <c r="H152" i="5" s="1"/>
  <c r="H203" i="5" s="1"/>
  <c r="H38" i="5"/>
  <c r="H14" i="5"/>
  <c r="H116" i="5" s="1"/>
  <c r="H167" i="5" s="1"/>
  <c r="H56" i="5"/>
  <c r="H44" i="5"/>
  <c r="H32" i="5"/>
  <c r="H134" i="5" s="1"/>
  <c r="H185" i="5" s="1"/>
  <c r="D51" i="5"/>
  <c r="D153" i="5" s="1"/>
  <c r="D204" i="5" s="1"/>
  <c r="D49" i="5"/>
  <c r="D111" i="21"/>
  <c r="D108" i="21"/>
  <c r="D112" i="21"/>
  <c r="D114" i="21"/>
  <c r="D109" i="21"/>
  <c r="D132" i="21"/>
  <c r="D131" i="21"/>
  <c r="D134" i="21"/>
  <c r="D128" i="21"/>
  <c r="E133" i="21"/>
  <c r="E51" i="5" s="1"/>
  <c r="E153" i="5" s="1"/>
  <c r="E204" i="5" s="1"/>
  <c r="E127" i="21"/>
  <c r="E15" i="5" s="1"/>
  <c r="E117" i="5" s="1"/>
  <c r="E168" i="5" s="1"/>
  <c r="E130" i="21"/>
  <c r="E33" i="5" s="1"/>
  <c r="E135" i="5" s="1"/>
  <c r="E186" i="5" s="1"/>
  <c r="E134" i="21"/>
  <c r="E57" i="5" s="1"/>
  <c r="E159" i="5" s="1"/>
  <c r="E210" i="5" s="1"/>
  <c r="E131" i="21"/>
  <c r="E39" i="5" s="1"/>
  <c r="E141" i="5" s="1"/>
  <c r="E192" i="5" s="1"/>
  <c r="E129" i="21"/>
  <c r="E27" i="5" s="1"/>
  <c r="E129" i="5" s="1"/>
  <c r="E180" i="5" s="1"/>
  <c r="E132" i="21"/>
  <c r="E45" i="5" s="1"/>
  <c r="E147" i="5" s="1"/>
  <c r="E198" i="5" s="1"/>
  <c r="D110" i="21"/>
  <c r="E114" i="21"/>
  <c r="E55" i="5" s="1"/>
  <c r="F113" i="21"/>
  <c r="F49" i="5" s="1"/>
  <c r="F108" i="21"/>
  <c r="F19" i="5" s="1"/>
  <c r="F111" i="21"/>
  <c r="F37" i="5" s="1"/>
  <c r="F109" i="21"/>
  <c r="F25" i="5" s="1"/>
  <c r="F112" i="21"/>
  <c r="F43" i="5" s="1"/>
  <c r="F114" i="21"/>
  <c r="F55" i="5" s="1"/>
  <c r="F132" i="21"/>
  <c r="F45" i="5" s="1"/>
  <c r="F147" i="5" s="1"/>
  <c r="F198" i="5" s="1"/>
  <c r="F129" i="21"/>
  <c r="F27" i="5" s="1"/>
  <c r="F129" i="5" s="1"/>
  <c r="F180" i="5" s="1"/>
  <c r="F133" i="21"/>
  <c r="F51" i="5" s="1"/>
  <c r="F153" i="5" s="1"/>
  <c r="F204" i="5" s="1"/>
  <c r="F134" i="21"/>
  <c r="F57" i="5" s="1"/>
  <c r="F159" i="5" s="1"/>
  <c r="F210" i="5" s="1"/>
  <c r="F131" i="21"/>
  <c r="F39" i="5" s="1"/>
  <c r="F141" i="5" s="1"/>
  <c r="F192" i="5" s="1"/>
  <c r="F128" i="21"/>
  <c r="F21" i="5" s="1"/>
  <c r="F123" i="5" s="1"/>
  <c r="F174" i="5" s="1"/>
  <c r="D46" i="5"/>
  <c r="D148" i="5" s="1"/>
  <c r="D199" i="5" s="1"/>
  <c r="D40" i="5"/>
  <c r="D97" i="21"/>
  <c r="F139" i="5" l="1"/>
  <c r="F190" i="5" s="1"/>
  <c r="D20" i="43"/>
  <c r="J20" i="43" s="1"/>
  <c r="F157" i="5"/>
  <c r="F208" i="5" s="1"/>
  <c r="D32" i="43"/>
  <c r="J32" i="43" s="1"/>
  <c r="F127" i="5"/>
  <c r="F178" i="5" s="1"/>
  <c r="D12" i="43"/>
  <c r="J12" i="43" s="1"/>
  <c r="F121" i="5"/>
  <c r="F172" i="5" s="1"/>
  <c r="D8" i="43"/>
  <c r="J8" i="43" s="1"/>
  <c r="E157" i="5"/>
  <c r="E208" i="5" s="1"/>
  <c r="C32" i="44"/>
  <c r="C32" i="43"/>
  <c r="I32" i="43" s="1"/>
  <c r="C113" i="21"/>
  <c r="C49" i="5" s="1"/>
  <c r="C151" i="5" s="1"/>
  <c r="C202" i="5" s="1"/>
  <c r="G133" i="5"/>
  <c r="G184" i="5" s="1"/>
  <c r="E16" i="43"/>
  <c r="K16" i="43" s="1"/>
  <c r="G157" i="5"/>
  <c r="G208" i="5" s="1"/>
  <c r="E32" i="43"/>
  <c r="K32" i="43" s="1"/>
  <c r="G115" i="5"/>
  <c r="G166" i="5" s="1"/>
  <c r="E4" i="43"/>
  <c r="K4" i="43" s="1"/>
  <c r="G121" i="5"/>
  <c r="G172" i="5" s="1"/>
  <c r="E8" i="43"/>
  <c r="K8" i="43" s="1"/>
  <c r="E121" i="5"/>
  <c r="E172" i="5" s="1"/>
  <c r="C8" i="44"/>
  <c r="C8" i="43"/>
  <c r="I8" i="43" s="1"/>
  <c r="E139" i="5"/>
  <c r="E190" i="5" s="1"/>
  <c r="C20" i="44"/>
  <c r="C20" i="43"/>
  <c r="I20" i="43" s="1"/>
  <c r="E151" i="5"/>
  <c r="E202" i="5" s="1"/>
  <c r="C28" i="44"/>
  <c r="C28" i="43"/>
  <c r="I28" i="43" s="1"/>
  <c r="E133" i="5"/>
  <c r="E184" i="5" s="1"/>
  <c r="C16" i="44"/>
  <c r="C16" i="43"/>
  <c r="I16" i="43" s="1"/>
  <c r="C12" i="44"/>
  <c r="F145" i="5"/>
  <c r="F196" i="5" s="1"/>
  <c r="D24" i="43"/>
  <c r="J24" i="43" s="1"/>
  <c r="F151" i="5"/>
  <c r="F202" i="5" s="1"/>
  <c r="D28" i="43"/>
  <c r="J28" i="43" s="1"/>
  <c r="D151" i="5"/>
  <c r="D202" i="5" s="1"/>
  <c r="G127" i="5"/>
  <c r="G178" i="5" s="1"/>
  <c r="E12" i="43"/>
  <c r="K12" i="43" s="1"/>
  <c r="G145" i="5"/>
  <c r="G196" i="5" s="1"/>
  <c r="E24" i="43"/>
  <c r="K24" i="43" s="1"/>
  <c r="G139" i="5"/>
  <c r="G190" i="5" s="1"/>
  <c r="E20" i="43"/>
  <c r="K20" i="43" s="1"/>
  <c r="E145" i="5"/>
  <c r="E196" i="5" s="1"/>
  <c r="C24" i="44"/>
  <c r="C24" i="43"/>
  <c r="I24" i="43" s="1"/>
  <c r="E115" i="5"/>
  <c r="E166" i="5" s="1"/>
  <c r="C4" i="44"/>
  <c r="C4" i="43"/>
  <c r="I4" i="43" s="1"/>
  <c r="D115" i="5"/>
  <c r="D166" i="5" s="1"/>
  <c r="D16" i="43"/>
  <c r="J16" i="43" s="1"/>
  <c r="J37" i="43" s="1"/>
  <c r="J42" i="43" s="1"/>
  <c r="E28" i="43"/>
  <c r="K28" i="43" s="1"/>
  <c r="C12" i="43"/>
  <c r="I12" i="43" s="1"/>
  <c r="H140" i="5"/>
  <c r="H191" i="5" s="1"/>
  <c r="F20" i="43"/>
  <c r="L20" i="43" s="1"/>
  <c r="F12" i="43"/>
  <c r="L12" i="43" s="1"/>
  <c r="H146" i="5"/>
  <c r="H197" i="5" s="1"/>
  <c r="F24" i="43"/>
  <c r="L24" i="43" s="1"/>
  <c r="F4" i="43"/>
  <c r="L4" i="43" s="1"/>
  <c r="H158" i="5"/>
  <c r="H209" i="5" s="1"/>
  <c r="F32" i="43"/>
  <c r="L32" i="43" s="1"/>
  <c r="H122" i="5"/>
  <c r="H173" i="5" s="1"/>
  <c r="F8" i="43"/>
  <c r="L8" i="43" s="1"/>
  <c r="F16" i="43"/>
  <c r="L16" i="43" s="1"/>
  <c r="F28" i="43"/>
  <c r="L28" i="43" s="1"/>
  <c r="D142" i="5"/>
  <c r="D193" i="5" s="1"/>
  <c r="D154" i="5"/>
  <c r="D205" i="5" s="1"/>
  <c r="D124" i="5"/>
  <c r="D175" i="5" s="1"/>
  <c r="D136" i="5"/>
  <c r="D187" i="5" s="1"/>
  <c r="D18" i="41"/>
  <c r="D44" i="41" s="1"/>
  <c r="E142" i="21"/>
  <c r="E46" i="5" s="1"/>
  <c r="E148" i="5" s="1"/>
  <c r="E199" i="5" s="1"/>
  <c r="E137" i="21"/>
  <c r="E16" i="5" s="1"/>
  <c r="E143" i="21"/>
  <c r="E52" i="5" s="1"/>
  <c r="E138" i="21"/>
  <c r="E22" i="5" s="1"/>
  <c r="G33" i="15"/>
  <c r="G38" i="15"/>
  <c r="G36" i="15"/>
  <c r="H32" i="15" s="1"/>
  <c r="E139" i="21"/>
  <c r="E28" i="5" s="1"/>
  <c r="E130" i="5" s="1"/>
  <c r="E181" i="5" s="1"/>
  <c r="E141" i="21"/>
  <c r="E140" i="21"/>
  <c r="E144" i="21"/>
  <c r="F40" i="15"/>
  <c r="D31" i="5"/>
  <c r="C110" i="21"/>
  <c r="C31" i="5" s="1"/>
  <c r="C133" i="5" s="1"/>
  <c r="C184" i="5" s="1"/>
  <c r="D21" i="5"/>
  <c r="D123" i="5" s="1"/>
  <c r="D174" i="5" s="1"/>
  <c r="C128" i="21"/>
  <c r="C21" i="5" s="1"/>
  <c r="C123" i="5" s="1"/>
  <c r="C174" i="5" s="1"/>
  <c r="D39" i="5"/>
  <c r="D141" i="5" s="1"/>
  <c r="D192" i="5" s="1"/>
  <c r="C131" i="21"/>
  <c r="C39" i="5" s="1"/>
  <c r="C141" i="5" s="1"/>
  <c r="C192" i="5" s="1"/>
  <c r="D25" i="5"/>
  <c r="C109" i="21"/>
  <c r="C25" i="5" s="1"/>
  <c r="C127" i="5" s="1"/>
  <c r="C178" i="5" s="1"/>
  <c r="D43" i="5"/>
  <c r="C112" i="21"/>
  <c r="C43" i="5" s="1"/>
  <c r="C145" i="5" s="1"/>
  <c r="C196" i="5" s="1"/>
  <c r="D37" i="5"/>
  <c r="C111" i="21"/>
  <c r="C37" i="5" s="1"/>
  <c r="C139" i="5" s="1"/>
  <c r="C190" i="5" s="1"/>
  <c r="D15" i="5"/>
  <c r="D117" i="5" s="1"/>
  <c r="D168" i="5" s="1"/>
  <c r="C127" i="21"/>
  <c r="C15" i="5" s="1"/>
  <c r="C117" i="5" s="1"/>
  <c r="C168" i="5" s="1"/>
  <c r="D14" i="5"/>
  <c r="D116" i="5" s="1"/>
  <c r="D167" i="5" s="1"/>
  <c r="C117" i="21"/>
  <c r="C14" i="5" s="1"/>
  <c r="C116" i="5" s="1"/>
  <c r="C167" i="5" s="1"/>
  <c r="E58" i="5"/>
  <c r="D32" i="5"/>
  <c r="D134" i="5" s="1"/>
  <c r="D185" i="5" s="1"/>
  <c r="C120" i="21"/>
  <c r="C32" i="5" s="1"/>
  <c r="C134" i="5" s="1"/>
  <c r="C185" i="5" s="1"/>
  <c r="D56" i="5"/>
  <c r="D158" i="5" s="1"/>
  <c r="D209" i="5" s="1"/>
  <c r="C124" i="21"/>
  <c r="C56" i="5" s="1"/>
  <c r="C158" i="5" s="1"/>
  <c r="C209" i="5" s="1"/>
  <c r="D50" i="5"/>
  <c r="D152" i="5" s="1"/>
  <c r="D203" i="5" s="1"/>
  <c r="C123" i="21"/>
  <c r="C50" i="5" s="1"/>
  <c r="C152" i="5" s="1"/>
  <c r="C203" i="5" s="1"/>
  <c r="C119" i="21"/>
  <c r="C26" i="5" s="1"/>
  <c r="C128" i="5" s="1"/>
  <c r="C179" i="5" s="1"/>
  <c r="C130" i="21"/>
  <c r="C33" i="5" s="1"/>
  <c r="C135" i="5" s="1"/>
  <c r="C186" i="5" s="1"/>
  <c r="C107" i="21"/>
  <c r="C13" i="5" s="1"/>
  <c r="C115" i="5" s="1"/>
  <c r="C166" i="5" s="1"/>
  <c r="D57" i="5"/>
  <c r="D159" i="5" s="1"/>
  <c r="D210" i="5" s="1"/>
  <c r="C134" i="21"/>
  <c r="C57" i="5" s="1"/>
  <c r="C159" i="5" s="1"/>
  <c r="C210" i="5" s="1"/>
  <c r="D45" i="5"/>
  <c r="D147" i="5" s="1"/>
  <c r="D198" i="5" s="1"/>
  <c r="C132" i="21"/>
  <c r="C45" i="5" s="1"/>
  <c r="C147" i="5" s="1"/>
  <c r="C198" i="5" s="1"/>
  <c r="D55" i="5"/>
  <c r="C114" i="21"/>
  <c r="C55" i="5" s="1"/>
  <c r="C157" i="5" s="1"/>
  <c r="C208" i="5" s="1"/>
  <c r="D19" i="5"/>
  <c r="C108" i="21"/>
  <c r="C19" i="5" s="1"/>
  <c r="C121" i="5" s="1"/>
  <c r="C172" i="5" s="1"/>
  <c r="C133" i="21"/>
  <c r="C51" i="5" s="1"/>
  <c r="C153" i="5" s="1"/>
  <c r="C204" i="5" s="1"/>
  <c r="D27" i="5"/>
  <c r="D129" i="5" s="1"/>
  <c r="D180" i="5" s="1"/>
  <c r="C129" i="21"/>
  <c r="C27" i="5" s="1"/>
  <c r="C129" i="5" s="1"/>
  <c r="C180" i="5" s="1"/>
  <c r="D44" i="5"/>
  <c r="D146" i="5" s="1"/>
  <c r="D197" i="5" s="1"/>
  <c r="C122" i="21"/>
  <c r="C44" i="5" s="1"/>
  <c r="C146" i="5" s="1"/>
  <c r="C197" i="5" s="1"/>
  <c r="C121" i="21"/>
  <c r="C38" i="5" s="1"/>
  <c r="C140" i="5" s="1"/>
  <c r="C191" i="5" s="1"/>
  <c r="D38" i="5"/>
  <c r="D140" i="5" s="1"/>
  <c r="D191" i="5" s="1"/>
  <c r="D20" i="5"/>
  <c r="D122" i="5" s="1"/>
  <c r="D173" i="5" s="1"/>
  <c r="C118" i="21"/>
  <c r="C20" i="5" s="1"/>
  <c r="C122" i="5" s="1"/>
  <c r="C173" i="5" s="1"/>
  <c r="D154" i="21"/>
  <c r="D153" i="21"/>
  <c r="C19" i="41"/>
  <c r="D152" i="21"/>
  <c r="D150" i="21"/>
  <c r="D149" i="21"/>
  <c r="D148" i="21"/>
  <c r="D158" i="21" s="1"/>
  <c r="D147" i="21"/>
  <c r="D98" i="21"/>
  <c r="D100" i="21" s="1"/>
  <c r="D151" i="21"/>
  <c r="B4" i="44" l="1"/>
  <c r="H4" i="44" s="1"/>
  <c r="I37" i="43"/>
  <c r="I42" i="43" s="1"/>
  <c r="I24" i="44"/>
  <c r="D24" i="44"/>
  <c r="B28" i="43"/>
  <c r="H28" i="43" s="1"/>
  <c r="D28" i="44"/>
  <c r="I28" i="44"/>
  <c r="D8" i="44"/>
  <c r="I8" i="44"/>
  <c r="K37" i="43"/>
  <c r="K42" i="43" s="1"/>
  <c r="D32" i="44"/>
  <c r="I32" i="44"/>
  <c r="D121" i="5"/>
  <c r="D172" i="5" s="1"/>
  <c r="B8" i="44"/>
  <c r="H8" i="44" s="1"/>
  <c r="B8" i="43"/>
  <c r="H8" i="43" s="1"/>
  <c r="D157" i="5"/>
  <c r="D208" i="5" s="1"/>
  <c r="B32" i="44"/>
  <c r="H32" i="44" s="1"/>
  <c r="B32" i="43"/>
  <c r="H32" i="43" s="1"/>
  <c r="D139" i="5"/>
  <c r="D190" i="5" s="1"/>
  <c r="B20" i="44"/>
  <c r="H20" i="44" s="1"/>
  <c r="B20" i="43"/>
  <c r="H20" i="43" s="1"/>
  <c r="D145" i="5"/>
  <c r="D196" i="5" s="1"/>
  <c r="B24" i="44"/>
  <c r="H24" i="44" s="1"/>
  <c r="B24" i="43"/>
  <c r="H24" i="43" s="1"/>
  <c r="D127" i="5"/>
  <c r="D178" i="5" s="1"/>
  <c r="B12" i="44"/>
  <c r="H12" i="44" s="1"/>
  <c r="B12" i="43"/>
  <c r="H12" i="43" s="1"/>
  <c r="D133" i="5"/>
  <c r="D184" i="5" s="1"/>
  <c r="B16" i="44"/>
  <c r="H16" i="44" s="1"/>
  <c r="B16" i="43"/>
  <c r="H16" i="43" s="1"/>
  <c r="B4" i="43"/>
  <c r="H4" i="43" s="1"/>
  <c r="D4" i="44"/>
  <c r="I4" i="44"/>
  <c r="B28" i="44"/>
  <c r="H28" i="44" s="1"/>
  <c r="I12" i="44"/>
  <c r="D12" i="44"/>
  <c r="I16" i="44"/>
  <c r="D16" i="44"/>
  <c r="D20" i="44"/>
  <c r="I20" i="44"/>
  <c r="C33" i="44"/>
  <c r="C33" i="43"/>
  <c r="I33" i="43" s="1"/>
  <c r="C25" i="44"/>
  <c r="C29" i="44"/>
  <c r="C29" i="43"/>
  <c r="I29" i="43" s="1"/>
  <c r="C25" i="43"/>
  <c r="I25" i="43" s="1"/>
  <c r="C9" i="44"/>
  <c r="C9" i="43"/>
  <c r="I9" i="43" s="1"/>
  <c r="C5" i="44"/>
  <c r="C5" i="43"/>
  <c r="I5" i="43" s="1"/>
  <c r="L37" i="43"/>
  <c r="E124" i="5"/>
  <c r="E175" i="5" s="1"/>
  <c r="E118" i="5"/>
  <c r="E169" i="5" s="1"/>
  <c r="E160" i="5"/>
  <c r="E211" i="5" s="1"/>
  <c r="E154" i="5"/>
  <c r="E205" i="5" s="1"/>
  <c r="E40" i="5"/>
  <c r="H33" i="15"/>
  <c r="H36" i="15" s="1"/>
  <c r="H38" i="15"/>
  <c r="D57" i="41"/>
  <c r="F55" i="15"/>
  <c r="F96" i="21"/>
  <c r="E34" i="5"/>
  <c r="G40" i="15"/>
  <c r="D23" i="5"/>
  <c r="D41" i="5"/>
  <c r="D161" i="21"/>
  <c r="D17" i="5"/>
  <c r="D157" i="21"/>
  <c r="C16" i="30"/>
  <c r="D29" i="5"/>
  <c r="D159" i="21"/>
  <c r="D47" i="5"/>
  <c r="D162" i="21"/>
  <c r="D53" i="5"/>
  <c r="D163" i="21"/>
  <c r="D35" i="5"/>
  <c r="D160" i="21"/>
  <c r="C45" i="41"/>
  <c r="C20" i="41"/>
  <c r="C22" i="41" s="1"/>
  <c r="D59" i="5"/>
  <c r="D164" i="21"/>
  <c r="H37" i="44" l="1"/>
  <c r="H39" i="44" s="1"/>
  <c r="J20" i="44"/>
  <c r="E20" i="44"/>
  <c r="I37" i="44"/>
  <c r="H37" i="43"/>
  <c r="J32" i="44"/>
  <c r="E32" i="44"/>
  <c r="E16" i="44"/>
  <c r="J16" i="44"/>
  <c r="J12" i="44"/>
  <c r="E12" i="44"/>
  <c r="E4" i="44"/>
  <c r="J4" i="44"/>
  <c r="E8" i="44"/>
  <c r="J8" i="44"/>
  <c r="E28" i="44"/>
  <c r="J28" i="44"/>
  <c r="E24" i="44"/>
  <c r="J24" i="44"/>
  <c r="C17" i="44"/>
  <c r="C13" i="44"/>
  <c r="C17" i="43"/>
  <c r="I17" i="43" s="1"/>
  <c r="C13" i="43"/>
  <c r="I13" i="43" s="1"/>
  <c r="I38" i="43" s="1"/>
  <c r="C21" i="44"/>
  <c r="C21" i="43"/>
  <c r="I21" i="43" s="1"/>
  <c r="I29" i="44"/>
  <c r="D29" i="44"/>
  <c r="D5" i="44"/>
  <c r="I5" i="44"/>
  <c r="D9" i="44"/>
  <c r="I9" i="44"/>
  <c r="D25" i="44"/>
  <c r="I25" i="44"/>
  <c r="D33" i="44"/>
  <c r="I33" i="44"/>
  <c r="L42" i="43"/>
  <c r="E136" i="5"/>
  <c r="E187" i="5" s="1"/>
  <c r="E142" i="5"/>
  <c r="E193" i="5" s="1"/>
  <c r="G55" i="15"/>
  <c r="G96" i="21"/>
  <c r="E18" i="41"/>
  <c r="F137" i="21"/>
  <c r="F139" i="21"/>
  <c r="F138" i="21"/>
  <c r="F141" i="21"/>
  <c r="F142" i="21"/>
  <c r="F143" i="21"/>
  <c r="F144" i="21"/>
  <c r="F140" i="21"/>
  <c r="H40" i="15"/>
  <c r="C46" i="41"/>
  <c r="C58" i="41"/>
  <c r="D175" i="21"/>
  <c r="D60" i="5"/>
  <c r="D162" i="5" s="1"/>
  <c r="D213" i="5" s="1"/>
  <c r="D161" i="5"/>
  <c r="D212" i="5" s="1"/>
  <c r="D171" i="21"/>
  <c r="D36" i="5"/>
  <c r="D138" i="5" s="1"/>
  <c r="D189" i="5" s="1"/>
  <c r="D137" i="5"/>
  <c r="D188" i="5" s="1"/>
  <c r="D173" i="21"/>
  <c r="D48" i="5"/>
  <c r="D150" i="5" s="1"/>
  <c r="D201" i="5" s="1"/>
  <c r="D149" i="5"/>
  <c r="D200" i="5" s="1"/>
  <c r="D172" i="21"/>
  <c r="D42" i="5"/>
  <c r="D144" i="5" s="1"/>
  <c r="D195" i="5" s="1"/>
  <c r="D143" i="5"/>
  <c r="D194" i="5" s="1"/>
  <c r="D174" i="21"/>
  <c r="D54" i="5"/>
  <c r="D156" i="5" s="1"/>
  <c r="D207" i="5" s="1"/>
  <c r="D155" i="5"/>
  <c r="D206" i="5" s="1"/>
  <c r="D170" i="21"/>
  <c r="D30" i="5"/>
  <c r="D132" i="5" s="1"/>
  <c r="D183" i="5" s="1"/>
  <c r="D131" i="5"/>
  <c r="D182" i="5" s="1"/>
  <c r="D168" i="21"/>
  <c r="D18" i="5"/>
  <c r="D120" i="5" s="1"/>
  <c r="D171" i="5" s="1"/>
  <c r="D119" i="5"/>
  <c r="D170" i="5" s="1"/>
  <c r="D169" i="21"/>
  <c r="D24" i="5"/>
  <c r="D126" i="5" s="1"/>
  <c r="D177" i="5" s="1"/>
  <c r="D125" i="5"/>
  <c r="D176" i="5" s="1"/>
  <c r="J37" i="44" l="1"/>
  <c r="F12" i="44"/>
  <c r="L12" i="44" s="1"/>
  <c r="K12" i="44"/>
  <c r="F32" i="44"/>
  <c r="L32" i="44" s="1"/>
  <c r="K32" i="44"/>
  <c r="H42" i="43"/>
  <c r="H41" i="44"/>
  <c r="F20" i="44"/>
  <c r="L20" i="44" s="1"/>
  <c r="K20" i="44"/>
  <c r="F24" i="44"/>
  <c r="L24" i="44" s="1"/>
  <c r="K24" i="44"/>
  <c r="K28" i="44"/>
  <c r="F28" i="44"/>
  <c r="L28" i="44" s="1"/>
  <c r="F8" i="44"/>
  <c r="L8" i="44" s="1"/>
  <c r="K8" i="44"/>
  <c r="F4" i="44"/>
  <c r="L4" i="44" s="1"/>
  <c r="K4" i="44"/>
  <c r="K16" i="44"/>
  <c r="F16" i="44"/>
  <c r="L16" i="44" s="1"/>
  <c r="I41" i="44"/>
  <c r="E33" i="44"/>
  <c r="J33" i="44"/>
  <c r="E25" i="44"/>
  <c r="J25" i="44"/>
  <c r="E9" i="44"/>
  <c r="J9" i="44"/>
  <c r="E5" i="44"/>
  <c r="J5" i="44"/>
  <c r="D13" i="44"/>
  <c r="I13" i="44"/>
  <c r="I38" i="44" s="1"/>
  <c r="I39" i="44" s="1"/>
  <c r="E29" i="44"/>
  <c r="J29" i="44"/>
  <c r="I21" i="44"/>
  <c r="D21" i="44"/>
  <c r="D17" i="44"/>
  <c r="I17" i="44"/>
  <c r="H96" i="21"/>
  <c r="H55" i="15"/>
  <c r="C55" i="15" s="1"/>
  <c r="C57" i="15" s="1"/>
  <c r="F58" i="5"/>
  <c r="D33" i="43" s="1"/>
  <c r="J33" i="43" s="1"/>
  <c r="F46" i="5"/>
  <c r="F148" i="5" s="1"/>
  <c r="F199" i="5" s="1"/>
  <c r="F22" i="5"/>
  <c r="D9" i="43" s="1"/>
  <c r="J9" i="43" s="1"/>
  <c r="F16" i="5"/>
  <c r="D5" i="43" s="1"/>
  <c r="J5" i="43" s="1"/>
  <c r="F18" i="41"/>
  <c r="F44" i="41" s="1"/>
  <c r="F57" i="41" s="1"/>
  <c r="G144" i="21"/>
  <c r="G58" i="5" s="1"/>
  <c r="E33" i="43" s="1"/>
  <c r="K33" i="43" s="1"/>
  <c r="G140" i="21"/>
  <c r="G34" i="5" s="1"/>
  <c r="G141" i="21"/>
  <c r="G40" i="5" s="1"/>
  <c r="E21" i="43" s="1"/>
  <c r="K21" i="43" s="1"/>
  <c r="G137" i="21"/>
  <c r="G16" i="5" s="1"/>
  <c r="E5" i="43" s="1"/>
  <c r="K5" i="43" s="1"/>
  <c r="G142" i="21"/>
  <c r="G46" i="5" s="1"/>
  <c r="G148" i="5" s="1"/>
  <c r="G199" i="5" s="1"/>
  <c r="G138" i="21"/>
  <c r="G22" i="5" s="1"/>
  <c r="E9" i="43" s="1"/>
  <c r="K9" i="43" s="1"/>
  <c r="G139" i="21"/>
  <c r="G28" i="5" s="1"/>
  <c r="G130" i="5" s="1"/>
  <c r="G181" i="5" s="1"/>
  <c r="G143" i="21"/>
  <c r="G52" i="5" s="1"/>
  <c r="F34" i="5"/>
  <c r="F52" i="5"/>
  <c r="F40" i="5"/>
  <c r="D21" i="43" s="1"/>
  <c r="J21" i="43" s="1"/>
  <c r="F28" i="5"/>
  <c r="F130" i="5" s="1"/>
  <c r="F181" i="5" s="1"/>
  <c r="E44" i="41"/>
  <c r="D176" i="21"/>
  <c r="D177" i="21" s="1"/>
  <c r="E97" i="21"/>
  <c r="C48" i="41"/>
  <c r="C61" i="41" s="1"/>
  <c r="C59" i="41"/>
  <c r="L37" i="44" l="1"/>
  <c r="K37" i="44"/>
  <c r="D29" i="43"/>
  <c r="J29" i="43" s="1"/>
  <c r="D25" i="43"/>
  <c r="J25" i="43" s="1"/>
  <c r="E29" i="43"/>
  <c r="K29" i="43" s="1"/>
  <c r="E25" i="43"/>
  <c r="K25" i="43" s="1"/>
  <c r="E17" i="43"/>
  <c r="K17" i="43" s="1"/>
  <c r="E13" i="43"/>
  <c r="K13" i="43" s="1"/>
  <c r="K38" i="43" s="1"/>
  <c r="H144" i="21"/>
  <c r="H142" i="21"/>
  <c r="H140" i="21"/>
  <c r="H138" i="21"/>
  <c r="H22" i="5" s="1"/>
  <c r="H143" i="21"/>
  <c r="H141" i="21"/>
  <c r="H139" i="21"/>
  <c r="H137" i="21"/>
  <c r="E17" i="44"/>
  <c r="J17" i="44"/>
  <c r="F29" i="44"/>
  <c r="L29" i="44" s="1"/>
  <c r="K29" i="44"/>
  <c r="D17" i="43"/>
  <c r="J17" i="43" s="1"/>
  <c r="D13" i="43"/>
  <c r="J13" i="43" s="1"/>
  <c r="J38" i="43" s="1"/>
  <c r="E21" i="44"/>
  <c r="J21" i="44"/>
  <c r="J13" i="44"/>
  <c r="E13" i="44"/>
  <c r="F5" i="44"/>
  <c r="L5" i="44" s="1"/>
  <c r="K5" i="44"/>
  <c r="F9" i="44"/>
  <c r="L9" i="44" s="1"/>
  <c r="K9" i="44"/>
  <c r="F25" i="44"/>
  <c r="L25" i="44" s="1"/>
  <c r="K25" i="44"/>
  <c r="F33" i="44"/>
  <c r="L33" i="44" s="1"/>
  <c r="K33" i="44"/>
  <c r="G154" i="5"/>
  <c r="G205" i="5" s="1"/>
  <c r="G124" i="5"/>
  <c r="G175" i="5" s="1"/>
  <c r="G136" i="5"/>
  <c r="G187" i="5" s="1"/>
  <c r="F142" i="5"/>
  <c r="F193" i="5" s="1"/>
  <c r="F136" i="5"/>
  <c r="F187" i="5" s="1"/>
  <c r="G142" i="5"/>
  <c r="G193" i="5" s="1"/>
  <c r="G160" i="5"/>
  <c r="G211" i="5" s="1"/>
  <c r="F118" i="5"/>
  <c r="F169" i="5" s="1"/>
  <c r="F154" i="5"/>
  <c r="F205" i="5" s="1"/>
  <c r="G118" i="5"/>
  <c r="G169" i="5" s="1"/>
  <c r="F124" i="5"/>
  <c r="F175" i="5" s="1"/>
  <c r="F160" i="5"/>
  <c r="F211" i="5" s="1"/>
  <c r="E57" i="41"/>
  <c r="G18" i="41"/>
  <c r="H46" i="5"/>
  <c r="H148" i="5" s="1"/>
  <c r="H199" i="5" s="1"/>
  <c r="H58" i="5"/>
  <c r="D19" i="41"/>
  <c r="E154" i="21"/>
  <c r="E153" i="21"/>
  <c r="E152" i="21"/>
  <c r="E151" i="21"/>
  <c r="E150" i="21"/>
  <c r="E149" i="21"/>
  <c r="E148" i="21"/>
  <c r="E147" i="21"/>
  <c r="E98" i="21"/>
  <c r="J38" i="44" l="1"/>
  <c r="J39" i="44" s="1"/>
  <c r="J41" i="44"/>
  <c r="K41" i="44"/>
  <c r="E100" i="21"/>
  <c r="I43" i="43"/>
  <c r="F21" i="44"/>
  <c r="L21" i="44" s="1"/>
  <c r="K21" i="44"/>
  <c r="F17" i="44"/>
  <c r="L17" i="44" s="1"/>
  <c r="K17" i="44"/>
  <c r="F13" i="44"/>
  <c r="L13" i="44" s="1"/>
  <c r="K13" i="44"/>
  <c r="H160" i="5"/>
  <c r="H211" i="5" s="1"/>
  <c r="H124" i="5"/>
  <c r="H175" i="5" s="1"/>
  <c r="H34" i="5"/>
  <c r="C140" i="21"/>
  <c r="C34" i="5" s="1"/>
  <c r="C136" i="5" s="1"/>
  <c r="C187" i="5" s="1"/>
  <c r="H40" i="5"/>
  <c r="C141" i="21"/>
  <c r="C40" i="5" s="1"/>
  <c r="C142" i="5" s="1"/>
  <c r="C193" i="5" s="1"/>
  <c r="H16" i="5"/>
  <c r="C137" i="21"/>
  <c r="C16" i="5" s="1"/>
  <c r="C118" i="5" s="1"/>
  <c r="C169" i="5" s="1"/>
  <c r="H28" i="5"/>
  <c r="H130" i="5" s="1"/>
  <c r="H181" i="5" s="1"/>
  <c r="C139" i="21"/>
  <c r="C28" i="5" s="1"/>
  <c r="C130" i="5" s="1"/>
  <c r="C181" i="5" s="1"/>
  <c r="G44" i="41"/>
  <c r="H18" i="41"/>
  <c r="C142" i="21"/>
  <c r="C46" i="5" s="1"/>
  <c r="C148" i="5" s="1"/>
  <c r="C199" i="5" s="1"/>
  <c r="H52" i="5"/>
  <c r="C143" i="21"/>
  <c r="C52" i="5" s="1"/>
  <c r="C154" i="5" s="1"/>
  <c r="C205" i="5" s="1"/>
  <c r="C144" i="21"/>
  <c r="C58" i="5" s="1"/>
  <c r="C160" i="5" s="1"/>
  <c r="C211" i="5" s="1"/>
  <c r="C138" i="21"/>
  <c r="C22" i="5" s="1"/>
  <c r="C124" i="5" s="1"/>
  <c r="C175" i="5" s="1"/>
  <c r="E23" i="5"/>
  <c r="E158" i="21"/>
  <c r="E35" i="5"/>
  <c r="E160" i="21"/>
  <c r="E47" i="5"/>
  <c r="E162" i="21"/>
  <c r="E59" i="5"/>
  <c r="E164" i="21"/>
  <c r="E17" i="5"/>
  <c r="D16" i="30"/>
  <c r="E157" i="21"/>
  <c r="E159" i="21"/>
  <c r="E29" i="5"/>
  <c r="E161" i="21"/>
  <c r="E41" i="5"/>
  <c r="E53" i="5"/>
  <c r="E163" i="21"/>
  <c r="D20" i="41"/>
  <c r="D22" i="41" s="1"/>
  <c r="D45" i="41"/>
  <c r="L38" i="44" l="1"/>
  <c r="L39" i="44" s="1"/>
  <c r="K38" i="44"/>
  <c r="K39" i="44" s="1"/>
  <c r="G39" i="44" s="1"/>
  <c r="H154" i="5"/>
  <c r="H205" i="5" s="1"/>
  <c r="H118" i="5"/>
  <c r="H169" i="5" s="1"/>
  <c r="H142" i="5"/>
  <c r="H193" i="5" s="1"/>
  <c r="H136" i="5"/>
  <c r="H187" i="5" s="1"/>
  <c r="G57" i="41"/>
  <c r="H44" i="41"/>
  <c r="H57" i="41" s="1"/>
  <c r="E174" i="21"/>
  <c r="D46" i="41"/>
  <c r="D58" i="41"/>
  <c r="E54" i="5"/>
  <c r="E156" i="5" s="1"/>
  <c r="E207" i="5" s="1"/>
  <c r="E155" i="5"/>
  <c r="E206" i="5" s="1"/>
  <c r="E42" i="5"/>
  <c r="E144" i="5" s="1"/>
  <c r="E195" i="5" s="1"/>
  <c r="E143" i="5"/>
  <c r="E194" i="5" s="1"/>
  <c r="E170" i="21"/>
  <c r="E168" i="21"/>
  <c r="E119" i="5"/>
  <c r="E170" i="5" s="1"/>
  <c r="E18" i="5"/>
  <c r="E120" i="5" s="1"/>
  <c r="E171" i="5" s="1"/>
  <c r="E175" i="21"/>
  <c r="E48" i="5"/>
  <c r="E150" i="5" s="1"/>
  <c r="E201" i="5" s="1"/>
  <c r="E149" i="5"/>
  <c r="E200" i="5" s="1"/>
  <c r="E171" i="21"/>
  <c r="E125" i="5"/>
  <c r="E176" i="5" s="1"/>
  <c r="E24" i="5"/>
  <c r="E126" i="5" s="1"/>
  <c r="E177" i="5" s="1"/>
  <c r="E172" i="21"/>
  <c r="E30" i="5"/>
  <c r="E132" i="5" s="1"/>
  <c r="E183" i="5" s="1"/>
  <c r="E131" i="5"/>
  <c r="E182" i="5" s="1"/>
  <c r="E161" i="5"/>
  <c r="E212" i="5" s="1"/>
  <c r="E60" i="5"/>
  <c r="E162" i="5" s="1"/>
  <c r="E213" i="5" s="1"/>
  <c r="E173" i="21"/>
  <c r="E36" i="5"/>
  <c r="E138" i="5" s="1"/>
  <c r="E189" i="5" s="1"/>
  <c r="E137" i="5"/>
  <c r="E188" i="5" s="1"/>
  <c r="E169" i="21"/>
  <c r="F97" i="21"/>
  <c r="F154" i="21" l="1"/>
  <c r="F153" i="21"/>
  <c r="E19" i="41"/>
  <c r="F151" i="21"/>
  <c r="F149" i="21"/>
  <c r="F148" i="21"/>
  <c r="F147" i="21"/>
  <c r="F98" i="21"/>
  <c r="F152" i="21"/>
  <c r="F150" i="21"/>
  <c r="E176" i="21"/>
  <c r="E177" i="21" s="1"/>
  <c r="D48" i="41"/>
  <c r="D61" i="41" s="1"/>
  <c r="D59" i="41"/>
  <c r="F100" i="21" l="1"/>
  <c r="J43" i="43"/>
  <c r="G97" i="21"/>
  <c r="F35" i="5"/>
  <c r="F160" i="21"/>
  <c r="F23" i="5"/>
  <c r="F158" i="21"/>
  <c r="F41" i="5"/>
  <c r="F161" i="21"/>
  <c r="F53" i="5"/>
  <c r="F163" i="21"/>
  <c r="F47" i="5"/>
  <c r="F162" i="21"/>
  <c r="F157" i="21"/>
  <c r="F17" i="5"/>
  <c r="E16" i="30"/>
  <c r="F29" i="5"/>
  <c r="F159" i="21"/>
  <c r="E45" i="41"/>
  <c r="E20" i="41"/>
  <c r="E22" i="41" s="1"/>
  <c r="F59" i="5"/>
  <c r="F164" i="21"/>
  <c r="F30" i="5" l="1"/>
  <c r="F132" i="5" s="1"/>
  <c r="F183" i="5" s="1"/>
  <c r="F131" i="5"/>
  <c r="F182" i="5" s="1"/>
  <c r="F175" i="21"/>
  <c r="E46" i="41"/>
  <c r="E58" i="41"/>
  <c r="F170" i="21"/>
  <c r="F18" i="5"/>
  <c r="F120" i="5" s="1"/>
  <c r="F171" i="5" s="1"/>
  <c r="F119" i="5"/>
  <c r="F170" i="5" s="1"/>
  <c r="F48" i="5"/>
  <c r="F150" i="5" s="1"/>
  <c r="F201" i="5" s="1"/>
  <c r="F149" i="5"/>
  <c r="F200" i="5" s="1"/>
  <c r="F174" i="21"/>
  <c r="F143" i="5"/>
  <c r="F194" i="5" s="1"/>
  <c r="F42" i="5"/>
  <c r="F144" i="5" s="1"/>
  <c r="F195" i="5" s="1"/>
  <c r="F169" i="21"/>
  <c r="F36" i="5"/>
  <c r="F138" i="5" s="1"/>
  <c r="F189" i="5" s="1"/>
  <c r="F137" i="5"/>
  <c r="F188" i="5" s="1"/>
  <c r="F19" i="41"/>
  <c r="G154" i="21"/>
  <c r="G152" i="21"/>
  <c r="G151" i="21"/>
  <c r="G150" i="21"/>
  <c r="G153" i="21"/>
  <c r="G149" i="21"/>
  <c r="G148" i="21"/>
  <c r="G147" i="21"/>
  <c r="G98" i="21"/>
  <c r="F60" i="5"/>
  <c r="F162" i="5" s="1"/>
  <c r="F213" i="5" s="1"/>
  <c r="F161" i="5"/>
  <c r="F212" i="5" s="1"/>
  <c r="F168" i="21"/>
  <c r="F173" i="21"/>
  <c r="F54" i="5"/>
  <c r="F156" i="5" s="1"/>
  <c r="F207" i="5" s="1"/>
  <c r="F155" i="5"/>
  <c r="F206" i="5" s="1"/>
  <c r="F172" i="21"/>
  <c r="F24" i="5"/>
  <c r="F126" i="5" s="1"/>
  <c r="F177" i="5" s="1"/>
  <c r="F125" i="5"/>
  <c r="F176" i="5" s="1"/>
  <c r="F171" i="21"/>
  <c r="G100" i="21" l="1"/>
  <c r="K43" i="43"/>
  <c r="F176" i="21"/>
  <c r="F177" i="21" s="1"/>
  <c r="G23" i="5"/>
  <c r="G158" i="21"/>
  <c r="G53" i="5"/>
  <c r="G163" i="21"/>
  <c r="G41" i="5"/>
  <c r="G161" i="21"/>
  <c r="G59" i="5"/>
  <c r="G164" i="21"/>
  <c r="E48" i="41"/>
  <c r="E61" i="41" s="1"/>
  <c r="E59" i="41"/>
  <c r="G17" i="5"/>
  <c r="F16" i="30"/>
  <c r="G157" i="21"/>
  <c r="G159" i="21"/>
  <c r="G29" i="5"/>
  <c r="G35" i="5"/>
  <c r="G160" i="21"/>
  <c r="G162" i="21"/>
  <c r="G47" i="5"/>
  <c r="F20" i="41"/>
  <c r="F22" i="41" s="1"/>
  <c r="F45" i="41"/>
  <c r="H97" i="21" l="1"/>
  <c r="G48" i="5"/>
  <c r="G150" i="5" s="1"/>
  <c r="G201" i="5" s="1"/>
  <c r="G149" i="5"/>
  <c r="G200" i="5" s="1"/>
  <c r="F46" i="41"/>
  <c r="F58" i="41"/>
  <c r="G173" i="21"/>
  <c r="G171" i="21"/>
  <c r="G170" i="21"/>
  <c r="G168" i="21"/>
  <c r="G119" i="5"/>
  <c r="G170" i="5" s="1"/>
  <c r="G18" i="5"/>
  <c r="G120" i="5" s="1"/>
  <c r="G171" i="5" s="1"/>
  <c r="G175" i="21"/>
  <c r="G42" i="5"/>
  <c r="G144" i="5" s="1"/>
  <c r="G195" i="5" s="1"/>
  <c r="G143" i="5"/>
  <c r="G194" i="5" s="1"/>
  <c r="G174" i="21"/>
  <c r="G125" i="5"/>
  <c r="G176" i="5" s="1"/>
  <c r="G24" i="5"/>
  <c r="G126" i="5" s="1"/>
  <c r="G177" i="5" s="1"/>
  <c r="G36" i="5"/>
  <c r="G138" i="5" s="1"/>
  <c r="G189" i="5" s="1"/>
  <c r="G137" i="5"/>
  <c r="G188" i="5" s="1"/>
  <c r="G30" i="5"/>
  <c r="G132" i="5" s="1"/>
  <c r="G183" i="5" s="1"/>
  <c r="G131" i="5"/>
  <c r="G182" i="5" s="1"/>
  <c r="G161" i="5"/>
  <c r="G212" i="5" s="1"/>
  <c r="G60" i="5"/>
  <c r="G162" i="5" s="1"/>
  <c r="G213" i="5" s="1"/>
  <c r="G172" i="21"/>
  <c r="G54" i="5"/>
  <c r="G156" i="5" s="1"/>
  <c r="G207" i="5" s="1"/>
  <c r="G155" i="5"/>
  <c r="G206" i="5" s="1"/>
  <c r="G169" i="21"/>
  <c r="F48" i="41" l="1"/>
  <c r="F61" i="41" s="1"/>
  <c r="F59" i="41"/>
  <c r="G19" i="41"/>
  <c r="H98" i="21"/>
  <c r="H100" i="21" s="1"/>
  <c r="G176" i="21"/>
  <c r="G177" i="21" s="1"/>
  <c r="H41" i="5" l="1"/>
  <c r="H161" i="21"/>
  <c r="C151" i="21"/>
  <c r="C41" i="5" s="1"/>
  <c r="H23" i="5"/>
  <c r="H158" i="21"/>
  <c r="C158" i="21" s="1"/>
  <c r="C148" i="21"/>
  <c r="C23" i="5" s="1"/>
  <c r="H157" i="21"/>
  <c r="C157" i="21" s="1"/>
  <c r="H17" i="5"/>
  <c r="G16" i="30"/>
  <c r="C147" i="21"/>
  <c r="C17" i="5" s="1"/>
  <c r="H35" i="5"/>
  <c r="H160" i="21"/>
  <c r="C150" i="21"/>
  <c r="C35" i="5" s="1"/>
  <c r="H29" i="5"/>
  <c r="H159" i="21"/>
  <c r="C149" i="21"/>
  <c r="C29" i="5" s="1"/>
  <c r="H163" i="21"/>
  <c r="H53" i="5"/>
  <c r="C153" i="21"/>
  <c r="C53" i="5" s="1"/>
  <c r="H47" i="5"/>
  <c r="H162" i="21"/>
  <c r="C152" i="21"/>
  <c r="C47" i="5" s="1"/>
  <c r="G45" i="41"/>
  <c r="G20" i="41"/>
  <c r="G22" i="41" s="1"/>
  <c r="H19" i="41"/>
  <c r="H20" i="41" s="1"/>
  <c r="H22" i="41" s="1"/>
  <c r="H59" i="5"/>
  <c r="H164" i="21"/>
  <c r="C154" i="21"/>
  <c r="C59" i="5" s="1"/>
  <c r="F5" i="43" l="1"/>
  <c r="L5" i="43" s="1"/>
  <c r="F9" i="43"/>
  <c r="L9" i="43" s="1"/>
  <c r="F13" i="43"/>
  <c r="L13" i="43" s="1"/>
  <c r="F17" i="43"/>
  <c r="L17" i="43" s="1"/>
  <c r="F33" i="43"/>
  <c r="L33" i="43" s="1"/>
  <c r="F29" i="43"/>
  <c r="L29" i="43" s="1"/>
  <c r="F25" i="43"/>
  <c r="L25" i="43" s="1"/>
  <c r="F21" i="43"/>
  <c r="L21" i="43" s="1"/>
  <c r="H173" i="21"/>
  <c r="C162" i="21"/>
  <c r="C161" i="5"/>
  <c r="C212" i="5" s="1"/>
  <c r="C60" i="5"/>
  <c r="C162" i="5" s="1"/>
  <c r="C213" i="5" s="1"/>
  <c r="H60" i="5"/>
  <c r="H162" i="5" s="1"/>
  <c r="H213" i="5" s="1"/>
  <c r="H161" i="5"/>
  <c r="H212" i="5" s="1"/>
  <c r="C48" i="5"/>
  <c r="C150" i="5" s="1"/>
  <c r="C201" i="5" s="1"/>
  <c r="C149" i="5"/>
  <c r="C200" i="5" s="1"/>
  <c r="H48" i="5"/>
  <c r="H150" i="5" s="1"/>
  <c r="H201" i="5" s="1"/>
  <c r="H149" i="5"/>
  <c r="H200" i="5" s="1"/>
  <c r="H54" i="5"/>
  <c r="H156" i="5" s="1"/>
  <c r="H207" i="5" s="1"/>
  <c r="H155" i="5"/>
  <c r="H206" i="5" s="1"/>
  <c r="C131" i="5"/>
  <c r="C182" i="5" s="1"/>
  <c r="C30" i="5"/>
  <c r="C132" i="5" s="1"/>
  <c r="C183" i="5" s="1"/>
  <c r="H30" i="5"/>
  <c r="H132" i="5" s="1"/>
  <c r="H183" i="5" s="1"/>
  <c r="H131" i="5"/>
  <c r="H182" i="5" s="1"/>
  <c r="H171" i="21"/>
  <c r="C160" i="21"/>
  <c r="C119" i="5"/>
  <c r="C170" i="5" s="1"/>
  <c r="C18" i="5"/>
  <c r="C120" i="5" s="1"/>
  <c r="C171" i="5" s="1"/>
  <c r="H18" i="5"/>
  <c r="H120" i="5" s="1"/>
  <c r="H171" i="5" s="1"/>
  <c r="H119" i="5"/>
  <c r="H170" i="5" s="1"/>
  <c r="C125" i="5"/>
  <c r="C176" i="5" s="1"/>
  <c r="C24" i="5"/>
  <c r="C126" i="5" s="1"/>
  <c r="C177" i="5" s="1"/>
  <c r="H24" i="5"/>
  <c r="H126" i="5" s="1"/>
  <c r="H177" i="5" s="1"/>
  <c r="H125" i="5"/>
  <c r="H176" i="5" s="1"/>
  <c r="H172" i="21"/>
  <c r="C161" i="21"/>
  <c r="H175" i="21"/>
  <c r="C164" i="21"/>
  <c r="G46" i="41"/>
  <c r="G58" i="41"/>
  <c r="H45" i="41"/>
  <c r="C54" i="5"/>
  <c r="C156" i="5" s="1"/>
  <c r="C207" i="5" s="1"/>
  <c r="C155" i="5"/>
  <c r="C206" i="5" s="1"/>
  <c r="H174" i="21"/>
  <c r="C163" i="21"/>
  <c r="H170" i="21"/>
  <c r="C159" i="21"/>
  <c r="C36" i="5"/>
  <c r="C138" i="5" s="1"/>
  <c r="C189" i="5" s="1"/>
  <c r="C137" i="5"/>
  <c r="C188" i="5" s="1"/>
  <c r="H36" i="5"/>
  <c r="H138" i="5" s="1"/>
  <c r="H189" i="5" s="1"/>
  <c r="H137" i="5"/>
  <c r="H188" i="5" s="1"/>
  <c r="G18" i="30"/>
  <c r="F18" i="30"/>
  <c r="D18" i="30"/>
  <c r="E18" i="30"/>
  <c r="C18" i="30"/>
  <c r="H168" i="21"/>
  <c r="H169" i="21"/>
  <c r="C42" i="5"/>
  <c r="C144" i="5" s="1"/>
  <c r="C195" i="5" s="1"/>
  <c r="C143" i="5"/>
  <c r="C194" i="5" s="1"/>
  <c r="H42" i="5"/>
  <c r="H144" i="5" s="1"/>
  <c r="H195" i="5" s="1"/>
  <c r="H143" i="5"/>
  <c r="H194" i="5" s="1"/>
  <c r="L38" i="43" l="1"/>
  <c r="H176" i="21"/>
  <c r="H177" i="21" s="1"/>
  <c r="H46" i="41"/>
  <c r="H58" i="41"/>
  <c r="G48" i="41"/>
  <c r="G61" i="41" s="1"/>
  <c r="G59" i="41"/>
  <c r="L43" i="43" l="1"/>
  <c r="L41" i="44"/>
  <c r="H59" i="41"/>
  <c r="H48" i="41"/>
  <c r="H61" i="41" s="1"/>
  <c r="L43" i="44" l="1"/>
  <c r="G41" i="44"/>
  <c r="G43" i="44" s="1"/>
</calcChain>
</file>

<file path=xl/sharedStrings.xml><?xml version="1.0" encoding="utf-8"?>
<sst xmlns="http://schemas.openxmlformats.org/spreadsheetml/2006/main" count="4971" uniqueCount="886">
  <si>
    <t>CUBE:</t>
  </si>
  <si>
    <t>Total Regions</t>
  </si>
  <si>
    <t>Actual</t>
  </si>
  <si>
    <t>Total Sub Activity</t>
  </si>
  <si>
    <t>Total Org Units</t>
  </si>
  <si>
    <t>2006/07</t>
  </si>
  <si>
    <t>2007/08</t>
  </si>
  <si>
    <t>2008/09</t>
  </si>
  <si>
    <t>2009/10</t>
  </si>
  <si>
    <t>2010/11</t>
  </si>
  <si>
    <t>2011/12</t>
  </si>
  <si>
    <t>2012/13</t>
  </si>
  <si>
    <t>Project - MC101 - METERS - GROWTH</t>
  </si>
  <si>
    <t>Project - MC102 - RELAYS - GROWTH</t>
  </si>
  <si>
    <t>Project - MC103 - METERING TRIAL</t>
  </si>
  <si>
    <t>Project - MC104 - METERS RENEWAL</t>
  </si>
  <si>
    <t>Project - MC105 - RELAYS - RENEWAL</t>
  </si>
  <si>
    <t>Project - MC106 - LABOUR (METER/RELAY RENEWAL)</t>
  </si>
  <si>
    <t>Project - MC107 - TEST EQUIPMENT</t>
  </si>
  <si>
    <t>Project - MC108 - SMART METER PILOT</t>
  </si>
  <si>
    <t>Procedure:</t>
  </si>
  <si>
    <t>Results:</t>
  </si>
  <si>
    <t>Total</t>
  </si>
  <si>
    <t>Comments</t>
  </si>
  <si>
    <t>Proportion of Total</t>
  </si>
  <si>
    <t>Labour Related to Metering</t>
  </si>
  <si>
    <t>TM1 PARAMETERS</t>
  </si>
  <si>
    <t>2/ Isolate those capex categories related to the material cost for Type 5 and 6 meters only and calculate a ratio based on the total.  This ratio is used to split the capitalised labour costs relating to these projects.</t>
  </si>
  <si>
    <t>3/ Calculate the % of each years capex related to Type 5 and 6 meters and calculate an average for the 5 year analysis period.</t>
  </si>
  <si>
    <t>2013/14</t>
  </si>
  <si>
    <t>District</t>
  </si>
  <si>
    <t>Region</t>
  </si>
  <si>
    <t>Month</t>
  </si>
  <si>
    <t>Version</t>
  </si>
  <si>
    <t>Activity</t>
  </si>
  <si>
    <t>Sub Activity</t>
  </si>
  <si>
    <t>Org Unit</t>
  </si>
  <si>
    <t>Check</t>
  </si>
  <si>
    <t>TOTAL 5 Years</t>
  </si>
  <si>
    <t>1. Extract metering capex</t>
  </si>
  <si>
    <t>Test equipment is primarily used to test Type 5 &amp; 6 meters (not test relays).</t>
  </si>
  <si>
    <t>Total Type 5 &amp; 6 Meter Capex</t>
  </si>
  <si>
    <t>2014/15</t>
  </si>
  <si>
    <t>2015/16</t>
  </si>
  <si>
    <t>2016/17</t>
  </si>
  <si>
    <t>2017/18</t>
  </si>
  <si>
    <t>2018/19</t>
  </si>
  <si>
    <t>Substations</t>
  </si>
  <si>
    <t>Transformers</t>
  </si>
  <si>
    <t>Land</t>
  </si>
  <si>
    <t>Streetlighting</t>
  </si>
  <si>
    <t>Operating Expenditure</t>
  </si>
  <si>
    <t>System RAB %</t>
  </si>
  <si>
    <t>Results</t>
  </si>
  <si>
    <t>Recoverable Opening RAB</t>
  </si>
  <si>
    <t>Recoverable Replacement RAB</t>
  </si>
  <si>
    <t>3. Calculate total capex related to meters and proportion of total</t>
  </si>
  <si>
    <r>
      <t xml:space="preserve">Aim: </t>
    </r>
    <r>
      <rPr>
        <sz val="10"/>
        <color theme="1"/>
        <rFont val="Calibri"/>
        <family val="2"/>
        <scheme val="minor"/>
      </rPr>
      <t>To calculate the amount required to be recovered from customers over the next regulatory period through Metering Services unit rates in relation to opening RAB.</t>
    </r>
  </si>
  <si>
    <t>2. Calculate portion of MC106 related to Type 5 &amp; 6 meters</t>
  </si>
  <si>
    <t>Actuals</t>
  </si>
  <si>
    <t>Customer Numbers</t>
  </si>
  <si>
    <t>Primary Service Tariffs</t>
  </si>
  <si>
    <t>F10 - Domestic</t>
  </si>
  <si>
    <t>N70 - Domestic</t>
  </si>
  <si>
    <t>F76 - DOMESTIC TOU</t>
  </si>
  <si>
    <t>N76 - Domestic TOU</t>
  </si>
  <si>
    <t>NC1 - Dom/CL1</t>
  </si>
  <si>
    <t>NC2 - Dom/CL2</t>
  </si>
  <si>
    <t>NS70 - Domestic IBT Small Gen</t>
  </si>
  <si>
    <t>NG70 - Domestic IBT Small Gen</t>
  </si>
  <si>
    <t>F80 - General Supply Non TOU</t>
  </si>
  <si>
    <t>N90 - General Supply Non TOU</t>
  </si>
  <si>
    <t>NC3 - GS Non TOU/CL1</t>
  </si>
  <si>
    <t>NC4 - GS Non TOU/CL2</t>
  </si>
  <si>
    <t>NS90 - GS Non-ToU Small Gen</t>
  </si>
  <si>
    <t>F82A - General Supply TOU</t>
  </si>
  <si>
    <t>N84 - General Supply TOU</t>
  </si>
  <si>
    <t>NS84 - GS ToU Small Generation</t>
  </si>
  <si>
    <t>N85 - General Supply TOU Type 5</t>
  </si>
  <si>
    <t>N75 - Domestic Type 5</t>
  </si>
  <si>
    <t>Total Primary Service</t>
  </si>
  <si>
    <t>Secondary (Controlled Load) Service Tariffs</t>
  </si>
  <si>
    <t>F50 - Controlled Load 1</t>
  </si>
  <si>
    <t>N50A - Controlled Load 1</t>
  </si>
  <si>
    <t>F54 - Controlled Load 2</t>
  </si>
  <si>
    <t>N54A - Controlled Load 2</t>
  </si>
  <si>
    <t>Total Secondary Service</t>
  </si>
  <si>
    <t>Solar / Generation Service Tariffs</t>
  </si>
  <si>
    <t>NFIT - NSW Solar Bonus Scheme</t>
  </si>
  <si>
    <t>NFT2 - NSW Solar Bonus Gross 20ct</t>
  </si>
  <si>
    <t>NFT3 - NSW Solar Bonus Net 60ct</t>
  </si>
  <si>
    <t>NFT4 - NSW Solar Bonus Net 20ct</t>
  </si>
  <si>
    <t>NESG - Non-elligible Solar Gen Gross $0 Credit</t>
  </si>
  <si>
    <t>NESN - Non-elligible Solar Gen Net $0 Credit</t>
  </si>
  <si>
    <t>GENR - Import Export Energy Generators</t>
  </si>
  <si>
    <t>Solar / Generation Service</t>
  </si>
  <si>
    <t>Total from above</t>
  </si>
  <si>
    <t>Less: Secondary / Solar / Generation Services</t>
  </si>
  <si>
    <t>Type 5 / 6 Customer Numbers</t>
  </si>
  <si>
    <t>Average Customer Numbers for Period</t>
  </si>
  <si>
    <t>N/A</t>
  </si>
  <si>
    <t>Total Services</t>
  </si>
  <si>
    <t>Average Services for Period</t>
  </si>
  <si>
    <t>Dom &amp; CLd</t>
  </si>
  <si>
    <t>Domestic</t>
  </si>
  <si>
    <t>Controlled Load</t>
  </si>
  <si>
    <t>Commercial</t>
  </si>
  <si>
    <t>General Supply Non TOU</t>
  </si>
  <si>
    <t>General Supply TOU</t>
  </si>
  <si>
    <t>N89 - Transitional GS ToU 2008/09</t>
  </si>
  <si>
    <t>NS89 - Trans GS ToU Small Gen</t>
  </si>
  <si>
    <t>Unmetered -</t>
  </si>
  <si>
    <t>Nightwatch</t>
  </si>
  <si>
    <t>None</t>
  </si>
  <si>
    <t>Industrial</t>
  </si>
  <si>
    <t>Low Voltage TOU Demand</t>
  </si>
  <si>
    <t>N19 - LV TOU Demand</t>
  </si>
  <si>
    <t>NS19 - LV ToU Demand Small Gen</t>
  </si>
  <si>
    <t>High Voltage TOU Demand</t>
  </si>
  <si>
    <t>N05 - VisyPak (ex Coca Cola), Kings Park HV</t>
  </si>
  <si>
    <t>N10 - Westmead Hospital</t>
  </si>
  <si>
    <t>N11 - CSR Bradford Insulation, Ingleburn</t>
  </si>
  <si>
    <t>N12 - ALCOA  Australia Rolled Products Pty Ltd</t>
  </si>
  <si>
    <t>N13 - Intercast &amp; Forge, Seven Hills (ex BTR Nylex)</t>
  </si>
  <si>
    <t>N14 - ACI Operations Pty Ltd, Penrith</t>
  </si>
  <si>
    <t>N15 - Sydney Water - Bulk / Waste, Prospect</t>
  </si>
  <si>
    <t>N26 - VisyPaper 11 kV Backup, Guildford ($48k/a)</t>
  </si>
  <si>
    <t>N27 - VisyPaper 33 kV, Guildford</t>
  </si>
  <si>
    <t>N29 - HV TOU Demand</t>
  </si>
  <si>
    <t>Sub Transmission TOU Demand</t>
  </si>
  <si>
    <t>N01 - Tycan Australia</t>
  </si>
  <si>
    <t>N03 - OneSteel Mini Mill, Rooty Hill</t>
  </si>
  <si>
    <t>N06 - Tallawarra Power</t>
  </si>
  <si>
    <t>N25 - BOC / CIG Gases, Cringila (Port Kembla) 132kV</t>
  </si>
  <si>
    <t>N30 - Australian Cement Ltd, Kandos</t>
  </si>
  <si>
    <t>N31 - Blue Circle Southern Cement, Berrima</t>
  </si>
  <si>
    <t>N32 - BHP Billiton - Appin Colliery, Appin</t>
  </si>
  <si>
    <t>N33 - Australian Paper, Bomaderry</t>
  </si>
  <si>
    <t>N34 - BlueScope Steel, Coniston (Flat Products Div.)</t>
  </si>
  <si>
    <t>N35 - Manildra Group, Bomaderry</t>
  </si>
  <si>
    <t>N36 - Metal Manufactures, Port Kembla (was PKC)</t>
  </si>
  <si>
    <t>N37 - Blue Circle Cement, Maldon (Picton)</t>
  </si>
  <si>
    <t>N38 - Shell, Clyde Refinery</t>
  </si>
  <si>
    <t>N39 - ST TOU Demand</t>
  </si>
  <si>
    <t>N51 - RIC WALLERAWANG</t>
  </si>
  <si>
    <t>N52 - RAIL INFRASTRUCTURE CORP</t>
  </si>
  <si>
    <t>N53 - RAIL ACCESS CORP</t>
  </si>
  <si>
    <t>Bulk &amp; Inter-distributor Transfer</t>
  </si>
  <si>
    <t>EDBB - CE Bateman Bay DUoS</t>
  </si>
  <si>
    <t>EDMN - CE Moruya North DUoS</t>
  </si>
  <si>
    <t>ETBB - CE Bateman Bay TUoS</t>
  </si>
  <si>
    <t>ETMN - CE Moruya North TUoS</t>
  </si>
  <si>
    <t>ETCF - EA Carlingford TUoS</t>
  </si>
  <si>
    <t>ETDT - Delta/BlueScope TUoS</t>
  </si>
  <si>
    <t>ETGF - EA Guildford TUoS</t>
  </si>
  <si>
    <t>EDCF - EA Carlingford DUoS</t>
  </si>
  <si>
    <t>EDDT - Delta/BlueScope DUoS</t>
  </si>
  <si>
    <t>EDGF - EA Guildford DUoS</t>
  </si>
  <si>
    <t>EDDD - Delta/BlueScope DUoS Dmd</t>
  </si>
  <si>
    <t>ETGD - EA Guildford TUoS Dmd</t>
  </si>
  <si>
    <t>EDGD - EA Guildford DUoS Dmd</t>
  </si>
  <si>
    <t>ETDD - Delta/BlueScope TUoS Dmd</t>
  </si>
  <si>
    <t>ETCD - EA Carlingford TUoS Dmd</t>
  </si>
  <si>
    <t>EDCD - EA Carlingford DUoS Dmd</t>
  </si>
  <si>
    <t>Metering Service Category</t>
  </si>
  <si>
    <t xml:space="preserve">Procedure:  </t>
  </si>
  <si>
    <t>3/ Summarise the results by metering service category.</t>
  </si>
  <si>
    <t>Residential Anytime</t>
  </si>
  <si>
    <t>Residential Anytime / Controlled Load</t>
  </si>
  <si>
    <t>Residential Anytime / Solar</t>
  </si>
  <si>
    <t>Small Business Anytime</t>
  </si>
  <si>
    <t>Small Business Anytime / Controlled Load</t>
  </si>
  <si>
    <t>Small Business Anytime / Solar</t>
  </si>
  <si>
    <t>Solar</t>
  </si>
  <si>
    <t>Services per Tariff</t>
  </si>
  <si>
    <t>Customer Numbers as at 30 June</t>
  </si>
  <si>
    <t>Total Services as at 30 June</t>
  </si>
  <si>
    <t>Average for the Period</t>
  </si>
  <si>
    <t>WACC</t>
  </si>
  <si>
    <t>Total Recoverable Replacement Capex</t>
  </si>
  <si>
    <t>Regulatory Period</t>
  </si>
  <si>
    <r>
      <t xml:space="preserve">Aim: </t>
    </r>
    <r>
      <rPr>
        <sz val="10"/>
        <color theme="1"/>
        <rFont val="Calibri"/>
        <family val="2"/>
        <scheme val="minor"/>
      </rPr>
      <t>To calculate the amount required to be recovered from customers over the next regulatory period through Metering Services unit rates in relation to Metering Services operating expenditure.</t>
    </r>
  </si>
  <si>
    <t>Nominal $</t>
  </si>
  <si>
    <t>2014-15</t>
  </si>
  <si>
    <t>Sub-transmission lines and cables</t>
  </si>
  <si>
    <t>Distribution lines and cables</t>
  </si>
  <si>
    <t>Low Voltage lines and cables</t>
  </si>
  <si>
    <t>Customer metering and Load control</t>
  </si>
  <si>
    <t>Communication</t>
  </si>
  <si>
    <t>Easements</t>
  </si>
  <si>
    <t>Emergency Spares (Major Plant, Excludes Inventory)</t>
  </si>
  <si>
    <t>Total System</t>
  </si>
  <si>
    <t>Information &amp; Communication Technology</t>
  </si>
  <si>
    <t>Furniture, fittings, plant and equipment</t>
  </si>
  <si>
    <t>Motor Vehicles</t>
  </si>
  <si>
    <t>Buildings</t>
  </si>
  <si>
    <t>Land (non-system)</t>
  </si>
  <si>
    <t>Other non system assets</t>
  </si>
  <si>
    <t>Total non system</t>
  </si>
  <si>
    <t>Total Opening RAB</t>
  </si>
  <si>
    <t>Opening Metering System RAB</t>
  </si>
  <si>
    <t>Non-System RAB %</t>
  </si>
  <si>
    <t>Non-System RAB</t>
  </si>
  <si>
    <t>Recoverable Opening Metering RAB</t>
  </si>
  <si>
    <t>Opening Balance Year</t>
  </si>
  <si>
    <t>2008-09</t>
  </si>
  <si>
    <t>2009-10</t>
  </si>
  <si>
    <t>2010-11</t>
  </si>
  <si>
    <t>2011-12</t>
  </si>
  <si>
    <t>2012-13</t>
  </si>
  <si>
    <t>2013-14</t>
  </si>
  <si>
    <t>CPI Inflation Rate (RFM Lag)</t>
  </si>
  <si>
    <t>Actual CPI Inflation Rate</t>
  </si>
  <si>
    <t>Opening RAB</t>
  </si>
  <si>
    <t>Calculation Variables</t>
  </si>
  <si>
    <r>
      <t xml:space="preserve">Aim: </t>
    </r>
    <r>
      <rPr>
        <sz val="10"/>
        <color theme="1"/>
        <rFont val="Calibri"/>
        <family val="2"/>
        <scheme val="minor"/>
      </rPr>
      <t>To provide a central working sheet for calculation variables.</t>
    </r>
  </si>
  <si>
    <t>Meter Reading</t>
  </si>
  <si>
    <t>Meter Data Services</t>
  </si>
  <si>
    <t>Meter Maintenance</t>
  </si>
  <si>
    <t>Meter Reading Costs</t>
  </si>
  <si>
    <t>Meter Data Services Costs</t>
  </si>
  <si>
    <t>Meter Maintenance Costs</t>
  </si>
  <si>
    <t>50% WACC</t>
  </si>
  <si>
    <t>Remaining Life</t>
  </si>
  <si>
    <t>Opening</t>
  </si>
  <si>
    <t>Closing</t>
  </si>
  <si>
    <t>Inflation on opening</t>
  </si>
  <si>
    <t>Nominal Depreciation</t>
  </si>
  <si>
    <t>2014/15 Opening RAB</t>
  </si>
  <si>
    <t>Nominal WACC</t>
  </si>
  <si>
    <t>Real WACC</t>
  </si>
  <si>
    <t>Capital Expenditure</t>
  </si>
  <si>
    <t>Annual Recoverable Amount</t>
  </si>
  <si>
    <t>NOMINAL ASSET VALUES &amp; NOMINAL WACC</t>
  </si>
  <si>
    <t>Total Operating Expenditure</t>
  </si>
  <si>
    <t>Replacement Capital Expenditure</t>
  </si>
  <si>
    <t>Total Capital</t>
  </si>
  <si>
    <t>Meter Reading Weighted Service Numbers</t>
  </si>
  <si>
    <t>Meter Data Services Weighted Service Numbers</t>
  </si>
  <si>
    <t>Meter Maintenance Weighted Service Numbers</t>
  </si>
  <si>
    <t>Opening RAB Weighted Service Numbers</t>
  </si>
  <si>
    <t>Replacement Capital Expenditure Weighted Service Numbers</t>
  </si>
  <si>
    <t>1. Customer Numbers by Service Category</t>
  </si>
  <si>
    <t>1a. Forecast Customer Numbers by Service Category</t>
  </si>
  <si>
    <t>1b. Weighted Forecast Customer Numbers by Service Category and Cost Recovery Category</t>
  </si>
  <si>
    <t>Meter Reading Unit Rates</t>
  </si>
  <si>
    <t>Meter Data Services Unit Rates</t>
  </si>
  <si>
    <t>Meter Maintenance Unit Rates</t>
  </si>
  <si>
    <t>Opening RAB Unit Rates</t>
  </si>
  <si>
    <t>Replacement Capital Expenditure Unit Rates</t>
  </si>
  <si>
    <t>5 Year Average</t>
  </si>
  <si>
    <t>Total Annual Fixed Charge</t>
  </si>
  <si>
    <t>3a. Annual Recoverable Costs</t>
  </si>
  <si>
    <t>3b. Calculate Unit Rates</t>
  </si>
  <si>
    <t>3c. Expected Recovery Check</t>
  </si>
  <si>
    <t>Background:</t>
  </si>
  <si>
    <t>Method &amp; Assumptions:</t>
  </si>
  <si>
    <t>PHASE 1 - CALCULATE ANNUAL RECOVERABLE COSTS</t>
  </si>
  <si>
    <t>PHASE 2 - FORECAST CUSTOMER NUMBERS</t>
  </si>
  <si>
    <t>PHASE 3 - CALCULATION OF UNIT RATES</t>
  </si>
  <si>
    <t>Replacement Capex</t>
  </si>
  <si>
    <t>Includes material cost only for relays related to new sites.  New relays are installed by ASPs and customers pay ASPs directly for this service.  Therefore MC106 does not relate to this project.</t>
  </si>
  <si>
    <t>Includes material cost only for Type 5 &amp; 6 meters related to replacement activities. Will be recovered via ongoing charges to customers.  Labour related costs are captured in MC106.</t>
  </si>
  <si>
    <t>Includes material cost only for relays related to replacement activities.  Labour related costs are captured in MC106.</t>
  </si>
  <si>
    <t>This is the labour component for MC104 and MC105.  Given MC104 represents alternate control activities and MC105 represents standard control activities this costs needs to be split across MC104 and MC105..</t>
  </si>
  <si>
    <t>Total Meter and Relay Material Cost</t>
  </si>
  <si>
    <t>Proportion Related to Meters</t>
  </si>
  <si>
    <t>N_franchise</t>
  </si>
  <si>
    <t>New entrants into SBS is closed, therefore customer numbers will remain static until 31 Dec 2016 at which point SBS stops and customers will transfer to an appropriate net metered tariff (NESN).</t>
  </si>
  <si>
    <t>Residential TOU - Type 6 Meter</t>
  </si>
  <si>
    <t>Small Business TOU - Type 6 Meter</t>
  </si>
  <si>
    <t>Small Business TOU - Type 5 Meter</t>
  </si>
  <si>
    <t>Residential TOU - Type 5 Meter</t>
  </si>
  <si>
    <t>Small Business TOU - Type 6 Meter / Solar</t>
  </si>
  <si>
    <t>Total Recoverable Opex (nominal)</t>
  </si>
  <si>
    <r>
      <t xml:space="preserve">Aim: </t>
    </r>
    <r>
      <rPr>
        <sz val="10"/>
        <color theme="1"/>
        <rFont val="Calibri"/>
        <family val="2"/>
        <scheme val="minor"/>
      </rPr>
      <t>To calculate Metering Service unit rates on a per service basis.</t>
    </r>
  </si>
  <si>
    <t>Assumed 1 N75 customer to ensure a unit rate is calculated.</t>
  </si>
  <si>
    <r>
      <rPr>
        <b/>
        <sz val="10"/>
        <color theme="1"/>
        <rFont val="Calibri"/>
        <family val="2"/>
        <scheme val="minor"/>
      </rPr>
      <t>Meter Maintenance</t>
    </r>
    <r>
      <rPr>
        <sz val="10"/>
        <color theme="1"/>
        <rFont val="Calibri"/>
        <family val="2"/>
        <scheme val="minor"/>
      </rPr>
      <t xml:space="preserve"> - receives a value of 3 as a result of anecdotal business intelligence which suggests that small business CT meters require more maintenance and testing than residential whole current meters.  </t>
    </r>
  </si>
  <si>
    <r>
      <rPr>
        <b/>
        <sz val="10"/>
        <color theme="1"/>
        <rFont val="Calibri"/>
        <family val="2"/>
        <scheme val="minor"/>
      </rPr>
      <t>Meter Reading</t>
    </r>
    <r>
      <rPr>
        <sz val="10"/>
        <color theme="1"/>
        <rFont val="Calibri"/>
        <family val="2"/>
        <scheme val="minor"/>
      </rPr>
      <t xml:space="preserve"> - Although a Small Business TOU - Type 6 Meter service will contain 3 type 6 meters (one each for peak, shoulder and offpeak) the weighting receives a value of 1 as meter reading costs for type 6 meters are charged based on customer account, not on the number of meters located at the premises (refer Rob Phillpott). 
</t>
    </r>
    <r>
      <rPr>
        <b/>
        <sz val="10"/>
        <color theme="1"/>
        <rFont val="Calibri"/>
        <family val="2"/>
        <scheme val="minor"/>
      </rPr>
      <t>Meter Data Services</t>
    </r>
    <r>
      <rPr>
        <sz val="10"/>
        <color theme="1"/>
        <rFont val="Calibri"/>
        <family val="2"/>
        <scheme val="minor"/>
      </rPr>
      <t xml:space="preserve"> - A Small Business TOU - Type 6 Meter service will contain 3 type 6 meters (one each for peak, shoulder and offpeak) at the premise and therefore 3 separate data streams.  Therefore the data services costs are 3 times that of a standard Small Business Anytime service with 1 type 6 meter and 1 data stream.
</t>
    </r>
    <r>
      <rPr>
        <b/>
        <sz val="10"/>
        <color theme="1"/>
        <rFont val="Calibri"/>
        <family val="2"/>
        <scheme val="minor"/>
      </rPr>
      <t>Meter Maintenance</t>
    </r>
    <r>
      <rPr>
        <sz val="10"/>
        <color theme="1"/>
        <rFont val="Calibri"/>
        <family val="2"/>
        <scheme val="minor"/>
      </rPr>
      <t xml:space="preserve"> - A Small Business TOU - Type 6 Meter service will contain 3 type 6 meters (one each for peak, shoulder and offpeak) at the premise.  Therefore the maintenance costs are 3 times that of a standard Small Business Anytime service with 1 type 6 meter.
</t>
    </r>
  </si>
  <si>
    <t>CPI Assumption</t>
  </si>
  <si>
    <r>
      <rPr>
        <b/>
        <sz val="10"/>
        <color theme="1"/>
        <rFont val="Calibri"/>
        <family val="2"/>
        <scheme val="minor"/>
      </rPr>
      <t>Meter Reading</t>
    </r>
    <r>
      <rPr>
        <sz val="10"/>
        <color theme="1"/>
        <rFont val="Calibri"/>
        <family val="2"/>
        <scheme val="minor"/>
      </rPr>
      <t xml:space="preserve"> - receives a value of 5 to ensure meter reading costs balance to $37 per annum.  This is based on the fact that current Endeavour Energy policy is to put a modem on all type 5 meters so they can be read remotely.  $37 per annum represents the average annual telecommunications charge to dial the sim.
</t>
    </r>
    <r>
      <rPr>
        <b/>
        <sz val="10"/>
        <color theme="1"/>
        <rFont val="Calibri"/>
        <family val="2"/>
        <scheme val="minor"/>
      </rPr>
      <t>Meter Data Services</t>
    </r>
    <r>
      <rPr>
        <sz val="10"/>
        <color theme="1"/>
        <rFont val="Calibri"/>
        <family val="2"/>
        <scheme val="minor"/>
      </rPr>
      <t xml:space="preserve"> - receives a value of 19 to ensure meter data costs balance to approx. $115 per annum.  This is based on work performed to build up a type 5 meter cost where it was identified that a certain number of FTE's in the Metering Information branch work on interval meter validation, estimation and substitution.
</t>
    </r>
    <r>
      <rPr>
        <b/>
        <sz val="10"/>
        <color theme="1"/>
        <rFont val="Calibri"/>
        <family val="2"/>
        <scheme val="minor"/>
      </rPr>
      <t>Meter Maintenance</t>
    </r>
    <r>
      <rPr>
        <sz val="10"/>
        <color theme="1"/>
        <rFont val="Calibri"/>
        <family val="2"/>
        <scheme val="minor"/>
      </rPr>
      <t xml:space="preserve"> - receives a value of 3 as a result of anecdotal business intelligence which suggests that type 5 meters fail more frequently and take longer to fix than type 6 meters, with the total costs similar to a premise with 3 type 6 meters.
</t>
    </r>
  </si>
  <si>
    <r>
      <t xml:space="preserve">The method used to develop unit rates for types 5 and 6 Metering Service charges has 3 distinct phases:
1) Calculate the annual recoverable costs associated with types 5 and 6 Metering Services over the next regulatory control period;
2) Forecast customer numbers and calculate the number of services for each defined metering service customer category;
3) Calculate unit rates based on the information calculated in phases 1 and 2 above.
</t>
    </r>
    <r>
      <rPr>
        <b/>
        <i/>
        <sz val="10"/>
        <color theme="1"/>
        <rFont val="Calibri"/>
        <family val="2"/>
        <scheme val="minor"/>
      </rPr>
      <t/>
    </r>
  </si>
  <si>
    <t xml:space="preserve">Residential Anytime is used as a base and will maintain a value of 1.  Other categories will be assessed with reference to the relative increased or reduced cost to service these customer compared to this baseline.  In addition, all customer categories will have a value of 1 for Opening RAB and Replacement Capex expenditure.  This is based on ensuring customers are not penalised for decisions made before the implementation of Metering Service Charges.  This also applies to Replacement Capex as Endeavour Energy will only change a meter under a bulk replacement program with the same meter installed at the premise. </t>
  </si>
  <si>
    <r>
      <rPr>
        <b/>
        <sz val="10"/>
        <color theme="1"/>
        <rFont val="Calibri"/>
        <family val="2"/>
        <scheme val="minor"/>
      </rPr>
      <t>Meter Reading</t>
    </r>
    <r>
      <rPr>
        <sz val="10"/>
        <color theme="1"/>
        <rFont val="Calibri"/>
        <family val="2"/>
        <scheme val="minor"/>
      </rPr>
      <t xml:space="preserve"> - Although a Residential TOU - Type 6 Meter service will contain 3 type 6 meters (one each for peak, shoulder and offpeak) the weighting receives a value of 1 as meter reading costs for type 6 meters are charged based on customer account, not on the number of meters located at the premises.
</t>
    </r>
    <r>
      <rPr>
        <b/>
        <sz val="10"/>
        <color theme="1"/>
        <rFont val="Calibri"/>
        <family val="2"/>
        <scheme val="minor"/>
      </rPr>
      <t>Meter Data Services</t>
    </r>
    <r>
      <rPr>
        <sz val="10"/>
        <color theme="1"/>
        <rFont val="Calibri"/>
        <family val="2"/>
        <scheme val="minor"/>
      </rPr>
      <t xml:space="preserve"> - A Residential TOU - Type 6 Meter service will contain 3 type 6 meters (one each for peak, shoulder and offpeak) at the premise and therefore have 3 separate data streams.  Therefore it is expected that the data services costs are 3 times that of a standard Residential Anytime service with 1 type 6 meter and 1 data stream.
</t>
    </r>
    <r>
      <rPr>
        <b/>
        <sz val="10"/>
        <color theme="1"/>
        <rFont val="Calibri"/>
        <family val="2"/>
        <scheme val="minor"/>
      </rPr>
      <t>Meter Maintenance</t>
    </r>
    <r>
      <rPr>
        <sz val="10"/>
        <color theme="1"/>
        <rFont val="Calibri"/>
        <family val="2"/>
        <scheme val="minor"/>
      </rPr>
      <t xml:space="preserve"> - A Residential TOU - Type 6 Meter service will contain 3 type 6 meters (one each for peak, shoulder and offpeak) at the premise.  Therefore, it is expected that the maintenance costs are 3 times that of a standard Residential Anytime service with 1 type 6 meter.
</t>
    </r>
  </si>
  <si>
    <r>
      <rPr>
        <b/>
        <sz val="10"/>
        <color theme="1"/>
        <rFont val="Calibri"/>
        <family val="2"/>
        <scheme val="minor"/>
      </rPr>
      <t>Meter Reading</t>
    </r>
    <r>
      <rPr>
        <sz val="10"/>
        <color theme="1"/>
        <rFont val="Calibri"/>
        <family val="2"/>
        <scheme val="minor"/>
      </rPr>
      <t xml:space="preserve"> - receives a value of 5 to ensure meter reading costs balance to $37 per annum.  This is based on the fact that current Endeavour Energy policy is to put a modem on all type 5 meters so they can be read remotely.  $37 per annum represents the annual telecommunications charge to dial the sim.
</t>
    </r>
    <r>
      <rPr>
        <b/>
        <sz val="10"/>
        <color theme="1"/>
        <rFont val="Calibri"/>
        <family val="2"/>
        <scheme val="minor"/>
      </rPr>
      <t>Meter Data Services</t>
    </r>
    <r>
      <rPr>
        <sz val="10"/>
        <color theme="1"/>
        <rFont val="Calibri"/>
        <family val="2"/>
        <scheme val="minor"/>
      </rPr>
      <t xml:space="preserve"> - receives a value of 19 to ensure meter data costs balance to approx. $115 per annum.  This is based on work performed to build up a type 5 meter cost where it was identified that a certain number of FTE's in the Metering Information branch work on interval meter validation, estimation and substitution.
</t>
    </r>
    <r>
      <rPr>
        <b/>
        <sz val="10"/>
        <color theme="1"/>
        <rFont val="Calibri"/>
        <family val="2"/>
        <scheme val="minor"/>
      </rPr>
      <t>Meter Maintenance</t>
    </r>
    <r>
      <rPr>
        <sz val="10"/>
        <color theme="1"/>
        <rFont val="Calibri"/>
        <family val="2"/>
        <scheme val="minor"/>
      </rPr>
      <t xml:space="preserve"> - receives a value of 9 as a result of business intelligence which suggests that type 5 meters fail more frequently and take longer to fix than type 6 meters and small business CT meters require more maintenance and testing than residential whole current meters.  
</t>
    </r>
  </si>
  <si>
    <t>2. RAB Depreciation Over 5 Years</t>
  </si>
  <si>
    <t>Includes material cost only for Type 5 &amp; 6 meters related to new sites.  Will be recovered via upfront charges to individual customers.  New meters are installed by ASPs and customers pay ASPs directly for this service.  Therefore MC106 does not relate to this project.</t>
  </si>
  <si>
    <t>Related to smart meters (labour and meter).</t>
  </si>
  <si>
    <t>Half WACC applied to the total capex to reflect the fact that on average purchased meters are held for 6 months.</t>
  </si>
  <si>
    <t>Depreciation - 5 years</t>
  </si>
  <si>
    <t>Total (excluding overheads)</t>
  </si>
  <si>
    <t>Overhead factor</t>
  </si>
  <si>
    <t>Total (including overheads)</t>
  </si>
  <si>
    <t>Meter Handling &amp; Issue Cost Per Meter</t>
  </si>
  <si>
    <t>Personnel (Hoxton Park)</t>
  </si>
  <si>
    <t>Personnel (Springhill)</t>
  </si>
  <si>
    <t>Average of 4 personnel at Penrith Depot</t>
  </si>
  <si>
    <t>Pre-Tax Real WACC</t>
  </si>
  <si>
    <t>S610 - Market Operations Admin</t>
  </si>
  <si>
    <t>S620 - Field Operations</t>
  </si>
  <si>
    <t>Total Market Operations</t>
  </si>
  <si>
    <t>E700 - Manager Meter Data</t>
  </si>
  <si>
    <t>E720 - Data Services</t>
  </si>
  <si>
    <t>E730 - National Meter Data Provider</t>
  </si>
  <si>
    <t>E750 - Business Development</t>
  </si>
  <si>
    <t>E760 - Policy &amp; Compliance</t>
  </si>
  <si>
    <t>S010 - FRC Operations</t>
  </si>
  <si>
    <t>Metering 5-6 - Direct</t>
  </si>
  <si>
    <t>Metering 5-6 - Specific</t>
  </si>
  <si>
    <t>Metering 5-6 - Network OH</t>
  </si>
  <si>
    <t>Metering 5-6 - Corporate OH</t>
  </si>
  <si>
    <t>1/ Obtain costs for the purchase of meters from current meter supply contracts.</t>
  </si>
  <si>
    <t>2/ Apply a rate of return to the meter cost, presuming a 6 month holding period.  Tax impact is factored into this calculation by using a pre-tax real WACC.</t>
  </si>
  <si>
    <t>Pre-tax Real WACC</t>
  </si>
  <si>
    <t>Based on discussion with Metering and Regional personnel, 3 FTEs are involved in the handling and issue of new meters to ASPs within Endeavour's network area.  The costs related to these individuals is shown below.</t>
  </si>
  <si>
    <t>Billing</t>
  </si>
  <si>
    <t>Import</t>
  </si>
  <si>
    <t>Total Board Report</t>
  </si>
  <si>
    <t>NSW Solar Bonus Scheme</t>
  </si>
  <si>
    <t>F82A - General Supply  TOU</t>
  </si>
  <si>
    <t>RTA traffic control signals</t>
  </si>
  <si>
    <t>Other unmetered supplies</t>
  </si>
  <si>
    <t>F29 - HV TOU DEMAND</t>
  </si>
  <si>
    <t>N23 - Transitional 2007 11 kV</t>
  </si>
  <si>
    <t>N24 - Transitional 2007 11 kV</t>
  </si>
  <si>
    <t>F39 - SUBTRANS TOU DEMAND</t>
  </si>
  <si>
    <t>NBB - GSE Bateman Bay</t>
  </si>
  <si>
    <t>NBHP - BHP Delta</t>
  </si>
  <si>
    <t>NCF - EA Carlingford</t>
  </si>
  <si>
    <t>NGF - EA Guildford</t>
  </si>
  <si>
    <t>NMN - GSE Moruya</t>
  </si>
  <si>
    <t>Estimated number of new meters in 2013/14</t>
  </si>
  <si>
    <t>Metering Service unit rates were calculated per metering service and with recovery of the opening RAB over 5 years.</t>
  </si>
  <si>
    <t>Owner: Commercial Manager Networks</t>
  </si>
  <si>
    <t xml:space="preserve">Return on assets calculated as 50% of the pre-tax real WACC multiplied by the contract purchase price. </t>
  </si>
  <si>
    <t>Source: TM1 Project Reporting Cube</t>
  </si>
  <si>
    <t>Source: TM1 PNL cube</t>
  </si>
  <si>
    <t>1415 Budget SRP</t>
  </si>
  <si>
    <t>1415 SRP</t>
  </si>
  <si>
    <t>Source: TM1 NUoS Cube</t>
  </si>
  <si>
    <t>Owner: Regulatory Strategy Manager</t>
  </si>
  <si>
    <t xml:space="preserve">The Australian Energy Regulatory (AER) is required to publish a ‘Framework and approach paper’ (F&amp;A), the contents of which are set out under cl 6.8.1of the National Electricity Rules (NER). Under cl 6.8.1(b)(2)(i) the AER is to specify the ‘classification of distribution services’.
In March 2013 the AER published the F&amp;A (Stage 1) paper setting out their proposed approach to classification of distribution services in NSW for both the transitional regulatory control period (1 July 2014 to 30 June 2015) and for the subsequent regulatory control period (1 July 2015 to 30 June 2019). As outlined under cl 11.56.3(h)(1) and (2) of the NER the classification of distribution services and the form of, and formulae to give effect to, the control mechanism for newly classified distribution services is to be the same for the transitional and subsequent regulatory control periods.
The AER have classified metering types 5-6 provision, maintenance, reading and data services as an ‘Alternative Control Service’ with a cap on prices as the form of control (collectively referred to as Metering Service charges). As per cl 6.12.3(b) the NSW DNSPs must adopt the classifications set out in the F&amp;A paper in our upcoming determinations unless we consider that unforeseen circumstances justify departing from them.
This means Endeavour Energy will unbundle types 5 and 6 metering prices from our standard control services / DUoS prices.  This task involves identifying and separating the costs (opex and capex) related to types 5 and 6 metering provision, maintenance, reading and data services and calculating unit rates based on forecast customer numbers so that these costs can be recovered over the next regulatory control period from Metering Service charges.
</t>
  </si>
  <si>
    <t>Once forecast recoverable costs were calculated for operating expenditure, replacement capex and the opening RAB, these were added together to calculate the annual recoverable cost amount each year for the period 2014/15 to 2018/19.</t>
  </si>
  <si>
    <t>This worksheet is left blank intentionally</t>
  </si>
  <si>
    <t>Annual Opening RAB Recovery Charge - with WACC</t>
  </si>
  <si>
    <t>Source: Metering Information Branch</t>
  </si>
  <si>
    <t>Pricing Calculation (Per Service)</t>
  </si>
  <si>
    <t>Opening RAB Workings</t>
  </si>
  <si>
    <t>Historic Metering Capex</t>
  </si>
  <si>
    <t>Total Recoverable Costs /  Proposed Revenue</t>
  </si>
  <si>
    <t>TM1 Parameters</t>
  </si>
  <si>
    <t>Expense Element</t>
  </si>
  <si>
    <t>Operating</t>
  </si>
  <si>
    <t>24 - Prescribed Metering</t>
  </si>
  <si>
    <t>60 - Internal Metering</t>
  </si>
  <si>
    <t>00 - No Activity</t>
  </si>
  <si>
    <t>00 - No sub-activity</t>
  </si>
  <si>
    <t>82 - Meetings/Wet weather/Team Brief</t>
  </si>
  <si>
    <t>05 - Corporate Services</t>
  </si>
  <si>
    <t>45 - Management and Supervision</t>
  </si>
  <si>
    <t>82 - Ellipse Projects</t>
  </si>
  <si>
    <t>56 - Maintainance/Regulatory Compliance</t>
  </si>
  <si>
    <t>29 - Re-organisation</t>
  </si>
  <si>
    <t>61 - External Metering</t>
  </si>
  <si>
    <t>42 - Safety</t>
  </si>
  <si>
    <t>E430 - Network Property Management</t>
  </si>
  <si>
    <t>F010 - Commercial &amp; Decision Support</t>
  </si>
  <si>
    <t>A103 - Protection</t>
  </si>
  <si>
    <t>C800 - Secondary Systems</t>
  </si>
  <si>
    <t>E240 - SCADA &amp; Communications</t>
  </si>
  <si>
    <t>E300 - Asset &amp; Network Planning</t>
  </si>
  <si>
    <t>E330 - Distribution Network Planning</t>
  </si>
  <si>
    <t>E370 - Reliability Planning</t>
  </si>
  <si>
    <t>E400 - Customer Connections Mgmt</t>
  </si>
  <si>
    <t>E410 - Customer Contestability</t>
  </si>
  <si>
    <t>E420 - Contractor Operations</t>
  </si>
  <si>
    <t>E440 - Major Network Customers</t>
  </si>
  <si>
    <t>A910 - Regional Services Manager - North</t>
  </si>
  <si>
    <t>A970 - Transmission Manager North</t>
  </si>
  <si>
    <t>A971 - Transmission OH Mains</t>
  </si>
  <si>
    <t>A972 - Transmission Subs Maintenance</t>
  </si>
  <si>
    <t>A974 - Protection and Control</t>
  </si>
  <si>
    <t>A810 - Regional Services Manager - Central</t>
  </si>
  <si>
    <t>A841 - Operations Mgr - Heavy Plant</t>
  </si>
  <si>
    <t>A835 - Transformer Workshop</t>
  </si>
  <si>
    <t>A872 - Transmission Substations - Central</t>
  </si>
  <si>
    <t>A873 - Transmission Technologies - Central</t>
  </si>
  <si>
    <t>A710 - Regional Services Manager - South</t>
  </si>
  <si>
    <t>A731 - Distribution Manager - Wollongong</t>
  </si>
  <si>
    <t>A752 - Distribution Manager - Shoalhaven</t>
  </si>
  <si>
    <t>A771 - Transmission Mains - South</t>
  </si>
  <si>
    <t>A772 - Transmission Substations - South</t>
  </si>
  <si>
    <t>A773 - Transmission Technologies - South</t>
  </si>
  <si>
    <t>A774 - Transmission Technologies Testing - South</t>
  </si>
  <si>
    <t>A101 - Transmission Major Projects</t>
  </si>
  <si>
    <t>A109 - Transmission Major Projects</t>
  </si>
  <si>
    <t>A105 - Capital Programs</t>
  </si>
  <si>
    <t>A102 - Transmission Substation Development</t>
  </si>
  <si>
    <t>A104 - Transmission Mains Development</t>
  </si>
  <si>
    <t>A107 - Transmission Substation Electrical Design</t>
  </si>
  <si>
    <t>A114 - Transmission Civil Development</t>
  </si>
  <si>
    <t>A610 - Business Services</t>
  </si>
  <si>
    <t>B000 - Board</t>
  </si>
  <si>
    <t>B100 - Office of COO</t>
  </si>
  <si>
    <t>B101 - COO Financial Adjustments</t>
  </si>
  <si>
    <t>H200 - GM Health, Safety and Environment</t>
  </si>
  <si>
    <t>H210 - HSE Management Systems &amp; Reporting</t>
  </si>
  <si>
    <t>H230 - Health Services &amp; Injury Management</t>
  </si>
  <si>
    <t>H240 - HSE Assurance &amp; Improvements</t>
  </si>
  <si>
    <t>C520 - Corporate Environment</t>
  </si>
  <si>
    <t>H220 - Public &amp; Operational Safety</t>
  </si>
  <si>
    <t>X000 - General Management – People &amp; Services</t>
  </si>
  <si>
    <t>B200 - Internal Audit</t>
  </si>
  <si>
    <t>C200 - Corporate &amp; Government Affairs Management</t>
  </si>
  <si>
    <t>C210 - Media Relations</t>
  </si>
  <si>
    <t>C220 - Strategic Issues Management</t>
  </si>
  <si>
    <t>C230 - Internal Communication</t>
  </si>
  <si>
    <t>C240 - Community Relations &amp; Sponsorships</t>
  </si>
  <si>
    <t>C250 - Corporate Social Responsibility</t>
  </si>
  <si>
    <t>C510 - Brand, Advertising &amp; Commerce</t>
  </si>
  <si>
    <t>S710 - Stores Management</t>
  </si>
  <si>
    <t>S711 - Central Store</t>
  </si>
  <si>
    <t>11 - Third Party Recoveries</t>
  </si>
  <si>
    <t>RF - Fault and Emergency Repairs</t>
  </si>
  <si>
    <t>S712 - Pole Yard</t>
  </si>
  <si>
    <t>S320 - Contracts &amp; Procurement</t>
  </si>
  <si>
    <t>S220 - Facilities Support - FSC</t>
  </si>
  <si>
    <t>S230 - Facilities Support - Office Accommodation</t>
  </si>
  <si>
    <t>53 - Non Infrastructure Properties</t>
  </si>
  <si>
    <t>RM - Repairs and Maintenance - Buildings</t>
  </si>
  <si>
    <t>S500 - Security Management</t>
  </si>
  <si>
    <t>S210 - Property Portfolio Management</t>
  </si>
  <si>
    <t>50 - Commercial Properties</t>
  </si>
  <si>
    <t>S300 - Fleet &amp; Property Management</t>
  </si>
  <si>
    <t>S750 - Fleet Management</t>
  </si>
  <si>
    <t>55 - Fleet Management</t>
  </si>
  <si>
    <t>65 - Cars</t>
  </si>
  <si>
    <t>S751 - Fleet Operations</t>
  </si>
  <si>
    <t>67 - Trucks</t>
  </si>
  <si>
    <t>S752 - Vehicle Workshops</t>
  </si>
  <si>
    <t>83 - Equipment Maintenance / Small Tools</t>
  </si>
  <si>
    <t>44 - Distribution OH Mains Maintenance</t>
  </si>
  <si>
    <t>66 - Light Vehicles</t>
  </si>
  <si>
    <t>68 - Plant</t>
  </si>
  <si>
    <t>S753 - Fabrication Workshop</t>
  </si>
  <si>
    <t>H400 - Employee Relations</t>
  </si>
  <si>
    <t>H300 - Learning &amp; Development</t>
  </si>
  <si>
    <t>E360 - Cadet &amp; Graduate Engineers</t>
  </si>
  <si>
    <t>H700 - Employee Mobility</t>
  </si>
  <si>
    <t>H710 - Redeployment Program</t>
  </si>
  <si>
    <t>H500 - Recruitment</t>
  </si>
  <si>
    <t>H800 - HR Services</t>
  </si>
  <si>
    <t>S400 - Customer Interaction Centre Management</t>
  </si>
  <si>
    <t>S410 - CIC Operations (Huntingwood)</t>
  </si>
  <si>
    <t>S600 - Mgr Customer Care</t>
  </si>
  <si>
    <t>S602 - Network</t>
  </si>
  <si>
    <t>R930 - Customer Service</t>
  </si>
  <si>
    <t>F000 - GM – Finance &amp; Compliance</t>
  </si>
  <si>
    <t>F020 - Financial Control</t>
  </si>
  <si>
    <t>C400 - Network Regulation</t>
  </si>
  <si>
    <t>C900 - General Counsel</t>
  </si>
  <si>
    <t>C101 - Governance, Risk &amp; Compliance</t>
  </si>
  <si>
    <t>C550 - PMO and Corporate Planning</t>
  </si>
  <si>
    <t>H110 - Payroll</t>
  </si>
  <si>
    <t>F610 - Accounts Payable</t>
  </si>
  <si>
    <t>I550 - General Manager</t>
  </si>
  <si>
    <t>I505 - ICT Program Delivery</t>
  </si>
  <si>
    <t>I500 - ICT Information &amp; Integration</t>
  </si>
  <si>
    <t>I600 - ICT Operations</t>
  </si>
  <si>
    <t>I610 - ICT Strategy &amp; Architecture</t>
  </si>
  <si>
    <t>I350 - ICT Contracts &amp; Commercial</t>
  </si>
  <si>
    <t>I000 - IT&amp;T Operating Projects</t>
  </si>
  <si>
    <t>G100 - Group CEO/Board Secretary</t>
  </si>
  <si>
    <t>G101 - Group CFO</t>
  </si>
  <si>
    <t>G102 - Group Executive Network Strategy</t>
  </si>
  <si>
    <t>G103 - Group Executive People &amp; Services</t>
  </si>
  <si>
    <t>1. Extract customer numbers by tariff from the TM1 NUoS cube</t>
  </si>
  <si>
    <r>
      <t xml:space="preserve">Aim: </t>
    </r>
    <r>
      <rPr>
        <sz val="10"/>
        <color theme="1"/>
        <rFont val="Calibri"/>
        <family val="2"/>
        <scheme val="minor"/>
      </rPr>
      <t>To extract customer numbers from the TM1 NUoS cube which will be used to determine Metering Service unit rates for those customers receiving a service supported by a type 5 or 6 meter.</t>
    </r>
  </si>
  <si>
    <r>
      <rPr>
        <sz val="10"/>
        <color theme="1"/>
        <rFont val="Calibri"/>
        <family val="2"/>
        <scheme val="minor"/>
      </rPr>
      <t>1/</t>
    </r>
    <r>
      <rPr>
        <b/>
        <sz val="10"/>
        <color theme="1"/>
        <rFont val="Calibri"/>
        <family val="2"/>
        <scheme val="minor"/>
      </rPr>
      <t xml:space="preserve"> </t>
    </r>
    <r>
      <rPr>
        <sz val="10"/>
        <color theme="1"/>
        <rFont val="Calibri"/>
        <family val="2"/>
        <scheme val="minor"/>
      </rPr>
      <t>Extract historic and forecast customer numbers by network tariff from the TM1 NUoS cube and map each network tariff to the relevant Metering Service category.  Calculate average customer numbers for the year based on the average of opening and closing customer numbers.</t>
    </r>
  </si>
  <si>
    <t>2. Calculate the number of metering services</t>
  </si>
  <si>
    <t>1. Calculate the number of customers with type 5 &amp; 6 metering and map to the relevant metering service category</t>
  </si>
  <si>
    <t>3. Summarise the number of service by metering service category</t>
  </si>
  <si>
    <t>Metering Service Volumes</t>
  </si>
  <si>
    <r>
      <t xml:space="preserve">Aim: </t>
    </r>
    <r>
      <rPr>
        <sz val="10"/>
        <color theme="1"/>
        <rFont val="Calibri"/>
        <family val="2"/>
        <scheme val="minor"/>
      </rPr>
      <t>Extract historic metering related capex data from TM1 Project Reporting cube.  This information will be used to calculate the proportion of the closing RAB which relates to meters only (i.e. exclude amount related to relays).</t>
    </r>
  </si>
  <si>
    <r>
      <t xml:space="preserve">Aim:  </t>
    </r>
    <r>
      <rPr>
        <sz val="10"/>
        <color theme="1"/>
        <rFont val="Calibri"/>
        <family val="2"/>
        <scheme val="minor"/>
      </rPr>
      <t>To calculate a ratio that can be applied to the 2014/15 opening Metering RAB in order to isolate the RAB related to Type 5 and 6 meters only and therefore exclude relays (load control) and meter trials/pilots which are considered a Standard Control Service.</t>
    </r>
  </si>
  <si>
    <t>1/ Extract the Type 5 &amp; 6 metering component from the 'Customer metering and load control' asset class using the ratio calculated based on historic capex.  A portion of non-system assets is also allocated to this metering RAB to acknowledge the metering related use of these assets.</t>
  </si>
  <si>
    <t>1/ Calculate the amount required to be recovered from customers each year over the next regulatory period through Metering Services unit rates in relation to opening RAB.  This is achieved by calculating the annual recoverable amount taking into consideration inflation on the annual opening balance, annual depreciation and WACC recovery.</t>
  </si>
  <si>
    <t>2/ Calculate the recoverable type 5 &amp; 6 replacement capex, taking into consideration a suitable WACC recovery for holding metering inventory.</t>
  </si>
  <si>
    <t>Calculation Methodology:</t>
  </si>
  <si>
    <t>Index (for Opening RAB worksheet)</t>
  </si>
  <si>
    <r>
      <rPr>
        <b/>
        <sz val="10"/>
        <color theme="1"/>
        <rFont val="Calibri"/>
        <family val="2"/>
        <scheme val="minor"/>
      </rPr>
      <t>Meter Reading / Meter Data Services</t>
    </r>
    <r>
      <rPr>
        <sz val="10"/>
        <color theme="1"/>
        <rFont val="Calibri"/>
        <family val="2"/>
        <scheme val="minor"/>
      </rPr>
      <t xml:space="preserve"> - receives a value of 0.1 on the basis that Controlled Load represents a secondary service and therefore the incremental cost to provide this service is a small proportion of the cost to provide the primary service.
</t>
    </r>
    <r>
      <rPr>
        <b/>
        <sz val="10"/>
        <color theme="1"/>
        <rFont val="Calibri"/>
        <family val="2"/>
        <scheme val="minor"/>
      </rPr>
      <t xml:space="preserve">Meter Maintenance - </t>
    </r>
    <r>
      <rPr>
        <sz val="10"/>
        <color theme="1"/>
        <rFont val="Calibri"/>
        <family val="2"/>
        <scheme val="minor"/>
      </rPr>
      <t>receives a value of 0.7 on the basis that secondary meters are generally single phase meters compared to the primary service that is frequently multiple and/or polyphase meters.</t>
    </r>
  </si>
  <si>
    <t>1. Macro Economic Variables</t>
  </si>
  <si>
    <t>2. Meter Service Category Weightings</t>
  </si>
  <si>
    <t>1. Contract purchase price</t>
  </si>
  <si>
    <t>2. Rate of return on assets</t>
  </si>
  <si>
    <t>3. Meter handling and issue costs</t>
  </si>
  <si>
    <r>
      <t xml:space="preserve">Aim: </t>
    </r>
    <r>
      <rPr>
        <sz val="10"/>
        <color theme="1"/>
        <rFont val="Calibri"/>
        <family val="2"/>
        <scheme val="minor"/>
      </rPr>
      <t>To summarise Metering Service unit rates on a per service basis for each year in the regulatory period. A five year average is also presented.</t>
    </r>
  </si>
  <si>
    <r>
      <t xml:space="preserve">The method used to develop unit rates for types 5 and 6 Metering Service charges is based on the concept of </t>
    </r>
    <r>
      <rPr>
        <i/>
        <sz val="10"/>
        <color theme="1"/>
        <rFont val="Calibri"/>
        <family val="2"/>
        <scheme val="minor"/>
      </rPr>
      <t>annual recoverable costs</t>
    </r>
    <r>
      <rPr>
        <sz val="10"/>
        <color theme="1"/>
        <rFont val="Calibri"/>
        <family val="2"/>
        <scheme val="minor"/>
      </rPr>
      <t xml:space="preserve">.  More specifically, this involves forecasting the costs related to types 5 and 6 Metering Services which need to be recovered from Metering Service unit rates each year during the next regulatory control period.  The costs required to be recovered include annual operating expenditure, replacement capital expenditure and the opening Regulatory Asset Base (RAB), each of which are discussed in more detail below: </t>
    </r>
  </si>
  <si>
    <t>PRICING OPTION  - PER SERVICE (annual nominal price with 5 year depreciation of existing metering asset base and 1 year depreciation of replacement capex)</t>
  </si>
  <si>
    <t>December 2014</t>
  </si>
  <si>
    <r>
      <t xml:space="preserve">Aim:  </t>
    </r>
    <r>
      <rPr>
        <sz val="10"/>
        <color theme="1"/>
        <rFont val="Calibri"/>
        <family val="2"/>
        <scheme val="minor"/>
      </rPr>
      <t>To calculate forecast customer numbers and number of services related to those customers who have a type 5 or 6 meter for the purposes of calculating Metering Service annual charges.</t>
    </r>
  </si>
  <si>
    <t>2/ Multiply the customer numbers for each tariff by the number of services applicable to the tariff to calculate forecast number of services.  This is required to ensure those on combined tariffs (i.e. receiving 2 or more services on one tariff) pay an equivalent amount for metering services compared to customers with the same services but on two individual tariffs.  Calculate average number of services for the year based on opening and closing number of services.</t>
  </si>
  <si>
    <t>Substantive Regulatory Proposal</t>
  </si>
  <si>
    <t>Type 5 &amp; 6 Metering Services</t>
  </si>
  <si>
    <r>
      <t xml:space="preserve">Aim: </t>
    </r>
    <r>
      <rPr>
        <sz val="10"/>
        <color theme="1"/>
        <rFont val="Calibri"/>
        <family val="2"/>
        <scheme val="minor"/>
      </rPr>
      <t>To calculate revised metering replacement capital expenditure for the purposes of determining the replacement capex recoverable amount related to Type 5 &amp; 6 metering services.</t>
    </r>
  </si>
  <si>
    <t>1/ Extract metering related capex by project from the system capex data used in the preparation of the Revised Regulatory Proposal.</t>
  </si>
  <si>
    <t>2/ Based on the reduction to replacement capex volumes proposed in section 8.2.2 of the revised proposal, calculate the adjusted metering replacement capital expenditure.</t>
  </si>
  <si>
    <t>3/ Calculate the reduction to the originally proposed replacement capital expenditure.</t>
  </si>
  <si>
    <t>1. Extract forecast metering related capex by project from the revised SAMP (incl allocated switching &amp; capitalised overheads)</t>
  </si>
  <si>
    <t>Profile</t>
  </si>
  <si>
    <t>Assumed volumes</t>
  </si>
  <si>
    <t>New volumes</t>
  </si>
  <si>
    <t>Reduction $ (nominal)</t>
  </si>
  <si>
    <t>CPI</t>
  </si>
  <si>
    <t>2. Adjustment metering capex to reflect reduced volumes (incl allocated switching &amp; capitalised overheads)</t>
  </si>
  <si>
    <t>3. Reduction in metering capex (incl allocated switching &amp; capitalised overheads)</t>
  </si>
  <si>
    <t>Total capex (nominal)</t>
  </si>
  <si>
    <t>Originally proposed capex (nominal)</t>
  </si>
  <si>
    <t>Reduction %</t>
  </si>
  <si>
    <t>Source: &lt; 1516 RRP System Capex Post Labour Adjustment &amp; Attrition &gt;</t>
  </si>
  <si>
    <t>Forecast Metering Capex</t>
  </si>
  <si>
    <t>Project Org Unit</t>
  </si>
  <si>
    <t>WO Exp Element</t>
  </si>
  <si>
    <t>1/ Extract historic metering related capex data from TM1 Project Reporting cube by project.</t>
  </si>
  <si>
    <t xml:space="preserve">1/ Extract metering related capex data by category from TM1 from 2009/10 onwards.  The calculation will be based on 2009/10 - 2013/14 actuals as the capex during this period will form the 30 June 2014 metering RAB balance (i.e. all metering capex incurred pre 2009/10 would be fully depreciated by 30 June 2014).  </t>
  </si>
  <si>
    <r>
      <t xml:space="preserve">Aim: </t>
    </r>
    <r>
      <rPr>
        <sz val="10"/>
        <color theme="1"/>
        <rFont val="Calibri"/>
        <family val="2"/>
        <scheme val="minor"/>
      </rPr>
      <t>To calculate the proportion of the closing balance (30 June 2014) of System and Non System RAB related to Type 5 and 6 meters which will be recovered via Metering Service unit rates.</t>
    </r>
  </si>
  <si>
    <r>
      <t xml:space="preserve">Aim: </t>
    </r>
    <r>
      <rPr>
        <sz val="10"/>
        <color theme="1"/>
        <rFont val="Calibri"/>
        <family val="2"/>
        <scheme val="minor"/>
      </rPr>
      <t>To calculate the amount required to be recovered from customers over the next regulatory period through Metering Services unit rates in relation to replacement capital expenditure.</t>
    </r>
  </si>
  <si>
    <t>1/ Calculate forecast type 5 &amp; 6 metering related capex based on the reduction to replacement capex volumes proposed in section 8.2.2 of the revised proposal.</t>
  </si>
  <si>
    <t>1. Forecast type 5 &amp; 6 meter replacement capex</t>
  </si>
  <si>
    <t xml:space="preserve"> 2013/14</t>
  </si>
  <si>
    <r>
      <t xml:space="preserve">Reconciled to </t>
    </r>
    <r>
      <rPr>
        <b/>
        <u/>
        <sz val="10"/>
        <color theme="1"/>
        <rFont val="Calibri"/>
        <family val="2"/>
        <scheme val="minor"/>
      </rPr>
      <t>audited</t>
    </r>
    <r>
      <rPr>
        <b/>
        <sz val="10"/>
        <color theme="1"/>
        <rFont val="Calibri"/>
        <family val="2"/>
        <scheme val="minor"/>
      </rPr>
      <t xml:space="preserve"> Reset RIN (2008/09 to 2012/13) and Category Analysis RIN (2013/14)</t>
    </r>
  </si>
  <si>
    <t>Reconciled to Endeavour Energy Original Proposal</t>
  </si>
  <si>
    <t>Metering Information - network &amp; corporate overheads</t>
  </si>
  <si>
    <t>Network &amp; corporate OH rate</t>
  </si>
  <si>
    <t>Total Metering Information</t>
  </si>
  <si>
    <t>Market Operations - network &amp; corporate overheads</t>
  </si>
  <si>
    <t>Total network &amp; corporate overheads</t>
  </si>
  <si>
    <t>Real 2014-15 $</t>
  </si>
  <si>
    <t>Conversion factor to 2014-15 $ (to align with AER workings)</t>
  </si>
  <si>
    <t>Total Recoverable Opex (Real 2014-15 $)</t>
  </si>
  <si>
    <t>Analysis Real 2014-15 $</t>
  </si>
  <si>
    <t>Average Type 5 &amp; 6 Customer Numbers</t>
  </si>
  <si>
    <t>Average Type 5 &amp; 6 Customer Services</t>
  </si>
  <si>
    <t>Recoverable Opex per Customer</t>
  </si>
  <si>
    <t>Recoverable Opex per Service</t>
  </si>
  <si>
    <t>Average recoverable opex per customer for 2008/09 to 2013/14</t>
  </si>
  <si>
    <t>Average recoverable opex per customer for 2014/15 to 2018/19</t>
  </si>
  <si>
    <t>growth</t>
  </si>
  <si>
    <t>Average recoverable opex per service for 2008/09 to 2013/14</t>
  </si>
  <si>
    <t>Average recoverable opex per service for 2014/15 to 2018/19</t>
  </si>
  <si>
    <t>Endeavour proposed recoverable opex (incl overheads)</t>
  </si>
  <si>
    <r>
      <t xml:space="preserve">AER substitute recoverable opex - $14 per customer </t>
    </r>
    <r>
      <rPr>
        <sz val="10"/>
        <color rgb="FF0070C0"/>
        <rFont val="Calibri"/>
        <family val="2"/>
        <scheme val="minor"/>
      </rPr>
      <t>(Note A)</t>
    </r>
  </si>
  <si>
    <t>Variance $</t>
  </si>
  <si>
    <t>Variance %</t>
  </si>
  <si>
    <t>Endeavour Proposed Recoverable Operating Expenditure</t>
  </si>
  <si>
    <t>The AER have stipulated that "an average of multiple years to be a better measure of a business' efficient base" (pg 16-41). Endeavour Energy see the merits of this argument and as a result have re-forecast recoverable opex based on the following methodology:</t>
  </si>
  <si>
    <r>
      <t xml:space="preserve">(i) Calculate the average recoverable direct opex </t>
    </r>
    <r>
      <rPr>
        <b/>
        <i/>
        <sz val="10"/>
        <color theme="1"/>
        <rFont val="Calibri"/>
        <family val="2"/>
        <scheme val="minor"/>
      </rPr>
      <t>per service</t>
    </r>
    <r>
      <rPr>
        <sz val="10"/>
        <color theme="1"/>
        <rFont val="Calibri"/>
        <family val="2"/>
        <scheme val="minor"/>
      </rPr>
      <t xml:space="preserve"> for the period 2008/09 to 2013/14 using actual opex data reported in the audited Reset and Category Analysis RINs. Calculating opex per service rather than per customer is more appropriate given the number of services more closely aligns with the number of meters, which has a greater impact on opex than the number of customers alone. In addition, given the historic period includes the uptake of solar, which increased the number of services and meters in the population, not necessarily the number of customers, a per service calculation is much more appropriate.  </t>
    </r>
  </si>
  <si>
    <t>(ii) Apply the average recoverable direct opex per service to the forecast number of services for the period 2014/15 to 2018/19.</t>
  </si>
  <si>
    <t xml:space="preserve">(iii) Adjust for step change resulting from new compliance obligations imposed by NECF and the impacts of asbestos management (i.e. double bagging and specialised disposal procedures). Given NECF commenced in 2013/14, this step change is adjusted for by removing the NECF costs from the 2013/14 year (in real 2014/15 $), performing the two steps above and then adding a per service NECF rate to the forecast period. The costs of asbestos management commenced in 2012/13, therefore this step change is adjusted for by removing asbestos management costs from the 2012/13 and 2013/14 year (in real 2014/15 $), performing the two steps above and then adding a per service asbestos rate to the forecast period. </t>
  </si>
  <si>
    <t>Recoverable direct opex (Real 2014-15 $)</t>
  </si>
  <si>
    <t>Less: NECF opex (Real 2014-15 $)</t>
  </si>
  <si>
    <t>Less: Asbestos opex (Real 2014-15 $)</t>
  </si>
  <si>
    <t>Adjusted recoverable direct opex (Real 2014-15 $)</t>
  </si>
  <si>
    <t xml:space="preserve">Adjusted recoverable direct opex per service </t>
  </si>
  <si>
    <t>Average adjusted recoverable direct opex per service 2008/09 to 2013/14</t>
  </si>
  <si>
    <t>Forecast number of services</t>
  </si>
  <si>
    <t>Revised recoverable opex (Real 2014-15 $) - excl NECF &amp; asbestos step change</t>
  </si>
  <si>
    <t>NECF opex per service (from 2013/14 year)</t>
  </si>
  <si>
    <t>NECF recoverable opex (Real 2014-15 $)</t>
  </si>
  <si>
    <t>Asbestos opex per service (from 2012/13 and 2013/14 year)</t>
  </si>
  <si>
    <t>Revised recoverable opex (Real 2014-15 $) - incl NECF &amp; asbestos step change</t>
  </si>
  <si>
    <t>Revised recoverable direct opex (nominal)</t>
  </si>
  <si>
    <t>NECF Obligations in 2013/14</t>
  </si>
  <si>
    <r>
      <t xml:space="preserve">The following work orders were extracted from the </t>
    </r>
    <r>
      <rPr>
        <b/>
        <i/>
        <u/>
        <sz val="10"/>
        <color theme="1"/>
        <rFont val="Calibri"/>
        <family val="2"/>
        <scheme val="minor"/>
      </rPr>
      <t>audited</t>
    </r>
    <r>
      <rPr>
        <sz val="10"/>
        <color theme="1"/>
        <rFont val="Calibri"/>
        <family val="2"/>
        <scheme val="minor"/>
      </rPr>
      <t xml:space="preserve"> working files for the 2013/14 Category Analysis RIN:</t>
    </r>
  </si>
  <si>
    <t>NECF Notifications - Meter Testing</t>
  </si>
  <si>
    <t>NECF Printing - Meter Testing</t>
  </si>
  <si>
    <t>NECF Scheduler - Meter Testing</t>
  </si>
  <si>
    <t>NECF Agency Staff - Meter Testing</t>
  </si>
  <si>
    <t>NECF Printing Stationery Contractors</t>
  </si>
  <si>
    <t>Asbestos Obligations in 2012/13 and 2013/14</t>
  </si>
  <si>
    <r>
      <t xml:space="preserve">The following work orders were extracted from the </t>
    </r>
    <r>
      <rPr>
        <b/>
        <i/>
        <u/>
        <sz val="10"/>
        <color theme="1"/>
        <rFont val="Calibri"/>
        <family val="2"/>
        <scheme val="minor"/>
      </rPr>
      <t>audited</t>
    </r>
    <r>
      <rPr>
        <sz val="10"/>
        <color theme="1"/>
        <rFont val="Calibri"/>
        <family val="2"/>
        <scheme val="minor"/>
      </rPr>
      <t xml:space="preserve"> working files for the 2012/13 Reset RIN and 2013/14 Category Analysis RIN:</t>
    </r>
  </si>
  <si>
    <t>METER &amp; RELAY CLEANING - ASBESTOS</t>
  </si>
  <si>
    <t>Note A - the rate actually applied above is $14.35 per customer to balance to a total $35.5m reduction over 5 years. This is required because the AER did not use the correct number of type 5 and 6 customers (rather based on RIN data which was not split in this way).</t>
  </si>
  <si>
    <t>Metering Information - direct costs &amp; specifically allocated overheads</t>
  </si>
  <si>
    <t>Market Operations - direct costs &amp; specifically allocated overheads</t>
  </si>
  <si>
    <t>Total direct costs &amp; specifically allocated overheads</t>
  </si>
  <si>
    <t>Less: Specifically allocated Metering Branch overheads (Real 2014-15 $)</t>
  </si>
  <si>
    <t>1/ Summarise historic and forecast (original proposal) type 5 &amp; 6 metering operating expenditure (extracted from Reset and Category Analysis RINs) and convert to 2014-15 real dollars.</t>
  </si>
  <si>
    <t>1/ Summarise historic and forecast (original proposal) type 5 &amp; 6 metering operating expenditure</t>
  </si>
  <si>
    <t>2/ Metering services opex per customer and per service</t>
  </si>
  <si>
    <t>2/ Calculate the metering services opex per customer and per service for the historic period and reconcile to metering services opex outcomes proposed by the AER in their draft determination.</t>
  </si>
  <si>
    <t>3/ Revised forecast metering services direct opex</t>
  </si>
  <si>
    <t>3/ Calculate revised forecast metering services direct opex based on historic opex per service and forecast service volumes. Include step change adjustments for NECF and asbestos management compliance obligations in forecast period based on audited RIN data (refer below for more detailed calculations).</t>
  </si>
  <si>
    <t xml:space="preserve">4/ Apply new labour escalators and the same labour attrition rate applied to standard control services to reflect Endeavour Energy's ongoing commitment to improving efficiency and following application of the CAM to the revised opex proposal, identify the network and corporate overheads related to type 5 &amp; 6 metering services in order to calculate total recoverable opex. </t>
  </si>
  <si>
    <t>Source: Revised RAB Rollforward Model</t>
  </si>
  <si>
    <t>Refer to worksheet 'Forecast Metering Capex'</t>
  </si>
  <si>
    <t>4/ Revised forecast metering services opex (including overheads)</t>
  </si>
  <si>
    <t>Type 5 &amp; 6 metering services direct costs</t>
  </si>
  <si>
    <t>Less: Labour attrition</t>
  </si>
  <si>
    <t>Add: Labour escalators</t>
  </si>
  <si>
    <t>Add: Specifically allocated overheads (approved CAM output)</t>
  </si>
  <si>
    <t>Add: Network Overhead (approved CAM output)</t>
  </si>
  <si>
    <t>Add: Corporate Overhead (approved CAM output)</t>
  </si>
  <si>
    <t>AER Category</t>
  </si>
  <si>
    <t>1516 RRP</t>
  </si>
  <si>
    <t>Direct Costs</t>
  </si>
  <si>
    <t>A921 - Distribution - Hills</t>
  </si>
  <si>
    <t>96 - Customer Service work</t>
  </si>
  <si>
    <t>A931 - Distribution - Penrith</t>
  </si>
  <si>
    <t>A941 - Distribution - West</t>
  </si>
  <si>
    <t>A831 - Distribution - Hoxton Park</t>
  </si>
  <si>
    <t>A851 - Distribution - Narellan</t>
  </si>
  <si>
    <t>Specific Costs</t>
  </si>
  <si>
    <t>27 - Regulated Metering</t>
  </si>
  <si>
    <t>62 - Remote Meter Reading</t>
  </si>
  <si>
    <t>97 - Testing</t>
  </si>
  <si>
    <t>RC - Condition Based Maintenance</t>
  </si>
  <si>
    <t>RI - Inspection and Investigation</t>
  </si>
  <si>
    <t>Network Overhead</t>
  </si>
  <si>
    <t>27 - Process Improvement</t>
  </si>
  <si>
    <t>55 - Customer Services</t>
  </si>
  <si>
    <t>S430 - CIC Operations (Coniston)</t>
  </si>
  <si>
    <t>E500 - Chief Engineer</t>
  </si>
  <si>
    <t>E560 - Electrical Safety &amp; Authorisations</t>
  </si>
  <si>
    <t>43 - Training</t>
  </si>
  <si>
    <t>A106 - Substations</t>
  </si>
  <si>
    <t>70 - Standards</t>
  </si>
  <si>
    <t>77 - Contract Management</t>
  </si>
  <si>
    <t>A400 - Earthing &amp; Power Quality</t>
  </si>
  <si>
    <t>43 - Transmission Mains Maintenance</t>
  </si>
  <si>
    <t>A405 - Overheads and Underground Mains</t>
  </si>
  <si>
    <t>A440 - Primary Systems</t>
  </si>
  <si>
    <t>25 - Research and Development</t>
  </si>
  <si>
    <t>A441 - Maintenance</t>
  </si>
  <si>
    <t>31 - Vegetation</t>
  </si>
  <si>
    <t>40 - Transmission Substation Maintenance</t>
  </si>
  <si>
    <t>41 - Distribution Substation Maintenance</t>
  </si>
  <si>
    <t>45 - Distribution UG Mains Maintenance</t>
  </si>
  <si>
    <t>44 - OH&amp;S / Workers Compensation</t>
  </si>
  <si>
    <t>79 - Knowledge Management Projects</t>
  </si>
  <si>
    <t>TO - Applications - Software Development</t>
  </si>
  <si>
    <t>C530 - DSM Strategy &amp; Technology</t>
  </si>
  <si>
    <t>72 - DSM</t>
  </si>
  <si>
    <t>A630 - Network Data &amp; Performance</t>
  </si>
  <si>
    <t>35 - Other IT&amp;T</t>
  </si>
  <si>
    <t>E100 - Network Review &amp; Compliance</t>
  </si>
  <si>
    <t>E110 - Network Process Review</t>
  </si>
  <si>
    <t>E120 - Network Performance Review</t>
  </si>
  <si>
    <t>E510 - Regulatory Applications</t>
  </si>
  <si>
    <t>E610 - Network Investment Planning</t>
  </si>
  <si>
    <t>E620 - Renewal &amp; Maintenance Program</t>
  </si>
  <si>
    <t>E310 - Capacity Planning</t>
  </si>
  <si>
    <t>E320 - Network Demand Management</t>
  </si>
  <si>
    <t>E350 - Power Quality &amp; Reliability Planning</t>
  </si>
  <si>
    <t>U000 - GM Network Operations</t>
  </si>
  <si>
    <t>41 - Finance and Administration</t>
  </si>
  <si>
    <t>06 - Operational Projects</t>
  </si>
  <si>
    <t>12 - External Other Work</t>
  </si>
  <si>
    <t>05 - External Misc Work</t>
  </si>
  <si>
    <t>E550 - System Costing &amp; Billing</t>
  </si>
  <si>
    <t>A000 - Operational Performance</t>
  </si>
  <si>
    <t>E450 - ASP Relationship Management</t>
  </si>
  <si>
    <t>E530 - Customer Safety Officers</t>
  </si>
  <si>
    <t>A900 - Regional Manager - North</t>
  </si>
  <si>
    <t>A973 - Transmission Subs Construction</t>
  </si>
  <si>
    <t>A975 - HV Test</t>
  </si>
  <si>
    <t>A976 - Instruments</t>
  </si>
  <si>
    <t>A977 - Transmission UG Mains</t>
  </si>
  <si>
    <t>A800 - Regional Manager- Central</t>
  </si>
  <si>
    <t>47 - Quality</t>
  </si>
  <si>
    <t>A840 - Distribution - Support Services</t>
  </si>
  <si>
    <t>10 - External Construction Works</t>
  </si>
  <si>
    <t>14 - Construction - URD</t>
  </si>
  <si>
    <t>RP - Preventative Based Maintenance</t>
  </si>
  <si>
    <t>RR - Operating Refurbishment</t>
  </si>
  <si>
    <t>46 - System Access / Switching</t>
  </si>
  <si>
    <t>73 - Planned Switching</t>
  </si>
  <si>
    <t>75 - Emergency Switching</t>
  </si>
  <si>
    <t>47 - Street Lighting</t>
  </si>
  <si>
    <t>61 - Regulated Work</t>
  </si>
  <si>
    <t>66 - Quality of Supply</t>
  </si>
  <si>
    <t>A870 - Transmission Manager - Central</t>
  </si>
  <si>
    <t>A871 - Transmission Mains - Central</t>
  </si>
  <si>
    <t>A700 - Regional Manager - South</t>
  </si>
  <si>
    <t>A711 - Support Services Manager - South</t>
  </si>
  <si>
    <t>A770 - Transmission Manager - South</t>
  </si>
  <si>
    <t>U400 - Network Program Management</t>
  </si>
  <si>
    <t>U300 - Capital Program Management</t>
  </si>
  <si>
    <t>U301 - Program Control</t>
  </si>
  <si>
    <t>U302 - Commercial Management</t>
  </si>
  <si>
    <t>U303 - Governance &amp; Reporting</t>
  </si>
  <si>
    <t>U304 - Process &amp; Systems</t>
  </si>
  <si>
    <t>90 - Infrastructure Capital Contributed</t>
  </si>
  <si>
    <t>10 - Construction - Industrial and Commercial</t>
  </si>
  <si>
    <t>A111 - Maintenance Program Management</t>
  </si>
  <si>
    <t>A420 - OLI / GLI</t>
  </si>
  <si>
    <t>A450 - Vegetation Control</t>
  </si>
  <si>
    <t>A460 - Street Light Contract</t>
  </si>
  <si>
    <t>A600 - Network Development Services</t>
  </si>
  <si>
    <t>30 - Environmental Management</t>
  </si>
  <si>
    <t>21 - Refurbishment - Transmission</t>
  </si>
  <si>
    <t>A100 - Transmission Project Development Management</t>
  </si>
  <si>
    <t>A113 - Transmission Substation Equipment</t>
  </si>
  <si>
    <t>Corporate Overhead</t>
  </si>
  <si>
    <t>26 - Implementation</t>
  </si>
  <si>
    <t>S260 - Business Support</t>
  </si>
  <si>
    <t>S510 - Security Locking</t>
  </si>
  <si>
    <t>52 - Infrastructure Properties</t>
  </si>
  <si>
    <t>H600 - HR Strategy</t>
  </si>
  <si>
    <t>60 - External Monopoly Services</t>
  </si>
  <si>
    <t>S640 - Billing</t>
  </si>
  <si>
    <t>F620 - Accounts Receivable</t>
  </si>
  <si>
    <t>S651 - Revenue Operations</t>
  </si>
  <si>
    <t>G113 - Group PSV - Non Recoverable</t>
  </si>
  <si>
    <r>
      <t xml:space="preserve">Aim: </t>
    </r>
    <r>
      <rPr>
        <sz val="10"/>
        <color theme="1"/>
        <rFont val="Calibri"/>
        <family val="2"/>
        <scheme val="minor"/>
      </rPr>
      <t>To extract type 5 &amp; 6 metering services operating expenditure from cost allocation methodology cube in TM1 in order to calculate the overheads allocated to this AER service category.</t>
    </r>
  </si>
  <si>
    <t>0</t>
  </si>
  <si>
    <t>1</t>
  </si>
  <si>
    <t>A</t>
  </si>
  <si>
    <t>Market Operations</t>
  </si>
  <si>
    <t>Metering Information</t>
  </si>
  <si>
    <t>Opex CAM Output</t>
  </si>
  <si>
    <t>Operating Expenditure Analysis</t>
  </si>
  <si>
    <t>Opex Before Labour Escalators</t>
  </si>
  <si>
    <r>
      <t xml:space="preserve">Aim: </t>
    </r>
    <r>
      <rPr>
        <sz val="10"/>
        <color theme="1"/>
        <rFont val="Calibri"/>
        <family val="2"/>
        <scheme val="minor"/>
      </rPr>
      <t>To extract type 5 &amp; 6 metering services operating expenditure from the forecast before the application of labour escalators.</t>
    </r>
  </si>
  <si>
    <t xml:space="preserve">1/ Extract forecast type 5 &amp; 6 metering services opex, before the application of labour escalators, from TM1 for the purposes of performing a reconciliation to total recoverable opex. </t>
  </si>
  <si>
    <t>Opex After Labour Escalators</t>
  </si>
  <si>
    <r>
      <t xml:space="preserve">Aim: </t>
    </r>
    <r>
      <rPr>
        <sz val="10"/>
        <color theme="1"/>
        <rFont val="Calibri"/>
        <family val="2"/>
        <scheme val="minor"/>
      </rPr>
      <t>To extract type 5 &amp; 6 metering services operating expenditure from the forecast after the application of labour escalators.</t>
    </r>
  </si>
  <si>
    <t xml:space="preserve">1/ Extract forecast type 5 &amp; 6 metering services opex, after the application of labour escalators, from TM1 for the purposes of performing a reconciliation to total recoverable opex. </t>
  </si>
  <si>
    <t xml:space="preserve">1/ Extract the details of forecast operating expenditure allocated to the type 5 &amp; 6 metering services AER category after running the cost allocation methodology to Endeavour Energy's revised proposed opex. </t>
  </si>
  <si>
    <t>Source: TM1 AER Dollars by Account cube (cost allocation methodology)</t>
  </si>
  <si>
    <t>Total Recoverable Metering Services Opex (nominal)</t>
  </si>
  <si>
    <t>Adjusted metering services direct cost (nominal)</t>
  </si>
  <si>
    <t>Originally proposed metering services recoverable opex (nominal)</t>
  </si>
  <si>
    <t>Total Originally Proposed Recoverable Opex</t>
  </si>
  <si>
    <t>Total Revised Recoverable Opex</t>
  </si>
  <si>
    <t>The calculation and build up of Metering Service unit rates is based on the concept of recovering an annual amount over the regulatory period for 1) operating expenditure, 2) replacement capital expenditure and 3) the opening RAB.  The amount required to be recovered for each of these three components has been calculated separately in separate worksheets.
This pricing approach is based on levying the Metering Service change on a per service basis or at the network tariff level.  As a result, different rates will be calculated for Residential Anytime, Residential TOU, Business Anytime, Business TOU, Controlled Load and Solar/Generation services.  Separate prices will be calculated on the basis of price signal weightings.  This pricing option also incorporates the recovery of the opening RAB over 5 years. Refer to the Background &amp; Method worksheet for details in relation to the calculation methodology.</t>
  </si>
  <si>
    <t>5/ Using the ratio of recoverable opex category costs (i.e. meter reading costs, meter data services costs and meter maintenance costs) from the originally proposed recoverable opex, disaggregate the revised recoverable opex into the relevant metering services opex categories.</t>
  </si>
  <si>
    <t>5/ Forecast metering services recoverable opex by category</t>
  </si>
  <si>
    <t>Annual Metering Charges Summary</t>
  </si>
  <si>
    <t>1/ Extract customer numbers by tariff from the TM1 NUoS cube for the period 2011/12 to 2018/19. 2011/12 to 2013/14 represent actual customer numbers as at the end of the year. Forecast customer numbers for 2014/15 to 2018/19 represent customer numbers used in the preparation of Endeavour Energy's Substantive Regulatory Proposal.</t>
  </si>
  <si>
    <t>Opening RAB Standard Control Services Recovery</t>
  </si>
  <si>
    <t>1/ The proposed Metering Service charge mechanism includes the recovery of opening RAB over the 5 year regulatory period.  Therefore, if a customer decides to replace Endeavour Energy as their type 5 or 6 metering provider within the 2015-19 period, it will be necessary to levy a charge to recover the amount of the opening RAB balance which remains outstanding. The AER have proposed that such an amount is to be included in the subsequent year revenue allowance.  
Given the recovery of the opening metering RAB component has been calculated separately for the purposes of developing the annual metering service charges, a present value calculation can be used to determine the appropriate asset recovery component of the charge should the customer replace Endeavour Energy as their Type 5 or 6 metering provider in year 1, year 2, year 3, year 4 or year 5.</t>
  </si>
  <si>
    <t>Opening RAB Recovery Charge per Service (dependent on year of customer departure) PV of above</t>
  </si>
  <si>
    <t>Upfront Metering Charges</t>
  </si>
  <si>
    <r>
      <t xml:space="preserve">Aim:  </t>
    </r>
    <r>
      <rPr>
        <sz val="10"/>
        <color theme="1"/>
        <rFont val="Calibri"/>
        <family val="2"/>
        <scheme val="minor"/>
      </rPr>
      <t>To calculate upfront charges for Type 5 and 6 meters which will be charged when meters are issued to ASPs.</t>
    </r>
  </si>
  <si>
    <t>3/ Calculate the internal meter handling and issue costs associated with the purchase and issuing of new type 5 &amp; 6 meters.  This is based on identifying those individuals associated with the handling and issue of meters and calculating a unit rate based on their cost to the organisation.</t>
  </si>
  <si>
    <t>Accumulation</t>
  </si>
  <si>
    <t>Single Phase</t>
  </si>
  <si>
    <t>Single Phase Import/Export</t>
  </si>
  <si>
    <t>Poly Phase</t>
  </si>
  <si>
    <t>Poly Phase Import/Export</t>
  </si>
  <si>
    <t>Model</t>
  </si>
  <si>
    <t>MK10A / EM5100</t>
  </si>
  <si>
    <t>MK10E / EM5300</t>
  </si>
  <si>
    <t>EM1210</t>
  </si>
  <si>
    <t>ACE 1000-SMO</t>
  </si>
  <si>
    <t>A1100</t>
  </si>
  <si>
    <t>NOT USED</t>
  </si>
  <si>
    <t>CAM calculated overhead factor</t>
  </si>
  <si>
    <t>New services in 2013/14</t>
  </si>
  <si>
    <t>Contract Price</t>
  </si>
  <si>
    <t>Return on Assets</t>
  </si>
  <si>
    <t>Meter Purchase Price</t>
  </si>
  <si>
    <t>Modem Purchase Price</t>
  </si>
  <si>
    <t>Total Purchase Price (Meter &amp; Modem)</t>
  </si>
  <si>
    <t>Ratio of meters per service calculated from 2013/14 RIN data</t>
  </si>
  <si>
    <t>Annual Cost (incl oncosts)</t>
  </si>
  <si>
    <t>4/ Calculate total meter upfront charges.</t>
  </si>
  <si>
    <t>4. Total meter upfront charges (excl GST)</t>
  </si>
  <si>
    <t>Upfront Charge ($2014-15)</t>
  </si>
  <si>
    <t>Metering Services Model</t>
  </si>
  <si>
    <r>
      <t xml:space="preserve">Aim: </t>
    </r>
    <r>
      <rPr>
        <sz val="10"/>
        <color theme="1"/>
        <rFont val="Calibri"/>
        <family val="2"/>
        <scheme val="minor"/>
      </rPr>
      <t>To outline the background, method and assumptions used to develop Metering Services charge unit rates for the 2014-19 Revised Regulatory Proposal.</t>
    </r>
  </si>
  <si>
    <r>
      <t xml:space="preserve">Customer numbers were forecast by the Energy Forecasting team for the purposes of the 2014/15 SCI and SRP.  These forecasts were provided by network tariff and mapped to the following relevant Metering Service customer categories: Residential Anytime, Residential TOU, Small Business Anytime, Small Business TOU, Controlled Load and Solar.  
The result was the calculation of the forecast number of </t>
    </r>
    <r>
      <rPr>
        <b/>
        <i/>
        <sz val="10"/>
        <color theme="1"/>
        <rFont val="Calibri"/>
        <family val="2"/>
        <scheme val="minor"/>
      </rPr>
      <t>services</t>
    </r>
    <r>
      <rPr>
        <sz val="10"/>
        <color theme="1"/>
        <rFont val="Calibri"/>
        <family val="2"/>
        <scheme val="minor"/>
      </rPr>
      <t xml:space="preserve"> in each category.  As customers can have more than one service (e.g. anytime meter and a controlled load meter) the result does not reconcile back to the total forecast number of customers.  In addition, for the purposes of calculating unit rates, the average number of services for each financial year were forecast on the basis of the average between the opening and closing number of services.</t>
    </r>
  </si>
  <si>
    <r>
      <t xml:space="preserve">Pricing Option  - Per Service Unit Rate
</t>
    </r>
    <r>
      <rPr>
        <sz val="10"/>
        <color theme="1"/>
        <rFont val="Calibri"/>
        <family val="2"/>
        <scheme val="minor"/>
      </rPr>
      <t xml:space="preserve">Endeavour have calculated a separate unit rate for each of the following customer categories: Residential Anytime, Residential TOU, Small Business Anytime, Small Business TOU, Controlled Load and Solar.  This involved dividing the total recoverable annual costs over the next regulatory control period (calculated in phase 1) by the forecast number of services per customer category (calculated in phase 2), </t>
    </r>
    <r>
      <rPr>
        <b/>
        <u/>
        <sz val="10"/>
        <color theme="1"/>
        <rFont val="Calibri"/>
        <family val="2"/>
        <scheme val="minor"/>
      </rPr>
      <t xml:space="preserve">adjusted by a </t>
    </r>
    <r>
      <rPr>
        <b/>
        <i/>
        <u/>
        <sz val="10"/>
        <color theme="1"/>
        <rFont val="Calibri"/>
        <family val="2"/>
        <scheme val="minor"/>
      </rPr>
      <t>weighting factor</t>
    </r>
    <r>
      <rPr>
        <sz val="10"/>
        <color theme="1"/>
        <rFont val="Calibri"/>
        <family val="2"/>
        <scheme val="minor"/>
      </rPr>
      <t xml:space="preserve"> to acknowledge the increased or proportionally reduced cost incurred by the business to service a customer with each type of service.  Weighting factors were developed separately for meter reading, meter maintenance, meter data services, opening RAB and meter replacement capex.  
The </t>
    </r>
    <r>
      <rPr>
        <b/>
        <i/>
        <u/>
        <sz val="10"/>
        <color theme="1"/>
        <rFont val="Calibri"/>
        <family val="2"/>
        <scheme val="minor"/>
      </rPr>
      <t>weighting factor</t>
    </r>
    <r>
      <rPr>
        <sz val="10"/>
        <color theme="1"/>
        <rFont val="Calibri"/>
        <family val="2"/>
        <scheme val="minor"/>
      </rPr>
      <t xml:space="preserve"> methodology starts with the assumption that Residential Anytime represents the cost baseline (i.e. factor of 1) and every other customer segment is given a weighting based on the cost relativity to the baseline.  For example, in relation to meter maintenance, business intelligence suggests that the costs to maintain a residential type 5 meter is double the cost to maintain a residential type 6 meter.  As a result, in relation to meter maintenance, Residential TOU would receive a weighting factor of 2.  Conversely, in relation to meter reading and meter data services, business intelligence suggests that the costs to read and process the data related to Controlled Load and Solar meter services only adds an incremental cost to the business as these are secondary services to the primary TOU or Anytime service.  As a result, Controlled Load and Solar receive a weighting factor of 0.1 to reflect this proportion reduced unit cost. </t>
    </r>
    <r>
      <rPr>
        <b/>
        <sz val="10"/>
        <color theme="1"/>
        <rFont val="Calibri"/>
        <family val="2"/>
        <scheme val="minor"/>
      </rPr>
      <t xml:space="preserve"> </t>
    </r>
    <r>
      <rPr>
        <sz val="10"/>
        <color theme="1"/>
        <rFont val="Calibri"/>
        <family val="2"/>
        <scheme val="minor"/>
      </rPr>
      <t>It should be noted that the weighting factors are based on business intelligence as historic data is unavailable and the business does not capture costs at this level.
This pricing approach results in separate prices for each customer category.  Refer to the 'Annual Metering Charges' worksheet for results.</t>
    </r>
  </si>
  <si>
    <t>Refer to the 'Annual Metering Charges' worksheet for results.</t>
  </si>
  <si>
    <r>
      <rPr>
        <b/>
        <sz val="10"/>
        <color theme="1"/>
        <rFont val="Calibri"/>
        <family val="2"/>
        <scheme val="minor"/>
      </rPr>
      <t xml:space="preserve">ii) Replacement Capital Expenditure (repex)
</t>
    </r>
    <r>
      <rPr>
        <sz val="10"/>
        <color theme="1"/>
        <rFont val="Calibri"/>
        <family val="2"/>
        <scheme val="minor"/>
      </rPr>
      <t>Repex related to types 5 and 6 Metering Services relates only to the capital costs for meter replacement, associated labour to execute the replacement program and the purchase of test equipment.  Capex related to the purchase of meters for new developments ('growth capex') is excluded from the repex figure as Endeavour's proposed approach is for customers to pay upfront for new meter purchases and therefore this cost should not be considered for inclusion in the unit rates.  In addition, capex related to the purchase and installation of relays is excluded on the basis that relays are related to load control activities which is considered a standard control service and therefore not within the scope of types 5 and 6 Metering Services.
Total repex costs were calculated by extracting all metering projects from the 2015/16 System Capex Forecast, identifying those related to the purchase of meters for the replacement program (and associated capitalised labour) and the purchase of test equipment.  Once total repex costs were calculated for each year in the next regulatory control period, a 50% WACC was added to ensure appropriate return of capital and the annual recoverable amount related to metering repex was calculated.</t>
    </r>
  </si>
  <si>
    <r>
      <t xml:space="preserve">iii) Opening RAB
</t>
    </r>
    <r>
      <rPr>
        <sz val="10"/>
        <color theme="1"/>
        <rFont val="Calibri"/>
        <family val="2"/>
        <scheme val="minor"/>
      </rPr>
      <t>The value of the opening RAB was calculated via a two step process.  Firstly, it was necessary to split the current metering RAB balance between relays and meters.  This is because relays relate to load control activities which are considered a standard control service and therefore not within the scope of types 5 and 6 Metering Services.  This split was achieved by identifying the capex related to types 5 and 6 meters vs relays over the current regulatory period and determining the percentage of the total capex which related to meters.  This percentage was applied to the 1 July 2014 opening RAB balance to calculate the portion of the opening RAB balance related to meters.  Secondly, the portion of the non system RAB related to meters was calculated based on the proportion of meters to total system RAB and this amount was added to the opening metering RAB balance.  The resulting figure represents the RAB amount required to be recovered via Metering Service charges. A WACC was added to the RAB to ensure an appropriate return of capital and the annual recoverable amount related to opening RAB was calculated based on recovery over a 5 year period.</t>
    </r>
  </si>
  <si>
    <t>i) Operating Expenditure (opex)
Activity related to types 5 and 6 Metering Services exists in the Market Operations branch in the People &amp; Services division (type 6 meter reading) and the Metering Information branch in the Network Development division (meter testing, maintenance and type 5 meter reading).  Based on feedback received from the AER in its Draft Determination, direct opex for the 2014-19 period was forecast based on historic opex across multiple years (as reported and audited in the Reset and Category Analysis RINs), forecast service volumes and step change adjustments for new NECF and asbestos management compliance obligations. This base amount was then adjusted a labour attrition efficiency factor and real labour escalators.
Once direct Metering Service opex was forecast for the next regulatory control period, these figures were flowed through the Cost Allocation Methodology (CAM) model for the purposes of applying Network and Corporate overheads.  This process resulted in the calculation of an overhead multiple to apply to the direct Metering Service opex so that total recoverable Metering Service opex, including relevant overheads, could be calculated.</t>
  </si>
  <si>
    <t>ORIGINALLY PROPOSED PRICES</t>
  </si>
  <si>
    <t>VARIANCE $</t>
  </si>
  <si>
    <t>VARIANCE %</t>
  </si>
  <si>
    <r>
      <t xml:space="preserve">Aim: </t>
    </r>
    <r>
      <rPr>
        <sz val="10"/>
        <color theme="1"/>
        <rFont val="Calibri"/>
        <family val="2"/>
        <scheme val="minor"/>
      </rPr>
      <t>To summarise the changes to toal recoverable costs between the original proposal and the revised proposal.</t>
    </r>
  </si>
  <si>
    <t>Original Proposal</t>
  </si>
  <si>
    <t>Revised Proposal</t>
  </si>
  <si>
    <r>
      <t xml:space="preserve">Aim: </t>
    </r>
    <r>
      <rPr>
        <sz val="10"/>
        <color theme="1"/>
        <rFont val="Calibri"/>
        <family val="2"/>
        <scheme val="minor"/>
      </rPr>
      <t>To calculate a unit rate for the opening RAB recovery component which will be recovered through standard control services.</t>
    </r>
  </si>
  <si>
    <t>Conversion Factor (2014-15 dollars)</t>
  </si>
  <si>
    <t>Reduction $ (2014-15 dollars)</t>
  </si>
  <si>
    <t>Whole Current Single Element Meter</t>
  </si>
  <si>
    <t>Current Transformer Meter</t>
  </si>
  <si>
    <t>Whole Current Dual Element Meter</t>
  </si>
  <si>
    <t>Time of Use (i.e. interval without modem)</t>
  </si>
  <si>
    <t>Interval (3G modem)</t>
  </si>
  <si>
    <t>SAM3GC</t>
  </si>
  <si>
    <t>EM1000E</t>
  </si>
  <si>
    <r>
      <t xml:space="preserve">Less: Type 5 special meter reading opex (Real 2014-15 $) </t>
    </r>
    <r>
      <rPr>
        <sz val="10"/>
        <color rgb="FF0070C0"/>
        <rFont val="Calibri"/>
        <family val="2"/>
        <scheme val="minor"/>
      </rPr>
      <t>(Note B)</t>
    </r>
  </si>
  <si>
    <r>
      <t xml:space="preserve">Less: Meter accuracy testing </t>
    </r>
    <r>
      <rPr>
        <sz val="10"/>
        <color rgb="FF0070C0"/>
        <rFont val="Calibri"/>
        <family val="2"/>
        <scheme val="minor"/>
      </rPr>
      <t>(Note C)</t>
    </r>
  </si>
  <si>
    <t>Note C - Meter accuracy testing is an Ancillary Network Service fee and therefore needs to be removed from the unit rate utilised for the forecast to prevent double counting.</t>
  </si>
  <si>
    <t>Type 5 Special Meter Reading</t>
  </si>
  <si>
    <t>BULK SPECIAL READ HUNTINGWOOD FRANCHISE</t>
  </si>
  <si>
    <t>BULK SPECIAL READ SPRINGHILL FRANCHISE</t>
  </si>
  <si>
    <t>READING OF RETURNED METERS NETWORK</t>
  </si>
  <si>
    <t>RETURNED METER READS</t>
  </si>
  <si>
    <t>Type 5 special meter reading opex (nominal)</t>
  </si>
  <si>
    <t>Meter Accuracy Testing</t>
  </si>
  <si>
    <t>METER ACCURACY TEST</t>
  </si>
  <si>
    <t>METER ACCURACY TEST - HUNTINGWOOD</t>
  </si>
  <si>
    <t>METER ACCURACY TEST - SPRINGHILL</t>
  </si>
  <si>
    <t>Meter accuracy testing opex (nominal)</t>
  </si>
  <si>
    <t>Type 5 special meter reading opex (Real 2014-15 $)</t>
  </si>
  <si>
    <t>Meter accuracy testing opex (Real 2014-15 $)</t>
  </si>
  <si>
    <r>
      <t xml:space="preserve">The following work orders were extracted from the </t>
    </r>
    <r>
      <rPr>
        <b/>
        <i/>
        <u/>
        <sz val="10"/>
        <color theme="1"/>
        <rFont val="Calibri"/>
        <family val="2"/>
        <scheme val="minor"/>
      </rPr>
      <t>audited</t>
    </r>
    <r>
      <rPr>
        <sz val="10"/>
        <color theme="1"/>
        <rFont val="Calibri"/>
        <family val="2"/>
        <scheme val="minor"/>
      </rPr>
      <t xml:space="preserve"> working files for the 2012/13 Reset RIN:</t>
    </r>
  </si>
  <si>
    <r>
      <t xml:space="preserve">The following work orders were extracted from the </t>
    </r>
    <r>
      <rPr>
        <b/>
        <i/>
        <u/>
        <sz val="10"/>
        <color theme="1"/>
        <rFont val="Calibri"/>
        <family val="2"/>
        <scheme val="minor"/>
      </rPr>
      <t>audited</t>
    </r>
    <r>
      <rPr>
        <sz val="10"/>
        <color theme="1"/>
        <rFont val="Calibri"/>
        <family val="2"/>
        <scheme val="minor"/>
      </rPr>
      <t xml:space="preserve"> working files for the 2012/13 Reset RIN and 2013/14 Category Analysis RIN. They relate to those meter testing activities which are chargable via ANS fees.</t>
    </r>
  </si>
  <si>
    <t>NECF obligations opex (nominal)</t>
  </si>
  <si>
    <t>NECF obligations opex (Real 2014-15 $)</t>
  </si>
  <si>
    <t>Asbestos management opex (nominal)</t>
  </si>
  <si>
    <t>Asbestos management opex (Real 2014-15 $)</t>
  </si>
  <si>
    <t>Note B - Type 5 special meter reading does not occur any longer since the introduction of remote reading on all type 5 meters. As a result this opex should not be included in the unit rate utilised for the forecast. It should be noted that Type 6 special meter reading is conducted by the Market Operations branch and has been excluded from metering services opex in both the original and revised proposal.</t>
  </si>
  <si>
    <t>WP3GUC</t>
  </si>
  <si>
    <t>Notes:</t>
  </si>
  <si>
    <t>Note B</t>
  </si>
  <si>
    <t>Note C</t>
  </si>
  <si>
    <t>Note D</t>
  </si>
  <si>
    <t>Note E</t>
  </si>
  <si>
    <t>tm1s:AER Dollars by Account</t>
  </si>
  <si>
    <t>INTG</t>
  </si>
  <si>
    <t>Year</t>
  </si>
  <si>
    <t>tm1s:PNL</t>
  </si>
  <si>
    <t>1516 RRP (before escalators)</t>
  </si>
  <si>
    <t>tm1s:Project Reporting</t>
  </si>
  <si>
    <t>Total Expense Elements</t>
  </si>
  <si>
    <t>tm1s:NUOS</t>
  </si>
  <si>
    <t>Jun</t>
  </si>
  <si>
    <t>Total Market</t>
  </si>
  <si>
    <t>Note A</t>
  </si>
  <si>
    <r>
      <t>A:</t>
    </r>
    <r>
      <rPr>
        <sz val="10"/>
        <color theme="1"/>
        <rFont val="Calibri"/>
        <family val="2"/>
        <scheme val="minor"/>
      </rPr>
      <t xml:space="preserve"> Two different meter models MK10A and EM5100 is to ensure supply of meter by purchasing from two different manufacturers. For the A1100 the manufacturer charge us more for an import export meter.</t>
    </r>
  </si>
  <si>
    <r>
      <t>B:</t>
    </r>
    <r>
      <rPr>
        <sz val="10"/>
        <color theme="1"/>
        <rFont val="Calibri"/>
        <family val="2"/>
        <scheme val="minor"/>
      </rPr>
      <t xml:space="preserve"> Two different meter models MK10E and EM5300 is to ensure supply of meter by purchasing from two different manufacturers.</t>
    </r>
  </si>
  <si>
    <r>
      <t>C:</t>
    </r>
    <r>
      <rPr>
        <sz val="10"/>
        <color theme="1"/>
        <rFont val="Calibri"/>
        <family val="2"/>
        <scheme val="minor"/>
      </rPr>
      <t xml:space="preserve"> EM1000E does not have the capability of powering an internal 2G or 3G modem therefore an external modem is required.</t>
    </r>
  </si>
  <si>
    <r>
      <t>D:</t>
    </r>
    <r>
      <rPr>
        <sz val="10"/>
        <color theme="1"/>
        <rFont val="Calibri"/>
        <family val="2"/>
        <scheme val="minor"/>
      </rPr>
      <t xml:space="preserve"> EM5300 can support Internal 2G modem but does not have the capability of powering up an internal 3G modem. EM5400 can support internal and external 3G modems. We are looking to procure EM5400 and the price is similar to EM5300. The manufacturer is going to stop producing EM5300. Because of this the pricing given is for an internal modem(SAM3GC). </t>
    </r>
  </si>
  <si>
    <r>
      <t>E:</t>
    </r>
    <r>
      <rPr>
        <sz val="10"/>
        <color theme="1"/>
        <rFont val="Calibri"/>
        <family val="2"/>
        <scheme val="minor"/>
      </rPr>
      <t xml:space="preserve"> EM1210 does not have the capability of powering an internal 2G or 3G modem therefore an external modem is required.</t>
    </r>
  </si>
  <si>
    <t>Pre-tax nominal WACC</t>
  </si>
  <si>
    <t>NPV</t>
  </si>
  <si>
    <t>Annual Recoverable Amount + RAB Residual</t>
  </si>
  <si>
    <t>NPV Check</t>
  </si>
  <si>
    <t>Standard life</t>
  </si>
  <si>
    <t xml:space="preserve"> </t>
  </si>
  <si>
    <t>Capex</t>
  </si>
  <si>
    <t>Annual Recoverable Amount - replacement capex only</t>
  </si>
  <si>
    <t>Capex year 2014-15</t>
  </si>
  <si>
    <t>Capex year 2015-16</t>
  </si>
  <si>
    <t>Capex year 2016-17</t>
  </si>
  <si>
    <t>Capex year 2017-18</t>
  </si>
  <si>
    <t>Capex year 2018-19</t>
  </si>
  <si>
    <t xml:space="preserve">Breakdown of total opex by category (as per revised proposal) </t>
  </si>
  <si>
    <t>NPV calc</t>
  </si>
  <si>
    <t>non-capital</t>
  </si>
  <si>
    <t>capital</t>
  </si>
  <si>
    <t xml:space="preserve">Annual charges </t>
  </si>
  <si>
    <t>X factor</t>
  </si>
  <si>
    <t>Forecast inflation</t>
  </si>
  <si>
    <t>Volumes and Revenue</t>
  </si>
  <si>
    <t>Total Smoothed Revenue</t>
  </si>
  <si>
    <t>Total Unsmoothed Revenue</t>
  </si>
  <si>
    <t>Difference in NPVs</t>
  </si>
  <si>
    <t>Difference between final year revenue and requirement</t>
  </si>
  <si>
    <t>Tariff class</t>
  </si>
  <si>
    <t>Costs</t>
  </si>
  <si>
    <t>Residential anytime</t>
  </si>
  <si>
    <t>Non–capital</t>
  </si>
  <si>
    <t>Capital</t>
  </si>
  <si>
    <t>Residential TOU – Type 6 meter</t>
  </si>
  <si>
    <t>Residential TOU - Type 5 meter</t>
  </si>
  <si>
    <t>Small business anytime</t>
  </si>
  <si>
    <t>Small business TOU - Type 6 meter</t>
  </si>
  <si>
    <t>Small business TOU – Type 5 meter</t>
  </si>
  <si>
    <t>Controlled load</t>
  </si>
  <si>
    <t>From table 16.12 final decision</t>
  </si>
  <si>
    <t>From table 16.13 final decision</t>
  </si>
  <si>
    <t>2016–17</t>
  </si>
  <si>
    <t>2017–18</t>
  </si>
  <si>
    <t>2018–19</t>
  </si>
  <si>
    <t>–2.25</t>
  </si>
  <si>
    <t>Whole cutrrent single element meters</t>
  </si>
  <si>
    <t>TOU (without 3G modem)</t>
  </si>
  <si>
    <t>Current transformer meter</t>
  </si>
  <si>
    <t>Whole current dual element meters</t>
  </si>
  <si>
    <t>Upfront capital charges</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</si>
</sst>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Red]\-&quot;$&quot;#,##0"/>
    <numFmt numFmtId="165" formatCode="&quot;$&quot;#,##0.00;[Red]\-&quot;$&quot;#,##0.00"/>
    <numFmt numFmtId="166" formatCode="_-&quot;$&quot;* #,##0.00_-;\-&quot;$&quot;* #,##0.00_-;_-&quot;$&quot;* &quot;-&quot;??_-;_-@_-"/>
    <numFmt numFmtId="167" formatCode="_-* #,##0_-;\-* #,##0_-;_-* &quot;-&quot;??_-;_-@_-"/>
    <numFmt numFmtId="168" formatCode="_-* #,##0_-;* \(#,##0\)_-;_-* &quot;-&quot;_-;_-@_-"/>
    <numFmt numFmtId="169" formatCode="#,##0;\(#,##0\)"/>
    <numFmt numFmtId="170" formatCode="0.0%"/>
    <numFmt numFmtId="171" formatCode="_(* #,##0_);_(* \(#,##0\);_(* &quot;-&quot;??_);_(@_)"/>
    <numFmt numFmtId="172" formatCode="_(* #,##0_);_(* \(#,##0\);_(* &quot;-&quot;?_);_(@_)"/>
    <numFmt numFmtId="173" formatCode="#,##0.00;\(#,##0.00\)"/>
    <numFmt numFmtId="174" formatCode="_(* #,##0.000_);_(* \(#,##0.000\);_(* &quot;-&quot;??_);_(@_)"/>
    <numFmt numFmtId="175" formatCode="_-* #,##0.00_-;[Red]\(#,##0.00\)_-;_-* &quot;-&quot;??_-;_-@_-"/>
    <numFmt numFmtId="176" formatCode="mm/dd/yy"/>
    <numFmt numFmtId="177" formatCode="_([$€-2]* #,##0.00_);_([$€-2]* \(#,##0.00\);_([$€-2]* &quot;-&quot;??_)"/>
    <numFmt numFmtId="178" formatCode="0_);[Red]\(0\)"/>
    <numFmt numFmtId="179" formatCode="#,##0.0_);\(#,##0.0\)"/>
    <numFmt numFmtId="180" formatCode="#,##0_ ;\-#,##0\ "/>
    <numFmt numFmtId="181" formatCode="#,##0;[Red]\(#,##0.0\)"/>
    <numFmt numFmtId="182" formatCode="#,##0_ ;[Red]\(#,##0\)\ "/>
    <numFmt numFmtId="183" formatCode="_)d\-mmm\-yy_)"/>
    <numFmt numFmtId="184" formatCode="_(#,##0.0_);\(#,##0.0\);_(&quot;-&quot;_)"/>
    <numFmt numFmtId="185" formatCode="_(###0_);\(###0\);_(###0_)"/>
    <numFmt numFmtId="186" formatCode="#,##0.0000_);[Red]\(#,##0.0000\)"/>
    <numFmt numFmtId="187" formatCode="_-* #,##0.000_-;\-* #,##0.000_-;_-* &quot;-&quot;??_-;_-@_-"/>
    <numFmt numFmtId="188" formatCode="#,##0\ ;\(#,##0\);\-\ "/>
    <numFmt numFmtId="189" formatCode="_-* #,##0.0_-;\-* #,##0.0_-;_-* &quot;-&quot;??_-;_-@_-"/>
    <numFmt numFmtId="190" formatCode="_-* #,##0_-;* \(#,##0\)_-;_-* &quot;-&quot;??_-;_-@_-"/>
    <numFmt numFmtId="191" formatCode="_(&quot;$&quot;* #,##0.0_);_(&quot;$&quot;* \(#,##0.0\);_(&quot;$&quot;* &quot;-&quot;??_);_(@_)"/>
    <numFmt numFmtId="192" formatCode="_(* #,##0.00_);_(* \(#,##0.00\);_(* &quot;-&quot;_);_(@_)"/>
    <numFmt numFmtId="193" formatCode="&quot;$&quot;#,##0.00"/>
  </numFmts>
  <fonts count="92">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12"/>
      <color theme="1"/>
      <name val="Calibri"/>
      <family val="2"/>
      <scheme val="minor"/>
    </font>
    <font>
      <b/>
      <sz val="10"/>
      <color theme="0"/>
      <name val="Calibri"/>
      <family val="2"/>
      <scheme val="minor"/>
    </font>
    <font>
      <sz val="10"/>
      <color theme="0"/>
      <name val="Calibri"/>
      <family val="2"/>
      <scheme val="minor"/>
    </font>
    <font>
      <b/>
      <i/>
      <sz val="10"/>
      <color theme="1"/>
      <name val="Calibri"/>
      <family val="2"/>
      <scheme val="minor"/>
    </font>
    <font>
      <i/>
      <sz val="10"/>
      <color theme="1"/>
      <name val="Calibri"/>
      <family val="2"/>
      <scheme val="minor"/>
    </font>
    <font>
      <i/>
      <sz val="10"/>
      <color rgb="FFFF0000"/>
      <name val="Calibri"/>
      <family val="2"/>
      <scheme val="minor"/>
    </font>
    <font>
      <b/>
      <i/>
      <sz val="10"/>
      <color rgb="FFFF0000"/>
      <name val="Calibri"/>
      <family val="2"/>
      <scheme val="minor"/>
    </font>
    <font>
      <sz val="10"/>
      <color indexed="8"/>
      <name val="Arial"/>
      <family val="2"/>
    </font>
    <font>
      <sz val="9"/>
      <color theme="1"/>
      <name val="Calibri"/>
      <family val="2"/>
      <scheme val="minor"/>
    </font>
    <font>
      <sz val="11"/>
      <color indexed="8"/>
      <name val="Calibri"/>
      <family val="2"/>
    </font>
    <font>
      <sz val="10"/>
      <name val="Arial"/>
      <family val="2"/>
    </font>
    <font>
      <sz val="11"/>
      <color theme="1"/>
      <name val="Agency FB"/>
      <family val="2"/>
    </font>
    <font>
      <b/>
      <sz val="11"/>
      <color rgb="FFFA7D00"/>
      <name val="Agency FB"/>
      <family val="2"/>
    </font>
    <font>
      <sz val="9"/>
      <name val="Arial"/>
      <family val="2"/>
    </font>
    <font>
      <sz val="11"/>
      <color rgb="FF3F3F76"/>
      <name val="Agency FB"/>
      <family val="2"/>
    </font>
    <font>
      <b/>
      <sz val="10"/>
      <name val="Arial"/>
      <family val="2"/>
    </font>
    <font>
      <sz val="10"/>
      <name val="Calibri"/>
      <family val="2"/>
      <scheme val="minor"/>
    </font>
    <font>
      <b/>
      <sz val="10"/>
      <color indexed="8"/>
      <name val="Calibri"/>
      <family val="2"/>
      <scheme val="minor"/>
    </font>
    <font>
      <b/>
      <sz val="10"/>
      <name val="Calibri"/>
      <family val="2"/>
      <scheme val="minor"/>
    </font>
    <font>
      <sz val="10"/>
      <color theme="1"/>
      <name val="Arial"/>
      <family val="2"/>
    </font>
    <font>
      <b/>
      <sz val="9"/>
      <color theme="1"/>
      <name val="Calibri"/>
      <family val="2"/>
      <scheme val="minor"/>
    </font>
    <font>
      <sz val="10"/>
      <color rgb="FFFF0000"/>
      <name val="Calibri"/>
      <family val="2"/>
      <scheme val="minor"/>
    </font>
    <font>
      <b/>
      <i/>
      <u/>
      <sz val="10"/>
      <color theme="1"/>
      <name val="Calibri"/>
      <family val="2"/>
      <scheme val="minor"/>
    </font>
    <font>
      <b/>
      <u/>
      <sz val="10"/>
      <color theme="1"/>
      <name val="Calibri"/>
      <family val="2"/>
      <scheme val="minor"/>
    </font>
    <font>
      <sz val="10"/>
      <color indexed="8"/>
      <name val="Calibri"/>
      <family val="2"/>
      <scheme val="minor"/>
    </font>
    <font>
      <b/>
      <sz val="11"/>
      <color theme="1"/>
      <name val="Calibri"/>
      <family val="2"/>
      <scheme val="minor"/>
    </font>
    <font>
      <b/>
      <sz val="10"/>
      <color rgb="FFFF0000"/>
      <name val="Calibri"/>
      <family val="2"/>
      <scheme val="minor"/>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13"/>
      <color indexed="62"/>
      <name val="Calibri"/>
      <family val="2"/>
    </font>
    <font>
      <b/>
      <sz val="9"/>
      <name val="Arial"/>
      <family val="2"/>
    </font>
    <font>
      <b/>
      <sz val="11"/>
      <color indexed="62"/>
      <name val="Calibri"/>
      <family val="2"/>
    </font>
    <font>
      <b/>
      <sz val="8"/>
      <name val="Arial"/>
      <family val="2"/>
    </font>
    <font>
      <b/>
      <sz val="8.5"/>
      <name val="Univers 65"/>
      <family val="2"/>
    </font>
    <font>
      <u/>
      <sz val="10"/>
      <color indexed="12"/>
      <name val="Arial"/>
      <family val="2"/>
    </font>
    <font>
      <u/>
      <sz val="10"/>
      <color indexed="12"/>
      <name val="MS Sans Serif"/>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sz val="11"/>
      <color theme="1"/>
      <name val="Arial"/>
      <family val="2"/>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amily val="2"/>
    </font>
    <font>
      <b/>
      <sz val="9"/>
      <name val="Palatino"/>
      <family val="1"/>
    </font>
    <font>
      <sz val="7"/>
      <name val="Palatino"/>
      <family val="1"/>
    </font>
    <font>
      <sz val="12"/>
      <name val="Palatino"/>
      <family val="1"/>
    </font>
    <font>
      <sz val="11"/>
      <name val="Helvetica-Black"/>
      <family val="2"/>
    </font>
    <font>
      <sz val="12"/>
      <color indexed="12"/>
      <name val="Arial MT"/>
    </font>
    <font>
      <b/>
      <u/>
      <sz val="9.5"/>
      <color indexed="56"/>
      <name val="Arial"/>
      <family val="2"/>
    </font>
    <font>
      <u/>
      <sz val="8"/>
      <color indexed="56"/>
      <name val="Arial"/>
      <family val="2"/>
    </font>
    <font>
      <sz val="11"/>
      <color indexed="10"/>
      <name val="Calibri"/>
      <family val="2"/>
    </font>
    <font>
      <b/>
      <sz val="10"/>
      <color theme="0"/>
      <name val="Calibri"/>
      <family val="2"/>
    </font>
    <font>
      <sz val="10"/>
      <color theme="0"/>
      <name val="Calibri"/>
      <family val="2"/>
    </font>
    <font>
      <i/>
      <sz val="10"/>
      <color rgb="FF0070C0"/>
      <name val="Calibri"/>
      <family val="2"/>
      <scheme val="minor"/>
    </font>
    <font>
      <sz val="10"/>
      <color rgb="FF0070C0"/>
      <name val="Calibri"/>
      <family val="2"/>
      <scheme val="minor"/>
    </font>
    <font>
      <b/>
      <sz val="10"/>
      <color rgb="FF0070C0"/>
      <name val="Calibri"/>
      <family val="2"/>
      <scheme val="minor"/>
    </font>
    <font>
      <b/>
      <i/>
      <sz val="11"/>
      <color theme="1"/>
      <name val="Calibri"/>
      <family val="2"/>
      <scheme val="minor"/>
    </font>
    <font>
      <sz val="11"/>
      <color rgb="FFFF0000"/>
      <name val="Calibri"/>
      <family val="2"/>
      <scheme val="minor"/>
    </font>
    <font>
      <b/>
      <sz val="11"/>
      <color rgb="FFFF0000"/>
      <name val="Calibri"/>
      <family val="2"/>
      <scheme val="minor"/>
    </font>
    <font>
      <sz val="11"/>
      <color rgb="FF0000FF"/>
      <name val="Calibri"/>
      <family val="2"/>
      <scheme val="minor"/>
    </font>
    <font>
      <sz val="11"/>
      <name val="Calibri"/>
      <family val="2"/>
      <scheme val="minor"/>
    </font>
    <font>
      <sz val="8"/>
      <color theme="1"/>
      <name val="Arial"/>
      <family val="2"/>
    </font>
    <font>
      <b/>
      <sz val="8"/>
      <color rgb="FFFFFFFF"/>
      <name val="Arial"/>
      <family val="2"/>
    </font>
  </fonts>
  <fills count="55">
    <fill>
      <patternFill patternType="none"/>
    </fill>
    <fill>
      <patternFill patternType="gray125"/>
    </fill>
    <fill>
      <patternFill patternType="solid">
        <fgColor theme="6"/>
        <bgColor indexed="64"/>
      </patternFill>
    </fill>
    <fill>
      <patternFill patternType="solid">
        <fgColor theme="1"/>
        <bgColor indexed="64"/>
      </patternFill>
    </fill>
    <fill>
      <patternFill patternType="solid">
        <fgColor theme="0" tint="-0.249977111117893"/>
        <bgColor indexed="64"/>
      </patternFill>
    </fill>
    <fill>
      <patternFill patternType="solid">
        <fgColor theme="9"/>
        <bgColor indexed="64"/>
      </patternFill>
    </fill>
    <fill>
      <patternFill patternType="solid">
        <fgColor rgb="FFFFCC99"/>
      </patternFill>
    </fill>
    <fill>
      <patternFill patternType="solid">
        <fgColor rgb="FFF2F2F2"/>
      </patternFill>
    </fill>
    <fill>
      <patternFill patternType="solid">
        <fgColor indexed="27"/>
        <bgColor indexed="64"/>
      </patternFill>
    </fill>
    <fill>
      <patternFill patternType="solid">
        <fgColor theme="0" tint="-0.14999847407452621"/>
        <bgColor indexed="64"/>
      </patternFill>
    </fill>
    <fill>
      <patternFill patternType="solid">
        <fgColor theme="0"/>
        <bgColor indexed="64"/>
      </patternFill>
    </fill>
    <fill>
      <patternFill patternType="solid">
        <fgColor indexed="42"/>
        <bgColor indexed="64"/>
      </patternFill>
    </fill>
    <fill>
      <patternFill patternType="solid">
        <fgColor theme="6" tint="0.79998168889431442"/>
        <bgColor theme="6" tint="0.79998168889431442"/>
      </patternFill>
    </fill>
    <fill>
      <patternFill patternType="solid">
        <fgColor indexed="22"/>
        <bgColor indexed="64"/>
      </patternFill>
    </fill>
    <fill>
      <patternFill patternType="solid">
        <fgColor indexed="41"/>
        <bgColor indexed="64"/>
      </patternFill>
    </fill>
    <fill>
      <patternFill patternType="gray0625">
        <bgColor indexed="44"/>
      </patternFill>
    </fill>
    <fill>
      <patternFill patternType="solid">
        <fgColor indexed="26"/>
        <bgColor indexed="64"/>
      </patternFill>
    </fill>
    <fill>
      <patternFill patternType="solid">
        <fgColor theme="6"/>
        <bgColor indexed="0"/>
      </patternFill>
    </fill>
    <fill>
      <patternFill patternType="solid">
        <fgColor theme="0" tint="-0.34998626667073579"/>
        <bgColor indexed="64"/>
      </patternFill>
    </fill>
    <fill>
      <patternFill patternType="solid">
        <fgColor indexed="9"/>
      </patternFill>
    </fill>
    <fill>
      <patternFill patternType="solid">
        <fgColor indexed="47"/>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44"/>
        <bgColor indexed="64"/>
      </patternFill>
    </fill>
    <fill>
      <patternFill patternType="solid">
        <fgColor indexed="26"/>
      </patternFill>
    </fill>
    <fill>
      <patternFill patternType="mediumGray">
        <fgColor indexed="22"/>
      </patternFill>
    </fill>
    <fill>
      <patternFill patternType="solid">
        <fgColor indexed="8"/>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92D050"/>
        <bgColor indexed="64"/>
      </patternFill>
    </fill>
    <fill>
      <patternFill patternType="solid">
        <fgColor rgb="FFFFFF00"/>
        <bgColor indexed="64"/>
      </patternFill>
    </fill>
    <fill>
      <patternFill patternType="solid">
        <fgColor indexed="9"/>
        <bgColor indexed="64"/>
      </patternFill>
    </fill>
    <fill>
      <patternFill patternType="solid">
        <fgColor rgb="FF365F91"/>
        <bgColor indexed="64"/>
      </patternFill>
    </fill>
    <fill>
      <patternFill patternType="solid">
        <fgColor rgb="FFDBE5F1"/>
        <bgColor indexed="64"/>
      </patternFill>
    </fill>
  </fills>
  <borders count="3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auto="1"/>
      </bottom>
      <diagonal/>
    </border>
    <border>
      <left/>
      <right/>
      <top style="thin">
        <color indexed="49"/>
      </top>
      <bottom style="double">
        <color indexed="49"/>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medium">
        <color rgb="FF365F91"/>
      </bottom>
      <diagonal/>
    </border>
  </borders>
  <cellStyleXfs count="492">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2" fillId="0" borderId="0"/>
    <xf numFmtId="9" fontId="14" fillId="0" borderId="0" applyFont="0" applyFill="0" applyBorder="0" applyAlignment="0" applyProtection="0"/>
    <xf numFmtId="0" fontId="15" fillId="0" borderId="0"/>
    <xf numFmtId="0" fontId="15" fillId="0" borderId="0"/>
    <xf numFmtId="0" fontId="16" fillId="12" borderId="0" applyNumberFormat="0" applyBorder="0" applyAlignment="0" applyProtection="0"/>
    <xf numFmtId="41" fontId="15" fillId="13" borderId="0" applyNumberFormat="0" applyFont="0" applyBorder="0" applyAlignment="0">
      <alignment horizontal="right"/>
    </xf>
    <xf numFmtId="0" fontId="17" fillId="7" borderId="7" applyNumberFormat="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1" fontId="18" fillId="13" borderId="0" applyFont="0" applyBorder="0" applyAlignment="0"/>
    <xf numFmtId="170" fontId="18" fillId="13" borderId="0" applyFont="0" applyBorder="0" applyAlignment="0"/>
    <xf numFmtId="0" fontId="19" fillId="6" borderId="7" applyNumberFormat="0" applyAlignment="0" applyProtection="0"/>
    <xf numFmtId="3" fontId="15" fillId="14" borderId="0" applyNumberFormat="0" applyFont="0" applyBorder="0" applyAlignment="0">
      <alignment horizontal="right"/>
      <protection locked="0"/>
    </xf>
    <xf numFmtId="10" fontId="15" fillId="14" borderId="0" applyFont="0" applyBorder="0">
      <alignment horizontal="right"/>
      <protection locked="0"/>
    </xf>
    <xf numFmtId="41" fontId="15" fillId="8" borderId="0" applyFont="0" applyBorder="0" applyAlignment="0">
      <alignment horizontal="right"/>
      <protection locked="0"/>
    </xf>
    <xf numFmtId="10" fontId="18" fillId="15" borderId="0" applyBorder="0" applyAlignment="0">
      <protection locked="0"/>
    </xf>
    <xf numFmtId="172" fontId="15" fillId="11" borderId="0" applyFont="0" applyBorder="0">
      <alignment horizontal="right"/>
      <protection locked="0"/>
    </xf>
    <xf numFmtId="10" fontId="20" fillId="11" borderId="0" applyFont="0" applyBorder="0" applyAlignment="0">
      <alignment horizontal="left"/>
      <protection locked="0"/>
    </xf>
    <xf numFmtId="41" fontId="15" fillId="16" borderId="0" applyFont="0" applyBorder="0">
      <alignment horizontal="right"/>
      <protection locked="0"/>
    </xf>
    <xf numFmtId="9" fontId="20" fillId="16" borderId="0" applyFont="0" applyBorder="0">
      <alignment horizontal="right"/>
      <protection locked="0"/>
    </xf>
    <xf numFmtId="41" fontId="15" fillId="16" borderId="0" applyFont="0" applyBorder="0">
      <alignment horizontal="right"/>
      <protection locked="0"/>
    </xf>
    <xf numFmtId="0" fontId="1" fillId="0" borderId="0"/>
    <xf numFmtId="0" fontId="1" fillId="0" borderId="0"/>
    <xf numFmtId="0" fontId="15" fillId="0" borderId="0"/>
    <xf numFmtId="0" fontId="1" fillId="0" borderId="0"/>
    <xf numFmtId="0" fontId="15" fillId="0" borderId="0"/>
    <xf numFmtId="0" fontId="15" fillId="0" borderId="0"/>
    <xf numFmtId="0" fontId="15" fillId="0" borderId="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5" fillId="0" borderId="0"/>
    <xf numFmtId="0" fontId="15" fillId="0" borderId="0"/>
    <xf numFmtId="175" fontId="32" fillId="0" borderId="0"/>
    <xf numFmtId="175" fontId="32" fillId="0" borderId="0"/>
    <xf numFmtId="0" fontId="14" fillId="19"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0" borderId="0" applyNumberFormat="0" applyBorder="0" applyAlignment="0" applyProtection="0"/>
    <xf numFmtId="0" fontId="14" fillId="22"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2" borderId="0" applyNumberFormat="0" applyBorder="0" applyAlignment="0" applyProtection="0"/>
    <xf numFmtId="0" fontId="14" fillId="24" borderId="0" applyNumberFormat="0" applyBorder="0" applyAlignment="0" applyProtection="0"/>
    <xf numFmtId="0" fontId="14" fillId="20" borderId="0" applyNumberFormat="0" applyBorder="0" applyAlignment="0" applyProtection="0"/>
    <xf numFmtId="0" fontId="33" fillId="25" borderId="0" applyNumberFormat="0" applyBorder="0" applyAlignment="0" applyProtection="0"/>
    <xf numFmtId="0" fontId="33" fillId="20" borderId="0" applyNumberFormat="0" applyBorder="0" applyAlignment="0" applyProtection="0"/>
    <xf numFmtId="0" fontId="33" fillId="23" borderId="0" applyNumberFormat="0" applyBorder="0" applyAlignment="0" applyProtection="0"/>
    <xf numFmtId="0" fontId="33" fillId="22" borderId="0" applyNumberFormat="0" applyBorder="0" applyAlignment="0" applyProtection="0"/>
    <xf numFmtId="0" fontId="33" fillId="25" borderId="0" applyNumberFormat="0" applyBorder="0" applyAlignment="0" applyProtection="0"/>
    <xf numFmtId="0" fontId="33" fillId="20"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33" fillId="27" borderId="0" applyNumberFormat="0" applyBorder="0" applyAlignment="0" applyProtection="0"/>
    <xf numFmtId="0" fontId="33"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33" fillId="29" borderId="0" applyNumberFormat="0" applyBorder="0" applyAlignment="0" applyProtection="0"/>
    <xf numFmtId="0" fontId="33" fillId="33"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33" fillId="29" borderId="0" applyNumberFormat="0" applyBorder="0" applyAlignment="0" applyProtection="0"/>
    <xf numFmtId="0" fontId="33" fillId="34" borderId="0" applyNumberFormat="0" applyBorder="0" applyAlignment="0" applyProtection="0"/>
    <xf numFmtId="0" fontId="14" fillId="35" borderId="0" applyNumberFormat="0" applyBorder="0" applyAlignment="0" applyProtection="0"/>
    <xf numFmtId="0" fontId="14" fillId="26" borderId="0" applyNumberFormat="0" applyBorder="0" applyAlignment="0" applyProtection="0"/>
    <xf numFmtId="0" fontId="33" fillId="27" borderId="0" applyNumberFormat="0" applyBorder="0" applyAlignment="0" applyProtection="0"/>
    <xf numFmtId="0" fontId="33" fillId="25" borderId="0" applyNumberFormat="0" applyBorder="0" applyAlignment="0" applyProtection="0"/>
    <xf numFmtId="0" fontId="14" fillId="28" borderId="0" applyNumberFormat="0" applyBorder="0" applyAlignment="0" applyProtection="0"/>
    <xf numFmtId="0" fontId="14"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4" fillId="0" borderId="0"/>
    <xf numFmtId="42" fontId="35" fillId="0" borderId="0" applyFont="0" applyFill="0" applyBorder="0" applyAlignment="0" applyProtection="0"/>
    <xf numFmtId="0" fontId="36" fillId="38" borderId="0" applyNumberFormat="0" applyBorder="0" applyAlignment="0" applyProtection="0"/>
    <xf numFmtId="0" fontId="37" fillId="0" borderId="0" applyNumberFormat="0" applyFill="0" applyBorder="0" applyAlignment="0"/>
    <xf numFmtId="41" fontId="15" fillId="13" borderId="0" applyNumberFormat="0" applyFont="0" applyBorder="0" applyAlignment="0">
      <alignment horizontal="right"/>
    </xf>
    <xf numFmtId="0" fontId="38" fillId="0" borderId="0" applyNumberFormat="0" applyFill="0" applyBorder="0" applyAlignment="0">
      <protection locked="0"/>
    </xf>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39" fillId="19" borderId="18" applyNumberFormat="0" applyAlignment="0" applyProtection="0"/>
    <xf numFmtId="0" fontId="40" fillId="39" borderId="19" applyNumberFormat="0" applyAlignment="0" applyProtection="0"/>
    <xf numFmtId="0" fontId="40" fillId="39" borderId="19" applyNumberFormat="0" applyAlignment="0" applyProtection="0"/>
    <xf numFmtId="0" fontId="40" fillId="39" borderId="19" applyNumberFormat="0" applyAlignment="0" applyProtection="0"/>
    <xf numFmtId="0" fontId="40" fillId="39" borderId="19" applyNumberFormat="0" applyAlignment="0" applyProtection="0"/>
    <xf numFmtId="41" fontId="15" fillId="0" borderId="0" applyFont="0" applyFill="0" applyBorder="0" applyAlignment="0" applyProtection="0"/>
    <xf numFmtId="0" fontId="41" fillId="0" borderId="0" applyFont="0" applyFill="0" applyBorder="0" applyAlignment="0" applyProtection="0"/>
    <xf numFmtId="0" fontId="15" fillId="0" borderId="0" applyFont="0" applyFill="0" applyBorder="0" applyAlignment="0" applyProtection="0"/>
    <xf numFmtId="43" fontId="14" fillId="0" borderId="0" applyFont="0" applyFill="0" applyBorder="0" applyAlignment="0" applyProtection="0"/>
    <xf numFmtId="43" fontId="24" fillId="0" borderId="0" applyFont="0" applyFill="0" applyBorder="0" applyAlignment="0" applyProtection="0"/>
    <xf numFmtId="43" fontId="15" fillId="0" borderId="0" applyFont="0" applyFill="0" applyBorder="0" applyAlignment="0" applyProtection="0"/>
    <xf numFmtId="3" fontId="42" fillId="0" borderId="0" applyFont="0" applyFill="0" applyBorder="0" applyAlignment="0" applyProtection="0"/>
    <xf numFmtId="44" fontId="15" fillId="0" borderId="0" applyFont="0" applyFill="0" applyBorder="0" applyAlignment="0" applyProtection="0"/>
    <xf numFmtId="42" fontId="15" fillId="0" borderId="0" applyFont="0" applyFill="0" applyBorder="0" applyAlignment="0" applyProtection="0"/>
    <xf numFmtId="176" fontId="15" fillId="0" borderId="0" applyFont="0" applyFill="0" applyBorder="0" applyAlignment="0" applyProtection="0"/>
    <xf numFmtId="0" fontId="43"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177" fontId="14" fillId="0" borderId="0" applyFont="0" applyFill="0" applyBorder="0" applyAlignment="0" applyProtection="0"/>
    <xf numFmtId="0" fontId="44" fillId="0" borderId="0" applyNumberFormat="0" applyFill="0" applyBorder="0" applyAlignment="0" applyProtection="0"/>
    <xf numFmtId="178" fontId="15" fillId="0" borderId="0" applyFont="0" applyFill="0" applyBorder="0" applyAlignment="0" applyProtection="0"/>
    <xf numFmtId="0" fontId="45" fillId="0" borderId="0"/>
    <xf numFmtId="0" fontId="46" fillId="0" borderId="0"/>
    <xf numFmtId="0" fontId="47" fillId="43" borderId="0" applyNumberFormat="0" applyBorder="0" applyAlignment="0" applyProtection="0"/>
    <xf numFmtId="0" fontId="48" fillId="0" borderId="20" applyNumberFormat="0" applyFill="0" applyAlignment="0" applyProtection="0"/>
    <xf numFmtId="0" fontId="20" fillId="0" borderId="0" applyFill="0" applyBorder="0">
      <alignment vertical="center"/>
    </xf>
    <xf numFmtId="0" fontId="49" fillId="0" borderId="21" applyNumberFormat="0" applyFill="0" applyAlignment="0" applyProtection="0"/>
    <xf numFmtId="0" fontId="50" fillId="0" borderId="0" applyFill="0" applyBorder="0">
      <alignment vertical="center"/>
    </xf>
    <xf numFmtId="0" fontId="51" fillId="0" borderId="22" applyNumberFormat="0" applyFill="0" applyAlignment="0" applyProtection="0"/>
    <xf numFmtId="0" fontId="51" fillId="0" borderId="22" applyNumberFormat="0" applyFill="0" applyAlignment="0" applyProtection="0"/>
    <xf numFmtId="0" fontId="51" fillId="0" borderId="22" applyNumberFormat="0" applyFill="0" applyAlignment="0" applyProtection="0"/>
    <xf numFmtId="0" fontId="51" fillId="0" borderId="22" applyNumberFormat="0" applyFill="0" applyAlignment="0" applyProtection="0"/>
    <xf numFmtId="0" fontId="52" fillId="0" borderId="0" applyFill="0" applyBorder="0">
      <alignment vertical="center"/>
    </xf>
    <xf numFmtId="0" fontId="51" fillId="0" borderId="0" applyNumberFormat="0" applyFill="0" applyBorder="0" applyAlignment="0" applyProtection="0"/>
    <xf numFmtId="0" fontId="32" fillId="0" borderId="0" applyFill="0" applyBorder="0">
      <alignment vertical="center"/>
    </xf>
    <xf numFmtId="170" fontId="53" fillId="0" borderId="0"/>
    <xf numFmtId="0" fontId="54" fillId="0" borderId="0" applyNumberFormat="0" applyFill="0" applyBorder="0" applyAlignment="0" applyProtection="0">
      <alignment vertical="top"/>
      <protection locked="0"/>
    </xf>
    <xf numFmtId="0" fontId="55" fillId="0" borderId="0" applyNumberFormat="0" applyFill="0" applyBorder="0" applyAlignment="0" applyProtection="0"/>
    <xf numFmtId="0" fontId="56" fillId="0" borderId="0" applyFill="0" applyBorder="0">
      <alignment horizontal="center" vertical="center"/>
      <protection locked="0"/>
    </xf>
    <xf numFmtId="0" fontId="57" fillId="0" borderId="0" applyFill="0" applyBorder="0">
      <alignment horizontal="left" vertical="center"/>
      <protection locked="0"/>
    </xf>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0" fontId="58" fillId="20" borderId="18" applyNumberFormat="0" applyAlignment="0" applyProtection="0"/>
    <xf numFmtId="41" fontId="15" fillId="8" borderId="0" applyFont="0" applyBorder="0" applyAlignment="0">
      <alignment horizontal="right"/>
      <protection locked="0"/>
    </xf>
    <xf numFmtId="41" fontId="15" fillId="44" borderId="0" applyFont="0" applyBorder="0" applyAlignment="0">
      <alignment horizontal="right"/>
      <protection locked="0"/>
    </xf>
    <xf numFmtId="41" fontId="15" fillId="44" borderId="0" applyFont="0" applyBorder="0" applyAlignment="0">
      <alignment horizontal="right"/>
      <protection locked="0"/>
    </xf>
    <xf numFmtId="41" fontId="15" fillId="16" borderId="0" applyFont="0" applyBorder="0">
      <alignment horizontal="right"/>
      <protection locked="0"/>
    </xf>
    <xf numFmtId="41" fontId="15" fillId="16" borderId="0" applyFont="0" applyBorder="0">
      <alignment horizontal="right"/>
      <protection locked="0"/>
    </xf>
    <xf numFmtId="41" fontId="15" fillId="16" borderId="0" applyFont="0" applyBorder="0">
      <alignment horizontal="right"/>
      <protection locked="0"/>
    </xf>
    <xf numFmtId="0" fontId="32" fillId="13" borderId="0"/>
    <xf numFmtId="0" fontId="59" fillId="0" borderId="23" applyNumberFormat="0" applyFill="0" applyAlignment="0" applyProtection="0"/>
    <xf numFmtId="179" fontId="60" fillId="0" borderId="0"/>
    <xf numFmtId="0" fontId="61" fillId="0" borderId="0" applyFill="0" applyBorder="0">
      <alignment horizontal="left" vertical="center"/>
    </xf>
    <xf numFmtId="0" fontId="62" fillId="23" borderId="0" applyNumberFormat="0" applyBorder="0" applyAlignment="0" applyProtection="0"/>
    <xf numFmtId="180" fontId="63" fillId="0" borderId="0"/>
    <xf numFmtId="0" fontId="15" fillId="0" borderId="0"/>
    <xf numFmtId="0" fontId="1" fillId="0" borderId="0"/>
    <xf numFmtId="0" fontId="15" fillId="0" borderId="0" applyFill="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applyFill="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5" fillId="0" borderId="0"/>
    <xf numFmtId="0" fontId="1" fillId="0" borderId="0"/>
    <xf numFmtId="0" fontId="1" fillId="0" borderId="0"/>
    <xf numFmtId="0" fontId="1" fillId="0" borderId="0"/>
    <xf numFmtId="0" fontId="15" fillId="0" borderId="0" applyFill="0"/>
    <xf numFmtId="0" fontId="15" fillId="0" borderId="0"/>
    <xf numFmtId="0" fontId="24" fillId="0" borderId="0"/>
    <xf numFmtId="0" fontId="24" fillId="0" borderId="0"/>
    <xf numFmtId="0" fontId="1" fillId="0" borderId="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15" fillId="45" borderId="24" applyNumberFormat="0" applyFon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0" fontId="65" fillId="19" borderId="25" applyNumberFormat="0" applyAlignment="0" applyProtection="0"/>
    <xf numFmtId="181" fontId="15" fillId="0" borderId="0" applyFill="0" applyBorder="0"/>
    <xf numFmtId="170" fontId="66" fillId="0" borderId="0"/>
    <xf numFmtId="0" fontId="52" fillId="0" borderId="0" applyFill="0" applyBorder="0">
      <alignment vertical="center"/>
    </xf>
    <xf numFmtId="0"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182" fontId="67" fillId="0" borderId="26"/>
    <xf numFmtId="182" fontId="67" fillId="0" borderId="26"/>
    <xf numFmtId="0" fontId="68" fillId="0" borderId="27">
      <alignment horizontal="center"/>
    </xf>
    <xf numFmtId="0" fontId="68" fillId="0" borderId="27">
      <alignment horizontal="center"/>
    </xf>
    <xf numFmtId="3" fontId="41" fillId="0" borderId="0" applyFont="0" applyFill="0" applyBorder="0" applyAlignment="0" applyProtection="0"/>
    <xf numFmtId="0" fontId="41" fillId="46" borderId="0" applyNumberFormat="0" applyFont="0" applyBorder="0" applyAlignment="0" applyProtection="0"/>
    <xf numFmtId="173" fontId="15" fillId="0" borderId="0"/>
    <xf numFmtId="183" fontId="32" fillId="0" borderId="0" applyFill="0" applyBorder="0">
      <alignment horizontal="right" vertical="center"/>
    </xf>
    <xf numFmtId="184" fontId="32" fillId="0" borderId="0" applyFill="0" applyBorder="0">
      <alignment horizontal="right" vertical="center"/>
    </xf>
    <xf numFmtId="185" fontId="32" fillId="0" borderId="0" applyFill="0" applyBorder="0">
      <alignment horizontal="right" vertical="center"/>
    </xf>
    <xf numFmtId="0" fontId="15" fillId="45" borderId="0" applyNumberFormat="0" applyFont="0" applyBorder="0" applyAlignment="0" applyProtection="0"/>
    <xf numFmtId="0" fontId="15" fillId="19" borderId="0" applyNumberFormat="0" applyFont="0" applyBorder="0" applyAlignment="0" applyProtection="0"/>
    <xf numFmtId="0" fontId="15" fillId="22" borderId="0" applyNumberFormat="0" applyFont="0" applyBorder="0" applyAlignment="0" applyProtection="0"/>
    <xf numFmtId="0" fontId="15" fillId="0" borderId="0" applyNumberFormat="0" applyFont="0" applyFill="0" applyBorder="0" applyAlignment="0" applyProtection="0"/>
    <xf numFmtId="0" fontId="15" fillId="22" borderId="0" applyNumberFormat="0" applyFont="0" applyBorder="0" applyAlignment="0" applyProtection="0"/>
    <xf numFmtId="0" fontId="15" fillId="0" borderId="0" applyNumberFormat="0" applyFont="0" applyFill="0" applyBorder="0" applyAlignment="0" applyProtection="0"/>
    <xf numFmtId="0" fontId="15" fillId="0" borderId="0" applyNumberFormat="0" applyFont="0" applyBorder="0" applyAlignment="0" applyProtection="0"/>
    <xf numFmtId="0" fontId="69" fillId="0" borderId="0" applyNumberFormat="0" applyFill="0" applyBorder="0" applyAlignment="0" applyProtection="0"/>
    <xf numFmtId="0" fontId="15" fillId="0" borderId="0"/>
    <xf numFmtId="0" fontId="61" fillId="0" borderId="0"/>
    <xf numFmtId="0" fontId="70" fillId="0" borderId="0"/>
    <xf numFmtId="15" fontId="15" fillId="0" borderId="0"/>
    <xf numFmtId="10" fontId="15" fillId="0" borderId="0"/>
    <xf numFmtId="0" fontId="71" fillId="47" borderId="13" applyBorder="0" applyProtection="0">
      <alignment horizontal="centerContinuous" vertical="center"/>
    </xf>
    <xf numFmtId="0" fontId="71" fillId="47" borderId="13" applyBorder="0" applyProtection="0">
      <alignment horizontal="centerContinuous" vertical="center"/>
    </xf>
    <xf numFmtId="0" fontId="71" fillId="47" borderId="13" applyBorder="0" applyProtection="0">
      <alignment horizontal="centerContinuous" vertical="center"/>
    </xf>
    <xf numFmtId="0" fontId="71" fillId="47" borderId="13" applyBorder="0" applyProtection="0">
      <alignment horizontal="centerContinuous" vertical="center"/>
    </xf>
    <xf numFmtId="0" fontId="72" fillId="0" borderId="0" applyBorder="0" applyProtection="0">
      <alignment vertical="center"/>
    </xf>
    <xf numFmtId="0" fontId="73" fillId="0" borderId="0">
      <alignment horizontal="left"/>
    </xf>
    <xf numFmtId="0" fontId="73" fillId="0" borderId="9" applyFill="0" applyBorder="0" applyProtection="0">
      <alignment horizontal="left" vertical="top"/>
    </xf>
    <xf numFmtId="0" fontId="73" fillId="0" borderId="9" applyFill="0" applyBorder="0" applyProtection="0">
      <alignment horizontal="left" vertical="top"/>
    </xf>
    <xf numFmtId="49" fontId="15" fillId="0" borderId="0" applyFont="0" applyFill="0" applyBorder="0" applyAlignment="0" applyProtection="0"/>
    <xf numFmtId="0" fontId="74" fillId="0" borderId="0"/>
    <xf numFmtId="0" fontId="75" fillId="0" borderId="0"/>
    <xf numFmtId="0" fontId="75" fillId="0" borderId="0"/>
    <xf numFmtId="0" fontId="74" fillId="0" borderId="0"/>
    <xf numFmtId="179" fontId="76" fillId="0" borderId="0"/>
    <xf numFmtId="0" fontId="69" fillId="0" borderId="0" applyNumberFormat="0" applyFill="0" applyBorder="0" applyAlignment="0" applyProtection="0"/>
    <xf numFmtId="0" fontId="77" fillId="0" borderId="0" applyFill="0" applyBorder="0">
      <alignment horizontal="left" vertical="center"/>
      <protection locked="0"/>
    </xf>
    <xf numFmtId="0" fontId="74" fillId="0" borderId="0"/>
    <xf numFmtId="0" fontId="78" fillId="0" borderId="0" applyFill="0" applyBorder="0">
      <alignment horizontal="left" vertical="center"/>
      <protection locked="0"/>
    </xf>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79" fillId="0" borderId="0" applyNumberFormat="0" applyFill="0" applyBorder="0" applyAlignment="0" applyProtection="0"/>
    <xf numFmtId="186" fontId="15" fillId="0" borderId="13" applyBorder="0" applyProtection="0">
      <alignment horizontal="right"/>
    </xf>
    <xf numFmtId="186" fontId="15" fillId="0" borderId="13" applyBorder="0" applyProtection="0">
      <alignment horizontal="right"/>
    </xf>
    <xf numFmtId="186" fontId="15" fillId="0" borderId="13" applyBorder="0" applyProtection="0">
      <alignment horizontal="right"/>
    </xf>
    <xf numFmtId="186" fontId="15" fillId="0" borderId="13" applyBorder="0" applyProtection="0">
      <alignment horizontal="right"/>
    </xf>
  </cellStyleXfs>
  <cellXfs count="520">
    <xf numFmtId="0" fontId="0" fillId="0" borderId="0" xfId="0"/>
    <xf numFmtId="0" fontId="2" fillId="0" borderId="0" xfId="0" applyFont="1"/>
    <xf numFmtId="0" fontId="3" fillId="0" borderId="0" xfId="0" applyFont="1"/>
    <xf numFmtId="0" fontId="3" fillId="2" borderId="2" xfId="0" applyFont="1" applyFill="1" applyBorder="1"/>
    <xf numFmtId="0" fontId="2" fillId="2" borderId="2" xfId="0" applyFont="1" applyFill="1" applyBorder="1"/>
    <xf numFmtId="0" fontId="4" fillId="0" borderId="0" xfId="0" applyFont="1"/>
    <xf numFmtId="0" fontId="5" fillId="0" borderId="0" xfId="0" quotePrefix="1" applyFont="1"/>
    <xf numFmtId="0" fontId="2" fillId="0" borderId="0" xfId="0" applyFont="1" applyFill="1"/>
    <xf numFmtId="0" fontId="3" fillId="2" borderId="2" xfId="0" applyFont="1" applyFill="1" applyBorder="1" applyAlignment="1">
      <alignment horizontal="center"/>
    </xf>
    <xf numFmtId="0" fontId="3" fillId="0" borderId="5" xfId="0" applyFont="1" applyBorder="1"/>
    <xf numFmtId="0" fontId="2" fillId="0" borderId="0" xfId="0" applyFont="1" applyAlignment="1">
      <alignment vertical="top" wrapText="1"/>
    </xf>
    <xf numFmtId="0" fontId="2" fillId="0" borderId="0" xfId="0" applyFont="1" applyFill="1" applyBorder="1" applyAlignment="1">
      <alignment vertical="top" wrapText="1"/>
    </xf>
    <xf numFmtId="0" fontId="2" fillId="0" borderId="0" xfId="0" applyFont="1" applyFill="1" applyAlignment="1">
      <alignment vertical="top" wrapText="1"/>
    </xf>
    <xf numFmtId="0" fontId="2" fillId="0" borderId="0" xfId="0" applyFont="1" applyFill="1" applyBorder="1"/>
    <xf numFmtId="0" fontId="2" fillId="0" borderId="0" xfId="0" applyFont="1" applyFill="1" applyBorder="1" applyAlignment="1">
      <alignment horizontal="left" vertical="top" wrapText="1"/>
    </xf>
    <xf numFmtId="0" fontId="3" fillId="2" borderId="2" xfId="0" applyFont="1" applyFill="1" applyBorder="1" applyAlignment="1">
      <alignment horizontal="center" vertical="top" wrapText="1"/>
    </xf>
    <xf numFmtId="0" fontId="6" fillId="3" borderId="0" xfId="0" applyFont="1" applyFill="1" applyAlignment="1">
      <alignment vertical="top" wrapText="1"/>
    </xf>
    <xf numFmtId="167" fontId="2" fillId="0" borderId="0" xfId="1" applyNumberFormat="1" applyFont="1" applyFill="1" applyAlignment="1">
      <alignment vertical="top" wrapText="1"/>
    </xf>
    <xf numFmtId="167" fontId="3" fillId="0" borderId="0" xfId="0" applyNumberFormat="1" applyFont="1" applyFill="1" applyAlignment="1">
      <alignment vertical="top" wrapText="1"/>
    </xf>
    <xf numFmtId="167" fontId="2" fillId="0" borderId="0" xfId="0" applyNumberFormat="1" applyFont="1" applyAlignment="1">
      <alignment vertical="top" wrapText="1"/>
    </xf>
    <xf numFmtId="167" fontId="2" fillId="0" borderId="0" xfId="1" applyNumberFormat="1" applyFont="1" applyAlignment="1">
      <alignment vertical="top" wrapText="1"/>
    </xf>
    <xf numFmtId="167" fontId="3" fillId="0" borderId="0" xfId="0" applyNumberFormat="1" applyFont="1" applyAlignment="1">
      <alignment vertical="top" wrapText="1"/>
    </xf>
    <xf numFmtId="0" fontId="3" fillId="0" borderId="1" xfId="0" applyFont="1" applyBorder="1" applyAlignment="1">
      <alignment vertical="top" wrapText="1"/>
    </xf>
    <xf numFmtId="167" fontId="3" fillId="0" borderId="1" xfId="0" applyNumberFormat="1" applyFont="1" applyBorder="1" applyAlignment="1">
      <alignment vertical="top" wrapText="1"/>
    </xf>
    <xf numFmtId="0" fontId="3" fillId="0" borderId="0" xfId="0" applyFont="1" applyAlignment="1">
      <alignment vertical="top" wrapText="1"/>
    </xf>
    <xf numFmtId="0" fontId="8" fillId="0" borderId="0" xfId="0" applyFont="1" applyAlignment="1">
      <alignment vertical="top" wrapText="1"/>
    </xf>
    <xf numFmtId="167" fontId="3" fillId="0" borderId="0" xfId="1" applyNumberFormat="1" applyFont="1" applyAlignment="1">
      <alignment vertical="top" wrapText="1"/>
    </xf>
    <xf numFmtId="0" fontId="3" fillId="0" borderId="5" xfId="0" applyFont="1" applyBorder="1" applyAlignment="1">
      <alignment vertical="top" wrapText="1"/>
    </xf>
    <xf numFmtId="167" fontId="3" fillId="0" borderId="0" xfId="0" applyNumberFormat="1" applyFont="1" applyBorder="1" applyAlignment="1">
      <alignment vertical="top" wrapText="1"/>
    </xf>
    <xf numFmtId="0" fontId="9" fillId="0" borderId="0" xfId="0" applyFont="1" applyAlignment="1">
      <alignment vertical="top" wrapText="1"/>
    </xf>
    <xf numFmtId="0" fontId="10" fillId="0" borderId="0" xfId="0" applyFont="1"/>
    <xf numFmtId="0" fontId="10" fillId="0" borderId="0" xfId="0" applyFont="1" applyAlignment="1">
      <alignment vertical="top" wrapText="1"/>
    </xf>
    <xf numFmtId="0" fontId="11" fillId="0" borderId="0" xfId="0" applyFont="1" applyAlignment="1">
      <alignment vertical="top" wrapText="1"/>
    </xf>
    <xf numFmtId="167" fontId="10" fillId="0" borderId="0" xfId="0" applyNumberFormat="1" applyFont="1" applyAlignment="1">
      <alignment vertical="top" wrapText="1"/>
    </xf>
    <xf numFmtId="167" fontId="2" fillId="0" borderId="0" xfId="0" applyNumberFormat="1" applyFont="1" applyBorder="1" applyAlignment="1">
      <alignment vertical="top" wrapText="1"/>
    </xf>
    <xf numFmtId="167" fontId="3" fillId="0" borderId="1" xfId="1" applyNumberFormat="1" applyFont="1" applyBorder="1" applyAlignment="1">
      <alignment vertical="top" wrapText="1"/>
    </xf>
    <xf numFmtId="0" fontId="6" fillId="3" borderId="0" xfId="0" applyFont="1" applyFill="1" applyAlignment="1">
      <alignment horizontal="left" vertical="top" wrapText="1"/>
    </xf>
    <xf numFmtId="0" fontId="6" fillId="0" borderId="0" xfId="0" applyFont="1" applyFill="1" applyAlignment="1">
      <alignment horizontal="left" vertical="top" wrapText="1"/>
    </xf>
    <xf numFmtId="170" fontId="3" fillId="0" borderId="5" xfId="2" applyNumberFormat="1" applyFont="1" applyBorder="1" applyAlignment="1">
      <alignment vertical="top" wrapText="1"/>
    </xf>
    <xf numFmtId="0" fontId="3" fillId="0" borderId="0" xfId="0" applyFont="1" applyFill="1" applyBorder="1" applyAlignment="1">
      <alignment horizontal="center" vertical="top" wrapText="1"/>
    </xf>
    <xf numFmtId="49" fontId="22" fillId="17" borderId="2" xfId="5" applyNumberFormat="1" applyFont="1" applyFill="1" applyBorder="1" applyAlignment="1">
      <alignment horizontal="center" wrapText="1"/>
    </xf>
    <xf numFmtId="172" fontId="2" fillId="0" borderId="0" xfId="0" applyNumberFormat="1" applyFont="1" applyAlignment="1">
      <alignment vertical="top" wrapText="1"/>
    </xf>
    <xf numFmtId="172" fontId="3" fillId="0" borderId="1" xfId="0" applyNumberFormat="1" applyFont="1" applyBorder="1" applyAlignment="1">
      <alignmen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49" fontId="22" fillId="17" borderId="2" xfId="5" applyNumberFormat="1" applyFont="1" applyFill="1" applyBorder="1" applyAlignment="1">
      <alignment horizontal="left" wrapText="1"/>
    </xf>
    <xf numFmtId="170" fontId="2" fillId="0" borderId="0" xfId="2" applyNumberFormat="1" applyFont="1" applyAlignment="1">
      <alignment vertical="top" wrapText="1"/>
    </xf>
    <xf numFmtId="172" fontId="3" fillId="0" borderId="5" xfId="0" applyNumberFormat="1" applyFont="1" applyBorder="1" applyAlignment="1">
      <alignment vertical="top" wrapText="1"/>
    </xf>
    <xf numFmtId="0" fontId="2" fillId="0" borderId="0" xfId="44" applyFont="1"/>
    <xf numFmtId="0" fontId="2" fillId="0" borderId="0" xfId="44" applyFont="1" applyFill="1" applyBorder="1"/>
    <xf numFmtId="0" fontId="2" fillId="0" borderId="0" xfId="44" applyFont="1" applyFill="1"/>
    <xf numFmtId="0" fontId="2" fillId="0" borderId="0" xfId="44" applyFont="1" applyAlignment="1">
      <alignment vertical="top" wrapText="1"/>
    </xf>
    <xf numFmtId="0" fontId="3" fillId="2" borderId="2" xfId="44" applyFont="1" applyFill="1" applyBorder="1" applyAlignment="1">
      <alignment horizontal="center" vertical="top" wrapText="1"/>
    </xf>
    <xf numFmtId="0" fontId="2" fillId="0" borderId="0" xfId="44" applyFont="1" applyFill="1" applyAlignment="1">
      <alignment vertical="top" wrapText="1"/>
    </xf>
    <xf numFmtId="0" fontId="3" fillId="0" borderId="0" xfId="44" applyFont="1" applyFill="1" applyBorder="1" applyAlignment="1">
      <alignment horizontal="center" vertical="top" wrapText="1"/>
    </xf>
    <xf numFmtId="0" fontId="6" fillId="3" borderId="0" xfId="44" applyFont="1" applyFill="1" applyAlignment="1">
      <alignment vertical="top" wrapText="1"/>
    </xf>
    <xf numFmtId="0" fontId="6" fillId="3" borderId="0" xfId="44" applyFont="1" applyFill="1" applyBorder="1" applyAlignment="1">
      <alignment horizontal="center" vertical="top" wrapText="1"/>
    </xf>
    <xf numFmtId="0" fontId="3" fillId="0" borderId="0" xfId="44" applyFont="1" applyFill="1" applyBorder="1" applyAlignment="1">
      <alignment vertical="top" wrapText="1"/>
    </xf>
    <xf numFmtId="0" fontId="2" fillId="0" borderId="0" xfId="44" applyFont="1" applyBorder="1" applyAlignment="1">
      <alignment horizontal="left" vertical="top" wrapText="1"/>
    </xf>
    <xf numFmtId="169" fontId="2" fillId="0" borderId="0" xfId="44" applyNumberFormat="1" applyFont="1" applyBorder="1" applyAlignment="1">
      <alignment vertical="top" wrapText="1"/>
    </xf>
    <xf numFmtId="0" fontId="3" fillId="0" borderId="1" xfId="44" applyFont="1" applyBorder="1" applyAlignment="1">
      <alignment horizontal="left" vertical="top" wrapText="1"/>
    </xf>
    <xf numFmtId="169" fontId="3" fillId="0" borderId="1" xfId="44" applyNumberFormat="1" applyFont="1" applyBorder="1" applyAlignment="1">
      <alignment vertical="top" wrapText="1"/>
    </xf>
    <xf numFmtId="0" fontId="3" fillId="0" borderId="0" xfId="44" applyFont="1" applyBorder="1" applyAlignment="1">
      <alignment horizontal="left" vertical="top" wrapText="1"/>
    </xf>
    <xf numFmtId="0" fontId="2" fillId="0" borderId="0" xfId="44" applyFont="1" applyFill="1" applyBorder="1" applyAlignment="1">
      <alignment horizontal="left" vertical="top" wrapText="1"/>
    </xf>
    <xf numFmtId="169" fontId="2" fillId="0" borderId="0" xfId="44" applyNumberFormat="1" applyFont="1" applyFill="1" applyBorder="1" applyAlignment="1">
      <alignment vertical="top" wrapText="1"/>
    </xf>
    <xf numFmtId="0" fontId="3" fillId="0" borderId="0" xfId="44" applyFont="1" applyAlignment="1">
      <alignment vertical="top" wrapText="1"/>
    </xf>
    <xf numFmtId="0" fontId="3" fillId="0" borderId="5" xfId="44" applyFont="1" applyBorder="1" applyAlignment="1">
      <alignment vertical="top" wrapText="1"/>
    </xf>
    <xf numFmtId="170" fontId="2" fillId="0" borderId="0" xfId="45" applyNumberFormat="1" applyFont="1" applyAlignment="1">
      <alignment vertical="top" wrapText="1"/>
    </xf>
    <xf numFmtId="169" fontId="3" fillId="4" borderId="5" xfId="44" applyNumberFormat="1" applyFont="1" applyFill="1" applyBorder="1" applyAlignment="1">
      <alignment horizontal="center" vertical="top" wrapText="1"/>
    </xf>
    <xf numFmtId="0" fontId="2" fillId="10" borderId="0" xfId="44" applyFont="1" applyFill="1"/>
    <xf numFmtId="0" fontId="6" fillId="10" borderId="0" xfId="44" applyFont="1" applyFill="1" applyAlignment="1">
      <alignment vertical="top" wrapText="1"/>
    </xf>
    <xf numFmtId="0" fontId="6" fillId="10" borderId="0" xfId="44" applyFont="1" applyFill="1" applyBorder="1" applyAlignment="1">
      <alignment horizontal="center" vertical="top" wrapText="1"/>
    </xf>
    <xf numFmtId="0" fontId="10" fillId="0" borderId="0" xfId="44" applyFont="1"/>
    <xf numFmtId="0" fontId="10" fillId="0" borderId="0" xfId="44" applyFont="1" applyBorder="1" applyAlignment="1">
      <alignment horizontal="left" vertical="top" wrapText="1"/>
    </xf>
    <xf numFmtId="0" fontId="6" fillId="0" borderId="0" xfId="44" applyFont="1" applyFill="1" applyAlignment="1">
      <alignment vertical="top" wrapText="1"/>
    </xf>
    <xf numFmtId="0" fontId="6" fillId="0" borderId="0" xfId="44" applyFont="1" applyFill="1" applyBorder="1" applyAlignment="1">
      <alignment horizontal="center" vertical="top" wrapText="1"/>
    </xf>
    <xf numFmtId="0" fontId="6" fillId="5" borderId="0" xfId="44" applyFont="1" applyFill="1" applyAlignment="1">
      <alignment vertical="top" wrapText="1"/>
    </xf>
    <xf numFmtId="0" fontId="6" fillId="5" borderId="0" xfId="44" applyFont="1" applyFill="1" applyBorder="1" applyAlignment="1">
      <alignment horizontal="center" vertical="top" wrapText="1"/>
    </xf>
    <xf numFmtId="0" fontId="23" fillId="5" borderId="0" xfId="44" applyFont="1" applyFill="1" applyAlignment="1">
      <alignment vertical="top" wrapText="1"/>
    </xf>
    <xf numFmtId="0" fontId="2" fillId="4" borderId="0" xfId="44" applyFont="1" applyFill="1" applyAlignment="1">
      <alignment vertical="top" wrapText="1"/>
    </xf>
    <xf numFmtId="0" fontId="2" fillId="0" borderId="5" xfId="44" applyFont="1" applyBorder="1" applyAlignment="1">
      <alignment vertical="top" wrapText="1"/>
    </xf>
    <xf numFmtId="0" fontId="10" fillId="0" borderId="0" xfId="44" applyFont="1" applyAlignment="1">
      <alignment vertical="top" wrapText="1"/>
    </xf>
    <xf numFmtId="10" fontId="2" fillId="0" borderId="0" xfId="0" applyNumberFormat="1" applyFont="1" applyAlignment="1">
      <alignment vertical="top" wrapText="1"/>
    </xf>
    <xf numFmtId="171" fontId="2" fillId="0" borderId="0" xfId="1" applyNumberFormat="1" applyFont="1" applyAlignment="1">
      <alignment vertical="top" wrapText="1"/>
    </xf>
    <xf numFmtId="171" fontId="3" fillId="0" borderId="0" xfId="1" applyNumberFormat="1" applyFont="1" applyAlignment="1">
      <alignment vertical="top" wrapText="1"/>
    </xf>
    <xf numFmtId="0" fontId="2" fillId="0" borderId="0" xfId="0" applyFont="1" applyAlignment="1">
      <alignment horizontal="left" vertical="top" wrapText="1" indent="1"/>
    </xf>
    <xf numFmtId="0" fontId="21" fillId="0" borderId="0" xfId="0" applyFont="1"/>
    <xf numFmtId="169" fontId="3" fillId="0" borderId="1" xfId="44" applyNumberFormat="1" applyFont="1" applyFill="1" applyBorder="1" applyAlignment="1">
      <alignment vertical="top" wrapText="1"/>
    </xf>
    <xf numFmtId="173" fontId="3" fillId="0" borderId="5" xfId="0" applyNumberFormat="1" applyFont="1" applyBorder="1"/>
    <xf numFmtId="0" fontId="23" fillId="13" borderId="3" xfId="0" applyFont="1" applyFill="1" applyBorder="1" applyAlignment="1">
      <alignment horizontal="left"/>
    </xf>
    <xf numFmtId="0" fontId="23" fillId="0" borderId="0" xfId="0" applyFont="1" applyFill="1" applyBorder="1" applyAlignment="1">
      <alignment horizontal="left"/>
    </xf>
    <xf numFmtId="0" fontId="23" fillId="0" borderId="0" xfId="0" applyFont="1" applyFill="1" applyBorder="1" applyAlignment="1">
      <alignment horizontal="center"/>
    </xf>
    <xf numFmtId="10" fontId="2" fillId="0" borderId="2" xfId="2" applyNumberFormat="1" applyFont="1" applyBorder="1" applyAlignment="1">
      <alignment vertical="top" wrapText="1"/>
    </xf>
    <xf numFmtId="0" fontId="2" fillId="0" borderId="2" xfId="0" applyFont="1" applyBorder="1" applyAlignment="1">
      <alignment vertical="top" wrapText="1"/>
    </xf>
    <xf numFmtId="10" fontId="2" fillId="0" borderId="2" xfId="0" applyNumberFormat="1" applyFont="1" applyBorder="1" applyAlignment="1">
      <alignment vertical="top" wrapText="1"/>
    </xf>
    <xf numFmtId="0" fontId="2" fillId="0" borderId="2" xfId="44" applyFont="1" applyBorder="1" applyAlignment="1">
      <alignment horizontal="left" vertical="top" wrapText="1"/>
    </xf>
    <xf numFmtId="43" fontId="2" fillId="0" borderId="0" xfId="0" applyNumberFormat="1" applyFont="1" applyAlignment="1">
      <alignment vertical="top" wrapText="1"/>
    </xf>
    <xf numFmtId="44" fontId="2" fillId="0" borderId="0" xfId="47" applyFont="1" applyAlignment="1">
      <alignment vertical="top" wrapText="1"/>
    </xf>
    <xf numFmtId="44" fontId="2" fillId="0" borderId="0" xfId="0" applyNumberFormat="1" applyFont="1" applyAlignment="1">
      <alignment vertical="top" wrapText="1"/>
    </xf>
    <xf numFmtId="0" fontId="11" fillId="0" borderId="0" xfId="0" applyFont="1" applyBorder="1" applyAlignment="1">
      <alignment horizontal="left" vertical="top" wrapText="1"/>
    </xf>
    <xf numFmtId="0" fontId="13" fillId="0" borderId="0" xfId="0" applyFont="1"/>
    <xf numFmtId="0" fontId="13" fillId="0" borderId="0" xfId="0" applyFont="1" applyAlignment="1">
      <alignment vertical="top" wrapText="1"/>
    </xf>
    <xf numFmtId="14" fontId="2" fillId="0" borderId="0" xfId="0" applyNumberFormat="1" applyFont="1"/>
    <xf numFmtId="0" fontId="3" fillId="5" borderId="0" xfId="0" applyFont="1" applyFill="1" applyAlignment="1">
      <alignment vertical="top" wrapText="1"/>
    </xf>
    <xf numFmtId="0" fontId="25" fillId="5" borderId="0" xfId="0" applyFont="1" applyFill="1" applyAlignment="1">
      <alignment vertical="top" wrapText="1"/>
    </xf>
    <xf numFmtId="0" fontId="25" fillId="0" borderId="0" xfId="0" applyFont="1" applyFill="1" applyAlignment="1">
      <alignment vertical="top" wrapText="1"/>
    </xf>
    <xf numFmtId="171" fontId="2" fillId="5" borderId="0" xfId="0" applyNumberFormat="1" applyFont="1" applyFill="1" applyAlignment="1">
      <alignment horizontal="left" vertical="top" wrapText="1"/>
    </xf>
    <xf numFmtId="41" fontId="2" fillId="0" borderId="0" xfId="2" applyNumberFormat="1" applyFont="1" applyAlignment="1">
      <alignment vertical="top" wrapText="1"/>
    </xf>
    <xf numFmtId="41" fontId="2" fillId="0" borderId="0" xfId="0" applyNumberFormat="1" applyFont="1" applyAlignment="1">
      <alignment vertical="top" wrapText="1"/>
    </xf>
    <xf numFmtId="41" fontId="2" fillId="0" borderId="0" xfId="0" applyNumberFormat="1" applyFont="1" applyAlignment="1">
      <alignment horizontal="left" vertical="top" wrapText="1"/>
    </xf>
    <xf numFmtId="0" fontId="7" fillId="3" borderId="0" xfId="0" applyFont="1" applyFill="1" applyAlignment="1">
      <alignment vertical="top" wrapText="1"/>
    </xf>
    <xf numFmtId="0" fontId="3" fillId="0" borderId="1" xfId="0" applyFont="1" applyBorder="1" applyAlignment="1">
      <alignment horizontal="left" vertical="top" wrapText="1"/>
    </xf>
    <xf numFmtId="41" fontId="3" fillId="0" borderId="1" xfId="0" applyNumberFormat="1" applyFont="1" applyBorder="1" applyAlignment="1">
      <alignment vertical="top" wrapText="1"/>
    </xf>
    <xf numFmtId="41" fontId="3" fillId="0" borderId="5" xfId="0" applyNumberFormat="1" applyFont="1" applyBorder="1" applyAlignment="1">
      <alignment vertical="top" wrapText="1"/>
    </xf>
    <xf numFmtId="0" fontId="3" fillId="0" borderId="1" xfId="44" applyFont="1" applyBorder="1" applyAlignment="1">
      <alignment vertical="top" wrapText="1"/>
    </xf>
    <xf numFmtId="0" fontId="3" fillId="0" borderId="0" xfId="44" applyFont="1" applyBorder="1" applyAlignment="1">
      <alignment vertical="top" wrapText="1"/>
    </xf>
    <xf numFmtId="41" fontId="3" fillId="0" borderId="0" xfId="0" applyNumberFormat="1" applyFont="1" applyBorder="1" applyAlignment="1">
      <alignment vertical="top" wrapText="1"/>
    </xf>
    <xf numFmtId="41" fontId="2" fillId="5" borderId="0" xfId="0" applyNumberFormat="1" applyFont="1" applyFill="1" applyAlignment="1">
      <alignment vertical="top" wrapText="1"/>
    </xf>
    <xf numFmtId="41" fontId="2" fillId="5" borderId="0" xfId="0" applyNumberFormat="1" applyFont="1" applyFill="1" applyAlignment="1">
      <alignment horizontal="left" vertical="top" wrapText="1"/>
    </xf>
    <xf numFmtId="0" fontId="8" fillId="4" borderId="0" xfId="0" applyFont="1" applyFill="1" applyAlignment="1">
      <alignment vertical="top" wrapText="1"/>
    </xf>
    <xf numFmtId="41" fontId="2" fillId="4" borderId="0" xfId="0" applyNumberFormat="1" applyFont="1" applyFill="1" applyAlignment="1">
      <alignment vertical="top" wrapText="1"/>
    </xf>
    <xf numFmtId="41" fontId="2" fillId="4" borderId="0" xfId="0" applyNumberFormat="1" applyFont="1" applyFill="1" applyAlignment="1">
      <alignment horizontal="left" vertical="top" wrapText="1"/>
    </xf>
    <xf numFmtId="44" fontId="2" fillId="0" borderId="0" xfId="47" applyFont="1" applyBorder="1" applyAlignment="1">
      <alignment horizontal="left" vertical="top" wrapText="1"/>
    </xf>
    <xf numFmtId="0" fontId="26" fillId="0" borderId="0" xfId="0" applyFont="1" applyAlignment="1">
      <alignment vertical="top" wrapText="1"/>
    </xf>
    <xf numFmtId="41" fontId="26" fillId="0" borderId="0" xfId="0" applyNumberFormat="1" applyFont="1" applyAlignment="1">
      <alignment vertical="top" wrapText="1"/>
    </xf>
    <xf numFmtId="0" fontId="2" fillId="0" borderId="1" xfId="0" applyFont="1" applyBorder="1" applyAlignment="1">
      <alignment vertical="top" wrapText="1"/>
    </xf>
    <xf numFmtId="44" fontId="3" fillId="0" borderId="0" xfId="47" applyNumberFormat="1" applyFont="1" applyFill="1" applyBorder="1" applyAlignment="1">
      <alignment horizontal="left" vertical="top" wrapText="1"/>
    </xf>
    <xf numFmtId="44" fontId="3" fillId="0" borderId="1" xfId="47" applyFont="1" applyBorder="1" applyAlignment="1">
      <alignment vertical="top" wrapText="1"/>
    </xf>
    <xf numFmtId="0" fontId="2" fillId="0" borderId="9" xfId="0" applyFont="1" applyFill="1" applyBorder="1" applyAlignment="1">
      <alignment horizontal="left" vertical="top" wrapText="1"/>
    </xf>
    <xf numFmtId="0" fontId="2" fillId="0" borderId="17" xfId="0" applyFont="1" applyFill="1" applyBorder="1" applyAlignment="1">
      <alignment horizontal="left" vertical="top" wrapText="1"/>
    </xf>
    <xf numFmtId="0" fontId="0" fillId="0" borderId="9" xfId="0" applyBorder="1"/>
    <xf numFmtId="0" fontId="0" fillId="0" borderId="0" xfId="0" applyBorder="1"/>
    <xf numFmtId="0" fontId="0" fillId="0" borderId="17" xfId="0" applyBorder="1"/>
    <xf numFmtId="0" fontId="2" fillId="9" borderId="2" xfId="0" applyFont="1" applyFill="1" applyBorder="1" applyAlignment="1">
      <alignment vertical="top" wrapText="1"/>
    </xf>
    <xf numFmtId="49" fontId="2" fillId="0" borderId="0" xfId="0" applyNumberFormat="1" applyFont="1" applyFill="1" applyAlignment="1">
      <alignment vertical="top" wrapText="1"/>
    </xf>
    <xf numFmtId="0" fontId="8" fillId="0" borderId="13" xfId="0" applyFont="1" applyBorder="1" applyAlignment="1">
      <alignment vertical="top" wrapText="1"/>
    </xf>
    <xf numFmtId="170" fontId="8" fillId="0" borderId="13" xfId="2" applyNumberFormat="1" applyFont="1" applyBorder="1" applyAlignment="1">
      <alignment vertical="top" wrapText="1"/>
    </xf>
    <xf numFmtId="0" fontId="2" fillId="4" borderId="2" xfId="0" applyFont="1" applyFill="1" applyBorder="1"/>
    <xf numFmtId="0" fontId="3" fillId="4" borderId="2" xfId="0" applyFont="1" applyFill="1" applyBorder="1"/>
    <xf numFmtId="0" fontId="3" fillId="0" borderId="0" xfId="0" applyFont="1" applyFill="1" applyBorder="1" applyAlignment="1">
      <alignment horizontal="center"/>
    </xf>
    <xf numFmtId="0" fontId="2" fillId="0" borderId="0" xfId="0" applyFont="1" applyAlignment="1"/>
    <xf numFmtId="0" fontId="21" fillId="0" borderId="0" xfId="0" applyFont="1" applyFill="1" applyBorder="1"/>
    <xf numFmtId="0" fontId="2" fillId="5" borderId="0" xfId="0" applyFont="1" applyFill="1" applyBorder="1"/>
    <xf numFmtId="10" fontId="2" fillId="0" borderId="2" xfId="2" applyNumberFormat="1" applyFont="1" applyFill="1" applyBorder="1" applyAlignment="1">
      <alignment vertical="top" wrapText="1"/>
    </xf>
    <xf numFmtId="0" fontId="29" fillId="0" borderId="0" xfId="5" applyFont="1" applyFill="1" applyBorder="1" applyAlignment="1"/>
    <xf numFmtId="43" fontId="2" fillId="0" borderId="0" xfId="1" applyFont="1" applyFill="1" applyBorder="1"/>
    <xf numFmtId="171" fontId="2" fillId="0" borderId="0" xfId="1" applyNumberFormat="1" applyFont="1" applyFill="1" applyBorder="1"/>
    <xf numFmtId="0" fontId="3" fillId="0" borderId="1" xfId="0" applyFont="1" applyFill="1" applyBorder="1"/>
    <xf numFmtId="0" fontId="2" fillId="0" borderId="1" xfId="0" applyFont="1" applyFill="1" applyBorder="1"/>
    <xf numFmtId="171" fontId="3" fillId="0" borderId="1" xfId="0" applyNumberFormat="1" applyFont="1" applyFill="1" applyBorder="1"/>
    <xf numFmtId="171" fontId="3" fillId="0" borderId="1" xfId="1" applyNumberFormat="1" applyFont="1" applyFill="1" applyBorder="1"/>
    <xf numFmtId="0" fontId="3" fillId="0" borderId="5" xfId="0" applyFont="1" applyFill="1" applyBorder="1"/>
    <xf numFmtId="44" fontId="3" fillId="0" borderId="5" xfId="47" applyNumberFormat="1" applyFont="1" applyFill="1" applyBorder="1"/>
    <xf numFmtId="0" fontId="23" fillId="4" borderId="2" xfId="44" applyFont="1" applyFill="1" applyBorder="1" applyAlignment="1">
      <alignment horizontal="center" vertical="top" wrapText="1"/>
    </xf>
    <xf numFmtId="0" fontId="3" fillId="2" borderId="2" xfId="0" applyFont="1" applyFill="1" applyBorder="1" applyAlignment="1">
      <alignment horizontal="center"/>
    </xf>
    <xf numFmtId="0" fontId="23" fillId="2" borderId="2" xfId="0" applyFont="1" applyFill="1" applyBorder="1" applyAlignment="1">
      <alignment horizontal="center" vertical="top" wrapText="1"/>
    </xf>
    <xf numFmtId="0" fontId="2" fillId="0" borderId="0" xfId="0" applyFont="1" applyAlignment="1">
      <alignment horizontal="left" indent="1"/>
    </xf>
    <xf numFmtId="171" fontId="3" fillId="0" borderId="1" xfId="46" applyNumberFormat="1" applyFont="1" applyBorder="1" applyAlignment="1">
      <alignment vertical="top" wrapText="1"/>
    </xf>
    <xf numFmtId="0" fontId="3" fillId="0" borderId="16" xfId="0" applyFont="1" applyBorder="1" applyAlignment="1">
      <alignment vertical="top" wrapText="1"/>
    </xf>
    <xf numFmtId="0" fontId="3" fillId="0" borderId="1" xfId="0" applyFont="1" applyBorder="1" applyAlignment="1">
      <alignment vertical="top"/>
    </xf>
    <xf numFmtId="0" fontId="2" fillId="0" borderId="0" xfId="0" applyFont="1" applyAlignment="1">
      <alignment vertical="top"/>
    </xf>
    <xf numFmtId="171" fontId="10" fillId="0" borderId="0" xfId="0" applyNumberFormat="1" applyFont="1" applyAlignment="1">
      <alignment vertical="top" wrapText="1"/>
    </xf>
    <xf numFmtId="171" fontId="2" fillId="0" borderId="0" xfId="1" applyNumberFormat="1" applyFont="1" applyFill="1" applyAlignment="1">
      <alignment vertical="top" wrapText="1"/>
    </xf>
    <xf numFmtId="171" fontId="2" fillId="0" borderId="0" xfId="1" applyNumberFormat="1" applyFont="1" applyFill="1" applyAlignment="1">
      <alignment horizontal="left" vertical="top" wrapText="1"/>
    </xf>
    <xf numFmtId="0" fontId="3" fillId="0" borderId="0" xfId="0" applyFont="1" applyBorder="1" applyAlignment="1">
      <alignment vertical="top" wrapText="1"/>
    </xf>
    <xf numFmtId="9" fontId="3" fillId="0" borderId="1" xfId="2" applyFont="1" applyBorder="1" applyAlignment="1">
      <alignment vertical="top" wrapText="1"/>
    </xf>
    <xf numFmtId="0" fontId="3" fillId="2" borderId="2" xfId="0" applyFont="1" applyFill="1" applyBorder="1" applyAlignment="1">
      <alignment horizontal="center" wrapText="1"/>
    </xf>
    <xf numFmtId="0" fontId="3" fillId="2" borderId="10" xfId="0" applyFont="1" applyFill="1" applyBorder="1" applyAlignment="1">
      <alignment horizontal="center"/>
    </xf>
    <xf numFmtId="0" fontId="6" fillId="3" borderId="2" xfId="0" applyFont="1" applyFill="1" applyBorder="1" applyAlignment="1"/>
    <xf numFmtId="168" fontId="6" fillId="3" borderId="2" xfId="0" applyNumberFormat="1" applyFont="1" applyFill="1" applyBorder="1" applyAlignment="1"/>
    <xf numFmtId="169" fontId="3" fillId="0" borderId="0" xfId="0" applyNumberFormat="1" applyFont="1"/>
    <xf numFmtId="0" fontId="3" fillId="18" borderId="2" xfId="0" applyFont="1" applyFill="1" applyBorder="1" applyAlignment="1">
      <alignment horizontal="left" indent="1"/>
    </xf>
    <xf numFmtId="168" fontId="3" fillId="18" borderId="2" xfId="0" applyNumberFormat="1" applyFont="1" applyFill="1" applyBorder="1" applyAlignment="1"/>
    <xf numFmtId="0" fontId="3" fillId="5" borderId="2" xfId="0" applyFont="1" applyFill="1" applyBorder="1" applyAlignment="1">
      <alignment horizontal="left" indent="2"/>
    </xf>
    <xf numFmtId="168" fontId="3" fillId="5" borderId="2" xfId="0" applyNumberFormat="1" applyFont="1" applyFill="1" applyBorder="1" applyAlignment="1"/>
    <xf numFmtId="0" fontId="2" fillId="0" borderId="2" xfId="0" applyFont="1" applyBorder="1" applyAlignment="1">
      <alignment horizontal="left" indent="3"/>
    </xf>
    <xf numFmtId="168" fontId="2" fillId="0" borderId="2" xfId="0" applyNumberFormat="1" applyFont="1" applyBorder="1" applyAlignment="1"/>
    <xf numFmtId="169" fontId="2" fillId="0" borderId="0" xfId="0" applyNumberFormat="1" applyFont="1"/>
    <xf numFmtId="168" fontId="2" fillId="0" borderId="0" xfId="0" applyNumberFormat="1" applyFont="1" applyAlignment="1"/>
    <xf numFmtId="0" fontId="10" fillId="0" borderId="1" xfId="0" applyFont="1" applyBorder="1"/>
    <xf numFmtId="168" fontId="10" fillId="0" borderId="1" xfId="0" applyNumberFormat="1" applyFont="1" applyBorder="1" applyAlignment="1"/>
    <xf numFmtId="172" fontId="2" fillId="0" borderId="0" xfId="44" applyNumberFormat="1" applyFont="1" applyBorder="1" applyAlignment="1">
      <alignment vertical="top" wrapText="1"/>
    </xf>
    <xf numFmtId="172" fontId="26" fillId="0" borderId="0" xfId="44" applyNumberFormat="1" applyFont="1" applyBorder="1" applyAlignment="1">
      <alignment vertical="top" wrapText="1"/>
    </xf>
    <xf numFmtId="172" fontId="3" fillId="0" borderId="1" xfId="44" applyNumberFormat="1" applyFont="1" applyBorder="1" applyAlignment="1">
      <alignment vertical="top" wrapText="1"/>
    </xf>
    <xf numFmtId="172" fontId="10" fillId="0" borderId="0" xfId="44" applyNumberFormat="1" applyFont="1" applyBorder="1" applyAlignment="1">
      <alignment vertical="top" wrapText="1"/>
    </xf>
    <xf numFmtId="172" fontId="2" fillId="0" borderId="0" xfId="44" applyNumberFormat="1" applyFont="1" applyFill="1" applyBorder="1" applyAlignment="1">
      <alignment vertical="top" wrapText="1"/>
    </xf>
    <xf numFmtId="172" fontId="2" fillId="0" borderId="0" xfId="44" applyNumberFormat="1" applyFont="1" applyAlignment="1">
      <alignment vertical="top" wrapText="1"/>
    </xf>
    <xf numFmtId="172" fontId="3" fillId="0" borderId="0" xfId="44" applyNumberFormat="1" applyFont="1" applyAlignment="1">
      <alignment vertical="top" wrapText="1"/>
    </xf>
    <xf numFmtId="172" fontId="3" fillId="0" borderId="5" xfId="44" applyNumberFormat="1" applyFont="1" applyBorder="1" applyAlignment="1">
      <alignment vertical="top" wrapText="1"/>
    </xf>
    <xf numFmtId="172" fontId="2" fillId="0" borderId="0" xfId="45" applyNumberFormat="1" applyFont="1" applyAlignment="1">
      <alignment vertical="top" wrapText="1"/>
    </xf>
    <xf numFmtId="172" fontId="6" fillId="5" borderId="0" xfId="44" applyNumberFormat="1" applyFont="1" applyFill="1" applyBorder="1" applyAlignment="1">
      <alignment horizontal="center" vertical="top" wrapText="1"/>
    </xf>
    <xf numFmtId="172" fontId="3" fillId="0" borderId="0" xfId="44" applyNumberFormat="1" applyFont="1" applyFill="1" applyBorder="1" applyAlignment="1">
      <alignment horizontal="center" vertical="top" wrapText="1"/>
    </xf>
    <xf numFmtId="172" fontId="10" fillId="0" borderId="0" xfId="44" applyNumberFormat="1" applyFont="1" applyAlignment="1">
      <alignment vertical="top" wrapText="1"/>
    </xf>
    <xf numFmtId="0" fontId="3" fillId="0" borderId="0" xfId="0" applyFont="1" applyFill="1" applyBorder="1" applyAlignment="1"/>
    <xf numFmtId="0" fontId="3" fillId="2" borderId="2" xfId="0" applyFont="1" applyFill="1" applyBorder="1" applyAlignment="1">
      <alignment horizontal="center"/>
    </xf>
    <xf numFmtId="0" fontId="23" fillId="2" borderId="2" xfId="0" applyFont="1" applyFill="1" applyBorder="1" applyAlignment="1">
      <alignment horizontal="center"/>
    </xf>
    <xf numFmtId="0" fontId="9" fillId="0" borderId="0" xfId="0" applyFont="1" applyFill="1" applyBorder="1"/>
    <xf numFmtId="0" fontId="9" fillId="0" borderId="0" xfId="44" applyFont="1" applyAlignment="1">
      <alignment horizontal="right" vertical="top"/>
    </xf>
    <xf numFmtId="0" fontId="9" fillId="0" borderId="0" xfId="0" applyFont="1" applyAlignment="1">
      <alignment horizontal="right" vertical="top"/>
    </xf>
    <xf numFmtId="0" fontId="9" fillId="0" borderId="0" xfId="44" applyFont="1" applyAlignment="1">
      <alignment horizontal="left" vertical="top"/>
    </xf>
    <xf numFmtId="0" fontId="9" fillId="0" borderId="0" xfId="0" applyFont="1"/>
    <xf numFmtId="0" fontId="30" fillId="0" borderId="0" xfId="0" applyFont="1"/>
    <xf numFmtId="0" fontId="2" fillId="5" borderId="0" xfId="0" applyFont="1" applyFill="1"/>
    <xf numFmtId="0" fontId="3" fillId="5" borderId="0" xfId="0" applyFont="1" applyFill="1"/>
    <xf numFmtId="44" fontId="2" fillId="0" borderId="0" xfId="47" applyFont="1"/>
    <xf numFmtId="44" fontId="2" fillId="0" borderId="0" xfId="0" applyNumberFormat="1" applyFont="1"/>
    <xf numFmtId="0" fontId="3" fillId="0" borderId="1" xfId="0" applyFont="1" applyBorder="1"/>
    <xf numFmtId="44" fontId="3" fillId="0" borderId="1" xfId="0" applyNumberFormat="1" applyFont="1" applyBorder="1" applyAlignment="1">
      <alignment vertical="top"/>
    </xf>
    <xf numFmtId="8" fontId="2" fillId="0" borderId="0" xfId="0" applyNumberFormat="1" applyFont="1"/>
    <xf numFmtId="43" fontId="21" fillId="0" borderId="0" xfId="1" applyFont="1" applyFill="1" applyBorder="1" applyAlignment="1">
      <alignment horizontal="center" vertical="center"/>
    </xf>
    <xf numFmtId="170" fontId="31" fillId="0" borderId="5" xfId="2" applyNumberFormat="1" applyFont="1" applyFill="1" applyBorder="1" applyAlignment="1">
      <alignment vertical="top" wrapText="1"/>
    </xf>
    <xf numFmtId="170" fontId="2" fillId="0" borderId="0" xfId="2" applyNumberFormat="1" applyFont="1"/>
    <xf numFmtId="44" fontId="2" fillId="0" borderId="0" xfId="47" applyNumberFormat="1" applyFont="1"/>
    <xf numFmtId="0" fontId="3" fillId="2" borderId="2" xfId="0" applyFont="1" applyFill="1" applyBorder="1" applyAlignment="1">
      <alignment horizontal="center"/>
    </xf>
    <xf numFmtId="168" fontId="2" fillId="0" borderId="0" xfId="0" applyNumberFormat="1" applyFont="1" applyAlignment="1">
      <alignment vertical="top" wrapText="1"/>
    </xf>
    <xf numFmtId="168" fontId="3" fillId="0" borderId="1" xfId="0" applyNumberFormat="1" applyFont="1" applyBorder="1" applyAlignment="1">
      <alignment vertical="top" wrapText="1"/>
    </xf>
    <xf numFmtId="0" fontId="3" fillId="0" borderId="0" xfId="0" applyFont="1" applyFill="1" applyBorder="1" applyAlignment="1">
      <alignment horizontal="left"/>
    </xf>
    <xf numFmtId="0" fontId="6" fillId="3" borderId="0" xfId="0" applyFont="1" applyFill="1" applyBorder="1" applyAlignment="1">
      <alignment horizontal="left"/>
    </xf>
    <xf numFmtId="0" fontId="7" fillId="3" borderId="0" xfId="0" applyFont="1" applyFill="1" applyBorder="1"/>
    <xf numFmtId="0" fontId="6" fillId="3" borderId="0" xfId="0" applyFont="1" applyFill="1" applyBorder="1" applyAlignment="1"/>
    <xf numFmtId="0" fontId="6" fillId="3" borderId="0" xfId="0" applyFont="1" applyFill="1" applyBorder="1"/>
    <xf numFmtId="0" fontId="80" fillId="3" borderId="0" xfId="0" applyFont="1" applyFill="1" applyBorder="1" applyAlignment="1">
      <alignment vertical="center" wrapText="1"/>
    </xf>
    <xf numFmtId="0" fontId="81" fillId="3" borderId="0" xfId="0" applyFont="1" applyFill="1" applyBorder="1" applyAlignment="1">
      <alignment horizontal="center" vertical="center" wrapText="1"/>
    </xf>
    <xf numFmtId="9" fontId="2" fillId="0" borderId="0" xfId="2" applyFont="1" applyAlignment="1">
      <alignment vertical="top" wrapText="1"/>
    </xf>
    <xf numFmtId="0" fontId="3" fillId="2" borderId="2" xfId="0" applyFont="1" applyFill="1" applyBorder="1" applyAlignment="1">
      <alignment horizontal="center"/>
    </xf>
    <xf numFmtId="0" fontId="2" fillId="0" borderId="0" xfId="0" applyFont="1" applyAlignment="1">
      <alignment horizontal="left" vertical="top" wrapText="1"/>
    </xf>
    <xf numFmtId="0" fontId="3" fillId="0" borderId="1" xfId="0" applyFont="1" applyFill="1" applyBorder="1" applyAlignment="1">
      <alignment horizontal="left" vertical="top" wrapText="1"/>
    </xf>
    <xf numFmtId="0" fontId="23" fillId="4" borderId="2" xfId="44" applyFont="1" applyFill="1" applyBorder="1" applyAlignment="1">
      <alignment horizontal="center" vertical="top" wrapText="1"/>
    </xf>
    <xf numFmtId="0" fontId="3" fillId="0" borderId="1" xfId="0" applyFont="1" applyFill="1" applyBorder="1" applyAlignment="1">
      <alignment horizontal="left" vertical="top" wrapText="1"/>
    </xf>
    <xf numFmtId="17" fontId="5" fillId="0" borderId="0" xfId="0" quotePrefix="1" applyNumberFormat="1" applyFont="1"/>
    <xf numFmtId="172" fontId="3" fillId="0" borderId="0" xfId="0" applyNumberFormat="1" applyFont="1" applyAlignment="1">
      <alignment vertical="top" wrapText="1"/>
    </xf>
    <xf numFmtId="172" fontId="3" fillId="0" borderId="1" xfId="0" applyNumberFormat="1" applyFont="1" applyBorder="1"/>
    <xf numFmtId="9" fontId="3" fillId="0" borderId="1" xfId="2" applyFont="1" applyBorder="1"/>
    <xf numFmtId="167" fontId="3" fillId="0" borderId="1" xfId="0" applyNumberFormat="1" applyFont="1" applyBorder="1"/>
    <xf numFmtId="167" fontId="3" fillId="0" borderId="1" xfId="1" applyNumberFormat="1" applyFont="1" applyBorder="1"/>
    <xf numFmtId="167" fontId="2" fillId="0" borderId="0" xfId="1" applyNumberFormat="1" applyFont="1"/>
    <xf numFmtId="172" fontId="3" fillId="0" borderId="0" xfId="0" applyNumberFormat="1" applyFont="1"/>
    <xf numFmtId="167" fontId="2" fillId="0" borderId="0" xfId="0" applyNumberFormat="1" applyFont="1"/>
    <xf numFmtId="9" fontId="3" fillId="0" borderId="13" xfId="2" applyFont="1" applyBorder="1"/>
    <xf numFmtId="9" fontId="2" fillId="0" borderId="0" xfId="2" applyFont="1"/>
    <xf numFmtId="9" fontId="3" fillId="0" borderId="0" xfId="2" applyFont="1"/>
    <xf numFmtId="10" fontId="21" fillId="0" borderId="0" xfId="2" applyNumberFormat="1" applyFont="1" applyBorder="1" applyAlignment="1">
      <alignment vertical="top" wrapText="1"/>
    </xf>
    <xf numFmtId="187" fontId="21" fillId="0" borderId="0" xfId="1" applyNumberFormat="1" applyFont="1" applyBorder="1" applyAlignment="1">
      <alignment vertical="top" wrapText="1"/>
    </xf>
    <xf numFmtId="187" fontId="26" fillId="0" borderId="0" xfId="1" applyNumberFormat="1" applyFont="1" applyBorder="1" applyAlignment="1">
      <alignment vertical="top" wrapText="1"/>
    </xf>
    <xf numFmtId="171" fontId="3" fillId="0" borderId="1" xfId="1" applyNumberFormat="1" applyFont="1" applyBorder="1"/>
    <xf numFmtId="171" fontId="2" fillId="0" borderId="0" xfId="1" applyNumberFormat="1" applyFont="1"/>
    <xf numFmtId="171" fontId="3" fillId="0" borderId="16" xfId="1" applyNumberFormat="1" applyFont="1" applyBorder="1"/>
    <xf numFmtId="0" fontId="3" fillId="0" borderId="16" xfId="0" applyFont="1" applyBorder="1"/>
    <xf numFmtId="0" fontId="3" fillId="0" borderId="13" xfId="0" applyFont="1" applyBorder="1"/>
    <xf numFmtId="0" fontId="3" fillId="0" borderId="0" xfId="0" applyFont="1" applyAlignment="1"/>
    <xf numFmtId="171" fontId="2" fillId="0" borderId="2" xfId="1" applyNumberFormat="1" applyFont="1" applyBorder="1"/>
    <xf numFmtId="0" fontId="2" fillId="0" borderId="2" xfId="0" applyFont="1" applyBorder="1" applyAlignment="1"/>
    <xf numFmtId="171" fontId="3" fillId="0" borderId="1" xfId="0" applyNumberFormat="1" applyFont="1" applyBorder="1"/>
    <xf numFmtId="172" fontId="2" fillId="0" borderId="0" xfId="0" applyNumberFormat="1" applyFont="1" applyFill="1" applyAlignment="1">
      <alignment vertical="top" wrapText="1"/>
    </xf>
    <xf numFmtId="0" fontId="4" fillId="0" borderId="0" xfId="0" applyFont="1" applyAlignment="1">
      <alignment vertical="top"/>
    </xf>
    <xf numFmtId="0" fontId="5" fillId="0" borderId="0" xfId="0" quotePrefix="1" applyFont="1" applyAlignment="1">
      <alignment vertical="top"/>
    </xf>
    <xf numFmtId="188" fontId="3" fillId="2" borderId="2" xfId="44" applyNumberFormat="1" applyFont="1" applyFill="1" applyBorder="1" applyAlignment="1">
      <alignment horizontal="center" vertical="top" wrapText="1"/>
    </xf>
    <xf numFmtId="188" fontId="3" fillId="2" borderId="2" xfId="44" quotePrefix="1" applyNumberFormat="1" applyFont="1" applyFill="1" applyBorder="1" applyAlignment="1">
      <alignment horizontal="center" vertical="top" wrapText="1"/>
    </xf>
    <xf numFmtId="0" fontId="2" fillId="5" borderId="0" xfId="0" applyFont="1" applyFill="1" applyAlignment="1">
      <alignment vertical="top" wrapText="1"/>
    </xf>
    <xf numFmtId="0" fontId="82" fillId="0" borderId="0" xfId="0" applyFont="1" applyAlignment="1">
      <alignment vertical="top" wrapText="1"/>
    </xf>
    <xf numFmtId="9" fontId="82" fillId="0" borderId="0" xfId="2" applyFont="1" applyAlignment="1">
      <alignment vertical="top" wrapText="1"/>
    </xf>
    <xf numFmtId="167" fontId="3" fillId="0" borderId="5" xfId="0" applyNumberFormat="1" applyFont="1" applyBorder="1" applyAlignment="1">
      <alignment vertical="top" wrapText="1"/>
    </xf>
    <xf numFmtId="0" fontId="26" fillId="0" borderId="1" xfId="0" applyFont="1" applyBorder="1" applyAlignment="1">
      <alignment vertical="top" wrapText="1"/>
    </xf>
    <xf numFmtId="167" fontId="26" fillId="0" borderId="1" xfId="0" applyNumberFormat="1" applyFont="1" applyBorder="1" applyAlignment="1">
      <alignment horizontal="center" vertical="top" wrapText="1"/>
    </xf>
    <xf numFmtId="10" fontId="26" fillId="0" borderId="1" xfId="2" applyNumberFormat="1" applyFont="1" applyBorder="1" applyAlignment="1">
      <alignment vertical="top" wrapText="1"/>
    </xf>
    <xf numFmtId="0" fontId="10" fillId="0" borderId="1" xfId="0" applyFont="1" applyBorder="1" applyAlignment="1">
      <alignment vertical="top" wrapText="1"/>
    </xf>
    <xf numFmtId="187" fontId="26" fillId="0" borderId="1" xfId="1" applyNumberFormat="1" applyFont="1" applyBorder="1" applyAlignment="1">
      <alignment vertical="top" wrapText="1"/>
    </xf>
    <xf numFmtId="189" fontId="7" fillId="0" borderId="0" xfId="0" applyNumberFormat="1" applyFont="1" applyAlignment="1">
      <alignment vertical="top" wrapText="1"/>
    </xf>
    <xf numFmtId="44" fontId="3" fillId="0" borderId="1" xfId="47" applyFont="1" applyFill="1" applyBorder="1" applyAlignment="1">
      <alignment vertical="top" wrapText="1"/>
    </xf>
    <xf numFmtId="0" fontId="3" fillId="48" borderId="29" xfId="0" applyFont="1" applyFill="1" applyBorder="1" applyAlignment="1">
      <alignment vertical="top" wrapText="1"/>
    </xf>
    <xf numFmtId="44" fontId="3" fillId="48" borderId="12" xfId="0" applyNumberFormat="1" applyFont="1" applyFill="1" applyBorder="1" applyAlignment="1">
      <alignment vertical="top" wrapText="1"/>
    </xf>
    <xf numFmtId="0" fontId="3" fillId="48" borderId="12" xfId="0" applyFont="1" applyFill="1" applyBorder="1" applyAlignment="1">
      <alignment vertical="top" wrapText="1"/>
    </xf>
    <xf numFmtId="0" fontId="3" fillId="48" borderId="30" xfId="0" applyFont="1" applyFill="1" applyBorder="1" applyAlignment="1">
      <alignment vertical="top" wrapText="1"/>
    </xf>
    <xf numFmtId="0" fontId="3" fillId="48" borderId="8" xfId="0" applyFont="1" applyFill="1" applyBorder="1" applyAlignment="1">
      <alignment vertical="top" wrapText="1"/>
    </xf>
    <xf numFmtId="44" fontId="3" fillId="48" borderId="0" xfId="0" applyNumberFormat="1" applyFont="1" applyFill="1" applyBorder="1" applyAlignment="1">
      <alignment vertical="top" wrapText="1"/>
    </xf>
    <xf numFmtId="170" fontId="3" fillId="48" borderId="0" xfId="2" applyNumberFormat="1" applyFont="1" applyFill="1" applyBorder="1" applyAlignment="1">
      <alignment vertical="top" wrapText="1"/>
    </xf>
    <xf numFmtId="0" fontId="3" fillId="48" borderId="31" xfId="0" applyFont="1" applyFill="1" applyBorder="1" applyAlignment="1">
      <alignment vertical="top" wrapText="1"/>
    </xf>
    <xf numFmtId="0" fontId="3" fillId="48" borderId="0" xfId="0" applyFont="1" applyFill="1" applyBorder="1" applyAlignment="1">
      <alignment vertical="top" wrapText="1"/>
    </xf>
    <xf numFmtId="170" fontId="3" fillId="48" borderId="0" xfId="0" applyNumberFormat="1" applyFont="1" applyFill="1" applyBorder="1" applyAlignment="1">
      <alignment vertical="top" wrapText="1"/>
    </xf>
    <xf numFmtId="0" fontId="3" fillId="48" borderId="32" xfId="0" applyFont="1" applyFill="1" applyBorder="1" applyAlignment="1">
      <alignment vertical="top" wrapText="1"/>
    </xf>
    <xf numFmtId="44" fontId="3" fillId="48" borderId="33" xfId="0" applyNumberFormat="1" applyFont="1" applyFill="1" applyBorder="1" applyAlignment="1">
      <alignment vertical="top" wrapText="1"/>
    </xf>
    <xf numFmtId="170" fontId="3" fillId="48" borderId="33" xfId="2" applyNumberFormat="1" applyFont="1" applyFill="1" applyBorder="1" applyAlignment="1">
      <alignment vertical="top" wrapText="1"/>
    </xf>
    <xf numFmtId="0" fontId="3" fillId="48" borderId="34" xfId="0" applyFont="1" applyFill="1" applyBorder="1" applyAlignment="1">
      <alignment vertical="top" wrapText="1"/>
    </xf>
    <xf numFmtId="190" fontId="3" fillId="0" borderId="16" xfId="0" applyNumberFormat="1" applyFont="1" applyBorder="1" applyAlignment="1">
      <alignment vertical="top" wrapText="1"/>
    </xf>
    <xf numFmtId="0" fontId="3" fillId="0" borderId="13" xfId="0" applyFont="1" applyBorder="1" applyAlignment="1">
      <alignment vertical="top" wrapText="1"/>
    </xf>
    <xf numFmtId="9" fontId="3" fillId="0" borderId="13" xfId="2" applyFont="1" applyBorder="1" applyAlignment="1">
      <alignment vertical="top" wrapText="1"/>
    </xf>
    <xf numFmtId="0" fontId="82" fillId="0" borderId="0" xfId="0" applyFont="1" applyAlignment="1">
      <alignment vertical="top"/>
    </xf>
    <xf numFmtId="0" fontId="3" fillId="5" borderId="0" xfId="0" applyFont="1" applyFill="1" applyAlignment="1">
      <alignment vertical="top"/>
    </xf>
    <xf numFmtId="0" fontId="2" fillId="0" borderId="0" xfId="0" applyFont="1" applyBorder="1" applyAlignment="1">
      <alignment horizontal="left" vertical="top" wrapText="1" indent="1"/>
    </xf>
    <xf numFmtId="190" fontId="2" fillId="0" borderId="0" xfId="0" applyNumberFormat="1" applyFont="1" applyBorder="1" applyAlignment="1">
      <alignment vertical="top" wrapText="1"/>
    </xf>
    <xf numFmtId="0" fontId="2" fillId="0" borderId="0" xfId="0" applyFont="1" applyBorder="1" applyAlignment="1">
      <alignment vertical="top" wrapText="1"/>
    </xf>
    <xf numFmtId="44" fontId="3" fillId="0" borderId="0" xfId="0" applyNumberFormat="1" applyFont="1" applyAlignment="1">
      <alignment vertical="top" wrapText="1"/>
    </xf>
    <xf numFmtId="0" fontId="3" fillId="0" borderId="5" xfId="0" applyFont="1" applyBorder="1" applyAlignment="1">
      <alignment vertical="top"/>
    </xf>
    <xf numFmtId="0" fontId="2" fillId="0" borderId="5" xfId="0" applyFont="1" applyBorder="1" applyAlignment="1">
      <alignment vertical="top" wrapText="1"/>
    </xf>
    <xf numFmtId="167" fontId="3" fillId="0" borderId="5" xfId="1" applyNumberFormat="1" applyFont="1" applyBorder="1" applyAlignment="1">
      <alignment vertical="top" wrapText="1"/>
    </xf>
    <xf numFmtId="0" fontId="2" fillId="0" borderId="0" xfId="44" applyFont="1" applyBorder="1" applyAlignment="1">
      <alignment vertical="top" wrapText="1"/>
    </xf>
    <xf numFmtId="188" fontId="2" fillId="0" borderId="0" xfId="44" applyNumberFormat="1" applyFont="1" applyBorder="1" applyAlignment="1">
      <alignment vertical="top" wrapText="1"/>
    </xf>
    <xf numFmtId="188" fontId="2" fillId="0" borderId="0" xfId="44" applyNumberFormat="1" applyFont="1" applyFill="1" applyBorder="1" applyAlignment="1">
      <alignment vertical="top" wrapText="1"/>
    </xf>
    <xf numFmtId="167" fontId="2" fillId="0" borderId="0" xfId="1" applyNumberFormat="1" applyFont="1" applyBorder="1" applyAlignment="1">
      <alignment vertical="top" wrapText="1"/>
    </xf>
    <xf numFmtId="167" fontId="2" fillId="0" borderId="0" xfId="1" applyNumberFormat="1" applyFont="1" applyFill="1" applyBorder="1" applyAlignment="1">
      <alignment vertical="top" wrapText="1"/>
    </xf>
    <xf numFmtId="0" fontId="2" fillId="4" borderId="0" xfId="44" applyFont="1" applyFill="1" applyBorder="1" applyAlignment="1">
      <alignment horizontal="left" vertical="top" wrapText="1"/>
    </xf>
    <xf numFmtId="0" fontId="3" fillId="4" borderId="1" xfId="44" applyFont="1" applyFill="1" applyBorder="1" applyAlignment="1">
      <alignment horizontal="left" vertical="top" wrapText="1"/>
    </xf>
    <xf numFmtId="0" fontId="3" fillId="4" borderId="0" xfId="44" applyFont="1" applyFill="1" applyBorder="1" applyAlignment="1">
      <alignment horizontal="left" vertical="top" wrapText="1"/>
    </xf>
    <xf numFmtId="0" fontId="3" fillId="4" borderId="0" xfId="44" applyFont="1" applyFill="1" applyAlignment="1">
      <alignment vertical="top" wrapText="1"/>
    </xf>
    <xf numFmtId="0" fontId="3" fillId="4" borderId="5" xfId="44" applyFont="1" applyFill="1" applyBorder="1" applyAlignment="1">
      <alignment vertical="top" wrapText="1"/>
    </xf>
    <xf numFmtId="0" fontId="10" fillId="4" borderId="0" xfId="44" applyFont="1" applyFill="1" applyBorder="1" applyAlignment="1">
      <alignment horizontal="left" vertical="top" wrapText="1"/>
    </xf>
    <xf numFmtId="43" fontId="2" fillId="0" borderId="2" xfId="1" applyFont="1" applyFill="1" applyBorder="1" applyAlignment="1">
      <alignment vertical="top" wrapText="1"/>
    </xf>
    <xf numFmtId="174" fontId="2" fillId="0" borderId="2" xfId="1" applyNumberFormat="1" applyFont="1" applyFill="1" applyBorder="1" applyAlignment="1">
      <alignment vertical="top" wrapText="1"/>
    </xf>
    <xf numFmtId="167" fontId="3" fillId="0" borderId="0" xfId="12" applyNumberFormat="1" applyFont="1" applyFill="1"/>
    <xf numFmtId="170" fontId="21" fillId="0" borderId="0" xfId="2" applyNumberFormat="1" applyFont="1" applyFill="1"/>
    <xf numFmtId="43" fontId="21" fillId="0" borderId="0" xfId="0" applyNumberFormat="1" applyFont="1" applyFill="1"/>
    <xf numFmtId="10" fontId="21" fillId="0" borderId="0" xfId="2" applyNumberFormat="1" applyFont="1" applyFill="1"/>
    <xf numFmtId="173" fontId="3" fillId="0" borderId="5" xfId="0" applyNumberFormat="1" applyFont="1" applyFill="1" applyBorder="1"/>
    <xf numFmtId="0" fontId="3" fillId="5" borderId="0" xfId="0" applyFont="1" applyFill="1" applyBorder="1" applyAlignment="1">
      <alignment horizontal="center"/>
    </xf>
    <xf numFmtId="168" fontId="2" fillId="0" borderId="0" xfId="1" applyNumberFormat="1" applyFont="1"/>
    <xf numFmtId="0" fontId="3" fillId="0" borderId="1" xfId="0" applyFont="1" applyBorder="1" applyAlignment="1"/>
    <xf numFmtId="168" fontId="3" fillId="0" borderId="1" xfId="1" applyNumberFormat="1" applyFont="1" applyBorder="1"/>
    <xf numFmtId="0" fontId="10" fillId="0" borderId="0" xfId="0" applyFont="1" applyAlignment="1"/>
    <xf numFmtId="168" fontId="10" fillId="0" borderId="0" xfId="1" applyNumberFormat="1" applyFont="1"/>
    <xf numFmtId="168" fontId="2" fillId="0" borderId="0" xfId="1" applyNumberFormat="1" applyFont="1" applyFill="1"/>
    <xf numFmtId="168" fontId="3" fillId="0" borderId="1" xfId="0" applyNumberFormat="1" applyFont="1" applyBorder="1"/>
    <xf numFmtId="168" fontId="2" fillId="0" borderId="0" xfId="0" applyNumberFormat="1" applyFont="1"/>
    <xf numFmtId="168" fontId="10" fillId="0" borderId="1" xfId="0" applyNumberFormat="1" applyFont="1" applyBorder="1"/>
    <xf numFmtId="168" fontId="10" fillId="0" borderId="0" xfId="0" applyNumberFormat="1" applyFont="1" applyAlignment="1">
      <alignment vertical="top" wrapText="1"/>
    </xf>
    <xf numFmtId="168" fontId="3" fillId="0" borderId="16" xfId="0" applyNumberFormat="1" applyFont="1" applyBorder="1" applyAlignment="1">
      <alignment vertical="top" wrapText="1"/>
    </xf>
    <xf numFmtId="170" fontId="3" fillId="0" borderId="13" xfId="2" applyNumberFormat="1" applyFont="1" applyBorder="1" applyAlignment="1">
      <alignment vertical="top" wrapText="1"/>
    </xf>
    <xf numFmtId="0" fontId="2" fillId="0" borderId="0" xfId="0" applyFont="1" applyFill="1" applyAlignment="1">
      <alignment horizontal="left" vertical="top" wrapText="1"/>
    </xf>
    <xf numFmtId="0" fontId="2" fillId="0" borderId="13" xfId="0" applyFont="1" applyFill="1" applyBorder="1" applyAlignment="1">
      <alignment horizontal="left" vertical="top" wrapText="1"/>
    </xf>
    <xf numFmtId="41" fontId="3" fillId="0" borderId="1" xfId="0" applyNumberFormat="1" applyFont="1" applyFill="1" applyBorder="1" applyAlignment="1">
      <alignment vertical="top" wrapText="1"/>
    </xf>
    <xf numFmtId="41" fontId="2" fillId="0" borderId="0" xfId="0" applyNumberFormat="1" applyFont="1" applyFill="1" applyAlignment="1">
      <alignment vertical="top" wrapText="1"/>
    </xf>
    <xf numFmtId="41" fontId="2" fillId="0" borderId="13" xfId="0" applyNumberFormat="1" applyFont="1" applyFill="1" applyBorder="1" applyAlignment="1">
      <alignment vertical="top" wrapText="1"/>
    </xf>
    <xf numFmtId="0" fontId="2" fillId="0" borderId="2" xfId="0" applyFont="1" applyFill="1" applyBorder="1"/>
    <xf numFmtId="0" fontId="2" fillId="0" borderId="2" xfId="0" applyFont="1" applyFill="1" applyBorder="1" applyAlignment="1">
      <alignment horizontal="right" indent="1"/>
    </xf>
    <xf numFmtId="44" fontId="2" fillId="0" borderId="2" xfId="47" applyFont="1" applyFill="1" applyBorder="1" applyAlignment="1">
      <alignment horizontal="right" indent="1"/>
    </xf>
    <xf numFmtId="44" fontId="2" fillId="0" borderId="2" xfId="47" applyFont="1" applyFill="1" applyBorder="1" applyAlignment="1">
      <alignment horizontal="right" indent="2"/>
    </xf>
    <xf numFmtId="0" fontId="3" fillId="5" borderId="0" xfId="0" applyFont="1" applyFill="1" applyBorder="1"/>
    <xf numFmtId="170" fontId="3" fillId="0" borderId="1" xfId="2" applyNumberFormat="1" applyFont="1" applyBorder="1" applyAlignment="1">
      <alignment vertical="top" wrapText="1"/>
    </xf>
    <xf numFmtId="49" fontId="22" fillId="0" borderId="0" xfId="5" applyNumberFormat="1" applyFont="1" applyFill="1" applyBorder="1" applyAlignment="1">
      <alignment horizontal="center" wrapText="1"/>
    </xf>
    <xf numFmtId="49" fontId="22" fillId="5" borderId="0" xfId="5" applyNumberFormat="1" applyFont="1" applyFill="1" applyBorder="1" applyAlignment="1">
      <alignment horizontal="center" wrapText="1"/>
    </xf>
    <xf numFmtId="171" fontId="3" fillId="0" borderId="0" xfId="1" applyNumberFormat="1" applyFont="1" applyFill="1" applyAlignment="1">
      <alignment vertical="top" wrapText="1"/>
    </xf>
    <xf numFmtId="41" fontId="3" fillId="0" borderId="0" xfId="0" applyNumberFormat="1" applyFont="1" applyAlignment="1">
      <alignment horizontal="left" vertical="top" wrapText="1"/>
    </xf>
    <xf numFmtId="170" fontId="2" fillId="0" borderId="0" xfId="2" applyNumberFormat="1" applyFont="1" applyFill="1" applyAlignment="1">
      <alignment vertical="top" wrapText="1"/>
    </xf>
    <xf numFmtId="170" fontId="3" fillId="0" borderId="0" xfId="2" applyNumberFormat="1" applyFont="1" applyFill="1" applyAlignment="1">
      <alignment vertical="top" wrapText="1"/>
    </xf>
    <xf numFmtId="170" fontId="3" fillId="0" borderId="1" xfId="2" applyNumberFormat="1" applyFont="1" applyFill="1" applyBorder="1" applyAlignment="1">
      <alignment vertical="top" wrapText="1"/>
    </xf>
    <xf numFmtId="170" fontId="2" fillId="0" borderId="0" xfId="2" applyNumberFormat="1" applyFont="1" applyAlignment="1">
      <alignment horizontal="left" vertical="top" wrapText="1"/>
    </xf>
    <xf numFmtId="170" fontId="3" fillId="0" borderId="0" xfId="2" applyNumberFormat="1" applyFont="1" applyAlignment="1">
      <alignment horizontal="left" vertical="top" wrapText="1"/>
    </xf>
    <xf numFmtId="10" fontId="23" fillId="2" borderId="2" xfId="0" applyNumberFormat="1" applyFont="1" applyFill="1" applyBorder="1" applyAlignment="1">
      <alignment horizontal="center"/>
    </xf>
    <xf numFmtId="0" fontId="3" fillId="2" borderId="2" xfId="0" applyFont="1" applyFill="1" applyBorder="1" applyAlignment="1">
      <alignment horizontal="center"/>
    </xf>
    <xf numFmtId="0" fontId="2" fillId="0" borderId="2" xfId="0" applyFont="1" applyFill="1" applyBorder="1" applyAlignment="1">
      <alignment horizontal="right" vertical="top"/>
    </xf>
    <xf numFmtId="10" fontId="3" fillId="2" borderId="2" xfId="0" applyNumberFormat="1" applyFont="1" applyFill="1" applyBorder="1" applyAlignment="1">
      <alignment horizontal="center"/>
    </xf>
    <xf numFmtId="172" fontId="2" fillId="0" borderId="0" xfId="0" applyNumberFormat="1" applyFont="1" applyFill="1" applyBorder="1"/>
    <xf numFmtId="171" fontId="2" fillId="0" borderId="0" xfId="0" applyNumberFormat="1" applyFont="1" applyAlignment="1">
      <alignment vertical="top" wrapText="1"/>
    </xf>
    <xf numFmtId="171" fontId="3" fillId="0" borderId="0" xfId="0" applyNumberFormat="1" applyFont="1" applyAlignment="1">
      <alignment vertical="top" wrapText="1"/>
    </xf>
    <xf numFmtId="188" fontId="3" fillId="0" borderId="1" xfId="0" applyNumberFormat="1" applyFont="1" applyBorder="1" applyAlignment="1">
      <alignment vertical="top" wrapText="1"/>
    </xf>
    <xf numFmtId="188" fontId="2" fillId="0" borderId="0" xfId="0" applyNumberFormat="1" applyFont="1" applyBorder="1" applyAlignment="1">
      <alignment vertical="top" wrapText="1"/>
    </xf>
    <xf numFmtId="0" fontId="2" fillId="0" borderId="0" xfId="44" applyFont="1" applyFill="1" applyBorder="1" applyAlignment="1">
      <alignment vertical="top" wrapText="1"/>
    </xf>
    <xf numFmtId="9" fontId="2" fillId="0" borderId="0" xfId="2" applyFont="1" applyFill="1" applyBorder="1"/>
    <xf numFmtId="0" fontId="84" fillId="0" borderId="0" xfId="0" applyFont="1" applyFill="1" applyBorder="1"/>
    <xf numFmtId="9" fontId="21" fillId="0" borderId="0" xfId="2" applyNumberFormat="1" applyFont="1" applyFill="1" applyBorder="1"/>
    <xf numFmtId="0" fontId="3" fillId="49" borderId="0" xfId="0" applyFont="1" applyFill="1"/>
    <xf numFmtId="49" fontId="22" fillId="49" borderId="0" xfId="5" applyNumberFormat="1" applyFont="1" applyFill="1" applyBorder="1" applyAlignment="1">
      <alignment horizontal="center" wrapText="1"/>
    </xf>
    <xf numFmtId="0" fontId="2" fillId="0" borderId="0" xfId="0" applyFont="1" applyAlignment="1">
      <alignment horizontal="left" vertical="top" wrapText="1"/>
    </xf>
    <xf numFmtId="0" fontId="3" fillId="50" borderId="3" xfId="0" applyFont="1" applyFill="1" applyBorder="1" applyAlignment="1">
      <alignment vertical="top" wrapText="1"/>
    </xf>
    <xf numFmtId="10" fontId="3" fillId="0" borderId="0" xfId="0" applyNumberFormat="1" applyFont="1" applyBorder="1" applyAlignment="1">
      <alignment vertical="top" wrapText="1"/>
    </xf>
    <xf numFmtId="0" fontId="3" fillId="50" borderId="10" xfId="0" applyFont="1" applyFill="1" applyBorder="1" applyAlignment="1">
      <alignment horizontal="center" vertical="top" wrapText="1"/>
    </xf>
    <xf numFmtId="0" fontId="2" fillId="50" borderId="0" xfId="0" applyFont="1" applyFill="1" applyAlignment="1">
      <alignment vertical="top" wrapText="1"/>
    </xf>
    <xf numFmtId="165" fontId="3" fillId="50" borderId="26" xfId="0" applyNumberFormat="1" applyFont="1" applyFill="1" applyBorder="1" applyAlignment="1">
      <alignment horizontal="center" vertical="top" wrapText="1"/>
    </xf>
    <xf numFmtId="44" fontId="2" fillId="50" borderId="0" xfId="0" applyNumberFormat="1" applyFont="1" applyFill="1" applyAlignment="1">
      <alignment vertical="top" wrapText="1"/>
    </xf>
    <xf numFmtId="44" fontId="26" fillId="50" borderId="0" xfId="0" applyNumberFormat="1" applyFont="1" applyFill="1" applyAlignment="1">
      <alignment vertical="top" wrapText="1"/>
    </xf>
    <xf numFmtId="0" fontId="31" fillId="0" borderId="0" xfId="0" applyFont="1" applyAlignment="1">
      <alignment horizontal="right" vertical="top" wrapText="1"/>
    </xf>
    <xf numFmtId="165" fontId="31" fillId="50" borderId="35" xfId="0" applyNumberFormat="1" applyFont="1" applyFill="1" applyBorder="1" applyAlignment="1">
      <alignment horizontal="center"/>
    </xf>
    <xf numFmtId="2" fontId="2" fillId="50" borderId="0" xfId="0" applyNumberFormat="1" applyFont="1" applyFill="1" applyAlignment="1">
      <alignment vertical="top" wrapText="1"/>
    </xf>
    <xf numFmtId="44" fontId="2" fillId="50" borderId="0" xfId="48" applyFont="1" applyFill="1" applyAlignment="1">
      <alignment vertical="top" wrapText="1"/>
    </xf>
    <xf numFmtId="44" fontId="2" fillId="50" borderId="0" xfId="48" applyNumberFormat="1" applyFont="1" applyFill="1" applyAlignment="1">
      <alignment vertical="top" wrapText="1"/>
    </xf>
    <xf numFmtId="169" fontId="3" fillId="50" borderId="1" xfId="44" applyNumberFormat="1" applyFont="1" applyFill="1" applyBorder="1" applyAlignment="1">
      <alignment vertical="top" wrapText="1"/>
    </xf>
    <xf numFmtId="44" fontId="3" fillId="50" borderId="1" xfId="48" applyFont="1" applyFill="1" applyBorder="1" applyAlignment="1">
      <alignment vertical="top" wrapText="1"/>
    </xf>
    <xf numFmtId="0" fontId="3" fillId="50" borderId="5" xfId="0" applyFont="1" applyFill="1" applyBorder="1" applyAlignment="1">
      <alignment vertical="top" wrapText="1"/>
    </xf>
    <xf numFmtId="44" fontId="3" fillId="50" borderId="5" xfId="0" applyNumberFormat="1" applyFont="1" applyFill="1" applyBorder="1" applyAlignment="1">
      <alignment vertical="top" wrapText="1"/>
    </xf>
    <xf numFmtId="0" fontId="3" fillId="50" borderId="1" xfId="0" applyFont="1" applyFill="1" applyBorder="1" applyAlignment="1">
      <alignment vertical="top" wrapText="1"/>
    </xf>
    <xf numFmtId="10" fontId="3" fillId="50" borderId="4" xfId="0" applyNumberFormat="1" applyFont="1" applyFill="1" applyBorder="1" applyAlignment="1">
      <alignment vertical="top" wrapText="1"/>
    </xf>
    <xf numFmtId="191" fontId="2" fillId="50" borderId="0" xfId="48" applyNumberFormat="1" applyFont="1" applyFill="1" applyAlignment="1">
      <alignment vertical="top" wrapText="1"/>
    </xf>
    <xf numFmtId="191" fontId="2" fillId="50" borderId="0" xfId="0" applyNumberFormat="1" applyFont="1" applyFill="1" applyAlignment="1">
      <alignment vertical="top" wrapText="1"/>
    </xf>
    <xf numFmtId="0" fontId="2" fillId="50" borderId="0" xfId="0" applyFont="1" applyFill="1"/>
    <xf numFmtId="191" fontId="3" fillId="50" borderId="1" xfId="48" applyNumberFormat="1" applyFont="1" applyFill="1" applyBorder="1" applyAlignment="1">
      <alignment vertical="top" wrapText="1"/>
    </xf>
    <xf numFmtId="0" fontId="3" fillId="0" borderId="0" xfId="0" applyFont="1" applyFill="1" applyBorder="1" applyAlignment="1">
      <alignment vertical="top" wrapText="1"/>
    </xf>
    <xf numFmtId="44" fontId="3" fillId="0" borderId="0" xfId="0" applyNumberFormat="1" applyFont="1" applyFill="1" applyBorder="1" applyAlignment="1">
      <alignment vertical="top" wrapText="1"/>
    </xf>
    <xf numFmtId="0" fontId="28" fillId="0" borderId="0" xfId="0" applyFont="1" applyAlignment="1">
      <alignment vertical="top" wrapText="1"/>
    </xf>
    <xf numFmtId="0" fontId="2" fillId="9" borderId="0" xfId="0" applyFont="1" applyFill="1" applyAlignment="1">
      <alignment vertical="top" wrapText="1"/>
    </xf>
    <xf numFmtId="0" fontId="2" fillId="9" borderId="0" xfId="0" applyFont="1" applyFill="1" applyAlignment="1">
      <alignment horizontal="left" vertical="top" wrapText="1"/>
    </xf>
    <xf numFmtId="191" fontId="2" fillId="0" borderId="1" xfId="48" applyNumberFormat="1" applyFont="1" applyFill="1" applyBorder="1" applyAlignment="1">
      <alignment vertical="top" wrapText="1"/>
    </xf>
    <xf numFmtId="10" fontId="3" fillId="0" borderId="4" xfId="0" applyNumberFormat="1" applyFont="1" applyBorder="1" applyAlignment="1">
      <alignment vertical="top" wrapText="1"/>
    </xf>
    <xf numFmtId="164" fontId="3" fillId="50" borderId="26" xfId="0" applyNumberFormat="1" applyFont="1" applyFill="1" applyBorder="1" applyAlignment="1">
      <alignment horizontal="center" vertical="top" wrapText="1"/>
    </xf>
    <xf numFmtId="164" fontId="31" fillId="50" borderId="35" xfId="0" applyNumberFormat="1" applyFont="1" applyFill="1" applyBorder="1" applyAlignment="1">
      <alignment horizontal="center"/>
    </xf>
    <xf numFmtId="41" fontId="2" fillId="50" borderId="0" xfId="0" applyNumberFormat="1" applyFont="1" applyFill="1" applyAlignment="1">
      <alignment vertical="top" wrapText="1"/>
    </xf>
    <xf numFmtId="171" fontId="2" fillId="50" borderId="0" xfId="1" applyNumberFormat="1" applyFont="1" applyFill="1" applyAlignment="1">
      <alignment vertical="top" wrapText="1"/>
    </xf>
    <xf numFmtId="41" fontId="3" fillId="50" borderId="1" xfId="0" applyNumberFormat="1" applyFont="1" applyFill="1" applyBorder="1" applyAlignment="1">
      <alignment vertical="top" wrapText="1"/>
    </xf>
    <xf numFmtId="9" fontId="2" fillId="50" borderId="0" xfId="2" applyFont="1" applyFill="1" applyAlignment="1">
      <alignment vertical="top" wrapText="1"/>
    </xf>
    <xf numFmtId="172" fontId="3" fillId="50" borderId="5" xfId="0" applyNumberFormat="1" applyFont="1" applyFill="1" applyBorder="1" applyAlignment="1">
      <alignment vertical="top" wrapText="1"/>
    </xf>
    <xf numFmtId="10" fontId="2" fillId="50" borderId="2" xfId="2" applyNumberFormat="1" applyFont="1" applyFill="1" applyBorder="1" applyAlignment="1">
      <alignment vertical="top" wrapText="1"/>
    </xf>
    <xf numFmtId="165" fontId="2" fillId="0" borderId="0" xfId="0" applyNumberFormat="1" applyFont="1"/>
    <xf numFmtId="10" fontId="2" fillId="50" borderId="2" xfId="0" applyNumberFormat="1" applyFont="1" applyFill="1" applyBorder="1" applyAlignment="1">
      <alignment vertical="top" wrapText="1"/>
    </xf>
    <xf numFmtId="10" fontId="31" fillId="50" borderId="0" xfId="0" applyNumberFormat="1" applyFont="1" applyFill="1" applyBorder="1" applyAlignment="1">
      <alignment vertical="top" wrapText="1"/>
    </xf>
    <xf numFmtId="2" fontId="26" fillId="50" borderId="0" xfId="0" applyNumberFormat="1" applyFont="1" applyFill="1" applyAlignment="1">
      <alignment vertical="top" wrapText="1"/>
    </xf>
    <xf numFmtId="0" fontId="26" fillId="10" borderId="0" xfId="0" applyFont="1" applyFill="1" applyAlignment="1">
      <alignment vertical="top" wrapText="1"/>
    </xf>
    <xf numFmtId="0" fontId="85" fillId="0" borderId="0" xfId="0" applyFont="1"/>
    <xf numFmtId="0" fontId="0" fillId="0" borderId="0" xfId="0" applyFont="1" applyAlignment="1">
      <alignment horizontal="right"/>
    </xf>
    <xf numFmtId="0" fontId="0" fillId="0" borderId="0" xfId="0" applyAlignment="1">
      <alignment horizontal="right"/>
    </xf>
    <xf numFmtId="44" fontId="0" fillId="0" borderId="0" xfId="47" applyFont="1"/>
    <xf numFmtId="192" fontId="2" fillId="0" borderId="0" xfId="0" applyNumberFormat="1" applyFont="1" applyAlignment="1">
      <alignment vertical="top" wrapText="1"/>
    </xf>
    <xf numFmtId="0" fontId="30" fillId="0" borderId="0" xfId="0" applyFont="1" applyAlignment="1">
      <alignment horizontal="right"/>
    </xf>
    <xf numFmtId="41" fontId="0" fillId="0" borderId="0" xfId="0" applyNumberFormat="1"/>
    <xf numFmtId="41" fontId="86" fillId="51" borderId="0" xfId="0" applyNumberFormat="1" applyFont="1" applyFill="1"/>
    <xf numFmtId="0" fontId="87" fillId="51" borderId="0" xfId="0" applyFont="1" applyFill="1"/>
    <xf numFmtId="192" fontId="86" fillId="51" borderId="0" xfId="0" applyNumberFormat="1" applyFont="1" applyFill="1"/>
    <xf numFmtId="10" fontId="0" fillId="0" borderId="0" xfId="0" applyNumberFormat="1"/>
    <xf numFmtId="44" fontId="86" fillId="0" borderId="0" xfId="47" applyFont="1"/>
    <xf numFmtId="0" fontId="86" fillId="0" borderId="0" xfId="0" applyFont="1"/>
    <xf numFmtId="10" fontId="88" fillId="0" borderId="0" xfId="0" applyNumberFormat="1" applyFont="1"/>
    <xf numFmtId="10" fontId="89" fillId="0" borderId="0" xfId="0" applyNumberFormat="1" applyFont="1"/>
    <xf numFmtId="192" fontId="3" fillId="0" borderId="1" xfId="0" applyNumberFormat="1" applyFont="1" applyBorder="1" applyAlignment="1">
      <alignment vertical="top" wrapText="1"/>
    </xf>
    <xf numFmtId="4" fontId="3" fillId="0" borderId="2" xfId="0" applyNumberFormat="1" applyFont="1" applyBorder="1" applyAlignment="1">
      <alignment horizontal="center" vertical="top" wrapText="1"/>
    </xf>
    <xf numFmtId="4" fontId="31" fillId="0" borderId="2" xfId="0" applyNumberFormat="1" applyFont="1" applyBorder="1" applyAlignment="1">
      <alignment horizontal="center" vertical="top" wrapText="1"/>
    </xf>
    <xf numFmtId="4" fontId="30" fillId="0" borderId="10" xfId="0" applyNumberFormat="1" applyFont="1" applyBorder="1" applyAlignment="1">
      <alignment horizontal="center"/>
    </xf>
    <xf numFmtId="4" fontId="0" fillId="0" borderId="26" xfId="0" applyNumberFormat="1" applyBorder="1" applyAlignment="1">
      <alignment horizontal="center"/>
    </xf>
    <xf numFmtId="170" fontId="31" fillId="0" borderId="2" xfId="2" applyNumberFormat="1" applyFont="1" applyBorder="1" applyAlignment="1">
      <alignment vertical="top" wrapText="1"/>
    </xf>
    <xf numFmtId="0" fontId="0" fillId="0" borderId="3" xfId="0" applyBorder="1"/>
    <xf numFmtId="0" fontId="0" fillId="0" borderId="1" xfId="0" applyBorder="1"/>
    <xf numFmtId="0" fontId="30" fillId="0" borderId="4" xfId="0" applyFont="1" applyBorder="1" applyAlignment="1">
      <alignment horizontal="right"/>
    </xf>
    <xf numFmtId="0" fontId="20" fillId="52" borderId="4" xfId="0" applyFont="1" applyFill="1" applyBorder="1" applyAlignment="1">
      <alignment horizontal="right"/>
    </xf>
    <xf numFmtId="43" fontId="20" fillId="52" borderId="3" xfId="1" applyFont="1" applyFill="1" applyBorder="1" applyAlignment="1">
      <alignment horizontal="left"/>
    </xf>
    <xf numFmtId="0" fontId="0" fillId="0" borderId="4" xfId="0" applyBorder="1"/>
    <xf numFmtId="2" fontId="2" fillId="0" borderId="0" xfId="0" applyNumberFormat="1" applyFont="1" applyAlignment="1">
      <alignment vertical="top" wrapText="1"/>
    </xf>
    <xf numFmtId="193" fontId="2" fillId="0" borderId="0" xfId="0" applyNumberFormat="1" applyFont="1" applyAlignment="1">
      <alignment vertical="top" wrapText="1"/>
    </xf>
    <xf numFmtId="0" fontId="2" fillId="0" borderId="0" xfId="0" applyNumberFormat="1" applyFont="1" applyAlignment="1">
      <alignment vertical="top" wrapText="1"/>
    </xf>
    <xf numFmtId="0" fontId="91" fillId="53" borderId="0" xfId="0" applyFont="1" applyFill="1" applyAlignment="1">
      <alignment vertical="center" wrapText="1"/>
    </xf>
    <xf numFmtId="0" fontId="91" fillId="53" borderId="0" xfId="0" applyFont="1" applyFill="1" applyAlignment="1">
      <alignment horizontal="right" vertical="center" wrapText="1"/>
    </xf>
    <xf numFmtId="0" fontId="90" fillId="0" borderId="0" xfId="0" applyFont="1" applyAlignment="1">
      <alignment horizontal="right" vertical="center" wrapText="1"/>
    </xf>
    <xf numFmtId="0" fontId="90" fillId="54" borderId="0" xfId="0" applyFont="1" applyFill="1" applyAlignment="1">
      <alignment horizontal="right" vertical="center" wrapText="1"/>
    </xf>
    <xf numFmtId="0" fontId="90" fillId="54" borderId="36" xfId="0" applyFont="1" applyFill="1" applyBorder="1" applyAlignment="1">
      <alignment horizontal="right" vertical="center" wrapText="1"/>
    </xf>
    <xf numFmtId="0" fontId="90" fillId="0" borderId="36" xfId="0" applyFont="1" applyBorder="1" applyAlignment="1">
      <alignment vertical="center" wrapText="1"/>
    </xf>
    <xf numFmtId="0" fontId="90" fillId="0" borderId="36" xfId="0" applyFont="1" applyBorder="1" applyAlignment="1">
      <alignment horizontal="right" vertical="center" wrapText="1"/>
    </xf>
    <xf numFmtId="166" fontId="0" fillId="0" borderId="0" xfId="0" applyNumberFormat="1"/>
    <xf numFmtId="0" fontId="3" fillId="5" borderId="9" xfId="0" applyFont="1" applyFill="1" applyBorder="1" applyAlignment="1">
      <alignment horizontal="left" vertical="top" wrapText="1"/>
    </xf>
    <xf numFmtId="0" fontId="3" fillId="5" borderId="0" xfId="0" applyFont="1" applyFill="1" applyBorder="1" applyAlignment="1">
      <alignment horizontal="left" vertical="top" wrapText="1"/>
    </xf>
    <xf numFmtId="0" fontId="3" fillId="5" borderId="17"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4"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7" xfId="0" applyFont="1" applyFill="1" applyBorder="1" applyAlignment="1">
      <alignment horizontal="left" vertical="top" wrapText="1"/>
    </xf>
    <xf numFmtId="0" fontId="3" fillId="0" borderId="9"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1"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4" xfId="0" applyFont="1" applyFill="1" applyBorder="1" applyAlignment="1">
      <alignment horizontal="left" vertical="top" wrapText="1"/>
    </xf>
    <xf numFmtId="0" fontId="90" fillId="0" borderId="0" xfId="0" applyFont="1" applyAlignment="1">
      <alignment vertical="center" wrapText="1"/>
    </xf>
    <xf numFmtId="0" fontId="90" fillId="0" borderId="36" xfId="0" applyFont="1" applyBorder="1" applyAlignment="1">
      <alignment vertical="center" wrapText="1"/>
    </xf>
    <xf numFmtId="0" fontId="3" fillId="49" borderId="0" xfId="0" applyFont="1" applyFill="1" applyAlignment="1">
      <alignment horizontal="left" vertical="top" wrapText="1"/>
    </xf>
    <xf numFmtId="0" fontId="3" fillId="2" borderId="3"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4" borderId="2" xfId="0" applyFont="1" applyFill="1" applyBorder="1" applyAlignment="1">
      <alignment horizontal="left" vertical="top"/>
    </xf>
    <xf numFmtId="0" fontId="3" fillId="5" borderId="0" xfId="0" applyFont="1" applyFill="1" applyAlignment="1">
      <alignment horizontal="left" vertical="top" wrapText="1"/>
    </xf>
    <xf numFmtId="0" fontId="3" fillId="4" borderId="2" xfId="0" applyFont="1" applyFill="1" applyBorder="1" applyAlignment="1">
      <alignment horizontal="left" vertical="top" wrapText="1"/>
    </xf>
    <xf numFmtId="0" fontId="2" fillId="0" borderId="2" xfId="0" applyFont="1" applyFill="1" applyBorder="1" applyAlignment="1">
      <alignment horizontal="left" vertical="top" wrapText="1"/>
    </xf>
    <xf numFmtId="0" fontId="3" fillId="2" borderId="2" xfId="0" applyFont="1" applyFill="1" applyBorder="1" applyAlignment="1">
      <alignment horizontal="center" vertical="top" wrapText="1"/>
    </xf>
    <xf numFmtId="0" fontId="3" fillId="4" borderId="2" xfId="0" applyFont="1" applyFill="1" applyBorder="1" applyAlignment="1">
      <alignment horizontal="left" vertical="center"/>
    </xf>
    <xf numFmtId="0" fontId="84" fillId="0" borderId="0" xfId="0" applyFont="1" applyFill="1" applyBorder="1" applyAlignment="1">
      <alignment horizontal="left" vertical="top" wrapText="1"/>
    </xf>
    <xf numFmtId="0" fontId="2" fillId="0" borderId="3" xfId="0" applyFont="1" applyBorder="1" applyAlignment="1">
      <alignment vertical="top" wrapText="1"/>
    </xf>
    <xf numFmtId="0" fontId="2" fillId="0" borderId="1" xfId="0" applyFont="1" applyBorder="1" applyAlignment="1">
      <alignment vertical="top" wrapText="1"/>
    </xf>
    <xf numFmtId="0" fontId="2" fillId="0" borderId="4" xfId="0" applyFont="1" applyBorder="1" applyAlignment="1">
      <alignment vertical="top" wrapText="1"/>
    </xf>
    <xf numFmtId="0" fontId="2" fillId="0" borderId="3" xfId="0" applyFont="1" applyBorder="1" applyAlignment="1">
      <alignment horizontal="left" vertical="top" wrapText="1"/>
    </xf>
    <xf numFmtId="0" fontId="2" fillId="0" borderId="1" xfId="0" applyFont="1" applyBorder="1" applyAlignment="1">
      <alignment horizontal="left" vertical="top" wrapText="1"/>
    </xf>
    <xf numFmtId="0" fontId="2" fillId="0" borderId="4" xfId="0" applyFont="1" applyBorder="1" applyAlignment="1">
      <alignment horizontal="left" vertical="top" wrapText="1"/>
    </xf>
    <xf numFmtId="0" fontId="3" fillId="2" borderId="3"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4" xfId="0" applyFont="1" applyFill="1" applyBorder="1" applyAlignment="1">
      <alignment horizontal="left" vertical="top" wrapText="1"/>
    </xf>
    <xf numFmtId="0" fontId="8" fillId="0" borderId="3" xfId="0" applyFont="1" applyBorder="1" applyAlignment="1">
      <alignment horizontal="left" vertical="top" wrapText="1"/>
    </xf>
    <xf numFmtId="0" fontId="8" fillId="0" borderId="1" xfId="0" applyFont="1" applyBorder="1" applyAlignment="1">
      <alignment horizontal="left" vertical="top" wrapText="1"/>
    </xf>
    <xf numFmtId="0" fontId="8" fillId="0" borderId="4" xfId="0" applyFont="1" applyBorder="1" applyAlignment="1">
      <alignment horizontal="left" vertical="top" wrapText="1"/>
    </xf>
    <xf numFmtId="0" fontId="3" fillId="4" borderId="3"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4" xfId="0" applyFont="1" applyFill="1" applyBorder="1" applyAlignment="1">
      <alignment horizontal="center" vertical="top" wrapText="1"/>
    </xf>
    <xf numFmtId="0" fontId="21" fillId="0" borderId="3" xfId="0" applyFont="1" applyFill="1" applyBorder="1" applyAlignment="1">
      <alignment horizontal="left" vertical="top" wrapText="1"/>
    </xf>
    <xf numFmtId="0" fontId="21" fillId="0" borderId="1" xfId="0" applyFont="1" applyFill="1" applyBorder="1" applyAlignment="1">
      <alignment horizontal="left" vertical="top" wrapText="1"/>
    </xf>
    <xf numFmtId="0" fontId="21" fillId="0" borderId="4" xfId="0" applyFont="1" applyFill="1" applyBorder="1" applyAlignment="1">
      <alignment horizontal="left" vertical="top" wrapText="1"/>
    </xf>
    <xf numFmtId="0" fontId="2" fillId="0" borderId="0" xfId="0" applyFont="1" applyAlignment="1">
      <alignment horizontal="left" vertical="top" wrapText="1"/>
    </xf>
    <xf numFmtId="0" fontId="2" fillId="0" borderId="0" xfId="0" quotePrefix="1" applyFont="1" applyAlignment="1">
      <alignment horizontal="left" vertical="top" wrapText="1"/>
    </xf>
    <xf numFmtId="0" fontId="6" fillId="3" borderId="0" xfId="0" applyFont="1" applyFill="1" applyAlignment="1">
      <alignment horizontal="left" vertical="top" wrapText="1"/>
    </xf>
    <xf numFmtId="0" fontId="82" fillId="0" borderId="0" xfId="0" applyFont="1" applyAlignment="1">
      <alignment horizontal="left" vertical="top" wrapText="1"/>
    </xf>
    <xf numFmtId="0" fontId="3" fillId="2" borderId="3" xfId="0" applyFont="1" applyFill="1" applyBorder="1" applyAlignment="1">
      <alignment horizontal="left"/>
    </xf>
    <xf numFmtId="0" fontId="3" fillId="2" borderId="4" xfId="0" applyFont="1" applyFill="1" applyBorder="1" applyAlignment="1">
      <alignment horizontal="left"/>
    </xf>
    <xf numFmtId="0" fontId="21" fillId="0" borderId="2" xfId="0" applyFont="1" applyFill="1" applyBorder="1" applyAlignment="1">
      <alignment horizontal="left" vertical="top" wrapText="1"/>
    </xf>
    <xf numFmtId="0" fontId="11" fillId="0" borderId="16" xfId="0" applyFont="1" applyBorder="1" applyAlignment="1">
      <alignment horizontal="left" vertical="top" wrapText="1"/>
    </xf>
    <xf numFmtId="0" fontId="2" fillId="10" borderId="2" xfId="0" applyFont="1" applyFill="1" applyBorder="1" applyAlignment="1">
      <alignment horizontal="left" vertical="top" wrapText="1"/>
    </xf>
    <xf numFmtId="0" fontId="2" fillId="0" borderId="3" xfId="0" applyFont="1" applyFill="1" applyBorder="1" applyAlignment="1">
      <alignment horizontal="left"/>
    </xf>
    <xf numFmtId="0" fontId="2" fillId="0" borderId="1" xfId="0" applyFont="1" applyFill="1" applyBorder="1" applyAlignment="1">
      <alignment horizontal="left"/>
    </xf>
    <xf numFmtId="0" fontId="2" fillId="0" borderId="4" xfId="0" applyFont="1" applyFill="1" applyBorder="1" applyAlignment="1">
      <alignment horizontal="left"/>
    </xf>
    <xf numFmtId="0" fontId="6" fillId="3" borderId="0" xfId="44" applyFont="1" applyFill="1" applyAlignment="1">
      <alignment horizontal="left" vertical="top" wrapText="1"/>
    </xf>
    <xf numFmtId="0" fontId="23" fillId="4" borderId="3" xfId="44" applyFont="1" applyFill="1" applyBorder="1" applyAlignment="1">
      <alignment horizontal="center" vertical="top" wrapText="1"/>
    </xf>
    <xf numFmtId="0" fontId="23" fillId="4" borderId="1" xfId="44" applyFont="1" applyFill="1" applyBorder="1" applyAlignment="1">
      <alignment horizontal="center" vertical="top" wrapText="1"/>
    </xf>
    <xf numFmtId="0" fontId="23" fillId="4" borderId="4" xfId="44" applyFont="1" applyFill="1" applyBorder="1" applyAlignment="1">
      <alignment horizontal="center" vertical="top" wrapText="1"/>
    </xf>
    <xf numFmtId="172" fontId="3" fillId="2" borderId="3" xfId="44" applyNumberFormat="1" applyFont="1" applyFill="1" applyBorder="1" applyAlignment="1">
      <alignment horizontal="center" vertical="top" wrapText="1"/>
    </xf>
    <xf numFmtId="172" fontId="3" fillId="2" borderId="1" xfId="44" applyNumberFormat="1" applyFont="1" applyFill="1" applyBorder="1" applyAlignment="1">
      <alignment horizontal="center" vertical="top" wrapText="1"/>
    </xf>
    <xf numFmtId="172" fontId="3" fillId="2" borderId="4" xfId="44" applyNumberFormat="1" applyFont="1" applyFill="1" applyBorder="1" applyAlignment="1">
      <alignment horizontal="center" vertical="top" wrapText="1"/>
    </xf>
    <xf numFmtId="0" fontId="3" fillId="0" borderId="3"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4" borderId="3" xfId="0" applyFont="1" applyFill="1" applyBorder="1" applyAlignment="1">
      <alignment horizontal="left" vertical="top"/>
    </xf>
    <xf numFmtId="0" fontId="3" fillId="4" borderId="1" xfId="0" applyFont="1" applyFill="1" applyBorder="1" applyAlignment="1">
      <alignment horizontal="left" vertical="top"/>
    </xf>
    <xf numFmtId="0" fontId="3" fillId="4" borderId="4" xfId="0" applyFont="1" applyFill="1" applyBorder="1" applyAlignment="1">
      <alignment horizontal="left" vertical="top"/>
    </xf>
    <xf numFmtId="2" fontId="0" fillId="0" borderId="0" xfId="0" applyNumberFormat="1"/>
    <xf numFmtId="0" fontId="1" fillId="0" borderId="0" xfId="208"/>
    <xf numFmtId="0" fontId="1" fillId="0" borderId="0" xfId="208"/>
  </cellXfs>
  <cellStyles count="492">
    <cellStyle name=" 1" xfId="49"/>
    <cellStyle name="_x000d__x000a_CCAPI200.DLL=W:\WINDOWS3\, Can't find CCAPI200.DLL_x000d__x000a_XLHELP.DLL=W:\MSOFFICE_x000d__x000a_MAINXL.HLP=W:\M" xfId="7"/>
    <cellStyle name="_Capex" xfId="50"/>
    <cellStyle name="_UED AMP 2009-14 Final 250309 Less PU" xfId="51"/>
    <cellStyle name="_UED AMP 2009-14 Final 250309 Less PU_1011 monthly" xfId="52"/>
    <cellStyle name="0,0_x000d__x000a_NA_x000d__x000a_" xfId="8"/>
    <cellStyle name="20% - Accent1 2" xfId="53"/>
    <cellStyle name="20% - Accent2 2" xfId="54"/>
    <cellStyle name="20% - Accent3 2" xfId="9"/>
    <cellStyle name="20% - Accent4 2" xfId="55"/>
    <cellStyle name="20% - Accent5 2" xfId="56"/>
    <cellStyle name="20% - Accent6 2" xfId="57"/>
    <cellStyle name="40% - Accent1 2" xfId="58"/>
    <cellStyle name="40% - Accent2 2" xfId="59"/>
    <cellStyle name="40% - Accent3 2" xfId="60"/>
    <cellStyle name="40% - Accent4 2" xfId="61"/>
    <cellStyle name="40% - Accent5 2" xfId="62"/>
    <cellStyle name="40% - Accent6 2" xfId="63"/>
    <cellStyle name="60% - Accent1 2" xfId="64"/>
    <cellStyle name="60% - Accent2 2" xfId="65"/>
    <cellStyle name="60% - Accent3 2" xfId="66"/>
    <cellStyle name="60% - Accent4 2" xfId="67"/>
    <cellStyle name="60% - Accent5 2" xfId="68"/>
    <cellStyle name="60% - Accent6 2" xfId="69"/>
    <cellStyle name="Accent1 - 20%" xfId="70"/>
    <cellStyle name="Accent1 - 40%" xfId="71"/>
    <cellStyle name="Accent1 - 60%" xfId="72"/>
    <cellStyle name="Accent1 2" xfId="73"/>
    <cellStyle name="Accent2 - 20%" xfId="74"/>
    <cellStyle name="Accent2 - 40%" xfId="75"/>
    <cellStyle name="Accent2 - 60%" xfId="76"/>
    <cellStyle name="Accent2 2" xfId="77"/>
    <cellStyle name="Accent3 - 20%" xfId="78"/>
    <cellStyle name="Accent3 - 40%" xfId="79"/>
    <cellStyle name="Accent3 - 60%" xfId="80"/>
    <cellStyle name="Accent3 2" xfId="81"/>
    <cellStyle name="Accent4 - 20%" xfId="82"/>
    <cellStyle name="Accent4 - 40%" xfId="83"/>
    <cellStyle name="Accent4 - 60%" xfId="84"/>
    <cellStyle name="Accent4 2" xfId="85"/>
    <cellStyle name="Accent5 - 20%" xfId="86"/>
    <cellStyle name="Accent5 - 40%" xfId="87"/>
    <cellStyle name="Accent5 - 60%" xfId="88"/>
    <cellStyle name="Accent5 2" xfId="89"/>
    <cellStyle name="Accent6 - 20%" xfId="90"/>
    <cellStyle name="Accent6 - 40%" xfId="91"/>
    <cellStyle name="Accent6 - 60%" xfId="92"/>
    <cellStyle name="Accent6 2" xfId="93"/>
    <cellStyle name="Agara" xfId="94"/>
    <cellStyle name="B79812_.wvu.PrintTitlest" xfId="95"/>
    <cellStyle name="Bad 2" xfId="96"/>
    <cellStyle name="Black" xfId="97"/>
    <cellStyle name="Blockout" xfId="10"/>
    <cellStyle name="Blockout 2" xfId="98"/>
    <cellStyle name="Blue" xfId="99"/>
    <cellStyle name="Calculation 2" xfId="11"/>
    <cellStyle name="Calculation 2 2" xfId="100"/>
    <cellStyle name="Calculation 2 2 2" xfId="101"/>
    <cellStyle name="Calculation 2 2 2 2" xfId="102"/>
    <cellStyle name="Calculation 2 2 3" xfId="103"/>
    <cellStyle name="Calculation 2 2 3 2" xfId="104"/>
    <cellStyle name="Calculation 2 2 4" xfId="105"/>
    <cellStyle name="Calculation 2 3" xfId="106"/>
    <cellStyle name="Calculation 2 3 2" xfId="107"/>
    <cellStyle name="Calculation 2 3 2 2" xfId="108"/>
    <cellStyle name="Calculation 2 3 3" xfId="109"/>
    <cellStyle name="Calculation 2 3 3 2" xfId="110"/>
    <cellStyle name="Calculation 2 3 4" xfId="111"/>
    <cellStyle name="Calculation 2 4" xfId="112"/>
    <cellStyle name="Calculation 2 4 2" xfId="113"/>
    <cellStyle name="Calculation 2 4 2 2" xfId="114"/>
    <cellStyle name="Calculation 2 4 3" xfId="115"/>
    <cellStyle name="Calculation 2 4 3 2" xfId="116"/>
    <cellStyle name="Calculation 2 4 4" xfId="117"/>
    <cellStyle name="Calculation 2 5" xfId="118"/>
    <cellStyle name="Calculation 2 5 2" xfId="119"/>
    <cellStyle name="Calculation 2 5 2 2" xfId="120"/>
    <cellStyle name="Calculation 2 5 3" xfId="121"/>
    <cellStyle name="Calculation 2 5 3 2" xfId="122"/>
    <cellStyle name="Calculation 2 5 4" xfId="123"/>
    <cellStyle name="Calculation 2 6" xfId="124"/>
    <cellStyle name="Check Cell 2" xfId="125"/>
    <cellStyle name="Check Cell 2 2" xfId="126"/>
    <cellStyle name="Check Cell 2 2 2" xfId="127"/>
    <cellStyle name="Check Cell 2 2 2 2" xfId="128"/>
    <cellStyle name="Comma" xfId="1" builtinId="3"/>
    <cellStyle name="Comma [0]7Z_87C" xfId="129"/>
    <cellStyle name="Comma 0" xfId="130"/>
    <cellStyle name="Comma 1" xfId="131"/>
    <cellStyle name="Comma 2" xfId="12"/>
    <cellStyle name="Comma 2 2" xfId="132"/>
    <cellStyle name="Comma 2 2 2" xfId="133"/>
    <cellStyle name="Comma 2 3" xfId="134"/>
    <cellStyle name="Comma 3" xfId="13"/>
    <cellStyle name="Comma 4" xfId="14"/>
    <cellStyle name="Comma 5" xfId="15"/>
    <cellStyle name="Comma 6" xfId="16"/>
    <cellStyle name="Comma 7" xfId="4"/>
    <cellStyle name="Comma 8" xfId="46"/>
    <cellStyle name="Comma0" xfId="135"/>
    <cellStyle name="Currency" xfId="47" builtinId="4"/>
    <cellStyle name="Currency 11" xfId="136"/>
    <cellStyle name="Currency 2" xfId="17"/>
    <cellStyle name="Currency 3" xfId="18"/>
    <cellStyle name="Currency 4" xfId="48"/>
    <cellStyle name="D4_B8B1_005004B79812_.wvu.PrintTitlest" xfId="137"/>
    <cellStyle name="Date" xfId="138"/>
    <cellStyle name="Emphasis 1" xfId="139"/>
    <cellStyle name="Emphasis 2" xfId="140"/>
    <cellStyle name="Emphasis 3" xfId="141"/>
    <cellStyle name="Euro" xfId="142"/>
    <cellStyle name="Explanatory Text 2" xfId="143"/>
    <cellStyle name="Fixed" xfId="144"/>
    <cellStyle name="Gilsans" xfId="145"/>
    <cellStyle name="Gilsansl" xfId="146"/>
    <cellStyle name="Good 2" xfId="147"/>
    <cellStyle name="Heading 1 2" xfId="148"/>
    <cellStyle name="Heading 1 3" xfId="149"/>
    <cellStyle name="Heading 2 2" xfId="150"/>
    <cellStyle name="Heading 2 3" xfId="151"/>
    <cellStyle name="Heading 3 2" xfId="152"/>
    <cellStyle name="Heading 3 2 2" xfId="153"/>
    <cellStyle name="Heading 3 2 2 2" xfId="154"/>
    <cellStyle name="Heading 3 2 3" xfId="155"/>
    <cellStyle name="Heading 3 3" xfId="156"/>
    <cellStyle name="Heading 4 2" xfId="157"/>
    <cellStyle name="Heading 4 3" xfId="158"/>
    <cellStyle name="Heading(4)" xfId="159"/>
    <cellStyle name="Hyperlink 2" xfId="160"/>
    <cellStyle name="Hyperlink 3" xfId="161"/>
    <cellStyle name="Hyperlink Arrow" xfId="162"/>
    <cellStyle name="Hyperlink Text" xfId="163"/>
    <cellStyle name="Import" xfId="19"/>
    <cellStyle name="Import%" xfId="20"/>
    <cellStyle name="Input 2" xfId="21"/>
    <cellStyle name="Input 2 2" xfId="164"/>
    <cellStyle name="Input 2 2 2" xfId="165"/>
    <cellStyle name="Input 2 2 2 2" xfId="166"/>
    <cellStyle name="Input 2 2 3" xfId="167"/>
    <cellStyle name="Input 2 2 3 2" xfId="168"/>
    <cellStyle name="Input 2 2 4" xfId="169"/>
    <cellStyle name="Input 2 3" xfId="170"/>
    <cellStyle name="Input 2 3 2" xfId="171"/>
    <cellStyle name="Input 2 3 2 2" xfId="172"/>
    <cellStyle name="Input 2 3 3" xfId="173"/>
    <cellStyle name="Input 2 3 3 2" xfId="174"/>
    <cellStyle name="Input 2 3 4" xfId="175"/>
    <cellStyle name="Input 2 4" xfId="176"/>
    <cellStyle name="Input 2 4 2" xfId="177"/>
    <cellStyle name="Input 2 4 2 2" xfId="178"/>
    <cellStyle name="Input 2 4 3" xfId="179"/>
    <cellStyle name="Input 2 4 3 2" xfId="180"/>
    <cellStyle name="Input 2 4 4" xfId="181"/>
    <cellStyle name="Input 2 5" xfId="182"/>
    <cellStyle name="Input 2 5 2" xfId="183"/>
    <cellStyle name="Input 2 5 2 2" xfId="184"/>
    <cellStyle name="Input 2 5 3" xfId="185"/>
    <cellStyle name="Input 2 5 3 2" xfId="186"/>
    <cellStyle name="Input 2 5 4" xfId="187"/>
    <cellStyle name="Input 2 6" xfId="188"/>
    <cellStyle name="Input1" xfId="22"/>
    <cellStyle name="Input1 2" xfId="189"/>
    <cellStyle name="Input1 3" xfId="190"/>
    <cellStyle name="Input1 4" xfId="191"/>
    <cellStyle name="Input1%" xfId="23"/>
    <cellStyle name="Input1_Contents" xfId="24"/>
    <cellStyle name="Input1default%" xfId="25"/>
    <cellStyle name="Input2" xfId="26"/>
    <cellStyle name="Input2%" xfId="27"/>
    <cellStyle name="Input3" xfId="28"/>
    <cellStyle name="Input3 2" xfId="192"/>
    <cellStyle name="Input3 3" xfId="193"/>
    <cellStyle name="Input3 4" xfId="194"/>
    <cellStyle name="Input3%" xfId="29"/>
    <cellStyle name="Input3_ENERGY_MODEL_A_20090623_1652" xfId="30"/>
    <cellStyle name="Lines" xfId="195"/>
    <cellStyle name="Linked Cell 2" xfId="196"/>
    <cellStyle name="Mine" xfId="197"/>
    <cellStyle name="Model Name" xfId="198"/>
    <cellStyle name="Neutral 2" xfId="199"/>
    <cellStyle name="Normal" xfId="0" builtinId="0"/>
    <cellStyle name="Normal - Style1" xfId="200"/>
    <cellStyle name="Normal 10" xfId="201"/>
    <cellStyle name="Normal 11" xfId="202"/>
    <cellStyle name="Normal 114" xfId="203"/>
    <cellStyle name="Normal 12" xfId="204"/>
    <cellStyle name="Normal 13" xfId="205"/>
    <cellStyle name="Normal 13 2" xfId="206"/>
    <cellStyle name="Normal 14" xfId="207"/>
    <cellStyle name="Normal 14 2" xfId="208"/>
    <cellStyle name="Normal 143" xfId="209"/>
    <cellStyle name="Normal 144" xfId="210"/>
    <cellStyle name="Normal 147" xfId="211"/>
    <cellStyle name="Normal 148" xfId="212"/>
    <cellStyle name="Normal 149" xfId="213"/>
    <cellStyle name="Normal 15" xfId="214"/>
    <cellStyle name="Normal 150" xfId="215"/>
    <cellStyle name="Normal 151" xfId="216"/>
    <cellStyle name="Normal 152" xfId="217"/>
    <cellStyle name="Normal 153" xfId="218"/>
    <cellStyle name="Normal 154" xfId="219"/>
    <cellStyle name="Normal 155" xfId="220"/>
    <cellStyle name="Normal 156" xfId="221"/>
    <cellStyle name="Normal 161" xfId="222"/>
    <cellStyle name="Normal 162" xfId="223"/>
    <cellStyle name="Normal 163" xfId="224"/>
    <cellStyle name="Normal 164" xfId="225"/>
    <cellStyle name="Normal 169" xfId="226"/>
    <cellStyle name="Normal 170" xfId="227"/>
    <cellStyle name="Normal 171" xfId="228"/>
    <cellStyle name="Normal 172" xfId="229"/>
    <cellStyle name="Normal 177" xfId="230"/>
    <cellStyle name="Normal 178" xfId="231"/>
    <cellStyle name="Normal 179" xfId="232"/>
    <cellStyle name="Normal 180" xfId="233"/>
    <cellStyle name="Normal 181" xfId="234"/>
    <cellStyle name="Normal 182" xfId="235"/>
    <cellStyle name="Normal 183" xfId="236"/>
    <cellStyle name="Normal 184" xfId="237"/>
    <cellStyle name="Normal 185" xfId="238"/>
    <cellStyle name="Normal 186" xfId="239"/>
    <cellStyle name="Normal 187" xfId="240"/>
    <cellStyle name="Normal 188" xfId="241"/>
    <cellStyle name="Normal 189" xfId="242"/>
    <cellStyle name="Normal 190" xfId="243"/>
    <cellStyle name="Normal 192" xfId="244"/>
    <cellStyle name="Normal 193" xfId="245"/>
    <cellStyle name="Normal 196" xfId="246"/>
    <cellStyle name="Normal 197" xfId="247"/>
    <cellStyle name="Normal 198" xfId="248"/>
    <cellStyle name="Normal 199" xfId="249"/>
    <cellStyle name="Normal 2" xfId="31"/>
    <cellStyle name="Normal 2 2" xfId="32"/>
    <cellStyle name="Normal 2 2 2" xfId="250"/>
    <cellStyle name="Normal 2 3" xfId="251"/>
    <cellStyle name="Normal 2 4" xfId="252"/>
    <cellStyle name="Normal 20" xfId="253"/>
    <cellStyle name="Normal 200" xfId="254"/>
    <cellStyle name="Normal 201" xfId="255"/>
    <cellStyle name="Normal 202" xfId="256"/>
    <cellStyle name="Normal 203" xfId="257"/>
    <cellStyle name="Normal 204" xfId="258"/>
    <cellStyle name="Normal 205" xfId="259"/>
    <cellStyle name="Normal 207" xfId="260"/>
    <cellStyle name="Normal 208" xfId="261"/>
    <cellStyle name="Normal 209" xfId="262"/>
    <cellStyle name="Normal 210" xfId="263"/>
    <cellStyle name="Normal 211" xfId="264"/>
    <cellStyle name="Normal 212" xfId="265"/>
    <cellStyle name="Normal 213" xfId="266"/>
    <cellStyle name="Normal 214" xfId="267"/>
    <cellStyle name="Normal 215" xfId="268"/>
    <cellStyle name="Normal 216" xfId="269"/>
    <cellStyle name="Normal 3" xfId="33"/>
    <cellStyle name="Normal 3 2" xfId="270"/>
    <cellStyle name="Normal 37" xfId="271"/>
    <cellStyle name="Normal 38" xfId="272"/>
    <cellStyle name="Normal 39" xfId="273"/>
    <cellStyle name="Normal 4" xfId="34"/>
    <cellStyle name="Normal 4 2" xfId="274"/>
    <cellStyle name="Normal 4 2 2" xfId="275"/>
    <cellStyle name="Normal 4 3" xfId="276"/>
    <cellStyle name="Normal 40" xfId="277"/>
    <cellStyle name="Normal 5" xfId="35"/>
    <cellStyle name="Normal 6" xfId="36"/>
    <cellStyle name="Normal 6 2" xfId="278"/>
    <cellStyle name="Normal 6 2 2" xfId="279"/>
    <cellStyle name="Normal 7" xfId="37"/>
    <cellStyle name="Normal 8" xfId="3"/>
    <cellStyle name="Normal 8 2" xfId="280"/>
    <cellStyle name="Normal 9" xfId="44"/>
    <cellStyle name="Normal_Sheet1 2" xfId="5"/>
    <cellStyle name="Note 2" xfId="281"/>
    <cellStyle name="Note 2 2" xfId="282"/>
    <cellStyle name="Note 2 2 2" xfId="283"/>
    <cellStyle name="Note 2 2 2 2" xfId="284"/>
    <cellStyle name="Note 2 2 2 3" xfId="285"/>
    <cellStyle name="Note 2 2 3" xfId="286"/>
    <cellStyle name="Note 2 2 4" xfId="287"/>
    <cellStyle name="Note 2 3" xfId="288"/>
    <cellStyle name="Note 2 3 2" xfId="289"/>
    <cellStyle name="Note 2 3 2 2" xfId="290"/>
    <cellStyle name="Note 2 3 2 3" xfId="291"/>
    <cellStyle name="Note 2 3 3" xfId="292"/>
    <cellStyle name="Note 2 3 4" xfId="293"/>
    <cellStyle name="Note 2 4" xfId="294"/>
    <cellStyle name="Note 2 4 2" xfId="295"/>
    <cellStyle name="Note 2 4 2 2" xfId="296"/>
    <cellStyle name="Note 2 4 2 3" xfId="297"/>
    <cellStyle name="Note 2 4 3" xfId="298"/>
    <cellStyle name="Note 2 4 4" xfId="299"/>
    <cellStyle name="Note 2 5" xfId="300"/>
    <cellStyle name="Note 2 5 2" xfId="301"/>
    <cellStyle name="Note 2 5 2 2" xfId="302"/>
    <cellStyle name="Note 2 5 2 3" xfId="303"/>
    <cellStyle name="Note 2 5 3" xfId="304"/>
    <cellStyle name="Note 2 5 4" xfId="305"/>
    <cellStyle name="Note 2 6" xfId="306"/>
    <cellStyle name="Note 2 6 2" xfId="307"/>
    <cellStyle name="Note 2 6 2 2" xfId="308"/>
    <cellStyle name="Note 2 6 2 3" xfId="309"/>
    <cellStyle name="Note 2 6 3" xfId="310"/>
    <cellStyle name="Note 2 6 4" xfId="311"/>
    <cellStyle name="Note 2 7" xfId="312"/>
    <cellStyle name="Note 2 8" xfId="313"/>
    <cellStyle name="Output 2" xfId="314"/>
    <cellStyle name="Output 2 10" xfId="315"/>
    <cellStyle name="Output 2 11" xfId="316"/>
    <cellStyle name="Output 2 2" xfId="317"/>
    <cellStyle name="Output 2 2 2" xfId="318"/>
    <cellStyle name="Output 2 2 2 2" xfId="319"/>
    <cellStyle name="Output 2 2 2 3" xfId="320"/>
    <cellStyle name="Output 2 2 3" xfId="321"/>
    <cellStyle name="Output 2 2 3 2" xfId="322"/>
    <cellStyle name="Output 2 2 3 3" xfId="323"/>
    <cellStyle name="Output 2 2 4" xfId="324"/>
    <cellStyle name="Output 2 2 5" xfId="325"/>
    <cellStyle name="Output 2 3" xfId="326"/>
    <cellStyle name="Output 2 3 2" xfId="327"/>
    <cellStyle name="Output 2 3 2 2" xfId="328"/>
    <cellStyle name="Output 2 3 2 3" xfId="329"/>
    <cellStyle name="Output 2 3 3" xfId="330"/>
    <cellStyle name="Output 2 3 3 2" xfId="331"/>
    <cellStyle name="Output 2 3 3 3" xfId="332"/>
    <cellStyle name="Output 2 3 4" xfId="333"/>
    <cellStyle name="Output 2 3 5" xfId="334"/>
    <cellStyle name="Output 2 4" xfId="335"/>
    <cellStyle name="Output 2 4 2" xfId="336"/>
    <cellStyle name="Output 2 4 2 2" xfId="337"/>
    <cellStyle name="Output 2 4 2 3" xfId="338"/>
    <cellStyle name="Output 2 4 3" xfId="339"/>
    <cellStyle name="Output 2 4 3 2" xfId="340"/>
    <cellStyle name="Output 2 4 3 3" xfId="341"/>
    <cellStyle name="Output 2 4 4" xfId="342"/>
    <cellStyle name="Output 2 4 5" xfId="343"/>
    <cellStyle name="Output 2 5" xfId="344"/>
    <cellStyle name="Output 2 5 2" xfId="345"/>
    <cellStyle name="Output 2 5 2 2" xfId="346"/>
    <cellStyle name="Output 2 5 2 3" xfId="347"/>
    <cellStyle name="Output 2 5 3" xfId="348"/>
    <cellStyle name="Output 2 5 3 2" xfId="349"/>
    <cellStyle name="Output 2 5 3 3" xfId="350"/>
    <cellStyle name="Output 2 5 4" xfId="351"/>
    <cellStyle name="Output 2 5 5" xfId="352"/>
    <cellStyle name="Output 2 6" xfId="353"/>
    <cellStyle name="Output 2 6 2" xfId="354"/>
    <cellStyle name="Output 2 6 2 2" xfId="355"/>
    <cellStyle name="Output 2 6 2 3" xfId="356"/>
    <cellStyle name="Output 2 6 3" xfId="357"/>
    <cellStyle name="Output 2 6 3 2" xfId="358"/>
    <cellStyle name="Output 2 6 3 3" xfId="359"/>
    <cellStyle name="Output 2 6 4" xfId="360"/>
    <cellStyle name="Output 2 6 5" xfId="361"/>
    <cellStyle name="Output 2 7" xfId="362"/>
    <cellStyle name="Output 2 7 2" xfId="363"/>
    <cellStyle name="Output 2 7 2 2" xfId="364"/>
    <cellStyle name="Output 2 7 2 3" xfId="365"/>
    <cellStyle name="Output 2 7 3" xfId="366"/>
    <cellStyle name="Output 2 7 3 2" xfId="367"/>
    <cellStyle name="Output 2 7 3 3" xfId="368"/>
    <cellStyle name="Output 2 7 4" xfId="369"/>
    <cellStyle name="Output 2 7 5" xfId="370"/>
    <cellStyle name="Output 2 8" xfId="371"/>
    <cellStyle name="Output 2 8 2" xfId="372"/>
    <cellStyle name="Output 2 8 3" xfId="373"/>
    <cellStyle name="Output 2 9" xfId="374"/>
    <cellStyle name="Output 2 9 2" xfId="375"/>
    <cellStyle name="Output 2 9 3" xfId="376"/>
    <cellStyle name="Percent" xfId="2" builtinId="5"/>
    <cellStyle name="Percent [2]" xfId="377"/>
    <cellStyle name="Percent 2" xfId="38"/>
    <cellStyle name="Percent 2 2" xfId="6"/>
    <cellStyle name="Percent 2 3" xfId="39"/>
    <cellStyle name="Percent 3" xfId="40"/>
    <cellStyle name="Percent 3 2" xfId="41"/>
    <cellStyle name="Percent 4" xfId="42"/>
    <cellStyle name="Percent 5" xfId="45"/>
    <cellStyle name="Percentage" xfId="378"/>
    <cellStyle name="Period Title" xfId="379"/>
    <cellStyle name="PSChar" xfId="380"/>
    <cellStyle name="PSDate" xfId="381"/>
    <cellStyle name="PSDec" xfId="382"/>
    <cellStyle name="PSDetail" xfId="383"/>
    <cellStyle name="PSDetail 2" xfId="384"/>
    <cellStyle name="PSHeading" xfId="385"/>
    <cellStyle name="PSHeading 2" xfId="386"/>
    <cellStyle name="PSInt" xfId="387"/>
    <cellStyle name="PSSpacer" xfId="388"/>
    <cellStyle name="Ratio" xfId="389"/>
    <cellStyle name="Right Date" xfId="390"/>
    <cellStyle name="Right Number" xfId="391"/>
    <cellStyle name="Right Year" xfId="392"/>
    <cellStyle name="SAPError" xfId="393"/>
    <cellStyle name="SAPKey" xfId="394"/>
    <cellStyle name="SAPLocked" xfId="395"/>
    <cellStyle name="SAPOutput" xfId="396"/>
    <cellStyle name="SAPSpace" xfId="397"/>
    <cellStyle name="SAPText" xfId="398"/>
    <cellStyle name="SAPUnLocked" xfId="399"/>
    <cellStyle name="Sheet Title" xfId="400"/>
    <cellStyle name="Style 1" xfId="43"/>
    <cellStyle name="Style 1 2" xfId="401"/>
    <cellStyle name="Style2" xfId="402"/>
    <cellStyle name="Style3" xfId="403"/>
    <cellStyle name="Style4" xfId="404"/>
    <cellStyle name="Style5" xfId="405"/>
    <cellStyle name="Table Head Green" xfId="406"/>
    <cellStyle name="Table Head Green 2" xfId="407"/>
    <cellStyle name="Table Head Green 2 2" xfId="408"/>
    <cellStyle name="Table Head Green 3" xfId="409"/>
    <cellStyle name="Table Head_pldt" xfId="410"/>
    <cellStyle name="Table Source" xfId="411"/>
    <cellStyle name="Table Units" xfId="412"/>
    <cellStyle name="Table Units 2" xfId="413"/>
    <cellStyle name="Text" xfId="414"/>
    <cellStyle name="Text 2" xfId="415"/>
    <cellStyle name="Text Head 1" xfId="416"/>
    <cellStyle name="Text Head 2" xfId="417"/>
    <cellStyle name="Text Indent 2" xfId="418"/>
    <cellStyle name="Theirs" xfId="419"/>
    <cellStyle name="Title 2" xfId="420"/>
    <cellStyle name="TOC 1" xfId="421"/>
    <cellStyle name="TOC 2" xfId="422"/>
    <cellStyle name="TOC 3" xfId="423"/>
    <cellStyle name="Total 2" xfId="424"/>
    <cellStyle name="Total 2 10" xfId="425"/>
    <cellStyle name="Total 2 11" xfId="426"/>
    <cellStyle name="Total 2 2" xfId="427"/>
    <cellStyle name="Total 2 2 2" xfId="428"/>
    <cellStyle name="Total 2 2 2 2" xfId="429"/>
    <cellStyle name="Total 2 2 2 3" xfId="430"/>
    <cellStyle name="Total 2 2 3" xfId="431"/>
    <cellStyle name="Total 2 2 3 2" xfId="432"/>
    <cellStyle name="Total 2 2 3 3" xfId="433"/>
    <cellStyle name="Total 2 2 4" xfId="434"/>
    <cellStyle name="Total 2 2 5" xfId="435"/>
    <cellStyle name="Total 2 3" xfId="436"/>
    <cellStyle name="Total 2 3 2" xfId="437"/>
    <cellStyle name="Total 2 3 2 2" xfId="438"/>
    <cellStyle name="Total 2 3 2 3" xfId="439"/>
    <cellStyle name="Total 2 3 3" xfId="440"/>
    <cellStyle name="Total 2 3 3 2" xfId="441"/>
    <cellStyle name="Total 2 3 3 3" xfId="442"/>
    <cellStyle name="Total 2 3 4" xfId="443"/>
    <cellStyle name="Total 2 3 5" xfId="444"/>
    <cellStyle name="Total 2 4" xfId="445"/>
    <cellStyle name="Total 2 4 2" xfId="446"/>
    <cellStyle name="Total 2 4 2 2" xfId="447"/>
    <cellStyle name="Total 2 4 2 3" xfId="448"/>
    <cellStyle name="Total 2 4 3" xfId="449"/>
    <cellStyle name="Total 2 4 3 2" xfId="450"/>
    <cellStyle name="Total 2 4 3 3" xfId="451"/>
    <cellStyle name="Total 2 4 4" xfId="452"/>
    <cellStyle name="Total 2 4 5" xfId="453"/>
    <cellStyle name="Total 2 5" xfId="454"/>
    <cellStyle name="Total 2 5 2" xfId="455"/>
    <cellStyle name="Total 2 5 2 2" xfId="456"/>
    <cellStyle name="Total 2 5 2 3" xfId="457"/>
    <cellStyle name="Total 2 5 3" xfId="458"/>
    <cellStyle name="Total 2 5 3 2" xfId="459"/>
    <cellStyle name="Total 2 5 3 3" xfId="460"/>
    <cellStyle name="Total 2 5 4" xfId="461"/>
    <cellStyle name="Total 2 5 5" xfId="462"/>
    <cellStyle name="Total 2 6" xfId="463"/>
    <cellStyle name="Total 2 6 2" xfId="464"/>
    <cellStyle name="Total 2 6 2 2" xfId="465"/>
    <cellStyle name="Total 2 6 2 3" xfId="466"/>
    <cellStyle name="Total 2 6 3" xfId="467"/>
    <cellStyle name="Total 2 6 3 2" xfId="468"/>
    <cellStyle name="Total 2 6 3 3" xfId="469"/>
    <cellStyle name="Total 2 6 4" xfId="470"/>
    <cellStyle name="Total 2 6 5" xfId="471"/>
    <cellStyle name="Total 2 7" xfId="472"/>
    <cellStyle name="Total 2 7 2" xfId="473"/>
    <cellStyle name="Total 2 7 2 2" xfId="474"/>
    <cellStyle name="Total 2 7 2 3" xfId="475"/>
    <cellStyle name="Total 2 7 3" xfId="476"/>
    <cellStyle name="Total 2 7 3 2" xfId="477"/>
    <cellStyle name="Total 2 7 3 3" xfId="478"/>
    <cellStyle name="Total 2 7 4" xfId="479"/>
    <cellStyle name="Total 2 7 5" xfId="480"/>
    <cellStyle name="Total 2 8" xfId="481"/>
    <cellStyle name="Total 2 8 2" xfId="482"/>
    <cellStyle name="Total 2 8 3" xfId="483"/>
    <cellStyle name="Total 2 9" xfId="484"/>
    <cellStyle name="Total 2 9 2" xfId="485"/>
    <cellStyle name="Total 2 9 3" xfId="486"/>
    <cellStyle name="Warning Text 2" xfId="487"/>
    <cellStyle name="year" xfId="488"/>
    <cellStyle name="year 2" xfId="489"/>
    <cellStyle name="year 2 2" xfId="490"/>
    <cellStyle name="year 3" xfId="491"/>
  </cellStyles>
  <dxfs count="0"/>
  <tableStyles count="0" defaultTableStyle="TableStyleMedium2" defaultPivotStyle="PivotStyleLight16"/>
  <colors>
    <mruColors>
      <color rgb="FF0000FF"/>
      <color rgb="FFFF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'Forecast Opex Analysis'!$B$63</c:f>
              <c:strCache>
                <c:ptCount val="1"/>
                <c:pt idx="0">
                  <c:v>Total Recoverable Opex (Real 2014-15 $)</c:v>
                </c:pt>
              </c:strCache>
            </c:strRef>
          </c:tx>
          <c:invertIfNegative val="0"/>
          <c:dPt>
            <c:idx val="0"/>
            <c:invertIfNegative val="0"/>
            <c:bubble3D val="0"/>
            <c:spPr>
              <a:solidFill>
                <a:schemeClr val="accent3"/>
              </a:solidFill>
              <a:ln>
                <a:noFill/>
              </a:ln>
            </c:spPr>
          </c:dPt>
          <c:dPt>
            <c:idx val="1"/>
            <c:invertIfNegative val="0"/>
            <c:bubble3D val="0"/>
            <c:spPr>
              <a:solidFill>
                <a:schemeClr val="accent3"/>
              </a:solidFill>
              <a:ln>
                <a:noFill/>
              </a:ln>
            </c:spPr>
          </c:dPt>
          <c:dPt>
            <c:idx val="2"/>
            <c:invertIfNegative val="0"/>
            <c:bubble3D val="0"/>
            <c:spPr>
              <a:solidFill>
                <a:schemeClr val="accent3"/>
              </a:solidFill>
              <a:ln>
                <a:noFill/>
              </a:ln>
            </c:spPr>
          </c:dPt>
          <c:dPt>
            <c:idx val="3"/>
            <c:invertIfNegative val="0"/>
            <c:bubble3D val="0"/>
            <c:spPr>
              <a:solidFill>
                <a:schemeClr val="accent3"/>
              </a:solidFill>
              <a:ln>
                <a:noFill/>
              </a:ln>
            </c:spPr>
          </c:dPt>
          <c:dPt>
            <c:idx val="4"/>
            <c:invertIfNegative val="0"/>
            <c:bubble3D val="0"/>
            <c:spPr>
              <a:solidFill>
                <a:schemeClr val="accent3"/>
              </a:solidFill>
              <a:ln>
                <a:noFill/>
              </a:ln>
            </c:spPr>
          </c:dPt>
          <c:dPt>
            <c:idx val="5"/>
            <c:invertIfNegative val="0"/>
            <c:bubble3D val="0"/>
            <c:spPr>
              <a:solidFill>
                <a:schemeClr val="accent3"/>
              </a:solidFill>
              <a:ln>
                <a:noFill/>
              </a:ln>
            </c:spPr>
          </c:dPt>
          <c:dLbls>
            <c:showLegendKey val="0"/>
            <c:showVal val="1"/>
            <c:showCatName val="0"/>
            <c:showSerName val="0"/>
            <c:showPercent val="0"/>
            <c:showBubbleSize val="0"/>
            <c:showLeaderLines val="0"/>
          </c:dLbls>
          <c:cat>
            <c:strRef>
              <c:f>'Forecast Opex Analysis'!$D$19:$N$19</c:f>
              <c:strCache>
                <c:ptCount val="11"/>
                <c:pt idx="0">
                  <c:v>2008/09</c:v>
                </c:pt>
                <c:pt idx="1">
                  <c:v>2009/10</c:v>
                </c:pt>
                <c:pt idx="2">
                  <c:v>2010/11</c:v>
                </c:pt>
                <c:pt idx="3">
                  <c:v>2011/12</c:v>
                </c:pt>
                <c:pt idx="4">
                  <c:v>2012/13</c:v>
                </c:pt>
                <c:pt idx="5">
                  <c:v> 2013/14</c:v>
                </c:pt>
                <c:pt idx="6">
                  <c:v>2014/15</c:v>
                </c:pt>
                <c:pt idx="7">
                  <c:v>2015/16</c:v>
                </c:pt>
                <c:pt idx="8">
                  <c:v>2016/17</c:v>
                </c:pt>
                <c:pt idx="9">
                  <c:v>2017/18</c:v>
                </c:pt>
                <c:pt idx="10">
                  <c:v>2018/19</c:v>
                </c:pt>
              </c:strCache>
            </c:strRef>
          </c:cat>
          <c:val>
            <c:numRef>
              <c:f>'Forecast Opex Analysis'!$D$64:$N$64</c:f>
              <c:numCache>
                <c:formatCode>_-* #,##0.0_-;\-* #,##0.0_-;_-* "-"??_-;_-@_-</c:formatCode>
                <c:ptCount val="11"/>
                <c:pt idx="0">
                  <c:v>19.455082631666208</c:v>
                </c:pt>
                <c:pt idx="1">
                  <c:v>18.331852921960582</c:v>
                </c:pt>
                <c:pt idx="2">
                  <c:v>15.231218795272317</c:v>
                </c:pt>
                <c:pt idx="3">
                  <c:v>16.147079996543706</c:v>
                </c:pt>
                <c:pt idx="4">
                  <c:v>16.808985964502945</c:v>
                </c:pt>
                <c:pt idx="5">
                  <c:v>19.121236506432737</c:v>
                </c:pt>
                <c:pt idx="6">
                  <c:v>19.916669945264548</c:v>
                </c:pt>
                <c:pt idx="7">
                  <c:v>20.145305665784903</c:v>
                </c:pt>
                <c:pt idx="8">
                  <c:v>20.903291460028026</c:v>
                </c:pt>
                <c:pt idx="9">
                  <c:v>20.96235634948609</c:v>
                </c:pt>
                <c:pt idx="10">
                  <c:v>21.447481394290019</c:v>
                </c:pt>
              </c:numCache>
            </c:numRef>
          </c:val>
        </c:ser>
        <c:dLbls>
          <c:showLegendKey val="0"/>
          <c:showVal val="0"/>
          <c:showCatName val="0"/>
          <c:showSerName val="0"/>
          <c:showPercent val="0"/>
          <c:showBubbleSize val="0"/>
        </c:dLbls>
        <c:gapWidth val="75"/>
        <c:overlap val="-25"/>
        <c:axId val="63636608"/>
        <c:axId val="63638528"/>
      </c:barChart>
      <c:catAx>
        <c:axId val="63636608"/>
        <c:scaling>
          <c:orientation val="minMax"/>
        </c:scaling>
        <c:delete val="0"/>
        <c:axPos val="b"/>
        <c:majorTickMark val="none"/>
        <c:minorTickMark val="none"/>
        <c:tickLblPos val="nextTo"/>
        <c:crossAx val="63638528"/>
        <c:crosses val="autoZero"/>
        <c:auto val="1"/>
        <c:lblAlgn val="ctr"/>
        <c:lblOffset val="100"/>
        <c:noMultiLvlLbl val="0"/>
      </c:catAx>
      <c:valAx>
        <c:axId val="63638528"/>
        <c:scaling>
          <c:orientation val="minMax"/>
        </c:scaling>
        <c:delete val="0"/>
        <c:axPos val="l"/>
        <c:majorGridlines/>
        <c:numFmt formatCode="_-* #,##0.0_-;\-* #,##0.0_-;_-* &quot;-&quot;??_-;_-@_-" sourceLinked="1"/>
        <c:majorTickMark val="none"/>
        <c:minorTickMark val="none"/>
        <c:tickLblPos val="nextTo"/>
        <c:spPr>
          <a:ln w="9525">
            <a:noFill/>
          </a:ln>
        </c:spPr>
        <c:crossAx val="6363660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38099</xdr:colOff>
      <xdr:row>63</xdr:row>
      <xdr:rowOff>157162</xdr:rowOff>
    </xdr:from>
    <xdr:to>
      <xdr:col>14</xdr:col>
      <xdr:colOff>9525</xdr:colOff>
      <xdr:row>84</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topLeftCell="A22" workbookViewId="0"/>
  </sheetViews>
  <sheetFormatPr defaultRowHeight="15"/>
  <cols>
    <col min="1" max="1" width="2.85546875" customWidth="1"/>
    <col min="2" max="10" width="15" customWidth="1"/>
  </cols>
  <sheetData>
    <row r="1" spans="1:10">
      <c r="J1" s="198"/>
    </row>
    <row r="2" spans="1:10" ht="15.75">
      <c r="A2" s="254" t="s">
        <v>503</v>
      </c>
      <c r="B2" s="10"/>
      <c r="C2" s="10"/>
      <c r="D2" s="10"/>
      <c r="E2" s="10"/>
      <c r="F2" s="10"/>
      <c r="G2" s="10"/>
      <c r="H2" s="10"/>
      <c r="I2" s="10"/>
      <c r="J2" s="10"/>
    </row>
    <row r="3" spans="1:10" ht="15.75">
      <c r="A3" s="254" t="s">
        <v>770</v>
      </c>
      <c r="B3" s="10"/>
      <c r="C3" s="10"/>
      <c r="D3" s="10"/>
      <c r="E3" s="10"/>
      <c r="F3" s="10"/>
      <c r="G3" s="10"/>
      <c r="H3" s="10"/>
      <c r="I3" s="10"/>
      <c r="J3" s="10"/>
    </row>
    <row r="4" spans="1:10" ht="15.75">
      <c r="A4" s="255" t="s">
        <v>499</v>
      </c>
      <c r="B4" s="10"/>
      <c r="C4" s="10"/>
      <c r="D4" s="10"/>
      <c r="E4" s="10"/>
      <c r="F4" s="10"/>
      <c r="G4" s="10"/>
      <c r="H4" s="10"/>
      <c r="I4" s="10"/>
      <c r="J4" s="10"/>
    </row>
    <row r="5" spans="1:10">
      <c r="A5" s="1"/>
      <c r="B5" s="10"/>
      <c r="C5" s="10"/>
      <c r="D5" s="10"/>
      <c r="E5" s="10"/>
      <c r="F5" s="10"/>
      <c r="G5" s="10"/>
      <c r="H5" s="10"/>
      <c r="I5" s="10"/>
      <c r="J5" s="10"/>
    </row>
    <row r="6" spans="1:10">
      <c r="A6" s="1"/>
      <c r="B6" s="445" t="s">
        <v>771</v>
      </c>
      <c r="C6" s="446"/>
      <c r="D6" s="446"/>
      <c r="E6" s="446"/>
      <c r="F6" s="446"/>
      <c r="G6" s="446"/>
      <c r="H6" s="446"/>
      <c r="I6" s="446"/>
      <c r="J6" s="447"/>
    </row>
    <row r="8" spans="1:10">
      <c r="B8" s="445" t="s">
        <v>255</v>
      </c>
      <c r="C8" s="446"/>
      <c r="D8" s="446"/>
      <c r="E8" s="446"/>
      <c r="F8" s="446"/>
      <c r="G8" s="446"/>
      <c r="H8" s="446"/>
      <c r="I8" s="446"/>
      <c r="J8" s="447"/>
    </row>
    <row r="10" spans="1:10" ht="198" customHeight="1">
      <c r="B10" s="448" t="s">
        <v>341</v>
      </c>
      <c r="C10" s="449"/>
      <c r="D10" s="449"/>
      <c r="E10" s="449"/>
      <c r="F10" s="449"/>
      <c r="G10" s="449"/>
      <c r="H10" s="449"/>
      <c r="I10" s="449"/>
      <c r="J10" s="450"/>
    </row>
    <row r="12" spans="1:10">
      <c r="B12" s="445" t="s">
        <v>256</v>
      </c>
      <c r="C12" s="446"/>
      <c r="D12" s="446"/>
      <c r="E12" s="446"/>
      <c r="F12" s="446"/>
      <c r="G12" s="446"/>
      <c r="H12" s="446"/>
      <c r="I12" s="446"/>
      <c r="J12" s="447"/>
    </row>
    <row r="14" spans="1:10" ht="55.5" customHeight="1">
      <c r="B14" s="455" t="s">
        <v>281</v>
      </c>
      <c r="C14" s="456"/>
      <c r="D14" s="456"/>
      <c r="E14" s="456"/>
      <c r="F14" s="456"/>
      <c r="G14" s="456"/>
      <c r="H14" s="456"/>
      <c r="I14" s="456"/>
      <c r="J14" s="457"/>
    </row>
    <row r="15" spans="1:10">
      <c r="B15" s="128"/>
      <c r="C15" s="14"/>
      <c r="D15" s="14"/>
      <c r="E15" s="14"/>
      <c r="F15" s="14"/>
      <c r="G15" s="14"/>
      <c r="H15" s="14"/>
      <c r="I15" s="14"/>
      <c r="J15" s="129"/>
    </row>
    <row r="16" spans="1:10">
      <c r="B16" s="442" t="s">
        <v>257</v>
      </c>
      <c r="C16" s="443"/>
      <c r="D16" s="443"/>
      <c r="E16" s="443"/>
      <c r="F16" s="443"/>
      <c r="G16" s="443"/>
      <c r="H16" s="443"/>
      <c r="I16" s="443"/>
      <c r="J16" s="444"/>
    </row>
    <row r="17" spans="2:10">
      <c r="B17" s="128"/>
      <c r="C17" s="14"/>
      <c r="D17" s="14"/>
      <c r="E17" s="14"/>
      <c r="F17" s="14"/>
      <c r="G17" s="14"/>
      <c r="H17" s="14"/>
      <c r="I17" s="14"/>
      <c r="J17" s="129"/>
    </row>
    <row r="18" spans="2:10" ht="60" customHeight="1">
      <c r="B18" s="451" t="s">
        <v>497</v>
      </c>
      <c r="C18" s="452"/>
      <c r="D18" s="452"/>
      <c r="E18" s="452"/>
      <c r="F18" s="452"/>
      <c r="G18" s="452"/>
      <c r="H18" s="452"/>
      <c r="I18" s="452"/>
      <c r="J18" s="453"/>
    </row>
    <row r="19" spans="2:10" ht="132" customHeight="1">
      <c r="B19" s="451" t="s">
        <v>777</v>
      </c>
      <c r="C19" s="452"/>
      <c r="D19" s="452"/>
      <c r="E19" s="452"/>
      <c r="F19" s="452"/>
      <c r="G19" s="452"/>
      <c r="H19" s="452"/>
      <c r="I19" s="452"/>
      <c r="J19" s="453"/>
    </row>
    <row r="20" spans="2:10" ht="137.25" customHeight="1">
      <c r="B20" s="451" t="s">
        <v>775</v>
      </c>
      <c r="C20" s="452"/>
      <c r="D20" s="452"/>
      <c r="E20" s="452"/>
      <c r="F20" s="452"/>
      <c r="G20" s="452"/>
      <c r="H20" s="452"/>
      <c r="I20" s="452"/>
      <c r="J20" s="453"/>
    </row>
    <row r="21" spans="2:10" ht="106.5" customHeight="1">
      <c r="B21" s="454" t="s">
        <v>776</v>
      </c>
      <c r="C21" s="452"/>
      <c r="D21" s="452"/>
      <c r="E21" s="452"/>
      <c r="F21" s="452"/>
      <c r="G21" s="452"/>
      <c r="H21" s="452"/>
      <c r="I21" s="452"/>
      <c r="J21" s="453"/>
    </row>
    <row r="22" spans="2:10" ht="28.5" customHeight="1">
      <c r="B22" s="451" t="s">
        <v>342</v>
      </c>
      <c r="C22" s="452"/>
      <c r="D22" s="452"/>
      <c r="E22" s="452"/>
      <c r="F22" s="452"/>
      <c r="G22" s="452"/>
      <c r="H22" s="452"/>
      <c r="I22" s="452"/>
      <c r="J22" s="453"/>
    </row>
    <row r="23" spans="2:10">
      <c r="B23" s="130"/>
      <c r="C23" s="131"/>
      <c r="D23" s="131"/>
      <c r="E23" s="131"/>
      <c r="F23" s="131"/>
      <c r="G23" s="131"/>
      <c r="H23" s="131"/>
      <c r="I23" s="131"/>
      <c r="J23" s="132"/>
    </row>
    <row r="24" spans="2:10">
      <c r="B24" s="442" t="s">
        <v>258</v>
      </c>
      <c r="C24" s="443"/>
      <c r="D24" s="443"/>
      <c r="E24" s="443"/>
      <c r="F24" s="443"/>
      <c r="G24" s="443"/>
      <c r="H24" s="443"/>
      <c r="I24" s="443"/>
      <c r="J24" s="444"/>
    </row>
    <row r="25" spans="2:10">
      <c r="B25" s="130"/>
      <c r="C25" s="131"/>
      <c r="D25" s="131"/>
      <c r="E25" s="131"/>
      <c r="F25" s="131"/>
      <c r="G25" s="131"/>
      <c r="H25" s="131"/>
      <c r="I25" s="131"/>
      <c r="J25" s="132"/>
    </row>
    <row r="26" spans="2:10" ht="94.5" customHeight="1">
      <c r="B26" s="451" t="s">
        <v>772</v>
      </c>
      <c r="C26" s="452"/>
      <c r="D26" s="452"/>
      <c r="E26" s="452"/>
      <c r="F26" s="452"/>
      <c r="G26" s="452"/>
      <c r="H26" s="452"/>
      <c r="I26" s="452"/>
      <c r="J26" s="453"/>
    </row>
    <row r="27" spans="2:10">
      <c r="B27" s="128"/>
      <c r="C27" s="14"/>
      <c r="D27" s="14"/>
      <c r="E27" s="14"/>
      <c r="F27" s="14"/>
      <c r="G27" s="14"/>
      <c r="H27" s="14"/>
      <c r="I27" s="14"/>
      <c r="J27" s="129"/>
    </row>
    <row r="28" spans="2:10">
      <c r="B28" s="442" t="s">
        <v>259</v>
      </c>
      <c r="C28" s="443"/>
      <c r="D28" s="443"/>
      <c r="E28" s="443"/>
      <c r="F28" s="443"/>
      <c r="G28" s="443"/>
      <c r="H28" s="443"/>
      <c r="I28" s="443"/>
      <c r="J28" s="444"/>
    </row>
    <row r="29" spans="2:10">
      <c r="B29" s="130"/>
      <c r="C29" s="131"/>
      <c r="D29" s="131"/>
      <c r="E29" s="131"/>
      <c r="F29" s="131"/>
      <c r="G29" s="131"/>
      <c r="H29" s="131"/>
      <c r="I29" s="131"/>
      <c r="J29" s="132"/>
    </row>
    <row r="30" spans="2:10" ht="27" customHeight="1">
      <c r="B30" s="451" t="s">
        <v>332</v>
      </c>
      <c r="C30" s="452"/>
      <c r="D30" s="452"/>
      <c r="E30" s="452"/>
      <c r="F30" s="452"/>
      <c r="G30" s="452"/>
      <c r="H30" s="452"/>
      <c r="I30" s="452"/>
      <c r="J30" s="453"/>
    </row>
    <row r="31" spans="2:10" ht="210.75" customHeight="1">
      <c r="B31" s="458" t="s">
        <v>773</v>
      </c>
      <c r="C31" s="459"/>
      <c r="D31" s="459"/>
      <c r="E31" s="459"/>
      <c r="F31" s="459"/>
      <c r="G31" s="459"/>
      <c r="H31" s="459"/>
      <c r="I31" s="459"/>
      <c r="J31" s="460"/>
    </row>
    <row r="33" spans="2:10">
      <c r="B33" s="445" t="s">
        <v>21</v>
      </c>
      <c r="C33" s="446"/>
      <c r="D33" s="446"/>
      <c r="E33" s="446"/>
      <c r="F33" s="446"/>
      <c r="G33" s="446"/>
      <c r="H33" s="446"/>
      <c r="I33" s="446"/>
      <c r="J33" s="447"/>
    </row>
    <row r="35" spans="2:10">
      <c r="B35" s="448" t="s">
        <v>774</v>
      </c>
      <c r="C35" s="449"/>
      <c r="D35" s="449"/>
      <c r="E35" s="449"/>
      <c r="F35" s="449"/>
      <c r="G35" s="449"/>
      <c r="H35" s="449"/>
      <c r="I35" s="449"/>
      <c r="J35" s="450"/>
    </row>
    <row r="37" spans="2:10">
      <c r="B37" s="200" t="s">
        <v>333</v>
      </c>
    </row>
  </sheetData>
  <mergeCells count="18">
    <mergeCell ref="B35:J35"/>
    <mergeCell ref="B26:J26"/>
    <mergeCell ref="B28:J28"/>
    <mergeCell ref="B30:J30"/>
    <mergeCell ref="B31:J31"/>
    <mergeCell ref="B33:J33"/>
    <mergeCell ref="B24:J24"/>
    <mergeCell ref="B6:J6"/>
    <mergeCell ref="B8:J8"/>
    <mergeCell ref="B10:J10"/>
    <mergeCell ref="B12:J12"/>
    <mergeCell ref="B18:J18"/>
    <mergeCell ref="B19:J19"/>
    <mergeCell ref="B20:J20"/>
    <mergeCell ref="B21:J21"/>
    <mergeCell ref="B22:J22"/>
    <mergeCell ref="B14:J14"/>
    <mergeCell ref="B16:J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3"/>
  <sheetViews>
    <sheetView showGridLines="0" workbookViewId="0"/>
  </sheetViews>
  <sheetFormatPr defaultColWidth="0" defaultRowHeight="15" zeroHeight="1"/>
  <cols>
    <col min="1" max="1" width="2.7109375" customWidth="1"/>
    <col min="2" max="6" width="9.140625" customWidth="1"/>
    <col min="7" max="16384" width="9.140625" hidden="1"/>
  </cols>
  <sheetData>
    <row r="1" spans="2:2"/>
    <row r="2" spans="2:2">
      <c r="B2" s="201" t="s">
        <v>343</v>
      </c>
    </row>
    <row r="3" spans="2: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69"/>
  <sheetViews>
    <sheetView zoomScale="85" zoomScaleNormal="85" workbookViewId="0">
      <pane xSplit="1" ySplit="2" topLeftCell="B3" activePane="bottomRight" state="frozen"/>
      <selection pane="topRight" activeCell="B1" sqref="B1"/>
      <selection pane="bottomLeft" activeCell="A3" sqref="A3"/>
      <selection pane="bottomRight" activeCell="L81" sqref="L81"/>
    </sheetView>
  </sheetViews>
  <sheetFormatPr defaultRowHeight="15"/>
  <cols>
    <col min="1" max="1" width="33" customWidth="1"/>
    <col min="2" max="6" width="10.28515625" customWidth="1"/>
    <col min="7" max="7" width="9.140625" customWidth="1"/>
    <col min="8" max="8" width="22.42578125" bestFit="1" customWidth="1"/>
    <col min="9" max="12" width="11.140625" customWidth="1"/>
    <col min="13" max="13" width="9.140625" customWidth="1"/>
    <col min="14" max="14" width="19.140625" customWidth="1"/>
  </cols>
  <sheetData>
    <row r="1" spans="1:17">
      <c r="B1" s="404" t="s">
        <v>856</v>
      </c>
      <c r="H1" s="404" t="s">
        <v>859</v>
      </c>
    </row>
    <row r="2" spans="1:17">
      <c r="B2" s="409" t="s">
        <v>42</v>
      </c>
      <c r="C2" s="409" t="s">
        <v>43</v>
      </c>
      <c r="D2" s="409" t="s">
        <v>44</v>
      </c>
      <c r="E2" s="409" t="s">
        <v>45</v>
      </c>
      <c r="F2" s="409" t="s">
        <v>46</v>
      </c>
      <c r="H2" s="409" t="str">
        <f>B2</f>
        <v>2014/15</v>
      </c>
      <c r="I2" s="409" t="str">
        <f>C2</f>
        <v>2015/16</v>
      </c>
      <c r="J2" s="409" t="str">
        <f>D2</f>
        <v>2016/17</v>
      </c>
      <c r="K2" s="409" t="str">
        <f>E2</f>
        <v>2017/18</v>
      </c>
      <c r="L2" s="409" t="str">
        <f>F2</f>
        <v>2018/19</v>
      </c>
      <c r="O2" s="409" t="str">
        <f t="shared" ref="O2" si="0">J2</f>
        <v>2016/17</v>
      </c>
      <c r="P2" s="409" t="str">
        <f t="shared" ref="P2" si="1">K2</f>
        <v>2017/18</v>
      </c>
      <c r="Q2" s="409" t="str">
        <f t="shared" ref="Q2" si="2">L2</f>
        <v>2018/19</v>
      </c>
    </row>
    <row r="3" spans="1:17">
      <c r="A3" s="201" t="s">
        <v>167</v>
      </c>
      <c r="H3" s="108">
        <f>'Pricing Calc (Per Service)'!D$20</f>
        <v>842577.16835754679</v>
      </c>
      <c r="I3" s="108">
        <f>'Pricing Calc (Per Service)'!E$20</f>
        <v>852512.43735132238</v>
      </c>
      <c r="J3" s="108">
        <f>'Pricing Calc (Per Service)'!F$20</f>
        <v>862244.50573519152</v>
      </c>
      <c r="K3" s="108">
        <f>'Pricing Calc (Per Service)'!G$20</f>
        <v>872663.42535740137</v>
      </c>
      <c r="L3" s="108">
        <f>'Pricing Calc (Per Service)'!H$20</f>
        <v>884596.85169119691</v>
      </c>
      <c r="N3" t="s">
        <v>858</v>
      </c>
      <c r="O3" s="414">
        <f>'Calculation Variables'!K11</f>
        <v>2.3800000000000002E-2</v>
      </c>
      <c r="P3" s="414">
        <f>'Calculation Variables'!L11</f>
        <v>2.3800000000000002E-2</v>
      </c>
      <c r="Q3" s="414">
        <f>'Calculation Variables'!M11</f>
        <v>2.3800000000000002E-2</v>
      </c>
    </row>
    <row r="4" spans="1:17">
      <c r="A4" s="405" t="s">
        <v>854</v>
      </c>
      <c r="B4" s="407">
        <f>SUM('Annual Metering Charges'!D13:D15)</f>
        <v>12.73699602761836</v>
      </c>
      <c r="C4" s="407">
        <f>SUM('Annual Metering Charges'!E13:E15)</f>
        <v>13.354536012858073</v>
      </c>
      <c r="D4" s="415">
        <f t="shared" ref="D4:F5" si="3">C4*(1-O$4)*(1+O$3)</f>
        <v>13.97948997495285</v>
      </c>
      <c r="E4" s="415">
        <f t="shared" si="3"/>
        <v>14.633689989052874</v>
      </c>
      <c r="F4" s="415">
        <f t="shared" si="3"/>
        <v>15.31850468646504</v>
      </c>
      <c r="H4" s="408">
        <f>B4*H3/10^6</f>
        <v>10.731902046331999</v>
      </c>
      <c r="I4" s="408">
        <f>C4*I3/10^6</f>
        <v>11.384908046017646</v>
      </c>
      <c r="J4" s="408">
        <f>D4*J3/10^6</f>
        <v>12.053738423883285</v>
      </c>
      <c r="K4" s="408">
        <f>E4*K3/10^6</f>
        <v>12.770286031465195</v>
      </c>
      <c r="L4" s="408">
        <f>F4*L3/10^6</f>
        <v>13.550701018263821</v>
      </c>
      <c r="N4" t="s">
        <v>857</v>
      </c>
      <c r="O4" s="417">
        <v>-2.2462522284969384E-2</v>
      </c>
      <c r="P4" s="418">
        <f>O4</f>
        <v>-2.2462522284969384E-2</v>
      </c>
      <c r="Q4" s="418">
        <f>P4</f>
        <v>-2.2462522284969384E-2</v>
      </c>
    </row>
    <row r="5" spans="1:17">
      <c r="A5" s="405" t="s">
        <v>855</v>
      </c>
      <c r="B5" s="407">
        <f>SUM('Annual Metering Charges'!D16:D17)</f>
        <v>1.2214719195700983</v>
      </c>
      <c r="C5" s="407">
        <f>SUM('Annual Metering Charges'!E16:E17)</f>
        <v>1.4507117972110177</v>
      </c>
      <c r="D5" s="415">
        <f t="shared" si="3"/>
        <v>1.51860094623512</v>
      </c>
      <c r="E5" s="415">
        <f t="shared" si="3"/>
        <v>1.5896671126131015</v>
      </c>
      <c r="F5" s="415">
        <f t="shared" si="3"/>
        <v>1.664058971640086</v>
      </c>
      <c r="H5" s="408">
        <f>B5*H3/10^6</f>
        <v>1.0291843512196306</v>
      </c>
      <c r="I5" s="408">
        <f>C5*I3/10^6</f>
        <v>1.2367498501346821</v>
      </c>
      <c r="J5" s="408">
        <f>D5*J3/10^6</f>
        <v>1.3094053222954951</v>
      </c>
      <c r="K5" s="408">
        <f>E5*K3/10^6</f>
        <v>1.3872443476709591</v>
      </c>
      <c r="L5" s="408">
        <f>F5*L3/10^6</f>
        <v>1.4720213273413107</v>
      </c>
      <c r="N5" t="str">
        <f>'Calculation Variables'!B14</f>
        <v>Nominal WACC</v>
      </c>
      <c r="O5" s="414">
        <f>'Calculation Variables'!K14</f>
        <v>6.6797709422110288E-2</v>
      </c>
      <c r="P5" s="414">
        <f>'Calculation Variables'!L14</f>
        <v>6.6797709422110288E-2</v>
      </c>
      <c r="Q5" s="414">
        <f>'Calculation Variables'!M14</f>
        <v>6.6797709422110288E-2</v>
      </c>
    </row>
    <row r="6" spans="1:17">
      <c r="A6" s="405"/>
      <c r="B6" s="407"/>
      <c r="C6" s="407"/>
      <c r="D6" s="415"/>
      <c r="E6" s="415"/>
      <c r="F6" s="415"/>
    </row>
    <row r="7" spans="1:17">
      <c r="A7" s="201" t="s">
        <v>269</v>
      </c>
      <c r="B7" s="407"/>
      <c r="C7" s="407"/>
      <c r="D7" s="415"/>
      <c r="E7" s="415"/>
      <c r="F7" s="415"/>
      <c r="H7" s="108">
        <f>'Pricing Calc (Per Service)'!D$21</f>
        <v>13.581642453460056</v>
      </c>
      <c r="I7" s="108">
        <f>'Pricing Calc (Per Service)'!E$21</f>
        <v>7.2049683208886748</v>
      </c>
      <c r="J7" s="108">
        <f>'Pricing Calc (Per Service)'!F$21</f>
        <v>7.2872184340018098</v>
      </c>
      <c r="K7" s="108">
        <f>'Pricing Calc (Per Service)'!G$21</f>
        <v>7.3752734376908302</v>
      </c>
      <c r="L7" s="108">
        <f>'Pricing Calc (Per Service)'!H$21</f>
        <v>7.4761282228266204</v>
      </c>
    </row>
    <row r="8" spans="1:17">
      <c r="A8" s="405" t="s">
        <v>854</v>
      </c>
      <c r="B8" s="407">
        <f>SUM('Annual Metering Charges'!D19:D21)</f>
        <v>27.684850691924197</v>
      </c>
      <c r="C8" s="407">
        <f>SUM('Annual Metering Charges'!E19:E21)</f>
        <v>29.123423913017746</v>
      </c>
      <c r="D8" s="415">
        <f t="shared" ref="D8:F9" si="4">C8*(1-O$4)*(1+O$3)</f>
        <v>30.486316577104471</v>
      </c>
      <c r="E8" s="415">
        <f t="shared" si="4"/>
        <v>31.912988706798298</v>
      </c>
      <c r="F8" s="415">
        <f t="shared" si="4"/>
        <v>33.40642499806269</v>
      </c>
      <c r="H8" s="408">
        <f>B8*H7/10^6</f>
        <v>3.7600574347514067E-4</v>
      </c>
      <c r="I8" s="408">
        <f>C8*I7/10^6</f>
        <v>2.0983334668910457E-4</v>
      </c>
      <c r="J8" s="408">
        <f>D8*J7/10^6</f>
        <v>2.2216044814549066E-4</v>
      </c>
      <c r="K8" s="408">
        <f>E8*K7/10^6</f>
        <v>2.3536701792657691E-4</v>
      </c>
      <c r="L8" s="408">
        <f>F8*L7/10^6</f>
        <v>2.497507167517572E-4</v>
      </c>
    </row>
    <row r="9" spans="1:17">
      <c r="A9" s="405" t="s">
        <v>855</v>
      </c>
      <c r="B9" s="407">
        <f>SUM('Annual Metering Charges'!D22:D23)</f>
        <v>1.2214719195700985</v>
      </c>
      <c r="C9" s="407">
        <f>SUM('Annual Metering Charges'!E22:E23)</f>
        <v>1.4507117972110175</v>
      </c>
      <c r="D9" s="415">
        <f t="shared" si="4"/>
        <v>1.5186009462351198</v>
      </c>
      <c r="E9" s="415">
        <f t="shared" si="4"/>
        <v>1.5896671126131012</v>
      </c>
      <c r="F9" s="415">
        <f t="shared" si="4"/>
        <v>1.6640589716400855</v>
      </c>
      <c r="H9" s="408">
        <f>B9*H7/10^6</f>
        <v>1.6589594878542595E-5</v>
      </c>
      <c r="I9" s="408">
        <f>C9*I7/10^6</f>
        <v>1.0452332541644856E-5</v>
      </c>
      <c r="J9" s="408">
        <f>D9*J7/10^6</f>
        <v>1.1066376809297156E-5</v>
      </c>
      <c r="K9" s="408">
        <f>E9*K7/10^6</f>
        <v>1.1724229630426083E-5</v>
      </c>
      <c r="L9" s="408">
        <f>F9*L7/10^6</f>
        <v>1.2440718242326286E-5</v>
      </c>
    </row>
    <row r="10" spans="1:17">
      <c r="A10" s="201"/>
      <c r="D10" s="416"/>
      <c r="E10" s="416"/>
      <c r="F10" s="416"/>
    </row>
    <row r="11" spans="1:17">
      <c r="A11" s="201" t="s">
        <v>272</v>
      </c>
      <c r="D11" s="416"/>
      <c r="E11" s="416"/>
      <c r="F11" s="416"/>
      <c r="H11" s="108">
        <f>'Pricing Calc (Per Service)'!D$22</f>
        <v>1</v>
      </c>
      <c r="I11" s="108">
        <f>'Pricing Calc (Per Service)'!E$22</f>
        <v>1</v>
      </c>
      <c r="J11" s="108">
        <f>'Pricing Calc (Per Service)'!F$22</f>
        <v>1</v>
      </c>
      <c r="K11" s="108">
        <f>'Pricing Calc (Per Service)'!G$22</f>
        <v>1</v>
      </c>
      <c r="L11" s="108">
        <f>'Pricing Calc (Per Service)'!H$22</f>
        <v>1</v>
      </c>
    </row>
    <row r="12" spans="1:17">
      <c r="A12" s="405" t="s">
        <v>854</v>
      </c>
      <c r="B12" s="407">
        <f>SUM('Annual Metering Charges'!D25:D27)</f>
        <v>116.59171951461293</v>
      </c>
      <c r="C12" s="407">
        <f>SUM('Annual Metering Charges'!E25:E27)</f>
        <v>122.1096573463924</v>
      </c>
      <c r="D12" s="415">
        <f t="shared" ref="D12:F13" si="5">C12*(1-O$4)*(1+O$3)</f>
        <v>127.82403889399448</v>
      </c>
      <c r="E12" s="415">
        <f t="shared" si="5"/>
        <v>133.80583709955135</v>
      </c>
      <c r="F12" s="415">
        <f t="shared" si="5"/>
        <v>140.06756629525378</v>
      </c>
      <c r="H12" s="408">
        <f>B12*H11/10^6</f>
        <v>1.1659171951461294E-4</v>
      </c>
      <c r="I12" s="408">
        <f>C12*I11/10^6</f>
        <v>1.221096573463924E-4</v>
      </c>
      <c r="J12" s="408">
        <f>D12*J11/10^6</f>
        <v>1.2782403889399449E-4</v>
      </c>
      <c r="K12" s="408">
        <f>E12*K11/10^6</f>
        <v>1.3380583709955135E-4</v>
      </c>
      <c r="L12" s="408">
        <f>F12*L11/10^6</f>
        <v>1.4006756629525379E-4</v>
      </c>
    </row>
    <row r="13" spans="1:17">
      <c r="A13" s="405" t="s">
        <v>855</v>
      </c>
      <c r="B13" s="407">
        <f>SUM('Annual Metering Charges'!D34:D35)</f>
        <v>1.2214719195700983</v>
      </c>
      <c r="C13" s="407">
        <f>SUM('Annual Metering Charges'!E34:E35)</f>
        <v>1.4507117972110177</v>
      </c>
      <c r="D13" s="415">
        <f t="shared" si="5"/>
        <v>1.51860094623512</v>
      </c>
      <c r="E13" s="415">
        <f t="shared" si="5"/>
        <v>1.5896671126131015</v>
      </c>
      <c r="F13" s="415">
        <f t="shared" si="5"/>
        <v>1.664058971640086</v>
      </c>
      <c r="H13" s="408">
        <f>B13*H11/10^6</f>
        <v>1.2214719195700982E-6</v>
      </c>
      <c r="I13" s="408">
        <f>C13*I11/10^6</f>
        <v>1.4507117972110178E-6</v>
      </c>
      <c r="J13" s="408">
        <f>D13*J11/10^6</f>
        <v>1.51860094623512E-6</v>
      </c>
      <c r="K13" s="408">
        <f>E13*K11/10^6</f>
        <v>1.5896671126131014E-6</v>
      </c>
      <c r="L13" s="408">
        <f>F13*L11/10^6</f>
        <v>1.6640589716400861E-6</v>
      </c>
    </row>
    <row r="14" spans="1:17">
      <c r="A14" s="201"/>
      <c r="B14" s="407"/>
      <c r="C14" s="407"/>
      <c r="D14" s="415"/>
      <c r="E14" s="415"/>
      <c r="F14" s="415"/>
    </row>
    <row r="15" spans="1:17">
      <c r="A15" s="201" t="s">
        <v>170</v>
      </c>
      <c r="B15" s="407"/>
      <c r="C15" s="407"/>
      <c r="D15" s="415"/>
      <c r="E15" s="415"/>
      <c r="F15" s="415"/>
      <c r="H15" s="108">
        <f>'Pricing Calc (Per Service)'!D$23</f>
        <v>77917.790896148726</v>
      </c>
      <c r="I15" s="108">
        <f>'Pricing Calc (Per Service)'!E$23</f>
        <v>79321.996735611523</v>
      </c>
      <c r="J15" s="108">
        <f>'Pricing Calc (Per Service)'!F$23</f>
        <v>81120.460148634622</v>
      </c>
      <c r="K15" s="108">
        <f>'Pricing Calc (Per Service)'!G$23</f>
        <v>82861.275914869067</v>
      </c>
      <c r="L15" s="108">
        <f>'Pricing Calc (Per Service)'!H$23</f>
        <v>84780.202777770668</v>
      </c>
    </row>
    <row r="16" spans="1:17">
      <c r="A16" s="405" t="s">
        <v>854</v>
      </c>
      <c r="B16" s="407">
        <f>SUM('Annual Metering Charges'!D31:D33)</f>
        <v>19.203026436820828</v>
      </c>
      <c r="C16" s="407">
        <f>SUM('Annual Metering Charges'!E31:E33)</f>
        <v>20.235190765235032</v>
      </c>
      <c r="D16" s="415">
        <f t="shared" ref="D16:F17" si="6">C16*(1-O$4)*(1+O$3)</f>
        <v>21.182139624431738</v>
      </c>
      <c r="E16" s="415">
        <f t="shared" si="6"/>
        <v>22.173402972794246</v>
      </c>
      <c r="F16" s="415">
        <f t="shared" si="6"/>
        <v>23.211054601246907</v>
      </c>
      <c r="H16" s="408">
        <f>B16*H15/10^6</f>
        <v>1.4962573984774212</v>
      </c>
      <c r="I16" s="408">
        <f>C16*I15/10^6</f>
        <v>1.6050957358244498</v>
      </c>
      <c r="J16" s="408">
        <f>D16*J15/10^6</f>
        <v>1.7183049132665291</v>
      </c>
      <c r="K16" s="408">
        <f>E16*K15/10^6</f>
        <v>1.837316461700282</v>
      </c>
      <c r="L16" s="408">
        <f>F16*L15/10^6</f>
        <v>1.9678379157796198</v>
      </c>
    </row>
    <row r="17" spans="1:12">
      <c r="A17" s="405" t="s">
        <v>855</v>
      </c>
      <c r="B17" s="407">
        <f>SUM('Annual Metering Charges'!D34:D35)</f>
        <v>1.2214719195700983</v>
      </c>
      <c r="C17" s="407">
        <f>SUM('Annual Metering Charges'!E34:E35)</f>
        <v>1.4507117972110177</v>
      </c>
      <c r="D17" s="415">
        <f t="shared" si="6"/>
        <v>1.51860094623512</v>
      </c>
      <c r="E17" s="415">
        <f t="shared" si="6"/>
        <v>1.5896671126131015</v>
      </c>
      <c r="F17" s="415">
        <f t="shared" si="6"/>
        <v>1.664058971640086</v>
      </c>
      <c r="H17" s="408">
        <f>B17*H15/10^6</f>
        <v>9.5174393614580313E-2</v>
      </c>
      <c r="I17" s="408">
        <f>C17*I15/10^6</f>
        <v>0.11507335644268547</v>
      </c>
      <c r="J17" s="408">
        <f>D17*J15/10^6</f>
        <v>0.12318960754074489</v>
      </c>
      <c r="K17" s="408">
        <f>E17*K15/10^6</f>
        <v>0.13172184523102742</v>
      </c>
      <c r="L17" s="408">
        <f>F17*L15/10^6</f>
        <v>0.14107925704981503</v>
      </c>
    </row>
    <row r="18" spans="1:12">
      <c r="A18" s="201"/>
      <c r="B18" s="407"/>
      <c r="C18" s="407"/>
      <c r="D18" s="415"/>
      <c r="E18" s="415"/>
      <c r="F18" s="415"/>
    </row>
    <row r="19" spans="1:12">
      <c r="A19" s="201" t="s">
        <v>270</v>
      </c>
      <c r="D19" s="416"/>
      <c r="E19" s="416"/>
      <c r="F19" s="416"/>
      <c r="H19" s="108">
        <f>'Pricing Calc (Per Service)'!D$24</f>
        <v>1630.5185325527705</v>
      </c>
      <c r="I19" s="108">
        <f>'Pricing Calc (Per Service)'!E$24</f>
        <v>1561.2354265661047</v>
      </c>
      <c r="J19" s="108">
        <f>'Pricing Calc (Per Service)'!F$24</f>
        <v>1596.6332343539418</v>
      </c>
      <c r="K19" s="108">
        <f>'Pricing Calc (Per Service)'!G$24</f>
        <v>1630.8964067048448</v>
      </c>
      <c r="L19" s="108">
        <f>'Pricing Calc (Per Service)'!H$24</f>
        <v>1668.6652063145796</v>
      </c>
    </row>
    <row r="20" spans="1:12">
      <c r="A20" s="405" t="s">
        <v>854</v>
      </c>
      <c r="B20" s="407">
        <f>SUM('Annual Metering Charges'!D37:D39)</f>
        <v>47.082941919531606</v>
      </c>
      <c r="C20" s="407">
        <f>SUM('Annual Metering Charges'!E37:E39)</f>
        <v>49.765388170148626</v>
      </c>
      <c r="D20" s="415">
        <f t="shared" ref="D20:F21" si="7">C20*(1-O$4)*(1+O$3)</f>
        <v>52.09426552554114</v>
      </c>
      <c r="E20" s="415">
        <f t="shared" si="7"/>
        <v>54.532127658022432</v>
      </c>
      <c r="F20" s="415">
        <f t="shared" si="7"/>
        <v>57.084074742408305</v>
      </c>
      <c r="H20" s="408">
        <f>B20*H19/10^6</f>
        <v>7.6769609366901984E-2</v>
      </c>
      <c r="I20" s="408">
        <f>C20*I19/10^6</f>
        <v>7.7695487028049764E-2</v>
      </c>
      <c r="J20" s="408">
        <f>D20*J19/10^6</f>
        <v>8.3175435657337801E-2</v>
      </c>
      <c r="K20" s="408">
        <f>E20*K19/10^6</f>
        <v>8.8936251047438672E-2</v>
      </c>
      <c r="L20" s="408">
        <f>F20*L19/10^6</f>
        <v>9.525420935731764E-2</v>
      </c>
    </row>
    <row r="21" spans="1:12">
      <c r="A21" s="405" t="s">
        <v>855</v>
      </c>
      <c r="B21" s="407">
        <f>SUM('Annual Metering Charges'!D40:D41)</f>
        <v>1.2214719195700985</v>
      </c>
      <c r="C21" s="407">
        <f>SUM('Annual Metering Charges'!E40:E41)</f>
        <v>1.4507117972110177</v>
      </c>
      <c r="D21" s="415">
        <f t="shared" si="7"/>
        <v>1.51860094623512</v>
      </c>
      <c r="E21" s="415">
        <f t="shared" si="7"/>
        <v>1.5896671126131015</v>
      </c>
      <c r="F21" s="415">
        <f t="shared" si="7"/>
        <v>1.664058971640086</v>
      </c>
      <c r="H21" s="408">
        <f>B21*H19/10^6</f>
        <v>1.9916326018518528E-3</v>
      </c>
      <c r="I21" s="408">
        <f>C21*I19/10^6</f>
        <v>2.2649026515432239E-3</v>
      </c>
      <c r="J21" s="408">
        <f>D21*J19/10^6</f>
        <v>2.4246487404803361E-3</v>
      </c>
      <c r="K21" s="408">
        <f>E21*K19/10^6</f>
        <v>2.5925823818175732E-3</v>
      </c>
      <c r="L21" s="408">
        <f>F21*L19/10^6</f>
        <v>2.7767573072314312E-3</v>
      </c>
    </row>
    <row r="22" spans="1:12">
      <c r="A22" s="201"/>
      <c r="D22" s="416"/>
      <c r="E22" s="416"/>
      <c r="F22" s="416"/>
    </row>
    <row r="23" spans="1:12">
      <c r="A23" s="201" t="s">
        <v>271</v>
      </c>
      <c r="D23" s="416"/>
      <c r="E23" s="416"/>
      <c r="F23" s="416"/>
      <c r="H23" s="108">
        <f>'Pricing Calc (Per Service)'!D$25</f>
        <v>373.61288105599544</v>
      </c>
      <c r="I23" s="108">
        <f>'Pricing Calc (Per Service)'!E$25</f>
        <v>380.90977285028509</v>
      </c>
      <c r="J23" s="108">
        <f>'Pricing Calc (Per Service)'!F$25</f>
        <v>389.5461198703623</v>
      </c>
      <c r="K23" s="108">
        <f>'Pricing Calc (Per Service)'!G$25</f>
        <v>397.90563886104923</v>
      </c>
      <c r="L23" s="108">
        <f>'Pricing Calc (Per Service)'!H$25</f>
        <v>407.1204597877142</v>
      </c>
    </row>
    <row r="24" spans="1:12">
      <c r="A24" s="405" t="s">
        <v>854</v>
      </c>
      <c r="B24" s="407">
        <f>SUM('Annual Metering Charges'!D43:D45)</f>
        <v>135.98981074222033</v>
      </c>
      <c r="C24" s="407">
        <f>SUM('Annual Metering Charges'!E43:E45)</f>
        <v>142.75162160352326</v>
      </c>
      <c r="D24" s="415">
        <f t="shared" ref="D24:F25" si="8">C24*(1-O$4)*(1+O$3)</f>
        <v>149.43198784243111</v>
      </c>
      <c r="E24" s="415">
        <f t="shared" si="8"/>
        <v>156.42497605077543</v>
      </c>
      <c r="F24" s="415">
        <f t="shared" si="8"/>
        <v>163.74521603959934</v>
      </c>
      <c r="H24" s="408">
        <f>B24*H23/10^6</f>
        <v>5.0807544985660501E-2</v>
      </c>
      <c r="I24" s="408">
        <f>C24*I23/10^6</f>
        <v>5.4375487759007898E-2</v>
      </c>
      <c r="J24" s="408">
        <f>D24*J23/10^6</f>
        <v>5.8210651048534193E-2</v>
      </c>
      <c r="K24" s="408">
        <f>E24*K23/10^6</f>
        <v>6.2242380029308125E-2</v>
      </c>
      <c r="L24" s="408">
        <f>F24*L23/10^6</f>
        <v>6.6664027642080279E-2</v>
      </c>
    </row>
    <row r="25" spans="1:12">
      <c r="A25" s="405" t="s">
        <v>855</v>
      </c>
      <c r="B25" s="407">
        <f>SUM('Annual Metering Charges'!D52:D53)</f>
        <v>1.2214719195700983</v>
      </c>
      <c r="C25" s="407">
        <f>SUM('Annual Metering Charges'!E52:E53)</f>
        <v>1.4507117972110177</v>
      </c>
      <c r="D25" s="415">
        <f t="shared" si="8"/>
        <v>1.51860094623512</v>
      </c>
      <c r="E25" s="415">
        <f t="shared" si="8"/>
        <v>1.5896671126131015</v>
      </c>
      <c r="F25" s="415">
        <f t="shared" si="8"/>
        <v>1.664058971640086</v>
      </c>
      <c r="H25" s="408">
        <f>B25*H23/10^6</f>
        <v>4.5635764299958159E-4</v>
      </c>
      <c r="I25" s="408">
        <f>C25*I23/10^6</f>
        <v>5.5259030114687766E-4</v>
      </c>
      <c r="J25" s="408">
        <f>D25*J23/10^6</f>
        <v>5.9156510623735166E-4</v>
      </c>
      <c r="K25" s="408">
        <f>E25*K23/10^6</f>
        <v>6.3253750802071552E-4</v>
      </c>
      <c r="L25" s="408">
        <f>F25*L23/10^6</f>
        <v>6.7747245364798271E-4</v>
      </c>
    </row>
    <row r="26" spans="1:12">
      <c r="A26" s="201"/>
      <c r="D26" s="416"/>
      <c r="E26" s="416"/>
      <c r="F26" s="416"/>
    </row>
    <row r="27" spans="1:12">
      <c r="A27" s="201" t="s">
        <v>105</v>
      </c>
      <c r="D27" s="416"/>
      <c r="E27" s="416"/>
      <c r="F27" s="416"/>
      <c r="H27" s="108">
        <f>'Pricing Calc (Per Service)'!D$26</f>
        <v>351006.78141432191</v>
      </c>
      <c r="I27" s="108">
        <f>'Pricing Calc (Per Service)'!E$26</f>
        <v>343402.71864170098</v>
      </c>
      <c r="J27" s="108">
        <f>'Pricing Calc (Per Service)'!F$26</f>
        <v>337293.87741479604</v>
      </c>
      <c r="K27" s="108">
        <f>'Pricing Calc (Per Service)'!G$26</f>
        <v>330667.96397234476</v>
      </c>
      <c r="L27" s="108">
        <f>'Pricing Calc (Per Service)'!H$26</f>
        <v>323418.80570423586</v>
      </c>
    </row>
    <row r="28" spans="1:12">
      <c r="A28" s="405" t="s">
        <v>854</v>
      </c>
      <c r="B28" s="407">
        <f>SUM('Annual Metering Charges'!D49:D51)</f>
        <v>3.2135087255225767</v>
      </c>
      <c r="C28" s="407">
        <f>SUM('Annual Metering Charges'!E49:E51)</f>
        <v>3.399650026998895</v>
      </c>
      <c r="D28" s="415">
        <f t="shared" ref="D28:F29" si="9">C28*(1-O$4)*(1+O$3)</f>
        <v>3.5587438923389514</v>
      </c>
      <c r="E28" s="415">
        <f t="shared" si="9"/>
        <v>3.7252828940276994</v>
      </c>
      <c r="F28" s="415">
        <f t="shared" si="9"/>
        <v>3.8996154430810646</v>
      </c>
      <c r="H28" s="408">
        <f>B28*H27/10^6</f>
        <v>1.1279633547925192</v>
      </c>
      <c r="I28" s="408">
        <f>C28*I27/10^6</f>
        <v>1.1674490617017528</v>
      </c>
      <c r="J28" s="408">
        <f>D28*J27/10^6</f>
        <v>1.2003425261732283</v>
      </c>
      <c r="K28" s="408">
        <f>E28*K27/10^6</f>
        <v>1.2318317097891436</v>
      </c>
      <c r="L28" s="408">
        <f>F28*L27/10^6</f>
        <v>1.2612089693070725</v>
      </c>
    </row>
    <row r="29" spans="1:12">
      <c r="A29" s="405" t="s">
        <v>855</v>
      </c>
      <c r="B29" s="407">
        <f>SUM('Annual Metering Charges'!D52:D53)</f>
        <v>1.2214719195700983</v>
      </c>
      <c r="C29" s="407">
        <f>SUM('Annual Metering Charges'!E52:E53)</f>
        <v>1.4507117972110177</v>
      </c>
      <c r="D29" s="415">
        <f t="shared" si="9"/>
        <v>1.51860094623512</v>
      </c>
      <c r="E29" s="415">
        <f t="shared" si="9"/>
        <v>1.5896671126131015</v>
      </c>
      <c r="F29" s="415">
        <f t="shared" si="9"/>
        <v>1.664058971640086</v>
      </c>
      <c r="H29" s="408">
        <f>B29*H27/10^6</f>
        <v>0.42874492707627365</v>
      </c>
      <c r="I29" s="408">
        <f>C29*I27/10^6</f>
        <v>0.49817837512785151</v>
      </c>
      <c r="J29" s="408">
        <f>D29*J27/10^6</f>
        <v>0.51221480140142184</v>
      </c>
      <c r="K29" s="408">
        <f>E29*K27/10^6</f>
        <v>0.52565198752157039</v>
      </c>
      <c r="L29" s="408">
        <f>F29*L27/10^6</f>
        <v>0.53818796522925549</v>
      </c>
    </row>
    <row r="30" spans="1:12">
      <c r="A30" s="201"/>
      <c r="B30" s="407"/>
      <c r="C30" s="407"/>
      <c r="D30" s="415"/>
      <c r="E30" s="415"/>
      <c r="F30" s="415"/>
    </row>
    <row r="31" spans="1:12">
      <c r="A31" s="201" t="s">
        <v>173</v>
      </c>
      <c r="B31" s="407"/>
      <c r="C31" s="407"/>
      <c r="D31" s="415"/>
      <c r="E31" s="415"/>
      <c r="F31" s="415"/>
      <c r="H31" s="108">
        <f>'Pricing Calc (Per Service)'!D$27</f>
        <v>82231.116166959691</v>
      </c>
      <c r="I31" s="108">
        <f>'Pricing Calc (Per Service)'!E$27</f>
        <v>83975.533711402357</v>
      </c>
      <c r="J31" s="108">
        <f>'Pricing Calc (Per Service)'!F$27</f>
        <v>88358.885249638333</v>
      </c>
      <c r="K31" s="108">
        <f>'Pricing Calc (Per Service)'!G$27</f>
        <v>92754.07800308842</v>
      </c>
      <c r="L31" s="108">
        <f>'Pricing Calc (Per Service)'!H$27</f>
        <v>97177.198020747775</v>
      </c>
    </row>
    <row r="32" spans="1:12">
      <c r="A32" s="406" t="s">
        <v>854</v>
      </c>
      <c r="B32" s="407">
        <f>SUM('Annual Metering Charges'!D55:D57)</f>
        <v>3.2135087255225767</v>
      </c>
      <c r="C32" s="407">
        <f>SUM('Annual Metering Charges'!E55:E57)</f>
        <v>3.3996500269988954</v>
      </c>
      <c r="D32" s="415">
        <f t="shared" ref="D32:F33" si="10">C32*(1-O$4)*(1+O$3)</f>
        <v>3.5587438923389518</v>
      </c>
      <c r="E32" s="415">
        <f t="shared" si="10"/>
        <v>3.7252828940276999</v>
      </c>
      <c r="F32" s="415">
        <f t="shared" si="10"/>
        <v>3.899615443081065</v>
      </c>
      <c r="H32" s="408">
        <f>B32*H31/10^6</f>
        <v>0.26425040931198562</v>
      </c>
      <c r="I32" s="408">
        <f>C32*I31/10^6</f>
        <v>0.28548742544921568</v>
      </c>
      <c r="J32" s="408">
        <f>D32*J31/10^6</f>
        <v>0.31444664321602872</v>
      </c>
      <c r="K32" s="408">
        <f>E32*K31/10^6</f>
        <v>0.3455351801362162</v>
      </c>
      <c r="L32" s="408">
        <f>F32*L31/10^6</f>
        <v>0.3789537021170547</v>
      </c>
    </row>
    <row r="33" spans="1:17">
      <c r="A33" s="406" t="s">
        <v>855</v>
      </c>
      <c r="B33" s="407">
        <f>SUM('Annual Metering Charges'!D58:D59)</f>
        <v>1.2214719195700983</v>
      </c>
      <c r="C33" s="407">
        <f>SUM('Annual Metering Charges'!E58:E59)</f>
        <v>1.4507117972110175</v>
      </c>
      <c r="D33" s="415">
        <f t="shared" si="10"/>
        <v>1.5186009462351198</v>
      </c>
      <c r="E33" s="415">
        <f t="shared" si="10"/>
        <v>1.5896671126131012</v>
      </c>
      <c r="F33" s="415">
        <f t="shared" si="10"/>
        <v>1.6640589716400855</v>
      </c>
      <c r="H33" s="408">
        <f>B33*H31/10^6</f>
        <v>0.100442999312848</v>
      </c>
      <c r="I33" s="408">
        <f>C33*I31/10^6</f>
        <v>0.12182429743222289</v>
      </c>
      <c r="J33" s="408">
        <f>D33*J31/10^6</f>
        <v>0.13418188674838114</v>
      </c>
      <c r="K33" s="408">
        <f>E33*K31/10^6</f>
        <v>0.14744810736225994</v>
      </c>
      <c r="L33" s="408">
        <f>F33*L31/10^6</f>
        <v>0.16170858820527051</v>
      </c>
    </row>
    <row r="35" spans="1:17">
      <c r="A35" s="201" t="s">
        <v>22</v>
      </c>
    </row>
    <row r="36" spans="1:17">
      <c r="A36" s="201" t="str">
        <f>'Pricing Calc (Per Service)'!B18</f>
        <v>1a. Forecast Customer Numbers by Service Category</v>
      </c>
      <c r="H36" s="410">
        <f>SUM(H3,H7,H11,H15,H19,H23,H27,H31)</f>
        <v>1355751.5698910395</v>
      </c>
      <c r="I36" s="410">
        <f t="shared" ref="I36:L38" si="11">SUM(I3,I7,I11,I15,I19,I23,I27,I31)</f>
        <v>1361163.0366077747</v>
      </c>
      <c r="J36" s="410">
        <f t="shared" si="11"/>
        <v>1371012.1951209188</v>
      </c>
      <c r="K36" s="410">
        <f t="shared" si="11"/>
        <v>1380983.9205667072</v>
      </c>
      <c r="L36" s="410">
        <f t="shared" si="11"/>
        <v>1392057.3199882763</v>
      </c>
    </row>
    <row r="37" spans="1:17">
      <c r="A37" s="409" t="str">
        <f>A32</f>
        <v>non-capital</v>
      </c>
      <c r="H37" s="408">
        <f>SUM(H4,H8,H12,H16,H20,H24,H28,H32)</f>
        <v>13.748442960729479</v>
      </c>
      <c r="I37" s="408">
        <f t="shared" si="11"/>
        <v>14.575343186784156</v>
      </c>
      <c r="J37" s="408">
        <f t="shared" si="11"/>
        <v>15.428568577731983</v>
      </c>
      <c r="K37" s="408">
        <f t="shared" si="11"/>
        <v>16.336517187022611</v>
      </c>
      <c r="L37" s="408">
        <f t="shared" si="11"/>
        <v>17.321009660750015</v>
      </c>
    </row>
    <row r="38" spans="1:17">
      <c r="A38" s="409" t="str">
        <f>A33</f>
        <v>capital</v>
      </c>
      <c r="G38" s="422" t="s">
        <v>840</v>
      </c>
      <c r="H38" s="408">
        <f>SUM(H5,H9,H13,H17,H21,H25,H29,H33)</f>
        <v>1.6560124725349821</v>
      </c>
      <c r="I38" s="408">
        <f t="shared" si="11"/>
        <v>1.974655275134471</v>
      </c>
      <c r="J38" s="408">
        <f t="shared" si="11"/>
        <v>2.0820204168105163</v>
      </c>
      <c r="K38" s="408">
        <f t="shared" si="11"/>
        <v>2.195304721572398</v>
      </c>
      <c r="L38" s="408">
        <f t="shared" si="11"/>
        <v>2.3164654723637454</v>
      </c>
    </row>
    <row r="39" spans="1:17">
      <c r="D39" s="425"/>
      <c r="E39" s="426"/>
      <c r="F39" s="427" t="s">
        <v>860</v>
      </c>
      <c r="G39" s="420">
        <f>NPV($O$5,H39:L39)</f>
        <v>71.926206847948876</v>
      </c>
      <c r="H39" s="419">
        <f>SUM(H37:H38)</f>
        <v>15.404455433264461</v>
      </c>
      <c r="I39" s="419">
        <f t="shared" ref="I39:L39" si="12">SUM(I37:I38)</f>
        <v>16.549998461918626</v>
      </c>
      <c r="J39" s="419">
        <f t="shared" si="12"/>
        <v>17.510588994542498</v>
      </c>
      <c r="K39" s="419">
        <f t="shared" si="12"/>
        <v>18.53182190859501</v>
      </c>
      <c r="L39" s="419">
        <f t="shared" si="12"/>
        <v>19.63747513311376</v>
      </c>
    </row>
    <row r="40" spans="1:17">
      <c r="A40" s="409"/>
      <c r="G40" s="423"/>
      <c r="H40" s="408"/>
      <c r="I40" s="408"/>
      <c r="J40" s="408"/>
      <c r="K40" s="408"/>
      <c r="L40" s="408"/>
    </row>
    <row r="41" spans="1:17">
      <c r="D41" s="425"/>
      <c r="E41" s="426"/>
      <c r="F41" s="427" t="s">
        <v>861</v>
      </c>
      <c r="G41" s="420">
        <f>NPV($O$5,H41:L41)</f>
        <v>71.926206847948848</v>
      </c>
      <c r="H41" s="419">
        <f>SUM('AER Unsmoothed Charges'!H37:H38)</f>
        <v>15.404455433264461</v>
      </c>
      <c r="I41" s="419">
        <f>SUM('AER Unsmoothed Charges'!I37:I38)</f>
        <v>16.549998461918626</v>
      </c>
      <c r="J41" s="419">
        <f>SUM('AER Unsmoothed Charges'!J37:J38)</f>
        <v>17.372767089768054</v>
      </c>
      <c r="K41" s="419">
        <f>SUM('AER Unsmoothed Charges'!K37:K38)</f>
        <v>18.494335348451337</v>
      </c>
      <c r="L41" s="419">
        <f>SUM('AER Unsmoothed Charges'!L37:L38)</f>
        <v>19.834314941718446</v>
      </c>
    </row>
    <row r="42" spans="1:17">
      <c r="A42" s="409"/>
      <c r="G42" s="423"/>
      <c r="H42" s="408"/>
      <c r="I42" s="408"/>
      <c r="J42" s="408"/>
      <c r="K42" s="408"/>
      <c r="L42" s="408"/>
    </row>
    <row r="43" spans="1:17">
      <c r="A43" s="409"/>
      <c r="D43" s="425"/>
      <c r="E43" s="426"/>
      <c r="F43" s="428" t="s">
        <v>862</v>
      </c>
      <c r="G43" s="421">
        <f>G39-G41</f>
        <v>0</v>
      </c>
      <c r="I43" s="408"/>
      <c r="J43" s="408"/>
      <c r="L43" s="424">
        <f>L39/L41-1</f>
        <v>-9.9242050548801197E-3</v>
      </c>
      <c r="M43" s="429" t="s">
        <v>863</v>
      </c>
      <c r="N43" s="426"/>
      <c r="O43" s="426"/>
      <c r="P43" s="426"/>
      <c r="Q43" s="430"/>
    </row>
    <row r="44" spans="1:17">
      <c r="A44" s="409"/>
      <c r="H44" s="408"/>
      <c r="I44" s="408"/>
      <c r="J44" s="408"/>
      <c r="K44" s="408"/>
      <c r="L44" s="408"/>
    </row>
    <row r="45" spans="1:17">
      <c r="A45" s="409"/>
      <c r="H45" s="408"/>
      <c r="I45" s="408"/>
      <c r="J45" s="408"/>
      <c r="K45" s="408"/>
      <c r="L45" s="408"/>
    </row>
    <row r="46" spans="1:17">
      <c r="A46" s="409" t="s">
        <v>875</v>
      </c>
      <c r="H46" s="408"/>
      <c r="I46" s="408"/>
      <c r="J46" s="408"/>
      <c r="K46" s="408"/>
      <c r="L46" s="408"/>
    </row>
    <row r="47" spans="1:17">
      <c r="A47" s="434" t="s">
        <v>864</v>
      </c>
      <c r="B47" s="435" t="s">
        <v>865</v>
      </c>
      <c r="C47" s="435" t="s">
        <v>43</v>
      </c>
      <c r="D47" s="435" t="s">
        <v>44</v>
      </c>
      <c r="E47" s="435" t="s">
        <v>45</v>
      </c>
      <c r="F47" s="435" t="s">
        <v>46</v>
      </c>
    </row>
    <row r="48" spans="1:17">
      <c r="A48" s="461" t="s">
        <v>866</v>
      </c>
      <c r="B48" s="436" t="s">
        <v>867</v>
      </c>
      <c r="C48" s="436">
        <v>13.35</v>
      </c>
      <c r="D48" s="436">
        <v>13.98</v>
      </c>
      <c r="E48" s="436">
        <v>14.63</v>
      </c>
      <c r="F48" s="436">
        <v>15.32</v>
      </c>
      <c r="H48" s="441">
        <f>C48-C4</f>
        <v>-4.5360128580735903E-3</v>
      </c>
      <c r="I48" s="441">
        <f t="shared" ref="I48:K48" si="13">D48-D4</f>
        <v>5.1002504715036423E-4</v>
      </c>
      <c r="J48" s="441">
        <f t="shared" si="13"/>
        <v>-3.6899890528729884E-3</v>
      </c>
      <c r="K48" s="441">
        <f t="shared" si="13"/>
        <v>1.4953135349600188E-3</v>
      </c>
    </row>
    <row r="49" spans="1:11">
      <c r="A49" s="461"/>
      <c r="B49" s="437" t="s">
        <v>868</v>
      </c>
      <c r="C49" s="437">
        <v>1.45</v>
      </c>
      <c r="D49" s="437">
        <v>1.52</v>
      </c>
      <c r="E49" s="437">
        <v>1.59</v>
      </c>
      <c r="F49" s="437">
        <v>1.66</v>
      </c>
      <c r="H49" s="441">
        <f>C49-C5</f>
        <v>-7.1179721101777282E-4</v>
      </c>
      <c r="I49" s="441">
        <f t="shared" ref="I49" si="14">D49-D5</f>
        <v>1.3990537648800316E-3</v>
      </c>
      <c r="J49" s="441">
        <f t="shared" ref="J49" si="15">E49-E5</f>
        <v>3.3288738689862818E-4</v>
      </c>
      <c r="K49" s="441">
        <f t="shared" ref="K49" si="16">F49-F5</f>
        <v>-4.058971640086062E-3</v>
      </c>
    </row>
    <row r="50" spans="1:11">
      <c r="A50" s="461" t="s">
        <v>869</v>
      </c>
      <c r="B50" s="436" t="s">
        <v>867</v>
      </c>
      <c r="C50" s="436">
        <v>29.12</v>
      </c>
      <c r="D50" s="436">
        <v>30.49</v>
      </c>
      <c r="E50" s="436">
        <v>31.91</v>
      </c>
      <c r="F50" s="436">
        <v>33.409999999999997</v>
      </c>
      <c r="H50" s="441">
        <f>C50-C8</f>
        <v>-3.4239130177446953E-3</v>
      </c>
      <c r="I50" s="441">
        <f t="shared" ref="I50:K50" si="17">D50-D8</f>
        <v>3.6834228955271442E-3</v>
      </c>
      <c r="J50" s="441">
        <f t="shared" si="17"/>
        <v>-2.988706798298324E-3</v>
      </c>
      <c r="K50" s="441">
        <f t="shared" si="17"/>
        <v>3.5750019373068653E-3</v>
      </c>
    </row>
    <row r="51" spans="1:11">
      <c r="A51" s="461"/>
      <c r="B51" s="437" t="s">
        <v>868</v>
      </c>
      <c r="C51" s="437">
        <v>1.45</v>
      </c>
      <c r="D51" s="437">
        <v>1.52</v>
      </c>
      <c r="E51" s="437">
        <v>1.59</v>
      </c>
      <c r="F51" s="437">
        <v>1.66</v>
      </c>
      <c r="H51" s="441">
        <f>C51-C9</f>
        <v>-7.1179721101755078E-4</v>
      </c>
      <c r="I51" s="441">
        <f t="shared" ref="I51" si="18">D51-D9</f>
        <v>1.3990537648802537E-3</v>
      </c>
      <c r="J51" s="441">
        <f t="shared" ref="J51" si="19">E51-E9</f>
        <v>3.3288738689885022E-4</v>
      </c>
      <c r="K51" s="441">
        <f t="shared" ref="K51" si="20">F51-F9</f>
        <v>-4.0589716400856179E-3</v>
      </c>
    </row>
    <row r="52" spans="1:11">
      <c r="A52" s="461" t="s">
        <v>870</v>
      </c>
      <c r="B52" s="436" t="s">
        <v>867</v>
      </c>
      <c r="C52" s="436">
        <v>122.11</v>
      </c>
      <c r="D52" s="436">
        <v>127.82</v>
      </c>
      <c r="E52" s="436">
        <v>133.81</v>
      </c>
      <c r="F52" s="436">
        <v>140.07</v>
      </c>
      <c r="H52" s="441">
        <f>C52-C12</f>
        <v>3.426536076034381E-4</v>
      </c>
      <c r="I52" s="441">
        <f t="shared" ref="I52:K52" si="21">D52-D12</f>
        <v>-4.0388939944904223E-3</v>
      </c>
      <c r="J52" s="441">
        <f t="shared" si="21"/>
        <v>4.1629004486480881E-3</v>
      </c>
      <c r="K52" s="441">
        <f t="shared" si="21"/>
        <v>2.4337047462097416E-3</v>
      </c>
    </row>
    <row r="53" spans="1:11">
      <c r="A53" s="461"/>
      <c r="B53" s="437" t="s">
        <v>868</v>
      </c>
      <c r="C53" s="437">
        <v>1.45</v>
      </c>
      <c r="D53" s="437">
        <v>1.52</v>
      </c>
      <c r="E53" s="437">
        <v>1.59</v>
      </c>
      <c r="F53" s="437">
        <v>1.66</v>
      </c>
      <c r="H53" s="441">
        <f>C53-C13</f>
        <v>-7.1179721101777282E-4</v>
      </c>
      <c r="I53" s="441">
        <f t="shared" ref="I53" si="22">D53-D13</f>
        <v>1.3990537648800316E-3</v>
      </c>
      <c r="J53" s="441">
        <f t="shared" ref="J53" si="23">E53-E13</f>
        <v>3.3288738689862818E-4</v>
      </c>
      <c r="K53" s="441">
        <f t="shared" ref="K53" si="24">F53-F13</f>
        <v>-4.058971640086062E-3</v>
      </c>
    </row>
    <row r="54" spans="1:11">
      <c r="A54" s="461" t="s">
        <v>871</v>
      </c>
      <c r="B54" s="436" t="s">
        <v>867</v>
      </c>
      <c r="C54" s="436">
        <v>20.239999999999998</v>
      </c>
      <c r="D54" s="436">
        <v>21.18</v>
      </c>
      <c r="E54" s="436">
        <v>22.17</v>
      </c>
      <c r="F54" s="436">
        <v>23.21</v>
      </c>
      <c r="H54" s="441">
        <f>C54-C16</f>
        <v>4.8092347649664191E-3</v>
      </c>
      <c r="I54" s="441">
        <f t="shared" ref="I54:K54" si="25">D54-D16</f>
        <v>-2.1396244317379853E-3</v>
      </c>
      <c r="J54" s="441">
        <f t="shared" si="25"/>
        <v>-3.4029727942446186E-3</v>
      </c>
      <c r="K54" s="441">
        <f t="shared" si="25"/>
        <v>-1.0546012469063726E-3</v>
      </c>
    </row>
    <row r="55" spans="1:11">
      <c r="A55" s="461"/>
      <c r="B55" s="437" t="s">
        <v>868</v>
      </c>
      <c r="C55" s="437">
        <v>1.45</v>
      </c>
      <c r="D55" s="437">
        <v>1.52</v>
      </c>
      <c r="E55" s="437">
        <v>1.59</v>
      </c>
      <c r="F55" s="437">
        <v>1.66</v>
      </c>
      <c r="H55" s="441">
        <f>C55-C17</f>
        <v>-7.1179721101777282E-4</v>
      </c>
      <c r="I55" s="441">
        <f t="shared" ref="I55" si="26">D55-D17</f>
        <v>1.3990537648800316E-3</v>
      </c>
      <c r="J55" s="441">
        <f t="shared" ref="J55" si="27">E55-E17</f>
        <v>3.3288738689862818E-4</v>
      </c>
      <c r="K55" s="441">
        <f t="shared" ref="K55" si="28">F55-F17</f>
        <v>-4.058971640086062E-3</v>
      </c>
    </row>
    <row r="56" spans="1:11">
      <c r="A56" s="461" t="s">
        <v>872</v>
      </c>
      <c r="B56" s="436" t="s">
        <v>867</v>
      </c>
      <c r="C56" s="436">
        <v>49.77</v>
      </c>
      <c r="D56" s="436">
        <v>52.09</v>
      </c>
      <c r="E56" s="436">
        <v>54.53</v>
      </c>
      <c r="F56" s="436">
        <v>57.08</v>
      </c>
      <c r="H56" s="441">
        <f>C56-C20</f>
        <v>4.6118298513775358E-3</v>
      </c>
      <c r="I56" s="441">
        <f t="shared" ref="I56:K56" si="29">D56-D20</f>
        <v>-4.2655255411361281E-3</v>
      </c>
      <c r="J56" s="441">
        <f t="shared" si="29"/>
        <v>-2.1276580224309782E-3</v>
      </c>
      <c r="K56" s="441">
        <f t="shared" si="29"/>
        <v>-4.0747424083065198E-3</v>
      </c>
    </row>
    <row r="57" spans="1:11">
      <c r="A57" s="461"/>
      <c r="B57" s="437" t="s">
        <v>868</v>
      </c>
      <c r="C57" s="437">
        <v>1.45</v>
      </c>
      <c r="D57" s="437">
        <v>1.52</v>
      </c>
      <c r="E57" s="437">
        <v>1.59</v>
      </c>
      <c r="F57" s="437">
        <v>1.66</v>
      </c>
      <c r="H57" s="441">
        <f>C57-C21</f>
        <v>-7.1179721101777282E-4</v>
      </c>
      <c r="I57" s="441">
        <f t="shared" ref="I57" si="30">D57-D21</f>
        <v>1.3990537648800316E-3</v>
      </c>
      <c r="J57" s="441">
        <f t="shared" ref="J57" si="31">E57-E21</f>
        <v>3.3288738689862818E-4</v>
      </c>
      <c r="K57" s="441">
        <f t="shared" ref="K57" si="32">F57-F21</f>
        <v>-4.058971640086062E-3</v>
      </c>
    </row>
    <row r="58" spans="1:11">
      <c r="A58" s="461" t="s">
        <v>873</v>
      </c>
      <c r="B58" s="436" t="s">
        <v>867</v>
      </c>
      <c r="C58" s="436">
        <v>142.75</v>
      </c>
      <c r="D58" s="436">
        <v>149.43</v>
      </c>
      <c r="E58" s="436">
        <v>156.41999999999999</v>
      </c>
      <c r="F58" s="436">
        <v>163.75</v>
      </c>
      <c r="H58" s="441">
        <f>C58-C24</f>
        <v>-1.6216035232616832E-3</v>
      </c>
      <c r="I58" s="441">
        <f t="shared" ref="I58:K58" si="33">D58-D24</f>
        <v>-1.9878424311059462E-3</v>
      </c>
      <c r="J58" s="441">
        <f t="shared" si="33"/>
        <v>-4.9760507754399441E-3</v>
      </c>
      <c r="K58" s="441">
        <f t="shared" si="33"/>
        <v>4.7839604006583158E-3</v>
      </c>
    </row>
    <row r="59" spans="1:11">
      <c r="A59" s="461"/>
      <c r="B59" s="437" t="s">
        <v>868</v>
      </c>
      <c r="C59" s="437">
        <v>1.45</v>
      </c>
      <c r="D59" s="437">
        <v>1.52</v>
      </c>
      <c r="E59" s="437">
        <v>1.59</v>
      </c>
      <c r="F59" s="437">
        <v>1.66</v>
      </c>
      <c r="H59" s="441">
        <f>C59-C25</f>
        <v>-7.1179721101777282E-4</v>
      </c>
      <c r="I59" s="441">
        <f t="shared" ref="I59" si="34">D59-D25</f>
        <v>1.3990537648800316E-3</v>
      </c>
      <c r="J59" s="441">
        <f t="shared" ref="J59" si="35">E59-E25</f>
        <v>3.3288738689862818E-4</v>
      </c>
      <c r="K59" s="441">
        <f t="shared" ref="K59" si="36">F59-F25</f>
        <v>-4.058971640086062E-3</v>
      </c>
    </row>
    <row r="60" spans="1:11">
      <c r="A60" s="461" t="s">
        <v>874</v>
      </c>
      <c r="B60" s="436" t="s">
        <v>867</v>
      </c>
      <c r="C60" s="436">
        <v>3.4</v>
      </c>
      <c r="D60" s="436">
        <v>3.56</v>
      </c>
      <c r="E60" s="436">
        <v>3.73</v>
      </c>
      <c r="F60" s="436">
        <v>3.9</v>
      </c>
      <c r="H60" s="441">
        <f>C60-C28</f>
        <v>3.4997300110495289E-4</v>
      </c>
      <c r="I60" s="441">
        <f t="shared" ref="I60:K60" si="37">D60-D28</f>
        <v>1.2561076610486666E-3</v>
      </c>
      <c r="J60" s="441">
        <f t="shared" si="37"/>
        <v>4.7171059723005726E-3</v>
      </c>
      <c r="K60" s="441">
        <f t="shared" si="37"/>
        <v>3.845569189353526E-4</v>
      </c>
    </row>
    <row r="61" spans="1:11">
      <c r="A61" s="461"/>
      <c r="B61" s="437" t="s">
        <v>868</v>
      </c>
      <c r="C61" s="437">
        <v>1.45</v>
      </c>
      <c r="D61" s="437">
        <v>1.52</v>
      </c>
      <c r="E61" s="437">
        <v>1.59</v>
      </c>
      <c r="F61" s="437">
        <v>1.66</v>
      </c>
      <c r="H61" s="441">
        <f>C61-C29</f>
        <v>-7.1179721101777282E-4</v>
      </c>
      <c r="I61" s="441">
        <f t="shared" ref="I61" si="38">D61-D29</f>
        <v>1.3990537648800316E-3</v>
      </c>
      <c r="J61" s="441">
        <f t="shared" ref="J61" si="39">E61-E29</f>
        <v>3.3288738689862818E-4</v>
      </c>
      <c r="K61" s="441">
        <f t="shared" ref="K61" si="40">F61-F29</f>
        <v>-4.058971640086062E-3</v>
      </c>
    </row>
    <row r="62" spans="1:11">
      <c r="A62" s="461" t="s">
        <v>173</v>
      </c>
      <c r="B62" s="436" t="s">
        <v>867</v>
      </c>
      <c r="C62" s="436">
        <v>3.4</v>
      </c>
      <c r="D62" s="436">
        <v>3.56</v>
      </c>
      <c r="E62" s="436">
        <v>3.73</v>
      </c>
      <c r="F62" s="436">
        <v>3.9</v>
      </c>
      <c r="H62" s="441">
        <f>C62-C32</f>
        <v>3.499730011045088E-4</v>
      </c>
      <c r="I62" s="441">
        <f t="shared" ref="I62:K62" si="41">D62-D32</f>
        <v>1.2561076610482225E-3</v>
      </c>
      <c r="J62" s="441">
        <f t="shared" si="41"/>
        <v>4.7171059723001285E-3</v>
      </c>
      <c r="K62" s="441">
        <f t="shared" si="41"/>
        <v>3.8455691893490851E-4</v>
      </c>
    </row>
    <row r="63" spans="1:11" ht="15.75" thickBot="1">
      <c r="A63" s="462"/>
      <c r="B63" s="438" t="s">
        <v>868</v>
      </c>
      <c r="C63" s="438">
        <v>1.45</v>
      </c>
      <c r="D63" s="438">
        <v>1.52</v>
      </c>
      <c r="E63" s="438">
        <v>1.59</v>
      </c>
      <c r="F63" s="438">
        <v>1.66</v>
      </c>
      <c r="H63" s="441">
        <f>C63-C33</f>
        <v>-7.1179721101755078E-4</v>
      </c>
      <c r="I63" s="441">
        <f t="shared" ref="I63" si="42">D63-D33</f>
        <v>1.3990537648802537E-3</v>
      </c>
      <c r="J63" s="441">
        <f t="shared" ref="J63" si="43">E63-E33</f>
        <v>3.3288738689885022E-4</v>
      </c>
      <c r="K63" s="441">
        <f t="shared" ref="K63" si="44">F63-F33</f>
        <v>-4.0589716400856179E-3</v>
      </c>
    </row>
    <row r="66" spans="1:9">
      <c r="A66" s="409" t="s">
        <v>876</v>
      </c>
    </row>
    <row r="68" spans="1:9">
      <c r="A68" s="434"/>
      <c r="B68" s="435" t="s">
        <v>877</v>
      </c>
      <c r="C68" s="435" t="s">
        <v>878</v>
      </c>
      <c r="D68" s="435" t="s">
        <v>879</v>
      </c>
    </row>
    <row r="69" spans="1:9" ht="15.75" thickBot="1">
      <c r="A69" s="439" t="s">
        <v>857</v>
      </c>
      <c r="B69" s="440" t="s">
        <v>880</v>
      </c>
      <c r="C69" s="440" t="s">
        <v>880</v>
      </c>
      <c r="D69" s="440" t="s">
        <v>880</v>
      </c>
      <c r="G69" s="414">
        <f>-2.25/100-O4</f>
        <v>-3.7477715030615616E-5</v>
      </c>
      <c r="H69" s="414">
        <f t="shared" ref="H69:I69" si="45">-2.25/100-P4</f>
        <v>-3.7477715030615616E-5</v>
      </c>
      <c r="I69" s="414">
        <f t="shared" si="45"/>
        <v>-3.7477715030615616E-5</v>
      </c>
    </row>
  </sheetData>
  <mergeCells count="8">
    <mergeCell ref="A60:A61"/>
    <mergeCell ref="A62:A63"/>
    <mergeCell ref="A48:A49"/>
    <mergeCell ref="A50:A51"/>
    <mergeCell ref="A52:A53"/>
    <mergeCell ref="A54:A55"/>
    <mergeCell ref="A56:A57"/>
    <mergeCell ref="A58:A5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43"/>
  <sheetViews>
    <sheetView zoomScaleNormal="100" workbookViewId="0">
      <pane xSplit="1" ySplit="2" topLeftCell="B3" activePane="bottomRight" state="frozen"/>
      <selection pane="topRight" activeCell="B1" sqref="B1"/>
      <selection pane="bottomLeft" activeCell="A3" sqref="A3"/>
      <selection pane="bottomRight" activeCell="D1" sqref="D1"/>
    </sheetView>
  </sheetViews>
  <sheetFormatPr defaultRowHeight="15"/>
  <cols>
    <col min="1" max="1" width="33" customWidth="1"/>
    <col min="2" max="6" width="10.28515625" customWidth="1"/>
    <col min="8" max="8" width="11.28515625" bestFit="1" customWidth="1"/>
    <col min="9" max="12" width="11.140625" customWidth="1"/>
  </cols>
  <sheetData>
    <row r="1" spans="1:12">
      <c r="B1" s="404" t="s">
        <v>856</v>
      </c>
      <c r="H1" s="404" t="s">
        <v>859</v>
      </c>
    </row>
    <row r="2" spans="1:12">
      <c r="B2" s="201" t="s">
        <v>42</v>
      </c>
      <c r="C2" s="201" t="s">
        <v>43</v>
      </c>
      <c r="D2" s="201" t="s">
        <v>44</v>
      </c>
      <c r="E2" s="201" t="s">
        <v>45</v>
      </c>
      <c r="F2" s="201" t="s">
        <v>46</v>
      </c>
      <c r="H2" s="409" t="str">
        <f>B2</f>
        <v>2014/15</v>
      </c>
      <c r="I2" s="409" t="str">
        <f>C2</f>
        <v>2015/16</v>
      </c>
      <c r="J2" s="409" t="str">
        <f>D2</f>
        <v>2016/17</v>
      </c>
      <c r="K2" s="409" t="str">
        <f>E2</f>
        <v>2017/18</v>
      </c>
      <c r="L2" s="409" t="str">
        <f>F2</f>
        <v>2018/19</v>
      </c>
    </row>
    <row r="3" spans="1:12">
      <c r="A3" s="201" t="s">
        <v>167</v>
      </c>
      <c r="H3" s="108">
        <f>'Pricing Calc (Per Service)'!D$20</f>
        <v>842577.16835754679</v>
      </c>
      <c r="I3" s="108">
        <f>'Pricing Calc (Per Service)'!E$20</f>
        <v>852512.43735132238</v>
      </c>
      <c r="J3" s="108">
        <f>'Pricing Calc (Per Service)'!F$20</f>
        <v>862244.50573519152</v>
      </c>
      <c r="K3" s="108">
        <f>'Pricing Calc (Per Service)'!G$20</f>
        <v>872663.42535740137</v>
      </c>
      <c r="L3" s="108">
        <f>'Pricing Calc (Per Service)'!H$20</f>
        <v>884596.85169119691</v>
      </c>
    </row>
    <row r="4" spans="1:12">
      <c r="A4" s="405" t="s">
        <v>854</v>
      </c>
      <c r="B4" s="407">
        <f>SUM('Annual Metering Charges'!D13:D15)</f>
        <v>12.73699602761836</v>
      </c>
      <c r="C4" s="407">
        <f>SUM('Annual Metering Charges'!E13:E15)</f>
        <v>13.354536012858073</v>
      </c>
      <c r="D4" s="407">
        <f>SUM('Annual Metering Charges'!F13:F15)</f>
        <v>13.646458286690674</v>
      </c>
      <c r="E4" s="407">
        <f>SUM('Annual Metering Charges'!G13:G15)</f>
        <v>14.000805077151258</v>
      </c>
      <c r="F4" s="407">
        <f>SUM('Annual Metering Charges'!H13:H15)</f>
        <v>14.30635435993841</v>
      </c>
      <c r="H4" s="408">
        <f>B4*H3/10^6</f>
        <v>10.731902046331999</v>
      </c>
      <c r="I4" s="408">
        <f>C4*I3/10^6</f>
        <v>11.384908046017646</v>
      </c>
      <c r="J4" s="408">
        <f>D4*J3/10^6</f>
        <v>11.766583680443508</v>
      </c>
      <c r="K4" s="408">
        <f>E4*K3/10^6</f>
        <v>12.217990516388113</v>
      </c>
      <c r="L4" s="408">
        <f>F4*L3/10^6</f>
        <v>12.655356025980147</v>
      </c>
    </row>
    <row r="5" spans="1:12">
      <c r="A5" s="405" t="s">
        <v>855</v>
      </c>
      <c r="B5" s="407">
        <f>SUM('Annual Metering Charges'!D16:D17)</f>
        <v>1.2214719195700983</v>
      </c>
      <c r="C5" s="407">
        <f>SUM('Annual Metering Charges'!E16:E17)</f>
        <v>1.4507117972110177</v>
      </c>
      <c r="D5" s="407">
        <f>SUM('Annual Metering Charges'!F16:F17)</f>
        <v>1.6767097510596529</v>
      </c>
      <c r="E5" s="407">
        <f>SUM('Annual Metering Charges'!G16:G17)</f>
        <v>2.0541557079989845</v>
      </c>
      <c r="F5" s="407">
        <f>SUM('Annual Metering Charges'!H16:H17)</f>
        <v>2.5961470662970081</v>
      </c>
      <c r="H5" s="408">
        <f>B5*H3/10^6</f>
        <v>1.0291843512196306</v>
      </c>
      <c r="I5" s="408">
        <f>C5*I3/10^6</f>
        <v>1.2367498501346821</v>
      </c>
      <c r="J5" s="408">
        <f>D5*J3/10^6</f>
        <v>1.4457337705638065</v>
      </c>
      <c r="K5" s="408">
        <f>E5*K3/10^6</f>
        <v>1.7925865563598518</v>
      </c>
      <c r="L5" s="408">
        <f>F5*L3/10^6</f>
        <v>2.2965435213736707</v>
      </c>
    </row>
    <row r="6" spans="1:12">
      <c r="A6" s="405"/>
      <c r="B6" s="407"/>
      <c r="C6" s="407"/>
      <c r="D6" s="407"/>
      <c r="E6" s="407"/>
      <c r="F6" s="407"/>
    </row>
    <row r="7" spans="1:12">
      <c r="A7" s="201" t="s">
        <v>269</v>
      </c>
      <c r="B7" s="407"/>
      <c r="C7" s="407"/>
      <c r="D7" s="407"/>
      <c r="E7" s="407"/>
      <c r="F7" s="407"/>
      <c r="H7" s="108">
        <f>'Pricing Calc (Per Service)'!D$21</f>
        <v>13.581642453460056</v>
      </c>
      <c r="I7" s="108">
        <f>'Pricing Calc (Per Service)'!E$21</f>
        <v>7.2049683208886748</v>
      </c>
      <c r="J7" s="108">
        <f>'Pricing Calc (Per Service)'!F$21</f>
        <v>7.2872184340018098</v>
      </c>
      <c r="K7" s="108">
        <f>'Pricing Calc (Per Service)'!G$21</f>
        <v>7.3752734376908302</v>
      </c>
      <c r="L7" s="108">
        <f>'Pricing Calc (Per Service)'!H$21</f>
        <v>7.4761282228266204</v>
      </c>
    </row>
    <row r="8" spans="1:12">
      <c r="A8" s="405" t="s">
        <v>854</v>
      </c>
      <c r="B8" s="407">
        <f>SUM('Annual Metering Charges'!D19:D21)</f>
        <v>27.684850691924197</v>
      </c>
      <c r="C8" s="407">
        <f>SUM('Annual Metering Charges'!E19:E21)</f>
        <v>29.123423913017746</v>
      </c>
      <c r="D8" s="407">
        <f>SUM('Annual Metering Charges'!F19:F21)</f>
        <v>29.818546791299948</v>
      </c>
      <c r="E8" s="407">
        <f>SUM('Annual Metering Charges'!G19:G21)</f>
        <v>30.65576832890239</v>
      </c>
      <c r="F8" s="407">
        <f>SUM('Annual Metering Charges'!H19:H21)</f>
        <v>31.391775424053243</v>
      </c>
      <c r="H8" s="408">
        <f>B8*H7/10^6</f>
        <v>3.7600574347514067E-4</v>
      </c>
      <c r="I8" s="408">
        <f>C8*I7/10^6</f>
        <v>2.0983334668910457E-4</v>
      </c>
      <c r="J8" s="408">
        <f>D8*J7/10^6</f>
        <v>2.1729426385270651E-4</v>
      </c>
      <c r="K8" s="408">
        <f>E8*K7/10^6</f>
        <v>2.260946738681576E-4</v>
      </c>
      <c r="L8" s="408">
        <f>F8*L7/10^6</f>
        <v>2.3468893821239958E-4</v>
      </c>
    </row>
    <row r="9" spans="1:12">
      <c r="A9" s="405" t="s">
        <v>855</v>
      </c>
      <c r="B9" s="407">
        <f>SUM('Annual Metering Charges'!D22:D23)</f>
        <v>1.2214719195700985</v>
      </c>
      <c r="C9" s="407">
        <f>SUM('Annual Metering Charges'!E22:E23)</f>
        <v>1.4507117972110175</v>
      </c>
      <c r="D9" s="407">
        <f>SUM('Annual Metering Charges'!F22:F23)</f>
        <v>1.6767097510596529</v>
      </c>
      <c r="E9" s="407">
        <f>SUM('Annual Metering Charges'!G22:G23)</f>
        <v>2.0541557079989841</v>
      </c>
      <c r="F9" s="407">
        <f>SUM('Annual Metering Charges'!H22:H23)</f>
        <v>2.5961470662970081</v>
      </c>
      <c r="H9" s="408">
        <f>B9*H7/10^6</f>
        <v>1.6589594878542595E-5</v>
      </c>
      <c r="I9" s="408">
        <f>C9*I7/10^6</f>
        <v>1.0452332541644856E-5</v>
      </c>
      <c r="J9" s="408">
        <f>D9*J7/10^6</f>
        <v>1.2218550206392488E-5</v>
      </c>
      <c r="K9" s="408">
        <f>E9*K7/10^6</f>
        <v>1.5149960030085908E-5</v>
      </c>
      <c r="L9" s="408">
        <f>F9*L7/10^6</f>
        <v>1.9409128352951596E-5</v>
      </c>
    </row>
    <row r="10" spans="1:12">
      <c r="A10" s="201"/>
    </row>
    <row r="11" spans="1:12">
      <c r="A11" s="201" t="s">
        <v>272</v>
      </c>
      <c r="H11" s="108">
        <f>'Pricing Calc (Per Service)'!D$22</f>
        <v>1</v>
      </c>
      <c r="I11" s="108">
        <f>'Pricing Calc (Per Service)'!E$22</f>
        <v>1</v>
      </c>
      <c r="J11" s="108">
        <f>'Pricing Calc (Per Service)'!F$22</f>
        <v>1</v>
      </c>
      <c r="K11" s="108">
        <f>'Pricing Calc (Per Service)'!G$22</f>
        <v>1</v>
      </c>
      <c r="L11" s="108">
        <f>'Pricing Calc (Per Service)'!H$22</f>
        <v>1</v>
      </c>
    </row>
    <row r="12" spans="1:12">
      <c r="A12" s="405" t="s">
        <v>854</v>
      </c>
      <c r="B12" s="407">
        <f>SUM('Annual Metering Charges'!D25:D27)</f>
        <v>116.59171951461293</v>
      </c>
      <c r="C12" s="407">
        <f>SUM('Annual Metering Charges'!E25:E27)</f>
        <v>122.1096573463924</v>
      </c>
      <c r="D12" s="407">
        <f>SUM('Annual Metering Charges'!F25:F27)</f>
        <v>124.70807208816548</v>
      </c>
      <c r="E12" s="407">
        <f>SUM('Annual Metering Charges'!G25:G27)</f>
        <v>127.86283021193621</v>
      </c>
      <c r="F12" s="407">
        <f>SUM('Annual Metering Charges'!H25:H27)</f>
        <v>130.55654658398268</v>
      </c>
      <c r="H12" s="408">
        <f>B12*H11/10^6</f>
        <v>1.1659171951461294E-4</v>
      </c>
      <c r="I12" s="408">
        <f>C12*I11/10^6</f>
        <v>1.221096573463924E-4</v>
      </c>
      <c r="J12" s="408">
        <f>D12*J11/10^6</f>
        <v>1.2470807208816547E-4</v>
      </c>
      <c r="K12" s="408">
        <f>E12*K11/10^6</f>
        <v>1.2786283021193622E-4</v>
      </c>
      <c r="L12" s="408">
        <f>F12*L11/10^6</f>
        <v>1.3055654658398268E-4</v>
      </c>
    </row>
    <row r="13" spans="1:12">
      <c r="A13" s="405" t="s">
        <v>855</v>
      </c>
      <c r="B13" s="407">
        <f>SUM('Annual Metering Charges'!D34:D35)</f>
        <v>1.2214719195700983</v>
      </c>
      <c r="C13" s="407">
        <f>SUM('Annual Metering Charges'!E34:E35)</f>
        <v>1.4507117972110177</v>
      </c>
      <c r="D13" s="407">
        <f>SUM('Annual Metering Charges'!F34:F35)</f>
        <v>1.6767097510596529</v>
      </c>
      <c r="E13" s="407">
        <f>SUM('Annual Metering Charges'!G34:G35)</f>
        <v>2.0541557079989841</v>
      </c>
      <c r="F13" s="407">
        <f>SUM('Annual Metering Charges'!H34:H35)</f>
        <v>2.5961470662970081</v>
      </c>
      <c r="H13" s="408">
        <f>B13*H11/10^6</f>
        <v>1.2214719195700982E-6</v>
      </c>
      <c r="I13" s="408">
        <f>C13*I11/10^6</f>
        <v>1.4507117972110178E-6</v>
      </c>
      <c r="J13" s="408">
        <f>D13*J11/10^6</f>
        <v>1.676709751059653E-6</v>
      </c>
      <c r="K13" s="408">
        <f>E13*K11/10^6</f>
        <v>2.054155707998984E-6</v>
      </c>
      <c r="L13" s="408">
        <f>F13*L11/10^6</f>
        <v>2.5961470662970081E-6</v>
      </c>
    </row>
    <row r="14" spans="1:12">
      <c r="A14" s="201"/>
      <c r="B14" s="407"/>
      <c r="C14" s="407"/>
      <c r="D14" s="407"/>
      <c r="E14" s="407"/>
      <c r="F14" s="407"/>
    </row>
    <row r="15" spans="1:12">
      <c r="A15" s="201" t="s">
        <v>170</v>
      </c>
      <c r="B15" s="407"/>
      <c r="C15" s="407"/>
      <c r="D15" s="407"/>
      <c r="E15" s="407"/>
      <c r="F15" s="407"/>
      <c r="H15" s="108">
        <f>'Pricing Calc (Per Service)'!D$23</f>
        <v>77917.790896148726</v>
      </c>
      <c r="I15" s="108">
        <f>'Pricing Calc (Per Service)'!E$23</f>
        <v>79321.996735611523</v>
      </c>
      <c r="J15" s="108">
        <f>'Pricing Calc (Per Service)'!F$23</f>
        <v>81120.460148634622</v>
      </c>
      <c r="K15" s="108">
        <f>'Pricing Calc (Per Service)'!G$23</f>
        <v>82861.275914869067</v>
      </c>
      <c r="L15" s="108">
        <f>'Pricing Calc (Per Service)'!H$23</f>
        <v>84780.202777770668</v>
      </c>
    </row>
    <row r="16" spans="1:12">
      <c r="A16" s="405" t="s">
        <v>854</v>
      </c>
      <c r="B16" s="407">
        <f>SUM('Annual Metering Charges'!D31:D33)</f>
        <v>19.203026436820828</v>
      </c>
      <c r="C16" s="407">
        <f>SUM('Annual Metering Charges'!E31:E33)</f>
        <v>20.235190765235032</v>
      </c>
      <c r="D16" s="407">
        <f>SUM('Annual Metering Charges'!F31:F33)</f>
        <v>20.737563146384772</v>
      </c>
      <c r="E16" s="407">
        <f>SUM('Annual Metering Charges'!G31:G33)</f>
        <v>21.341547319161002</v>
      </c>
      <c r="F16" s="407">
        <f>SUM('Annual Metering Charges'!H31:H33)</f>
        <v>21.878000943002558</v>
      </c>
      <c r="H16" s="408">
        <f>B16*H15/10^6</f>
        <v>1.4962573984774212</v>
      </c>
      <c r="I16" s="408">
        <f>C16*I15/10^6</f>
        <v>1.6050957358244498</v>
      </c>
      <c r="J16" s="408">
        <f>D16*J15/10^6</f>
        <v>1.6822406647960999</v>
      </c>
      <c r="K16" s="408">
        <f>E16*K15/10^6</f>
        <v>1.7683878408632341</v>
      </c>
      <c r="L16" s="408">
        <f>F16*L15/10^6</f>
        <v>1.8548213563200147</v>
      </c>
    </row>
    <row r="17" spans="1:12">
      <c r="A17" s="405" t="s">
        <v>855</v>
      </c>
      <c r="B17" s="407">
        <f>SUM('Annual Metering Charges'!D34:D35)</f>
        <v>1.2214719195700983</v>
      </c>
      <c r="C17" s="407">
        <f>SUM('Annual Metering Charges'!E34:E35)</f>
        <v>1.4507117972110177</v>
      </c>
      <c r="D17" s="407">
        <f>SUM('Annual Metering Charges'!F34:F35)</f>
        <v>1.6767097510596529</v>
      </c>
      <c r="E17" s="407">
        <f>SUM('Annual Metering Charges'!G34:G35)</f>
        <v>2.0541557079989841</v>
      </c>
      <c r="F17" s="407">
        <f>SUM('Annual Metering Charges'!H34:H35)</f>
        <v>2.5961470662970081</v>
      </c>
      <c r="H17" s="408">
        <f>B17*H15/10^6</f>
        <v>9.5174393614580313E-2</v>
      </c>
      <c r="I17" s="408">
        <f>C17*I15/10^6</f>
        <v>0.11507335644268547</v>
      </c>
      <c r="J17" s="408">
        <f>D17*J15/10^6</f>
        <v>0.13601546654166166</v>
      </c>
      <c r="K17" s="408">
        <f>E17*K15/10^6</f>
        <v>0.17020996289260704</v>
      </c>
      <c r="L17" s="408">
        <f>F17*L15/10^6</f>
        <v>0.22010187472157478</v>
      </c>
    </row>
    <row r="18" spans="1:12">
      <c r="A18" s="201"/>
      <c r="B18" s="407"/>
      <c r="C18" s="407"/>
      <c r="D18" s="407"/>
      <c r="E18" s="407"/>
      <c r="F18" s="407"/>
    </row>
    <row r="19" spans="1:12">
      <c r="A19" s="201" t="s">
        <v>270</v>
      </c>
      <c r="H19" s="108">
        <f>'Pricing Calc (Per Service)'!D$24</f>
        <v>1630.5185325527705</v>
      </c>
      <c r="I19" s="108">
        <f>'Pricing Calc (Per Service)'!E$24</f>
        <v>1561.2354265661047</v>
      </c>
      <c r="J19" s="108">
        <f>'Pricing Calc (Per Service)'!F$24</f>
        <v>1596.6332343539418</v>
      </c>
      <c r="K19" s="108">
        <f>'Pricing Calc (Per Service)'!G$24</f>
        <v>1630.8964067048448</v>
      </c>
      <c r="L19" s="108">
        <f>'Pricing Calc (Per Service)'!H$24</f>
        <v>1668.6652063145796</v>
      </c>
    </row>
    <row r="20" spans="1:12">
      <c r="A20" s="405" t="s">
        <v>854</v>
      </c>
      <c r="B20" s="407">
        <f>SUM('Annual Metering Charges'!D37:D39)</f>
        <v>47.082941919531606</v>
      </c>
      <c r="C20" s="407">
        <f>SUM('Annual Metering Charges'!E37:E39)</f>
        <v>49.765388170148626</v>
      </c>
      <c r="D20" s="407">
        <f>SUM('Annual Metering Charges'!F37:F39)</f>
        <v>51.091861370382247</v>
      </c>
      <c r="E20" s="407">
        <f>SUM('Annual Metering Charges'!G37:G39)</f>
        <v>52.677995054931642</v>
      </c>
      <c r="F20" s="407">
        <f>SUM('Annual Metering Charges'!H37:H39)</f>
        <v>54.106715173245689</v>
      </c>
      <c r="H20" s="408">
        <f>B20*H19/10^6</f>
        <v>7.6769609366901984E-2</v>
      </c>
      <c r="I20" s="408">
        <f>C20*I19/10^6</f>
        <v>7.7695487028049764E-2</v>
      </c>
      <c r="J20" s="408">
        <f>D20*J19/10^6</f>
        <v>8.1574963868956615E-2</v>
      </c>
      <c r="K20" s="408">
        <f>E20*K19/10^6</f>
        <v>8.5912352847503606E-2</v>
      </c>
      <c r="L20" s="408">
        <f>F20*L19/10^6</f>
        <v>9.0285993037568221E-2</v>
      </c>
    </row>
    <row r="21" spans="1:12">
      <c r="A21" s="405" t="s">
        <v>855</v>
      </c>
      <c r="B21" s="407">
        <f>SUM('Annual Metering Charges'!D40:D41)</f>
        <v>1.2214719195700985</v>
      </c>
      <c r="C21" s="407">
        <f>SUM('Annual Metering Charges'!E40:E41)</f>
        <v>1.4507117972110177</v>
      </c>
      <c r="D21" s="407">
        <f>SUM('Annual Metering Charges'!F40:F41)</f>
        <v>1.6767097510596529</v>
      </c>
      <c r="E21" s="407">
        <f>SUM('Annual Metering Charges'!G40:G41)</f>
        <v>2.0541557079989841</v>
      </c>
      <c r="F21" s="407">
        <f>SUM('Annual Metering Charges'!H40:H41)</f>
        <v>2.5961470662970072</v>
      </c>
      <c r="H21" s="408">
        <f>B21*H19/10^6</f>
        <v>1.9916326018518528E-3</v>
      </c>
      <c r="I21" s="408">
        <f>C21*I19/10^6</f>
        <v>2.2649026515432239E-3</v>
      </c>
      <c r="J21" s="408">
        <f>D21*J19/10^6</f>
        <v>2.677090512907166E-3</v>
      </c>
      <c r="K21" s="408">
        <f>E21*K19/10^6</f>
        <v>3.3501151629877894E-3</v>
      </c>
      <c r="L21" s="408">
        <f>F21*L19/10^6</f>
        <v>4.332100280005486E-3</v>
      </c>
    </row>
    <row r="22" spans="1:12">
      <c r="A22" s="201"/>
    </row>
    <row r="23" spans="1:12">
      <c r="A23" s="201" t="s">
        <v>271</v>
      </c>
      <c r="H23" s="108">
        <f>'Pricing Calc (Per Service)'!D$25</f>
        <v>373.61288105599544</v>
      </c>
      <c r="I23" s="108">
        <f>'Pricing Calc (Per Service)'!E$25</f>
        <v>380.90977285028509</v>
      </c>
      <c r="J23" s="108">
        <f>'Pricing Calc (Per Service)'!F$25</f>
        <v>389.5461198703623</v>
      </c>
      <c r="K23" s="108">
        <f>'Pricing Calc (Per Service)'!G$25</f>
        <v>397.90563886104923</v>
      </c>
      <c r="L23" s="108">
        <f>'Pricing Calc (Per Service)'!H$25</f>
        <v>407.1204597877142</v>
      </c>
    </row>
    <row r="24" spans="1:12">
      <c r="A24" s="405" t="s">
        <v>854</v>
      </c>
      <c r="B24" s="407">
        <f>SUM('Annual Metering Charges'!D43:D45)</f>
        <v>135.98981074222033</v>
      </c>
      <c r="C24" s="407">
        <f>SUM('Annual Metering Charges'!E43:E45)</f>
        <v>142.75162160352326</v>
      </c>
      <c r="D24" s="407">
        <f>SUM('Annual Metering Charges'!F43:F45)</f>
        <v>145.98138666724779</v>
      </c>
      <c r="E24" s="407">
        <f>SUM('Annual Metering Charges'!G43:G45)</f>
        <v>149.88505693796543</v>
      </c>
      <c r="F24" s="407">
        <f>SUM('Annual Metering Charges'!H43:H45)</f>
        <v>153.27148633317512</v>
      </c>
      <c r="H24" s="408">
        <f>B24*H23/10^6</f>
        <v>5.0807544985660501E-2</v>
      </c>
      <c r="I24" s="408">
        <f>C24*I23/10^6</f>
        <v>5.4375487759007898E-2</v>
      </c>
      <c r="J24" s="408">
        <f>D24*J23/10^6</f>
        <v>5.686648274952142E-2</v>
      </c>
      <c r="K24" s="408">
        <f>E24*K23/10^6</f>
        <v>5.964010933662587E-2</v>
      </c>
      <c r="L24" s="408">
        <f>F24*L23/10^6</f>
        <v>6.2399957988308608E-2</v>
      </c>
    </row>
    <row r="25" spans="1:12">
      <c r="A25" s="405" t="s">
        <v>855</v>
      </c>
      <c r="B25" s="407">
        <f>SUM('Annual Metering Charges'!D52:D53)</f>
        <v>1.2214719195700983</v>
      </c>
      <c r="C25" s="407">
        <f>SUM('Annual Metering Charges'!E52:E53)</f>
        <v>1.4507117972110177</v>
      </c>
      <c r="D25" s="407">
        <f>SUM('Annual Metering Charges'!F52:F53)</f>
        <v>1.6767097510596529</v>
      </c>
      <c r="E25" s="407">
        <f>SUM('Annual Metering Charges'!G52:G53)</f>
        <v>2.0541557079989841</v>
      </c>
      <c r="F25" s="407">
        <f>SUM('Annual Metering Charges'!H52:H53)</f>
        <v>2.5961470662970081</v>
      </c>
      <c r="H25" s="408">
        <f>B25*H23/10^6</f>
        <v>4.5635764299958159E-4</v>
      </c>
      <c r="I25" s="408">
        <f>C25*I23/10^6</f>
        <v>5.5259030114687766E-4</v>
      </c>
      <c r="J25" s="408">
        <f>D25*J23/10^6</f>
        <v>6.5315577767408885E-4</v>
      </c>
      <c r="K25" s="408">
        <f>E25*K23/10^6</f>
        <v>8.1736013931140664E-4</v>
      </c>
      <c r="L25" s="408">
        <f>F25*L23/10^6</f>
        <v>1.0569445873073633E-3</v>
      </c>
    </row>
    <row r="26" spans="1:12">
      <c r="A26" s="201"/>
    </row>
    <row r="27" spans="1:12">
      <c r="A27" s="201" t="s">
        <v>105</v>
      </c>
      <c r="H27" s="108">
        <f>'Pricing Calc (Per Service)'!D$26</f>
        <v>351006.78141432191</v>
      </c>
      <c r="I27" s="108">
        <f>'Pricing Calc (Per Service)'!E$26</f>
        <v>343402.71864170098</v>
      </c>
      <c r="J27" s="108">
        <f>'Pricing Calc (Per Service)'!F$26</f>
        <v>337293.87741479604</v>
      </c>
      <c r="K27" s="108">
        <f>'Pricing Calc (Per Service)'!G$26</f>
        <v>330667.96397234476</v>
      </c>
      <c r="L27" s="108">
        <f>'Pricing Calc (Per Service)'!H$26</f>
        <v>323418.80570423586</v>
      </c>
    </row>
    <row r="28" spans="1:12">
      <c r="A28" s="405" t="s">
        <v>854</v>
      </c>
      <c r="B28" s="407">
        <f>SUM('Annual Metering Charges'!D49:D51)</f>
        <v>3.2135087255225767</v>
      </c>
      <c r="C28" s="407">
        <f>SUM('Annual Metering Charges'!E49:E51)</f>
        <v>3.399650026998895</v>
      </c>
      <c r="D28" s="407">
        <f>SUM('Annual Metering Charges'!F49:F51)</f>
        <v>3.4919772865772973</v>
      </c>
      <c r="E28" s="407">
        <f>SUM('Annual Metering Charges'!G49:G51)</f>
        <v>3.6023031803180512</v>
      </c>
      <c r="F28" s="407">
        <f>SUM('Annual Metering Charges'!H49:H51)</f>
        <v>3.702129410913086</v>
      </c>
      <c r="H28" s="408">
        <f>B28*H27/10^6</f>
        <v>1.1279633547925192</v>
      </c>
      <c r="I28" s="408">
        <f>C28*I27/10^6</f>
        <v>1.1674490617017528</v>
      </c>
      <c r="J28" s="408">
        <f>D28*J27/10^6</f>
        <v>1.177822558834055</v>
      </c>
      <c r="K28" s="408">
        <f>E28*K27/10^6</f>
        <v>1.1911662582468723</v>
      </c>
      <c r="L28" s="408">
        <f>F28*L27/10^6</f>
        <v>1.1973382726400363</v>
      </c>
    </row>
    <row r="29" spans="1:12">
      <c r="A29" s="405" t="s">
        <v>855</v>
      </c>
      <c r="B29" s="407">
        <f>SUM('Annual Metering Charges'!D52:D53)</f>
        <v>1.2214719195700983</v>
      </c>
      <c r="C29" s="407">
        <f>SUM('Annual Metering Charges'!E52:E53)</f>
        <v>1.4507117972110177</v>
      </c>
      <c r="D29" s="407">
        <f>SUM('Annual Metering Charges'!F52:F53)</f>
        <v>1.6767097510596529</v>
      </c>
      <c r="E29" s="407">
        <f>SUM('Annual Metering Charges'!G52:G53)</f>
        <v>2.0541557079989841</v>
      </c>
      <c r="F29" s="407">
        <f>SUM('Annual Metering Charges'!H52:H53)</f>
        <v>2.5961470662970081</v>
      </c>
      <c r="H29" s="408">
        <f>B29*H27/10^6</f>
        <v>0.42874492707627365</v>
      </c>
      <c r="I29" s="408">
        <f>C29*I27/10^6</f>
        <v>0.49817837512785151</v>
      </c>
      <c r="J29" s="408">
        <f>D29*J27/10^6</f>
        <v>0.56554393323410779</v>
      </c>
      <c r="K29" s="408">
        <f>E29*K27/10^6</f>
        <v>0.67924348564619441</v>
      </c>
      <c r="L29" s="408">
        <f>F29*L27/10^6</f>
        <v>0.83964278361433398</v>
      </c>
    </row>
    <row r="30" spans="1:12">
      <c r="A30" s="201"/>
      <c r="B30" s="407"/>
      <c r="C30" s="407"/>
      <c r="D30" s="407"/>
      <c r="E30" s="407"/>
      <c r="F30" s="407"/>
    </row>
    <row r="31" spans="1:12">
      <c r="A31" s="201" t="s">
        <v>173</v>
      </c>
      <c r="B31" s="407"/>
      <c r="C31" s="407"/>
      <c r="D31" s="407"/>
      <c r="E31" s="407"/>
      <c r="F31" s="407"/>
      <c r="H31" s="108">
        <f>'Pricing Calc (Per Service)'!D$27</f>
        <v>82231.116166959691</v>
      </c>
      <c r="I31" s="108">
        <f>'Pricing Calc (Per Service)'!E$27</f>
        <v>83975.533711402357</v>
      </c>
      <c r="J31" s="108">
        <f>'Pricing Calc (Per Service)'!F$27</f>
        <v>88358.885249638333</v>
      </c>
      <c r="K31" s="108">
        <f>'Pricing Calc (Per Service)'!G$27</f>
        <v>92754.07800308842</v>
      </c>
      <c r="L31" s="108">
        <f>'Pricing Calc (Per Service)'!H$27</f>
        <v>97177.198020747775</v>
      </c>
    </row>
    <row r="32" spans="1:12">
      <c r="A32" s="406" t="s">
        <v>854</v>
      </c>
      <c r="B32" s="407">
        <f>SUM('Annual Metering Charges'!D55:D57)</f>
        <v>3.2135087255225767</v>
      </c>
      <c r="C32" s="407">
        <f>SUM('Annual Metering Charges'!E55:E57)</f>
        <v>3.3996500269988954</v>
      </c>
      <c r="D32" s="407">
        <f>SUM('Annual Metering Charges'!F55:F57)</f>
        <v>3.4919772865772969</v>
      </c>
      <c r="E32" s="407">
        <f>SUM('Annual Metering Charges'!G55:G57)</f>
        <v>3.6023031803180503</v>
      </c>
      <c r="F32" s="407">
        <f>SUM('Annual Metering Charges'!H55:H57)</f>
        <v>3.702129410913086</v>
      </c>
      <c r="H32" s="408">
        <f>B32*H31/10^6</f>
        <v>0.26425040931198562</v>
      </c>
      <c r="I32" s="408">
        <f>C32*I31/10^6</f>
        <v>0.28548742544921568</v>
      </c>
      <c r="J32" s="408">
        <f>D32*J31/10^6</f>
        <v>0.30854722035902682</v>
      </c>
      <c r="K32" s="408">
        <f>E32*K31/10^6</f>
        <v>0.33412831017799388</v>
      </c>
      <c r="L32" s="408">
        <f>F32*L31/10^6</f>
        <v>0.35976256286273522</v>
      </c>
    </row>
    <row r="33" spans="1:12">
      <c r="A33" s="406" t="s">
        <v>855</v>
      </c>
      <c r="B33" s="407">
        <f>SUM('Annual Metering Charges'!D58:D59)</f>
        <v>1.2214719195700983</v>
      </c>
      <c r="C33" s="407">
        <f>SUM('Annual Metering Charges'!E58:E59)</f>
        <v>1.4507117972110175</v>
      </c>
      <c r="D33" s="407">
        <f>SUM('Annual Metering Charges'!F58:F59)</f>
        <v>1.6767097510596531</v>
      </c>
      <c r="E33" s="407">
        <f>SUM('Annual Metering Charges'!G58:G59)</f>
        <v>2.0541557079989841</v>
      </c>
      <c r="F33" s="407">
        <f>SUM('Annual Metering Charges'!H58:H59)</f>
        <v>2.5961470662970081</v>
      </c>
      <c r="H33" s="408">
        <f>B33*H31/10^6</f>
        <v>0.100442999312848</v>
      </c>
      <c r="I33" s="408">
        <f>C33*I31/10^6</f>
        <v>0.12182429743222289</v>
      </c>
      <c r="J33" s="408">
        <f>D33*J31/10^6</f>
        <v>0.14815220449082955</v>
      </c>
      <c r="K33" s="408">
        <f>E33*K31/10^6</f>
        <v>0.19053131877022708</v>
      </c>
      <c r="L33" s="408">
        <f>F33*L31/10^6</f>
        <v>0.25228629755252779</v>
      </c>
    </row>
    <row r="35" spans="1:12">
      <c r="A35" s="201" t="s">
        <v>22</v>
      </c>
    </row>
    <row r="36" spans="1:12">
      <c r="A36" s="201" t="str">
        <f>'Pricing Calc (Per Service)'!B18</f>
        <v>1a. Forecast Customer Numbers by Service Category</v>
      </c>
      <c r="H36" s="410">
        <f>SUM(H3,H7,H11,H15,H19,H23,H27,H31)</f>
        <v>1355751.5698910395</v>
      </c>
      <c r="I36" s="410">
        <f t="shared" ref="I36:L36" si="0">SUM(I3,I7,I11,I15,I19,I23,I27,I31)</f>
        <v>1361163.0366077747</v>
      </c>
      <c r="J36" s="410">
        <f t="shared" si="0"/>
        <v>1371012.1951209188</v>
      </c>
      <c r="K36" s="410">
        <f t="shared" si="0"/>
        <v>1380983.9205667072</v>
      </c>
      <c r="L36" s="410">
        <f t="shared" si="0"/>
        <v>1392057.3199882763</v>
      </c>
    </row>
    <row r="37" spans="1:12">
      <c r="A37" s="409" t="str">
        <f>A32</f>
        <v>non-capital</v>
      </c>
      <c r="H37" s="408">
        <f>SUM(H4,H8,H12,H16,H20,H24,H28,H32)</f>
        <v>13.748442960729479</v>
      </c>
      <c r="I37" s="408">
        <f t="shared" ref="I37:L38" si="1">SUM(I4,I8,I12,I16,I20,I24,I28,I32)</f>
        <v>14.575343186784156</v>
      </c>
      <c r="J37" s="408">
        <f t="shared" si="1"/>
        <v>15.073977573387108</v>
      </c>
      <c r="K37" s="408">
        <f t="shared" si="1"/>
        <v>15.65757934536442</v>
      </c>
      <c r="L37" s="408">
        <f t="shared" si="1"/>
        <v>16.220329414313607</v>
      </c>
    </row>
    <row r="38" spans="1:12">
      <c r="A38" s="409" t="str">
        <f>A33</f>
        <v>capital</v>
      </c>
      <c r="H38" s="408">
        <f>SUM(H5,H9,H13,H17,H21,H25,H29,H33)</f>
        <v>1.6560124725349821</v>
      </c>
      <c r="I38" s="408">
        <f t="shared" si="1"/>
        <v>1.974655275134471</v>
      </c>
      <c r="J38" s="408">
        <f t="shared" si="1"/>
        <v>2.2987895163809444</v>
      </c>
      <c r="K38" s="408">
        <f t="shared" si="1"/>
        <v>2.8367560030869177</v>
      </c>
      <c r="L38" s="408">
        <f t="shared" si="1"/>
        <v>3.6139855274048389</v>
      </c>
    </row>
    <row r="39" spans="1:12">
      <c r="A39" s="409"/>
      <c r="H39" s="408"/>
      <c r="I39" s="408"/>
      <c r="J39" s="408"/>
      <c r="K39" s="408"/>
      <c r="L39" s="408"/>
    </row>
    <row r="40" spans="1:12">
      <c r="A40" s="412" t="s">
        <v>37</v>
      </c>
    </row>
    <row r="41" spans="1:12">
      <c r="A41" s="201" t="str">
        <f>A36</f>
        <v>1a. Forecast Customer Numbers by Service Category</v>
      </c>
      <c r="H41" s="411">
        <f>'Pricing Calc (Per Service)'!D28-H36</f>
        <v>0</v>
      </c>
      <c r="I41" s="411">
        <f>'Pricing Calc (Per Service)'!E28-I36</f>
        <v>0</v>
      </c>
      <c r="J41" s="411">
        <f>'Pricing Calc (Per Service)'!F28-J36</f>
        <v>0</v>
      </c>
      <c r="K41" s="411">
        <f>'Pricing Calc (Per Service)'!G28-K36</f>
        <v>0</v>
      </c>
      <c r="L41" s="411">
        <f>'Pricing Calc (Per Service)'!H28-L36</f>
        <v>0</v>
      </c>
    </row>
    <row r="42" spans="1:12">
      <c r="A42" s="409" t="str">
        <f t="shared" ref="A42:A43" si="2">A37</f>
        <v>non-capital</v>
      </c>
      <c r="H42" s="413">
        <f>'Pricing Calc (Per Service)'!D94/10^6-H37</f>
        <v>0</v>
      </c>
      <c r="I42" s="413">
        <f>'Pricing Calc (Per Service)'!E94/10^6-I37</f>
        <v>0</v>
      </c>
      <c r="J42" s="413">
        <f>'Pricing Calc (Per Service)'!F94/10^6-J37</f>
        <v>0</v>
      </c>
      <c r="K42" s="413">
        <f>'Pricing Calc (Per Service)'!G94/10^6-K37</f>
        <v>0</v>
      </c>
      <c r="L42" s="413">
        <f>'Pricing Calc (Per Service)'!H94/10^6-L37</f>
        <v>0</v>
      </c>
    </row>
    <row r="43" spans="1:12">
      <c r="A43" s="409" t="str">
        <f t="shared" si="2"/>
        <v>capital</v>
      </c>
      <c r="H43" s="413">
        <f>'Pricing Calc (Per Service)'!D98/10^6-H38</f>
        <v>0</v>
      </c>
      <c r="I43" s="413">
        <f>'Pricing Calc (Per Service)'!E98/10^6-I38</f>
        <v>0</v>
      </c>
      <c r="J43" s="413">
        <f>'Pricing Calc (Per Service)'!F98/10^6-J38</f>
        <v>0</v>
      </c>
      <c r="K43" s="413">
        <f>'Pricing Calc (Per Service)'!G98/10^6-K38</f>
        <v>0</v>
      </c>
      <c r="L43" s="413">
        <f>'Pricing Calc (Per Service)'!H98/10^6-L38</f>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64"/>
  <sheetViews>
    <sheetView tabSelected="1" topLeftCell="A13" workbookViewId="0">
      <selection activeCell="F52" sqref="F52"/>
    </sheetView>
  </sheetViews>
  <sheetFormatPr defaultRowHeight="15"/>
  <cols>
    <col min="1" max="1" width="35.7109375" bestFit="1" customWidth="1"/>
    <col min="6" max="6" width="34.42578125" bestFit="1" customWidth="1"/>
    <col min="7" max="7" width="47.140625" customWidth="1"/>
    <col min="8" max="8" width="23.7109375" customWidth="1"/>
    <col min="9" max="14" width="14.7109375" customWidth="1"/>
  </cols>
  <sheetData>
    <row r="1" spans="1:19">
      <c r="A1" t="s">
        <v>885</v>
      </c>
    </row>
    <row r="3" spans="1:19">
      <c r="F3" s="518"/>
      <c r="G3" s="518"/>
      <c r="H3" s="518"/>
      <c r="I3" s="518"/>
      <c r="J3" s="518"/>
      <c r="K3" s="518"/>
      <c r="L3" s="518"/>
      <c r="M3" s="518"/>
      <c r="N3" s="518"/>
      <c r="O3" s="518"/>
      <c r="P3" s="518"/>
      <c r="Q3" s="518"/>
      <c r="R3" s="518"/>
      <c r="S3" s="518"/>
    </row>
    <row r="4" spans="1:19">
      <c r="A4" t="s">
        <v>881</v>
      </c>
      <c r="F4" s="518"/>
      <c r="G4" s="518"/>
      <c r="H4" s="518"/>
      <c r="I4" s="518"/>
      <c r="J4" s="518"/>
      <c r="K4" s="518"/>
      <c r="L4" s="518"/>
      <c r="M4" s="518"/>
      <c r="N4" s="518"/>
      <c r="O4" s="518"/>
      <c r="P4" s="518"/>
      <c r="Q4" s="518"/>
      <c r="R4" s="518"/>
      <c r="S4" s="518"/>
    </row>
    <row r="5" spans="1:19" ht="15" customHeight="1">
      <c r="F5" s="518"/>
      <c r="G5" s="518"/>
      <c r="H5" s="518"/>
      <c r="I5" s="519"/>
      <c r="J5" s="519"/>
      <c r="K5" s="519"/>
      <c r="L5" s="519"/>
      <c r="M5" s="519"/>
      <c r="N5" s="519"/>
      <c r="O5" s="518"/>
      <c r="P5" s="518"/>
      <c r="Q5" s="518"/>
      <c r="R5" s="518"/>
      <c r="S5" s="518"/>
    </row>
    <row r="6" spans="1:19" ht="15" customHeight="1">
      <c r="A6" t="s">
        <v>791</v>
      </c>
      <c r="B6" s="517" t="s">
        <v>183</v>
      </c>
      <c r="F6" s="518"/>
      <c r="G6" s="518"/>
      <c r="H6" s="518"/>
      <c r="I6" s="518"/>
      <c r="J6" s="518"/>
      <c r="K6" s="518"/>
      <c r="L6" s="518"/>
      <c r="M6" s="518"/>
      <c r="N6" s="518"/>
      <c r="O6" s="518"/>
      <c r="P6" s="518"/>
      <c r="Q6" s="518"/>
      <c r="R6" s="518"/>
      <c r="S6" s="518"/>
    </row>
    <row r="7" spans="1:19">
      <c r="A7" t="s">
        <v>747</v>
      </c>
      <c r="B7" s="517">
        <f>'Upfront Metering Charges'!E120</f>
        <v>643.39781913257036</v>
      </c>
      <c r="F7" s="518"/>
      <c r="G7" s="518"/>
      <c r="H7" s="518"/>
      <c r="I7" s="518"/>
      <c r="J7" s="518"/>
      <c r="K7" s="518"/>
      <c r="L7" s="518"/>
      <c r="M7" s="518"/>
      <c r="N7" s="518"/>
      <c r="O7" s="518"/>
      <c r="P7" s="518"/>
      <c r="Q7" s="518"/>
      <c r="R7" s="518"/>
      <c r="S7" s="518"/>
    </row>
    <row r="8" spans="1:19">
      <c r="A8" t="s">
        <v>748</v>
      </c>
      <c r="B8" s="517">
        <f>'Upfront Metering Charges'!E121</f>
        <v>643.39781913257036</v>
      </c>
      <c r="F8" s="518"/>
      <c r="G8" s="519"/>
      <c r="H8" s="518"/>
      <c r="I8" s="518"/>
      <c r="J8" s="518"/>
      <c r="K8" s="518"/>
      <c r="L8" s="518"/>
      <c r="M8" s="518"/>
      <c r="N8" s="518"/>
      <c r="O8" s="518"/>
      <c r="P8" s="518"/>
      <c r="Q8" s="518"/>
      <c r="R8" s="518"/>
      <c r="S8" s="518"/>
    </row>
    <row r="9" spans="1:19">
      <c r="A9" t="s">
        <v>749</v>
      </c>
      <c r="B9" s="517">
        <f>'Upfront Metering Charges'!E122</f>
        <v>457.93263292603939</v>
      </c>
      <c r="F9" s="518"/>
      <c r="G9" s="519"/>
      <c r="H9" s="518"/>
      <c r="I9" s="518"/>
      <c r="J9" s="518"/>
      <c r="K9" s="518"/>
      <c r="L9" s="518"/>
      <c r="M9" s="518"/>
      <c r="N9" s="518"/>
      <c r="O9" s="518"/>
      <c r="P9" s="518"/>
      <c r="Q9" s="518"/>
      <c r="R9" s="518"/>
      <c r="S9" s="518"/>
    </row>
    <row r="10" spans="1:19">
      <c r="A10" t="s">
        <v>750</v>
      </c>
      <c r="B10" s="517">
        <f>'Upfront Metering Charges'!E123</f>
        <v>457.93263292603939</v>
      </c>
      <c r="F10" s="518"/>
      <c r="G10" s="519"/>
      <c r="H10" s="518"/>
      <c r="I10" s="518"/>
      <c r="J10" s="518"/>
      <c r="K10" s="518"/>
      <c r="L10" s="518"/>
      <c r="M10" s="518"/>
      <c r="N10" s="518"/>
      <c r="O10" s="518"/>
      <c r="P10" s="518"/>
      <c r="Q10" s="518"/>
      <c r="R10" s="518"/>
      <c r="S10" s="518"/>
    </row>
    <row r="11" spans="1:19">
      <c r="B11" s="517"/>
      <c r="F11" s="518"/>
      <c r="G11" s="519"/>
      <c r="H11" s="518"/>
      <c r="I11" s="518"/>
      <c r="J11" s="518"/>
      <c r="K11" s="518"/>
      <c r="L11" s="518"/>
      <c r="M11" s="518"/>
      <c r="N11" s="518"/>
      <c r="O11" s="518"/>
      <c r="P11" s="518"/>
      <c r="Q11" s="518"/>
      <c r="R11" s="518"/>
      <c r="S11" s="518"/>
    </row>
    <row r="12" spans="1:19">
      <c r="A12" t="s">
        <v>882</v>
      </c>
      <c r="B12" s="517"/>
      <c r="F12" s="518"/>
      <c r="G12" s="519"/>
      <c r="H12" s="518"/>
      <c r="I12" s="518"/>
      <c r="J12" s="518"/>
      <c r="K12" s="518"/>
      <c r="L12" s="518"/>
      <c r="M12" s="518"/>
      <c r="N12" s="518"/>
      <c r="O12" s="518"/>
      <c r="P12" s="518"/>
      <c r="Q12" s="518"/>
      <c r="R12" s="518"/>
      <c r="S12" s="518"/>
    </row>
    <row r="13" spans="1:19">
      <c r="A13" t="s">
        <v>749</v>
      </c>
      <c r="B13" s="517">
        <f>'Upfront Metering Charges'!G120</f>
        <v>85.26128416537334</v>
      </c>
      <c r="F13" s="518"/>
      <c r="G13" s="519"/>
      <c r="H13" s="518"/>
      <c r="I13" s="518"/>
      <c r="J13" s="518"/>
      <c r="K13" s="518"/>
      <c r="L13" s="518"/>
      <c r="M13" s="518"/>
      <c r="N13" s="518"/>
      <c r="O13" s="518"/>
      <c r="P13" s="518"/>
      <c r="Q13" s="518"/>
      <c r="R13" s="518"/>
      <c r="S13" s="518"/>
    </row>
    <row r="14" spans="1:19">
      <c r="A14" t="s">
        <v>750</v>
      </c>
      <c r="B14" s="517">
        <f>'Upfront Metering Charges'!G121</f>
        <v>85.26128416537334</v>
      </c>
      <c r="F14" s="518"/>
      <c r="G14" s="519"/>
      <c r="H14" s="518"/>
      <c r="I14" s="518"/>
      <c r="J14" s="518"/>
      <c r="K14" s="518"/>
      <c r="L14" s="518"/>
      <c r="M14" s="518"/>
      <c r="N14" s="518"/>
      <c r="O14" s="518"/>
      <c r="P14" s="518"/>
      <c r="Q14" s="518"/>
      <c r="R14" s="518"/>
      <c r="S14" s="518"/>
    </row>
    <row r="15" spans="1:19">
      <c r="A15" t="s">
        <v>747</v>
      </c>
      <c r="B15" s="517">
        <f>'Upfront Metering Charges'!G122</f>
        <v>263.35292348793399</v>
      </c>
      <c r="F15" s="518"/>
      <c r="G15" s="519"/>
      <c r="H15" s="518"/>
      <c r="I15" s="518"/>
      <c r="J15" s="518"/>
      <c r="K15" s="518"/>
      <c r="L15" s="518"/>
      <c r="M15" s="518"/>
      <c r="N15" s="518"/>
      <c r="O15" s="518"/>
      <c r="P15" s="518"/>
      <c r="Q15" s="518"/>
      <c r="R15" s="518"/>
      <c r="S15" s="518"/>
    </row>
    <row r="16" spans="1:19">
      <c r="A16" t="s">
        <v>748</v>
      </c>
      <c r="B16" s="517">
        <f>'Upfront Metering Charges'!G123</f>
        <v>263.35292348793399</v>
      </c>
      <c r="F16" s="518"/>
      <c r="G16" s="519"/>
      <c r="H16" s="518"/>
      <c r="I16" s="518"/>
      <c r="J16" s="518"/>
      <c r="K16" s="518"/>
      <c r="L16" s="518"/>
      <c r="M16" s="518"/>
      <c r="N16" s="518"/>
      <c r="O16" s="518"/>
      <c r="P16" s="518"/>
      <c r="Q16" s="518"/>
      <c r="R16" s="518"/>
      <c r="S16" s="518"/>
    </row>
    <row r="17" spans="1:19">
      <c r="B17" s="517"/>
      <c r="F17" s="518"/>
      <c r="G17" s="519"/>
      <c r="H17" s="518"/>
      <c r="I17" s="518"/>
      <c r="J17" s="518"/>
      <c r="K17" s="518"/>
      <c r="L17" s="518"/>
      <c r="M17" s="518"/>
      <c r="N17" s="518"/>
      <c r="O17" s="518"/>
      <c r="P17" s="518"/>
      <c r="Q17" s="518"/>
      <c r="R17" s="518"/>
      <c r="S17" s="518"/>
    </row>
    <row r="18" spans="1:19">
      <c r="A18" t="s">
        <v>746</v>
      </c>
      <c r="B18" s="517"/>
      <c r="F18" s="518"/>
      <c r="G18" s="519"/>
      <c r="H18" s="518"/>
      <c r="I18" s="518"/>
      <c r="J18" s="518"/>
      <c r="K18" s="518"/>
      <c r="L18" s="518"/>
      <c r="M18" s="518"/>
      <c r="N18" s="518"/>
      <c r="O18" s="518"/>
      <c r="P18" s="518"/>
      <c r="Q18" s="518"/>
      <c r="R18" s="518"/>
      <c r="S18" s="518"/>
    </row>
    <row r="19" spans="1:19">
      <c r="A19" t="s">
        <v>747</v>
      </c>
      <c r="B19" s="517">
        <f>'Upfront Metering Charges'!I120</f>
        <v>40.610361367997577</v>
      </c>
      <c r="F19" s="518"/>
      <c r="G19" s="519"/>
      <c r="H19" s="518"/>
      <c r="I19" s="518"/>
      <c r="J19" s="518"/>
      <c r="K19" s="518"/>
      <c r="L19" s="518"/>
      <c r="M19" s="518"/>
      <c r="N19" s="518"/>
      <c r="O19" s="518"/>
      <c r="P19" s="518"/>
      <c r="Q19" s="518"/>
      <c r="R19" s="518"/>
      <c r="S19" s="518"/>
    </row>
    <row r="20" spans="1:19">
      <c r="A20" t="s">
        <v>748</v>
      </c>
      <c r="B20" s="517">
        <f>'Upfront Metering Charges'!I121</f>
        <v>85.26128416537334</v>
      </c>
      <c r="F20" s="518"/>
      <c r="G20" s="518"/>
      <c r="H20" s="518"/>
      <c r="I20" s="518"/>
      <c r="J20" s="518"/>
      <c r="K20" s="518"/>
      <c r="L20" s="518"/>
      <c r="M20" s="518"/>
      <c r="N20" s="518"/>
      <c r="O20" s="518"/>
      <c r="P20" s="518"/>
      <c r="Q20" s="518"/>
      <c r="R20" s="518"/>
      <c r="S20" s="518"/>
    </row>
    <row r="21" spans="1:19">
      <c r="A21" t="s">
        <v>749</v>
      </c>
      <c r="B21" s="517">
        <f>'Upfront Metering Charges'!I122</f>
        <v>109.41989124771494</v>
      </c>
      <c r="F21" s="518"/>
      <c r="G21" s="518"/>
      <c r="H21" s="518"/>
      <c r="I21" s="518"/>
      <c r="J21" s="518"/>
      <c r="K21" s="518"/>
      <c r="L21" s="518"/>
      <c r="M21" s="518"/>
      <c r="N21" s="518"/>
      <c r="O21" s="518"/>
      <c r="P21" s="518"/>
      <c r="Q21" s="518"/>
      <c r="R21" s="518"/>
      <c r="S21" s="518"/>
    </row>
    <row r="22" spans="1:19">
      <c r="A22" t="s">
        <v>750</v>
      </c>
      <c r="B22" s="517">
        <f>'Upfront Metering Charges'!I123</f>
        <v>111.11990344596366</v>
      </c>
      <c r="F22" s="518"/>
      <c r="G22" s="518"/>
      <c r="H22" s="518"/>
      <c r="I22" s="518"/>
      <c r="J22" s="518"/>
      <c r="K22" s="518"/>
      <c r="L22" s="518"/>
      <c r="M22" s="518"/>
      <c r="N22" s="518"/>
      <c r="O22" s="518"/>
      <c r="P22" s="518"/>
      <c r="Q22" s="518"/>
      <c r="R22" s="518"/>
      <c r="S22" s="518"/>
    </row>
    <row r="23" spans="1:19">
      <c r="B23" s="517"/>
      <c r="F23" s="518"/>
      <c r="G23" s="518"/>
      <c r="H23" s="518"/>
      <c r="I23" s="518"/>
      <c r="J23" s="518"/>
      <c r="K23" s="518"/>
      <c r="L23" s="518"/>
      <c r="M23" s="518"/>
      <c r="N23" s="518"/>
      <c r="O23" s="518"/>
      <c r="P23" s="518"/>
      <c r="Q23" s="518"/>
      <c r="R23" s="518"/>
      <c r="S23" s="518"/>
    </row>
    <row r="24" spans="1:19">
      <c r="B24" s="517"/>
      <c r="F24" s="518"/>
      <c r="G24" s="518"/>
      <c r="H24" s="518"/>
      <c r="I24" s="518"/>
      <c r="J24" s="518"/>
      <c r="K24" s="518"/>
      <c r="L24" s="518"/>
      <c r="M24" s="518"/>
      <c r="N24" s="518"/>
      <c r="O24" s="518"/>
      <c r="P24" s="518"/>
      <c r="Q24" s="518"/>
      <c r="R24" s="518"/>
      <c r="S24" s="518"/>
    </row>
    <row r="25" spans="1:19">
      <c r="A25" t="s">
        <v>883</v>
      </c>
      <c r="B25" s="517"/>
      <c r="F25" s="518"/>
      <c r="G25" s="518"/>
      <c r="H25" s="518"/>
      <c r="I25" s="518"/>
      <c r="J25" s="518"/>
      <c r="K25" s="518"/>
      <c r="L25" s="518"/>
      <c r="M25" s="518"/>
      <c r="N25" s="518"/>
      <c r="O25" s="518"/>
      <c r="P25" s="518"/>
      <c r="Q25" s="518"/>
      <c r="R25" s="518"/>
      <c r="S25" s="518"/>
    </row>
    <row r="26" spans="1:19">
      <c r="B26" s="517"/>
      <c r="F26" s="518"/>
      <c r="G26" s="518"/>
      <c r="H26" s="518"/>
      <c r="I26" s="518"/>
      <c r="J26" s="518"/>
      <c r="K26" s="518"/>
      <c r="L26" s="518"/>
      <c r="M26" s="518"/>
      <c r="N26" s="518"/>
      <c r="O26" s="518"/>
      <c r="P26" s="518"/>
      <c r="Q26" s="518"/>
      <c r="R26" s="518"/>
      <c r="S26" s="518"/>
    </row>
    <row r="27" spans="1:19">
      <c r="A27" t="s">
        <v>791</v>
      </c>
      <c r="B27" s="517" t="s">
        <v>183</v>
      </c>
    </row>
    <row r="28" spans="1:19">
      <c r="A28" t="s">
        <v>747</v>
      </c>
      <c r="B28" s="517" t="str">
        <f>'Upfront Metering Charges'!E124</f>
        <v>N/A</v>
      </c>
    </row>
    <row r="29" spans="1:19">
      <c r="A29" t="s">
        <v>748</v>
      </c>
      <c r="B29" s="517" t="str">
        <f>'Upfront Metering Charges'!E125</f>
        <v>N/A</v>
      </c>
    </row>
    <row r="30" spans="1:19">
      <c r="A30" t="s">
        <v>749</v>
      </c>
      <c r="B30" s="517">
        <f>'Upfront Metering Charges'!E126</f>
        <v>554.1779018365296</v>
      </c>
    </row>
    <row r="31" spans="1:19">
      <c r="A31" t="s">
        <v>750</v>
      </c>
      <c r="B31" s="517">
        <f>'Upfront Metering Charges'!E127</f>
        <v>554.1779018365296</v>
      </c>
    </row>
    <row r="32" spans="1:19">
      <c r="B32" s="517"/>
    </row>
    <row r="33" spans="1:2">
      <c r="A33" t="s">
        <v>882</v>
      </c>
      <c r="B33" s="517"/>
    </row>
    <row r="34" spans="1:2">
      <c r="A34" t="s">
        <v>747</v>
      </c>
      <c r="B34" s="517" t="str">
        <f>'Upfront Metering Charges'!G124</f>
        <v>N/A</v>
      </c>
    </row>
    <row r="35" spans="1:2">
      <c r="A35" t="s">
        <v>748</v>
      </c>
      <c r="B35" s="517" t="str">
        <f>'Upfront Metering Charges'!G125</f>
        <v>N/A</v>
      </c>
    </row>
    <row r="36" spans="1:2">
      <c r="A36" t="s">
        <v>749</v>
      </c>
      <c r="B36" s="517">
        <f>'Upfront Metering Charges'!G126</f>
        <v>359.59819239842426</v>
      </c>
    </row>
    <row r="37" spans="1:2">
      <c r="A37" t="s">
        <v>750</v>
      </c>
      <c r="B37" s="517">
        <f>'Upfront Metering Charges'!G127</f>
        <v>359.59819239842426</v>
      </c>
    </row>
    <row r="38" spans="1:2">
      <c r="B38" s="517"/>
    </row>
    <row r="39" spans="1:2">
      <c r="A39" t="s">
        <v>746</v>
      </c>
      <c r="B39" s="517"/>
    </row>
    <row r="40" spans="1:2">
      <c r="A40" t="s">
        <v>747</v>
      </c>
      <c r="B40" s="517" t="str">
        <f>'Upfront Metering Charges'!I124</f>
        <v>N/A</v>
      </c>
    </row>
    <row r="41" spans="1:2">
      <c r="A41" t="s">
        <v>748</v>
      </c>
      <c r="B41" s="517" t="str">
        <f>'Upfront Metering Charges'!I125</f>
        <v>N/A</v>
      </c>
    </row>
    <row r="42" spans="1:2">
      <c r="A42" t="s">
        <v>749</v>
      </c>
      <c r="B42" s="517">
        <f>'Upfront Metering Charges'!I126</f>
        <v>359.59819239842426</v>
      </c>
    </row>
    <row r="43" spans="1:2">
      <c r="A43" t="s">
        <v>750</v>
      </c>
      <c r="B43" s="517">
        <f>'Upfront Metering Charges'!I127</f>
        <v>359.59819239842426</v>
      </c>
    </row>
    <row r="44" spans="1:2">
      <c r="B44" s="517"/>
    </row>
    <row r="45" spans="1:2">
      <c r="B45" s="517"/>
    </row>
    <row r="46" spans="1:2">
      <c r="A46" t="s">
        <v>884</v>
      </c>
      <c r="B46" s="517"/>
    </row>
    <row r="47" spans="1:2">
      <c r="B47" s="517"/>
    </row>
    <row r="48" spans="1:2">
      <c r="A48" t="s">
        <v>791</v>
      </c>
      <c r="B48" s="517" t="s">
        <v>183</v>
      </c>
    </row>
    <row r="49" spans="1:2">
      <c r="A49" t="s">
        <v>747</v>
      </c>
      <c r="B49" s="517">
        <f>'Upfront Metering Charges'!E128</f>
        <v>733.41653734104113</v>
      </c>
    </row>
    <row r="50" spans="1:2">
      <c r="A50" t="s">
        <v>748</v>
      </c>
      <c r="B50" s="517">
        <f>'Upfront Metering Charges'!E129</f>
        <v>733.41653734104113</v>
      </c>
    </row>
    <row r="51" spans="1:2">
      <c r="A51" t="s">
        <v>749</v>
      </c>
      <c r="B51" s="517" t="str">
        <f>'Upfront Metering Charges'!E130</f>
        <v>N/A</v>
      </c>
    </row>
    <row r="52" spans="1:2">
      <c r="A52" t="s">
        <v>750</v>
      </c>
      <c r="B52" s="517" t="str">
        <f>'Upfront Metering Charges'!E131</f>
        <v>N/A</v>
      </c>
    </row>
    <row r="53" spans="1:2">
      <c r="B53" s="517"/>
    </row>
    <row r="54" spans="1:2">
      <c r="A54" t="s">
        <v>882</v>
      </c>
      <c r="B54" s="517"/>
    </row>
    <row r="55" spans="1:2">
      <c r="A55" t="s">
        <v>747</v>
      </c>
      <c r="B55" s="517">
        <f>'Upfront Metering Charges'!G128</f>
        <v>175.28000237384418</v>
      </c>
    </row>
    <row r="56" spans="1:2">
      <c r="A56" t="s">
        <v>748</v>
      </c>
      <c r="B56" s="517">
        <f>'Upfront Metering Charges'!G129</f>
        <v>175.28000237384418</v>
      </c>
    </row>
    <row r="57" spans="1:2">
      <c r="A57" t="s">
        <v>749</v>
      </c>
      <c r="B57" s="517" t="str">
        <f>'Upfront Metering Charges'!G130</f>
        <v>N/A</v>
      </c>
    </row>
    <row r="58" spans="1:2">
      <c r="A58" t="s">
        <v>750</v>
      </c>
      <c r="B58" s="517" t="str">
        <f>'Upfront Metering Charges'!G131</f>
        <v>N/A</v>
      </c>
    </row>
    <row r="59" spans="1:2">
      <c r="B59" s="517"/>
    </row>
    <row r="60" spans="1:2">
      <c r="A60" t="s">
        <v>746</v>
      </c>
      <c r="B60" s="517"/>
    </row>
    <row r="61" spans="1:2">
      <c r="A61" t="s">
        <v>747</v>
      </c>
      <c r="B61" s="517">
        <f>'Upfront Metering Charges'!I128</f>
        <v>175.28000237384418</v>
      </c>
    </row>
    <row r="62" spans="1:2">
      <c r="A62" t="s">
        <v>748</v>
      </c>
      <c r="B62" s="517">
        <f>'Upfront Metering Charges'!I129</f>
        <v>175.28000237384418</v>
      </c>
    </row>
    <row r="63" spans="1:2">
      <c r="A63" t="s">
        <v>749</v>
      </c>
      <c r="B63" s="517" t="str">
        <f>'Upfront Metering Charges'!I130</f>
        <v>N/A</v>
      </c>
    </row>
    <row r="64" spans="1:2">
      <c r="A64" t="s">
        <v>750</v>
      </c>
      <c r="B64" s="517" t="str">
        <f>'Upfront Metering Charges'!I131</f>
        <v>N/A</v>
      </c>
    </row>
  </sheetData>
  <mergeCells count="6">
    <mergeCell ref="I5:J5"/>
    <mergeCell ref="K5:L5"/>
    <mergeCell ref="M5:N5"/>
    <mergeCell ref="G8:G11"/>
    <mergeCell ref="G12:G15"/>
    <mergeCell ref="G16:G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showGridLines="0" topLeftCell="A4" workbookViewId="0">
      <selection activeCell="C4" sqref="C4"/>
    </sheetView>
  </sheetViews>
  <sheetFormatPr defaultRowHeight="12.75" outlineLevelRow="1"/>
  <cols>
    <col min="1" max="1" width="2.85546875" style="1" customWidth="1"/>
    <col min="2" max="2" width="63" style="10" customWidth="1"/>
    <col min="3" max="3" width="12.7109375" style="10" customWidth="1"/>
    <col min="4" max="8" width="12.7109375" style="1" customWidth="1"/>
    <col min="9" max="16384" width="9.140625" style="1"/>
  </cols>
  <sheetData>
    <row r="1" spans="1:10">
      <c r="C1" s="198"/>
    </row>
    <row r="2" spans="1:10" ht="15.75">
      <c r="A2" s="254" t="s">
        <v>503</v>
      </c>
    </row>
    <row r="3" spans="1:10" ht="15.75">
      <c r="A3" s="254" t="s">
        <v>738</v>
      </c>
    </row>
    <row r="4" spans="1:10" ht="15.75">
      <c r="A4" s="255" t="s">
        <v>499</v>
      </c>
    </row>
    <row r="6" spans="1:10">
      <c r="B6" s="467" t="s">
        <v>496</v>
      </c>
      <c r="C6" s="467"/>
      <c r="D6" s="467"/>
      <c r="E6" s="467"/>
      <c r="F6" s="467"/>
      <c r="G6" s="467"/>
      <c r="H6" s="467"/>
    </row>
    <row r="8" spans="1:10">
      <c r="C8" s="1"/>
      <c r="D8" s="464" t="s">
        <v>180</v>
      </c>
      <c r="E8" s="465"/>
      <c r="F8" s="465"/>
      <c r="G8" s="465"/>
      <c r="H8" s="466"/>
    </row>
    <row r="9" spans="1:10" ht="25.5">
      <c r="C9" s="40" t="s">
        <v>250</v>
      </c>
      <c r="D9" s="40" t="s">
        <v>42</v>
      </c>
      <c r="E9" s="40" t="s">
        <v>43</v>
      </c>
      <c r="F9" s="40" t="s">
        <v>44</v>
      </c>
      <c r="G9" s="40" t="s">
        <v>45</v>
      </c>
      <c r="H9" s="40" t="s">
        <v>46</v>
      </c>
    </row>
    <row r="11" spans="1:10">
      <c r="B11" s="468" t="s">
        <v>498</v>
      </c>
      <c r="C11" s="468"/>
      <c r="D11" s="468"/>
      <c r="E11" s="468"/>
      <c r="F11" s="468"/>
      <c r="G11" s="468"/>
      <c r="H11" s="468"/>
    </row>
    <row r="12" spans="1:10">
      <c r="C12" s="97"/>
      <c r="J12" s="2"/>
    </row>
    <row r="13" spans="1:10" outlineLevel="1">
      <c r="B13" s="85" t="s">
        <v>216</v>
      </c>
      <c r="C13" s="97">
        <f>'Pricing Calc (Per Service)'!C107</f>
        <v>5.5461084143572803</v>
      </c>
      <c r="D13" s="97">
        <f>'Pricing Calc (Per Service)'!D107</f>
        <v>5.2630686954654422</v>
      </c>
      <c r="E13" s="97">
        <f>'Pricing Calc (Per Service)'!E107</f>
        <v>5.470092062778237</v>
      </c>
      <c r="F13" s="97">
        <f>'Pricing Calc (Per Service)'!F107</f>
        <v>5.560414034386036</v>
      </c>
      <c r="G13" s="97">
        <f>'Pricing Calc (Per Service)'!G107</f>
        <v>5.6733234512756905</v>
      </c>
      <c r="H13" s="97">
        <f>'Pricing Calc (Per Service)'!H107</f>
        <v>5.7636438278809967</v>
      </c>
    </row>
    <row r="14" spans="1:10" outlineLevel="1">
      <c r="B14" s="85" t="s">
        <v>217</v>
      </c>
      <c r="C14" s="97">
        <f>'Pricing Calc (Per Service)'!C117</f>
        <v>4.5279036538593314</v>
      </c>
      <c r="D14" s="97">
        <f>'Pricing Calc (Per Service)'!D117</f>
        <v>4.2409121275516846</v>
      </c>
      <c r="E14" s="97">
        <f>'Pricing Calc (Per Service)'!E117</f>
        <v>4.4441165738913551</v>
      </c>
      <c r="F14" s="97">
        <f>'Pricing Calc (Per Service)'!F117</f>
        <v>4.5404918224575876</v>
      </c>
      <c r="G14" s="97">
        <f>'Pricing Calc (Per Service)'!G117</f>
        <v>4.6571105048706913</v>
      </c>
      <c r="H14" s="97">
        <f>'Pricing Calc (Per Service)'!H117</f>
        <v>4.75688724052534</v>
      </c>
    </row>
    <row r="15" spans="1:10" outlineLevel="1">
      <c r="B15" s="85" t="s">
        <v>218</v>
      </c>
      <c r="C15" s="97">
        <f>'Pricing Calc (Per Service)'!C127</f>
        <v>3.5350178846347426</v>
      </c>
      <c r="D15" s="97">
        <f>'Pricing Calc (Per Service)'!D127</f>
        <v>3.2330152046012346</v>
      </c>
      <c r="E15" s="97">
        <f>'Pricing Calc (Per Service)'!E127</f>
        <v>3.4403273761884803</v>
      </c>
      <c r="F15" s="97">
        <f>'Pricing Calc (Per Service)'!F127</f>
        <v>3.5455524298470498</v>
      </c>
      <c r="G15" s="97">
        <f>'Pricing Calc (Per Service)'!G127</f>
        <v>3.6703711210048748</v>
      </c>
      <c r="H15" s="97">
        <f>'Pricing Calc (Per Service)'!H127</f>
        <v>3.7858232915320746</v>
      </c>
    </row>
    <row r="16" spans="1:10" outlineLevel="1">
      <c r="B16" s="85" t="s">
        <v>235</v>
      </c>
      <c r="C16" s="97">
        <f>'Pricing Calc (Per Service)'!C137</f>
        <v>0.59645581916944135</v>
      </c>
      <c r="D16" s="97">
        <f>'Pricing Calc (Per Service)'!D137</f>
        <v>0</v>
      </c>
      <c r="E16" s="97">
        <f>'Pricing Calc (Per Service)'!E137</f>
        <v>0.24062280296710215</v>
      </c>
      <c r="F16" s="97">
        <f>'Pricing Calc (Per Service)'!F137</f>
        <v>0.47356429954103085</v>
      </c>
      <c r="G16" s="97">
        <f>'Pricing Calc (Per Service)'!G137</f>
        <v>0.85855385043911014</v>
      </c>
      <c r="H16" s="97">
        <f>'Pricing Calc (Per Service)'!H137</f>
        <v>1.4095381428999638</v>
      </c>
    </row>
    <row r="17" spans="2:11" outlineLevel="1">
      <c r="B17" s="85" t="s">
        <v>213</v>
      </c>
      <c r="C17" s="97">
        <f>'Pricing Calc (Per Service)'!C147</f>
        <v>1.2033834292579109</v>
      </c>
      <c r="D17" s="97">
        <f>'Pricing Calc (Per Service)'!D147</f>
        <v>1.2214719195700983</v>
      </c>
      <c r="E17" s="97">
        <f>'Pricing Calc (Per Service)'!E147</f>
        <v>1.2100889942439155</v>
      </c>
      <c r="F17" s="97">
        <f>'Pricing Calc (Per Service)'!F147</f>
        <v>1.2031454515186222</v>
      </c>
      <c r="G17" s="97">
        <f>'Pricing Calc (Per Service)'!G147</f>
        <v>1.1956018575598741</v>
      </c>
      <c r="H17" s="97">
        <f>'Pricing Calc (Per Service)'!H147</f>
        <v>1.1866089233970443</v>
      </c>
    </row>
    <row r="18" spans="2:11">
      <c r="B18" s="60" t="s">
        <v>167</v>
      </c>
      <c r="C18" s="127">
        <f>SUM(C13:C17)</f>
        <v>15.408869201278705</v>
      </c>
      <c r="D18" s="127">
        <f t="shared" ref="D18:G18" si="0">SUM(D13:D17)</f>
        <v>13.958467947188458</v>
      </c>
      <c r="E18" s="127">
        <f t="shared" si="0"/>
        <v>14.805247810069091</v>
      </c>
      <c r="F18" s="127">
        <f t="shared" si="0"/>
        <v>15.323168037750328</v>
      </c>
      <c r="G18" s="127">
        <f t="shared" si="0"/>
        <v>16.054960785150243</v>
      </c>
      <c r="H18" s="127">
        <f>SUM(H13:H17)</f>
        <v>16.902501426235418</v>
      </c>
      <c r="I18" s="212"/>
      <c r="J18" s="205"/>
      <c r="K18" s="211"/>
    </row>
    <row r="19" spans="2:11" outlineLevel="1">
      <c r="B19" s="85" t="s">
        <v>216</v>
      </c>
      <c r="C19" s="97">
        <f>'Pricing Calc (Per Service)'!C108</f>
        <v>5.5461084143572803</v>
      </c>
      <c r="D19" s="97">
        <f>'Pricing Calc (Per Service)'!D108</f>
        <v>5.2630686954654422</v>
      </c>
      <c r="E19" s="97">
        <f>'Pricing Calc (Per Service)'!E108</f>
        <v>5.4700920627782379</v>
      </c>
      <c r="F19" s="97">
        <f>'Pricing Calc (Per Service)'!F108</f>
        <v>5.560414034386036</v>
      </c>
      <c r="G19" s="97">
        <f>'Pricing Calc (Per Service)'!G108</f>
        <v>5.6733234512756896</v>
      </c>
      <c r="H19" s="97">
        <f>'Pricing Calc (Per Service)'!H108</f>
        <v>5.7636438278809967</v>
      </c>
      <c r="I19" s="212"/>
      <c r="J19" s="205"/>
      <c r="K19" s="211"/>
    </row>
    <row r="20" spans="2:11" outlineLevel="1">
      <c r="B20" s="85" t="s">
        <v>217</v>
      </c>
      <c r="C20" s="97">
        <f>'Pricing Calc (Per Service)'!C118</f>
        <v>13.583710961577996</v>
      </c>
      <c r="D20" s="97">
        <f>'Pricing Calc (Per Service)'!D118</f>
        <v>12.722736382655054</v>
      </c>
      <c r="E20" s="97">
        <f>'Pricing Calc (Per Service)'!E118</f>
        <v>13.332349721674067</v>
      </c>
      <c r="F20" s="97">
        <f>'Pricing Calc (Per Service)'!F118</f>
        <v>13.621475467372763</v>
      </c>
      <c r="G20" s="97">
        <f>'Pricing Calc (Per Service)'!G118</f>
        <v>13.971331514612075</v>
      </c>
      <c r="H20" s="97">
        <f>'Pricing Calc (Per Service)'!H118</f>
        <v>14.270661721576021</v>
      </c>
      <c r="I20" s="212"/>
      <c r="J20" s="205"/>
      <c r="K20" s="211"/>
    </row>
    <row r="21" spans="2:11" outlineLevel="1">
      <c r="B21" s="85" t="s">
        <v>218</v>
      </c>
      <c r="C21" s="97">
        <f>'Pricing Calc (Per Service)'!C128</f>
        <v>10.605053653904228</v>
      </c>
      <c r="D21" s="97">
        <f>'Pricing Calc (Per Service)'!D128</f>
        <v>9.6990456138037011</v>
      </c>
      <c r="E21" s="97">
        <f>'Pricing Calc (Per Service)'!E128</f>
        <v>10.32098212856544</v>
      </c>
      <c r="F21" s="97">
        <f>'Pricing Calc (Per Service)'!F128</f>
        <v>10.636657289541148</v>
      </c>
      <c r="G21" s="97">
        <f>'Pricing Calc (Per Service)'!G128</f>
        <v>11.011113363014626</v>
      </c>
      <c r="H21" s="97">
        <f>'Pricing Calc (Per Service)'!H128</f>
        <v>11.357469874596225</v>
      </c>
      <c r="I21" s="212"/>
      <c r="J21" s="205"/>
      <c r="K21" s="211"/>
    </row>
    <row r="22" spans="2:11" outlineLevel="1">
      <c r="B22" s="85" t="s">
        <v>235</v>
      </c>
      <c r="C22" s="97">
        <f>'Pricing Calc (Per Service)'!C138</f>
        <v>0.59645581916944135</v>
      </c>
      <c r="D22" s="97">
        <f>'Pricing Calc (Per Service)'!D138</f>
        <v>0</v>
      </c>
      <c r="E22" s="97">
        <f>'Pricing Calc (Per Service)'!E138</f>
        <v>0.24062280296710217</v>
      </c>
      <c r="F22" s="97">
        <f>'Pricing Calc (Per Service)'!F138</f>
        <v>0.47356429954103085</v>
      </c>
      <c r="G22" s="97">
        <f>'Pricing Calc (Per Service)'!G138</f>
        <v>0.85855385043911014</v>
      </c>
      <c r="H22" s="97">
        <f>'Pricing Calc (Per Service)'!H138</f>
        <v>1.4095381428999638</v>
      </c>
      <c r="I22" s="212"/>
      <c r="J22" s="205"/>
      <c r="K22" s="211"/>
    </row>
    <row r="23" spans="2:11" outlineLevel="1">
      <c r="B23" s="85" t="s">
        <v>213</v>
      </c>
      <c r="C23" s="97">
        <f>'Pricing Calc (Per Service)'!C148</f>
        <v>1.2033834292579109</v>
      </c>
      <c r="D23" s="97">
        <f>'Pricing Calc (Per Service)'!D148</f>
        <v>1.2214719195700985</v>
      </c>
      <c r="E23" s="97">
        <f>'Pricing Calc (Per Service)'!E148</f>
        <v>1.2100889942439153</v>
      </c>
      <c r="F23" s="97">
        <f>'Pricing Calc (Per Service)'!F148</f>
        <v>1.2031454515186222</v>
      </c>
      <c r="G23" s="97">
        <f>'Pricing Calc (Per Service)'!G148</f>
        <v>1.1956018575598739</v>
      </c>
      <c r="H23" s="97">
        <f>'Pricing Calc (Per Service)'!H148</f>
        <v>1.186608923397044</v>
      </c>
      <c r="I23" s="212"/>
      <c r="J23" s="205"/>
      <c r="K23" s="211"/>
    </row>
    <row r="24" spans="2:11">
      <c r="B24" s="60" t="s">
        <v>269</v>
      </c>
      <c r="C24" s="127">
        <f>SUM(C19:C23)</f>
        <v>31.534712278266859</v>
      </c>
      <c r="D24" s="127">
        <f t="shared" ref="D24:G24" si="1">SUM(D19:D23)</f>
        <v>28.906322611494296</v>
      </c>
      <c r="E24" s="127">
        <f t="shared" si="1"/>
        <v>30.574135710228763</v>
      </c>
      <c r="F24" s="127">
        <f t="shared" si="1"/>
        <v>31.495256542359602</v>
      </c>
      <c r="G24" s="127">
        <f t="shared" si="1"/>
        <v>32.709924036901377</v>
      </c>
      <c r="H24" s="127">
        <f>SUM(H19:H23)</f>
        <v>33.98792249035025</v>
      </c>
      <c r="I24" s="212"/>
      <c r="J24" s="205"/>
      <c r="K24" s="211"/>
    </row>
    <row r="25" spans="2:11" outlineLevel="1">
      <c r="B25" s="85" t="s">
        <v>216</v>
      </c>
      <c r="C25" s="97">
        <f>'Pricing Calc (Per Service)'!C109</f>
        <v>27.730542071786402</v>
      </c>
      <c r="D25" s="97">
        <f>'Pricing Calc (Per Service)'!D109</f>
        <v>26.315343477327215</v>
      </c>
      <c r="E25" s="97">
        <f>'Pricing Calc (Per Service)'!E109</f>
        <v>27.35046031389119</v>
      </c>
      <c r="F25" s="97">
        <f>'Pricing Calc (Per Service)'!F109</f>
        <v>27.802070171930183</v>
      </c>
      <c r="G25" s="97">
        <f>'Pricing Calc (Per Service)'!G109</f>
        <v>28.366617256378451</v>
      </c>
      <c r="H25" s="97">
        <f>'Pricing Calc (Per Service)'!H109</f>
        <v>28.818219139404984</v>
      </c>
      <c r="I25" s="212"/>
      <c r="J25" s="205"/>
      <c r="K25" s="211"/>
    </row>
    <row r="26" spans="2:11" outlineLevel="1">
      <c r="B26" s="85" t="s">
        <v>217</v>
      </c>
      <c r="C26" s="97">
        <f>'Pricing Calc (Per Service)'!C119</f>
        <v>86.030169423327294</v>
      </c>
      <c r="D26" s="97">
        <f>'Pricing Calc (Per Service)'!D119</f>
        <v>80.57733042348201</v>
      </c>
      <c r="E26" s="97">
        <f>'Pricing Calc (Per Service)'!E119</f>
        <v>84.438214903935759</v>
      </c>
      <c r="F26" s="97">
        <f>'Pricing Calc (Per Service)'!F119</f>
        <v>86.269344626694149</v>
      </c>
      <c r="G26" s="97">
        <f>'Pricing Calc (Per Service)'!G119</f>
        <v>88.485099592543136</v>
      </c>
      <c r="H26" s="97">
        <f>'Pricing Calc (Per Service)'!H119</f>
        <v>90.380857569981472</v>
      </c>
      <c r="I26" s="212"/>
      <c r="J26" s="205"/>
      <c r="K26" s="211"/>
    </row>
    <row r="27" spans="2:11" outlineLevel="1">
      <c r="B27" s="85" t="s">
        <v>218</v>
      </c>
      <c r="C27" s="97">
        <f>'Pricing Calc (Per Service)'!C129</f>
        <v>10.605053653904227</v>
      </c>
      <c r="D27" s="97">
        <f>'Pricing Calc (Per Service)'!D129</f>
        <v>9.6990456138037029</v>
      </c>
      <c r="E27" s="97">
        <f>'Pricing Calc (Per Service)'!E129</f>
        <v>10.32098212856544</v>
      </c>
      <c r="F27" s="97">
        <f>'Pricing Calc (Per Service)'!F129</f>
        <v>10.636657289541148</v>
      </c>
      <c r="G27" s="97">
        <f>'Pricing Calc (Per Service)'!G129</f>
        <v>11.011113363014625</v>
      </c>
      <c r="H27" s="97">
        <f>'Pricing Calc (Per Service)'!H129</f>
        <v>11.357469874596223</v>
      </c>
      <c r="I27" s="212"/>
      <c r="J27" s="205"/>
      <c r="K27" s="211"/>
    </row>
    <row r="28" spans="2:11" outlineLevel="1">
      <c r="B28" s="85" t="s">
        <v>235</v>
      </c>
      <c r="C28" s="97">
        <f>'Pricing Calc (Per Service)'!C139</f>
        <v>0.59645581916944135</v>
      </c>
      <c r="D28" s="97">
        <f>'Pricing Calc (Per Service)'!D139</f>
        <v>0</v>
      </c>
      <c r="E28" s="97">
        <f>'Pricing Calc (Per Service)'!E139</f>
        <v>0.24062280296710217</v>
      </c>
      <c r="F28" s="97">
        <f>'Pricing Calc (Per Service)'!F139</f>
        <v>0.47356429954103085</v>
      </c>
      <c r="G28" s="97">
        <f>'Pricing Calc (Per Service)'!G139</f>
        <v>0.85855385043911014</v>
      </c>
      <c r="H28" s="97">
        <f>'Pricing Calc (Per Service)'!H139</f>
        <v>1.4095381428999638</v>
      </c>
      <c r="I28" s="212"/>
      <c r="J28" s="205"/>
      <c r="K28" s="211"/>
    </row>
    <row r="29" spans="2:11" outlineLevel="1">
      <c r="B29" s="85" t="s">
        <v>213</v>
      </c>
      <c r="C29" s="97">
        <f>'Pricing Calc (Per Service)'!C149</f>
        <v>1.2033834292579109</v>
      </c>
      <c r="D29" s="97">
        <f>'Pricing Calc (Per Service)'!D149</f>
        <v>1.2214719195700985</v>
      </c>
      <c r="E29" s="97">
        <f>'Pricing Calc (Per Service)'!E149</f>
        <v>1.2100889942439155</v>
      </c>
      <c r="F29" s="97">
        <f>'Pricing Calc (Per Service)'!F149</f>
        <v>1.2031454515186222</v>
      </c>
      <c r="G29" s="97">
        <f>'Pricing Calc (Per Service)'!G149</f>
        <v>1.1956018575598739</v>
      </c>
      <c r="H29" s="97">
        <f>'Pricing Calc (Per Service)'!H149</f>
        <v>1.186608923397044</v>
      </c>
      <c r="I29" s="212"/>
      <c r="J29" s="205"/>
      <c r="K29" s="211"/>
    </row>
    <row r="30" spans="2:11">
      <c r="B30" s="60" t="s">
        <v>272</v>
      </c>
      <c r="C30" s="127">
        <f>SUM(C25:C29)</f>
        <v>126.16560439744526</v>
      </c>
      <c r="D30" s="127">
        <f t="shared" ref="D30:G30" si="2">SUM(D25:D29)</f>
        <v>117.81319143418303</v>
      </c>
      <c r="E30" s="127">
        <f t="shared" si="2"/>
        <v>123.56036914360341</v>
      </c>
      <c r="F30" s="127">
        <f t="shared" si="2"/>
        <v>126.38478183922513</v>
      </c>
      <c r="G30" s="127">
        <f t="shared" si="2"/>
        <v>129.9169859199352</v>
      </c>
      <c r="H30" s="127">
        <f>SUM(H25:H29)</f>
        <v>133.1526936502797</v>
      </c>
      <c r="I30" s="212"/>
      <c r="J30" s="205"/>
      <c r="K30" s="211"/>
    </row>
    <row r="31" spans="2:11" outlineLevel="1">
      <c r="B31" s="85" t="s">
        <v>216</v>
      </c>
      <c r="C31" s="97">
        <f>'Pricing Calc (Per Service)'!C110</f>
        <v>5.5461084143572803</v>
      </c>
      <c r="D31" s="97">
        <f>'Pricing Calc (Per Service)'!D110</f>
        <v>5.2630686954654422</v>
      </c>
      <c r="E31" s="97">
        <f>'Pricing Calc (Per Service)'!E110</f>
        <v>5.4700920627782379</v>
      </c>
      <c r="F31" s="97">
        <f>'Pricing Calc (Per Service)'!F110</f>
        <v>5.560414034386036</v>
      </c>
      <c r="G31" s="97">
        <f>'Pricing Calc (Per Service)'!G110</f>
        <v>5.6733234512756896</v>
      </c>
      <c r="H31" s="97">
        <f>'Pricing Calc (Per Service)'!H110</f>
        <v>5.7636438278809958</v>
      </c>
      <c r="I31" s="212"/>
      <c r="J31" s="205"/>
      <c r="K31" s="211"/>
    </row>
    <row r="32" spans="2:11" outlineLevel="1">
      <c r="B32" s="85" t="s">
        <v>217</v>
      </c>
      <c r="C32" s="97">
        <f>'Pricing Calc (Per Service)'!C120</f>
        <v>4.5279036538593314</v>
      </c>
      <c r="D32" s="97">
        <f>'Pricing Calc (Per Service)'!D120</f>
        <v>4.2409121275516846</v>
      </c>
      <c r="E32" s="97">
        <f>'Pricing Calc (Per Service)'!E120</f>
        <v>4.4441165738913551</v>
      </c>
      <c r="F32" s="97">
        <f>'Pricing Calc (Per Service)'!F120</f>
        <v>4.5404918224575876</v>
      </c>
      <c r="G32" s="97">
        <f>'Pricing Calc (Per Service)'!G120</f>
        <v>4.6571105048706904</v>
      </c>
      <c r="H32" s="97">
        <f>'Pricing Calc (Per Service)'!H120</f>
        <v>4.75688724052534</v>
      </c>
      <c r="I32" s="212"/>
      <c r="J32" s="205"/>
      <c r="K32" s="211"/>
    </row>
    <row r="33" spans="2:11" outlineLevel="1">
      <c r="B33" s="85" t="s">
        <v>218</v>
      </c>
      <c r="C33" s="97">
        <f>'Pricing Calc (Per Service)'!C130</f>
        <v>10.605053653904227</v>
      </c>
      <c r="D33" s="97">
        <f>'Pricing Calc (Per Service)'!D130</f>
        <v>9.6990456138037029</v>
      </c>
      <c r="E33" s="97">
        <f>'Pricing Calc (Per Service)'!E130</f>
        <v>10.320982128565442</v>
      </c>
      <c r="F33" s="97">
        <f>'Pricing Calc (Per Service)'!F130</f>
        <v>10.63665728954115</v>
      </c>
      <c r="G33" s="97">
        <f>'Pricing Calc (Per Service)'!G130</f>
        <v>11.011113363014625</v>
      </c>
      <c r="H33" s="97">
        <f>'Pricing Calc (Per Service)'!H130</f>
        <v>11.357469874596223</v>
      </c>
      <c r="I33" s="212"/>
      <c r="J33" s="205"/>
      <c r="K33" s="211"/>
    </row>
    <row r="34" spans="2:11" outlineLevel="1">
      <c r="B34" s="85" t="s">
        <v>235</v>
      </c>
      <c r="C34" s="97">
        <f>'Pricing Calc (Per Service)'!C140</f>
        <v>0.59645581916944135</v>
      </c>
      <c r="D34" s="97">
        <f>'Pricing Calc (Per Service)'!D140</f>
        <v>0</v>
      </c>
      <c r="E34" s="97">
        <f>'Pricing Calc (Per Service)'!E140</f>
        <v>0.24062280296710215</v>
      </c>
      <c r="F34" s="97">
        <f>'Pricing Calc (Per Service)'!F140</f>
        <v>0.4735642995410308</v>
      </c>
      <c r="G34" s="97">
        <f>'Pricing Calc (Per Service)'!G140</f>
        <v>0.85855385043911014</v>
      </c>
      <c r="H34" s="97">
        <f>'Pricing Calc (Per Service)'!H140</f>
        <v>1.4095381428999638</v>
      </c>
      <c r="I34" s="212"/>
      <c r="J34" s="205"/>
      <c r="K34" s="211"/>
    </row>
    <row r="35" spans="2:11" outlineLevel="1">
      <c r="B35" s="85" t="s">
        <v>213</v>
      </c>
      <c r="C35" s="97">
        <f>'Pricing Calc (Per Service)'!C150</f>
        <v>1.2033834292579109</v>
      </c>
      <c r="D35" s="97">
        <f>'Pricing Calc (Per Service)'!D150</f>
        <v>1.2214719195700983</v>
      </c>
      <c r="E35" s="97">
        <f>'Pricing Calc (Per Service)'!E150</f>
        <v>1.2100889942439155</v>
      </c>
      <c r="F35" s="97">
        <f>'Pricing Calc (Per Service)'!F150</f>
        <v>1.2031454515186222</v>
      </c>
      <c r="G35" s="97">
        <f>'Pricing Calc (Per Service)'!G150</f>
        <v>1.1956018575598739</v>
      </c>
      <c r="H35" s="97">
        <f>'Pricing Calc (Per Service)'!H150</f>
        <v>1.186608923397044</v>
      </c>
      <c r="I35" s="212"/>
      <c r="J35" s="205"/>
      <c r="K35" s="211"/>
    </row>
    <row r="36" spans="2:11">
      <c r="B36" s="60" t="s">
        <v>170</v>
      </c>
      <c r="C36" s="127">
        <f>SUM(C31:C35)</f>
        <v>22.478904970548193</v>
      </c>
      <c r="D36" s="127">
        <f t="shared" ref="D36:G36" si="3">SUM(D31:D35)</f>
        <v>20.424498356390927</v>
      </c>
      <c r="E36" s="127">
        <f t="shared" si="3"/>
        <v>21.685902562446049</v>
      </c>
      <c r="F36" s="127">
        <f t="shared" si="3"/>
        <v>22.414272897444427</v>
      </c>
      <c r="G36" s="127">
        <f t="shared" si="3"/>
        <v>23.395703027159989</v>
      </c>
      <c r="H36" s="127">
        <f>SUM(H31:H35)</f>
        <v>24.474148009299569</v>
      </c>
      <c r="I36" s="212"/>
      <c r="J36" s="205"/>
      <c r="K36" s="211"/>
    </row>
    <row r="37" spans="2:11" outlineLevel="1">
      <c r="B37" s="85" t="s">
        <v>216</v>
      </c>
      <c r="C37" s="97">
        <f>'Pricing Calc (Per Service)'!C111</f>
        <v>5.5461084143572821</v>
      </c>
      <c r="D37" s="97">
        <f>'Pricing Calc (Per Service)'!D111</f>
        <v>5.2630686954654422</v>
      </c>
      <c r="E37" s="97">
        <f>'Pricing Calc (Per Service)'!E111</f>
        <v>5.4700920627782379</v>
      </c>
      <c r="F37" s="97">
        <f>'Pricing Calc (Per Service)'!F111</f>
        <v>5.5604140343860369</v>
      </c>
      <c r="G37" s="97">
        <f>'Pricing Calc (Per Service)'!G111</f>
        <v>5.6733234512756905</v>
      </c>
      <c r="H37" s="97">
        <f>'Pricing Calc (Per Service)'!H111</f>
        <v>5.7636438278809976</v>
      </c>
      <c r="I37" s="212"/>
      <c r="J37" s="205"/>
      <c r="K37" s="211"/>
    </row>
    <row r="38" spans="2:11" outlineLevel="1">
      <c r="B38" s="85" t="s">
        <v>217</v>
      </c>
      <c r="C38" s="97">
        <f>'Pricing Calc (Per Service)'!C121</f>
        <v>13.583710961577996</v>
      </c>
      <c r="D38" s="97">
        <f>'Pricing Calc (Per Service)'!D121</f>
        <v>12.722736382655054</v>
      </c>
      <c r="E38" s="97">
        <f>'Pricing Calc (Per Service)'!E121</f>
        <v>13.332349721674065</v>
      </c>
      <c r="F38" s="97">
        <f>'Pricing Calc (Per Service)'!F121</f>
        <v>13.621475467372761</v>
      </c>
      <c r="G38" s="97">
        <f>'Pricing Calc (Per Service)'!G121</f>
        <v>13.971331514612075</v>
      </c>
      <c r="H38" s="97">
        <f>'Pricing Calc (Per Service)'!H121</f>
        <v>14.270661721576021</v>
      </c>
      <c r="I38" s="212"/>
      <c r="J38" s="205"/>
      <c r="K38" s="211"/>
    </row>
    <row r="39" spans="2:11" outlineLevel="1">
      <c r="B39" s="85" t="s">
        <v>218</v>
      </c>
      <c r="C39" s="97">
        <f>'Pricing Calc (Per Service)'!C131</f>
        <v>31.815160961712685</v>
      </c>
      <c r="D39" s="97">
        <f>'Pricing Calc (Per Service)'!D131</f>
        <v>29.09713684141111</v>
      </c>
      <c r="E39" s="97">
        <f>'Pricing Calc (Per Service)'!E131</f>
        <v>30.96294638569632</v>
      </c>
      <c r="F39" s="97">
        <f>'Pricing Calc (Per Service)'!F131</f>
        <v>31.909971868623447</v>
      </c>
      <c r="G39" s="97">
        <f>'Pricing Calc (Per Service)'!G131</f>
        <v>33.033340089043875</v>
      </c>
      <c r="H39" s="97">
        <f>'Pricing Calc (Per Service)'!H131</f>
        <v>34.072409623788673</v>
      </c>
      <c r="I39" s="212"/>
      <c r="J39" s="205"/>
      <c r="K39" s="211"/>
    </row>
    <row r="40" spans="2:11" outlineLevel="1">
      <c r="B40" s="85" t="s">
        <v>235</v>
      </c>
      <c r="C40" s="97">
        <f>'Pricing Calc (Per Service)'!C141</f>
        <v>0.59645581916944135</v>
      </c>
      <c r="D40" s="97">
        <f>'Pricing Calc (Per Service)'!D141</f>
        <v>0</v>
      </c>
      <c r="E40" s="97">
        <f>'Pricing Calc (Per Service)'!E141</f>
        <v>0.24062280296710217</v>
      </c>
      <c r="F40" s="97">
        <f>'Pricing Calc (Per Service)'!F141</f>
        <v>0.47356429954103085</v>
      </c>
      <c r="G40" s="97">
        <f>'Pricing Calc (Per Service)'!G141</f>
        <v>0.85855385043911014</v>
      </c>
      <c r="H40" s="97">
        <f>'Pricing Calc (Per Service)'!H141</f>
        <v>1.4095381428999636</v>
      </c>
      <c r="I40" s="212"/>
      <c r="J40" s="205"/>
      <c r="K40" s="211"/>
    </row>
    <row r="41" spans="2:11" outlineLevel="1">
      <c r="B41" s="85" t="s">
        <v>213</v>
      </c>
      <c r="C41" s="97">
        <f>'Pricing Calc (Per Service)'!C151</f>
        <v>1.2033834292579109</v>
      </c>
      <c r="D41" s="97">
        <f>'Pricing Calc (Per Service)'!D151</f>
        <v>1.2214719195700985</v>
      </c>
      <c r="E41" s="97">
        <f>'Pricing Calc (Per Service)'!E151</f>
        <v>1.2100889942439155</v>
      </c>
      <c r="F41" s="97">
        <f>'Pricing Calc (Per Service)'!F151</f>
        <v>1.2031454515186222</v>
      </c>
      <c r="G41" s="97">
        <f>'Pricing Calc (Per Service)'!G151</f>
        <v>1.1956018575598739</v>
      </c>
      <c r="H41" s="97">
        <f>'Pricing Calc (Per Service)'!H151</f>
        <v>1.1866089233970438</v>
      </c>
      <c r="I41" s="212"/>
      <c r="J41" s="205"/>
      <c r="K41" s="211"/>
    </row>
    <row r="42" spans="2:11">
      <c r="B42" s="60" t="s">
        <v>270</v>
      </c>
      <c r="C42" s="127">
        <f>SUM(C37:C41)</f>
        <v>52.744819586075316</v>
      </c>
      <c r="D42" s="127">
        <f t="shared" ref="D42:G42" si="4">SUM(D37:D41)</f>
        <v>48.304413839101706</v>
      </c>
      <c r="E42" s="127">
        <f t="shared" si="4"/>
        <v>51.216099967359646</v>
      </c>
      <c r="F42" s="127">
        <f t="shared" si="4"/>
        <v>52.768571121441902</v>
      </c>
      <c r="G42" s="127">
        <f t="shared" si="4"/>
        <v>54.732150762930623</v>
      </c>
      <c r="H42" s="127">
        <f>SUM(H37:H41)</f>
        <v>56.702862239542696</v>
      </c>
      <c r="I42" s="212"/>
      <c r="J42" s="205"/>
      <c r="K42" s="211"/>
    </row>
    <row r="43" spans="2:11" outlineLevel="1">
      <c r="B43" s="85" t="s">
        <v>216</v>
      </c>
      <c r="C43" s="97">
        <f>'Pricing Calc (Per Service)'!C112</f>
        <v>27.730542071786402</v>
      </c>
      <c r="D43" s="97">
        <f>'Pricing Calc (Per Service)'!D112</f>
        <v>26.315343477327215</v>
      </c>
      <c r="E43" s="97">
        <f>'Pricing Calc (Per Service)'!E112</f>
        <v>27.35046031389119</v>
      </c>
      <c r="F43" s="97">
        <f>'Pricing Calc (Per Service)'!F112</f>
        <v>27.802070171930179</v>
      </c>
      <c r="G43" s="97">
        <f>'Pricing Calc (Per Service)'!G112</f>
        <v>28.366617256378451</v>
      </c>
      <c r="H43" s="97">
        <f>'Pricing Calc (Per Service)'!H112</f>
        <v>28.818219139404984</v>
      </c>
      <c r="I43" s="212"/>
      <c r="J43" s="205"/>
      <c r="K43" s="211"/>
    </row>
    <row r="44" spans="2:11" outlineLevel="1">
      <c r="B44" s="85" t="s">
        <v>217</v>
      </c>
      <c r="C44" s="97">
        <f>'Pricing Calc (Per Service)'!C122</f>
        <v>86.030169423327308</v>
      </c>
      <c r="D44" s="97">
        <f>'Pricing Calc (Per Service)'!D122</f>
        <v>80.57733042348201</v>
      </c>
      <c r="E44" s="97">
        <f>'Pricing Calc (Per Service)'!E122</f>
        <v>84.438214903935759</v>
      </c>
      <c r="F44" s="97">
        <f>'Pricing Calc (Per Service)'!F122</f>
        <v>86.269344626694163</v>
      </c>
      <c r="G44" s="97">
        <f>'Pricing Calc (Per Service)'!G122</f>
        <v>88.485099592543122</v>
      </c>
      <c r="H44" s="97">
        <f>'Pricing Calc (Per Service)'!H122</f>
        <v>90.380857569981472</v>
      </c>
      <c r="I44" s="212"/>
      <c r="J44" s="205"/>
      <c r="K44" s="211"/>
    </row>
    <row r="45" spans="2:11" outlineLevel="1">
      <c r="B45" s="85" t="s">
        <v>218</v>
      </c>
      <c r="C45" s="97">
        <f>'Pricing Calc (Per Service)'!C132</f>
        <v>31.815160961712685</v>
      </c>
      <c r="D45" s="97">
        <f>'Pricing Calc (Per Service)'!D132</f>
        <v>29.097136841411107</v>
      </c>
      <c r="E45" s="97">
        <f>'Pricing Calc (Per Service)'!E132</f>
        <v>30.962946385696323</v>
      </c>
      <c r="F45" s="97">
        <f>'Pricing Calc (Per Service)'!F132</f>
        <v>31.909971868623444</v>
      </c>
      <c r="G45" s="97">
        <f>'Pricing Calc (Per Service)'!G132</f>
        <v>33.033340089043875</v>
      </c>
      <c r="H45" s="97">
        <f>'Pricing Calc (Per Service)'!H132</f>
        <v>34.072409623788673</v>
      </c>
      <c r="I45" s="212"/>
      <c r="J45" s="205"/>
      <c r="K45" s="211"/>
    </row>
    <row r="46" spans="2:11" outlineLevel="1">
      <c r="B46" s="85" t="s">
        <v>235</v>
      </c>
      <c r="C46" s="97">
        <f>'Pricing Calc (Per Service)'!C142</f>
        <v>0.59645581916944135</v>
      </c>
      <c r="D46" s="97">
        <f>'Pricing Calc (Per Service)'!D142</f>
        <v>0</v>
      </c>
      <c r="E46" s="97">
        <f>'Pricing Calc (Per Service)'!E142</f>
        <v>0.24062280296710217</v>
      </c>
      <c r="F46" s="97">
        <f>'Pricing Calc (Per Service)'!F142</f>
        <v>0.4735642995410308</v>
      </c>
      <c r="G46" s="97">
        <f>'Pricing Calc (Per Service)'!G142</f>
        <v>0.85855385043911014</v>
      </c>
      <c r="H46" s="97">
        <f>'Pricing Calc (Per Service)'!H142</f>
        <v>1.4095381428999638</v>
      </c>
      <c r="I46" s="212"/>
      <c r="J46" s="205"/>
      <c r="K46" s="211"/>
    </row>
    <row r="47" spans="2:11" outlineLevel="1">
      <c r="B47" s="85" t="s">
        <v>213</v>
      </c>
      <c r="C47" s="97">
        <f>'Pricing Calc (Per Service)'!C152</f>
        <v>1.2033834292579106</v>
      </c>
      <c r="D47" s="97">
        <f>'Pricing Calc (Per Service)'!D152</f>
        <v>1.2214719195700985</v>
      </c>
      <c r="E47" s="97">
        <f>'Pricing Calc (Per Service)'!E152</f>
        <v>1.2100889942439155</v>
      </c>
      <c r="F47" s="97">
        <f>'Pricing Calc (Per Service)'!F152</f>
        <v>1.203145451518622</v>
      </c>
      <c r="G47" s="97">
        <f>'Pricing Calc (Per Service)'!G152</f>
        <v>1.1956018575598739</v>
      </c>
      <c r="H47" s="97">
        <f>'Pricing Calc (Per Service)'!H152</f>
        <v>1.186608923397044</v>
      </c>
      <c r="I47" s="212"/>
      <c r="J47" s="205"/>
      <c r="K47" s="211"/>
    </row>
    <row r="48" spans="2:11">
      <c r="B48" s="60" t="s">
        <v>271</v>
      </c>
      <c r="C48" s="127">
        <f>SUM(C43:C47)</f>
        <v>147.37571170525376</v>
      </c>
      <c r="D48" s="127">
        <f t="shared" ref="D48:G48" si="5">SUM(D43:D47)</f>
        <v>137.21128266179042</v>
      </c>
      <c r="E48" s="127">
        <f t="shared" si="5"/>
        <v>144.20233340073426</v>
      </c>
      <c r="F48" s="127">
        <f t="shared" si="5"/>
        <v>147.65809641830745</v>
      </c>
      <c r="G48" s="127">
        <f t="shared" si="5"/>
        <v>151.9392126459644</v>
      </c>
      <c r="H48" s="127">
        <f>SUM(H43:H47)</f>
        <v>155.86763339947214</v>
      </c>
      <c r="I48" s="212"/>
      <c r="J48" s="205"/>
      <c r="K48" s="211"/>
    </row>
    <row r="49" spans="2:11" outlineLevel="1">
      <c r="B49" s="85" t="s">
        <v>216</v>
      </c>
      <c r="C49" s="97">
        <f>'Pricing Calc (Per Service)'!C113</f>
        <v>0.55461084143572814</v>
      </c>
      <c r="D49" s="97">
        <f>'Pricing Calc (Per Service)'!D113</f>
        <v>0.52630686954654426</v>
      </c>
      <c r="E49" s="97">
        <f>'Pricing Calc (Per Service)'!E113</f>
        <v>0.54700920627782368</v>
      </c>
      <c r="F49" s="97">
        <f>'Pricing Calc (Per Service)'!F113</f>
        <v>0.55604140343860364</v>
      </c>
      <c r="G49" s="97">
        <f>'Pricing Calc (Per Service)'!G113</f>
        <v>0.56733234512756914</v>
      </c>
      <c r="H49" s="97">
        <f>'Pricing Calc (Per Service)'!H113</f>
        <v>0.57636438278809965</v>
      </c>
      <c r="I49" s="212"/>
      <c r="J49" s="205"/>
      <c r="K49" s="211"/>
    </row>
    <row r="50" spans="2:11" outlineLevel="1">
      <c r="B50" s="85" t="s">
        <v>217</v>
      </c>
      <c r="C50" s="97">
        <f>'Pricing Calc (Per Service)'!C123</f>
        <v>0.4527903653859332</v>
      </c>
      <c r="D50" s="97">
        <f>'Pricing Calc (Per Service)'!D123</f>
        <v>0.42409121275516853</v>
      </c>
      <c r="E50" s="97">
        <f>'Pricing Calc (Per Service)'!E123</f>
        <v>0.44441165738913557</v>
      </c>
      <c r="F50" s="97">
        <f>'Pricing Calc (Per Service)'!F123</f>
        <v>0.4540491822457588</v>
      </c>
      <c r="G50" s="97">
        <f>'Pricing Calc (Per Service)'!G123</f>
        <v>0.46571105048706923</v>
      </c>
      <c r="H50" s="97">
        <f>'Pricing Calc (Per Service)'!H123</f>
        <v>0.47568872405253398</v>
      </c>
      <c r="I50" s="212"/>
      <c r="J50" s="205"/>
      <c r="K50" s="211"/>
    </row>
    <row r="51" spans="2:11" outlineLevel="1">
      <c r="B51" s="85" t="s">
        <v>218</v>
      </c>
      <c r="C51" s="97">
        <f>'Pricing Calc (Per Service)'!C133</f>
        <v>2.4745125192443198</v>
      </c>
      <c r="D51" s="97">
        <f>'Pricing Calc (Per Service)'!D133</f>
        <v>2.2631106432208639</v>
      </c>
      <c r="E51" s="97">
        <f>'Pricing Calc (Per Service)'!E133</f>
        <v>2.4082291633319359</v>
      </c>
      <c r="F51" s="97">
        <f>'Pricing Calc (Per Service)'!F133</f>
        <v>2.4818867008929346</v>
      </c>
      <c r="G51" s="97">
        <f>'Pricing Calc (Per Service)'!G133</f>
        <v>2.5692597847034127</v>
      </c>
      <c r="H51" s="97">
        <f>'Pricing Calc (Per Service)'!H133</f>
        <v>2.6500763040724524</v>
      </c>
      <c r="I51" s="212"/>
      <c r="J51" s="205"/>
      <c r="K51" s="211"/>
    </row>
    <row r="52" spans="2:11" outlineLevel="1">
      <c r="B52" s="85" t="s">
        <v>235</v>
      </c>
      <c r="C52" s="97">
        <f>'Pricing Calc (Per Service)'!C143</f>
        <v>0.59645581916944135</v>
      </c>
      <c r="D52" s="97">
        <f>'Pricing Calc (Per Service)'!D143</f>
        <v>0</v>
      </c>
      <c r="E52" s="97">
        <f>'Pricing Calc (Per Service)'!E143</f>
        <v>0.24062280296710217</v>
      </c>
      <c r="F52" s="97">
        <f>'Pricing Calc (Per Service)'!F143</f>
        <v>0.47356429954103085</v>
      </c>
      <c r="G52" s="97">
        <f>'Pricing Calc (Per Service)'!G143</f>
        <v>0.85855385043911003</v>
      </c>
      <c r="H52" s="97">
        <f>'Pricing Calc (Per Service)'!H143</f>
        <v>1.4095381428999638</v>
      </c>
      <c r="I52" s="212"/>
      <c r="J52" s="205"/>
      <c r="K52" s="211"/>
    </row>
    <row r="53" spans="2:11" outlineLevel="1">
      <c r="B53" s="85" t="s">
        <v>213</v>
      </c>
      <c r="C53" s="97">
        <f>'Pricing Calc (Per Service)'!C153</f>
        <v>1.2033834292579109</v>
      </c>
      <c r="D53" s="97">
        <f>'Pricing Calc (Per Service)'!D153</f>
        <v>1.2214719195700983</v>
      </c>
      <c r="E53" s="97">
        <f>'Pricing Calc (Per Service)'!E153</f>
        <v>1.2100889942439155</v>
      </c>
      <c r="F53" s="97">
        <f>'Pricing Calc (Per Service)'!F153</f>
        <v>1.2031454515186222</v>
      </c>
      <c r="G53" s="97">
        <f>'Pricing Calc (Per Service)'!G153</f>
        <v>1.1956018575598741</v>
      </c>
      <c r="H53" s="97">
        <f>'Pricing Calc (Per Service)'!H153</f>
        <v>1.186608923397044</v>
      </c>
      <c r="I53" s="212"/>
      <c r="J53" s="205"/>
      <c r="K53" s="211"/>
    </row>
    <row r="54" spans="2:11">
      <c r="B54" s="60" t="s">
        <v>105</v>
      </c>
      <c r="C54" s="127">
        <f>SUM(C49:C53)</f>
        <v>5.2817529744933331</v>
      </c>
      <c r="D54" s="127">
        <f t="shared" ref="D54:G54" si="6">SUM(D49:D53)</f>
        <v>4.4349806450926748</v>
      </c>
      <c r="E54" s="127">
        <f t="shared" si="6"/>
        <v>4.8503618242099122</v>
      </c>
      <c r="F54" s="127">
        <f t="shared" si="6"/>
        <v>5.1686870376369498</v>
      </c>
      <c r="G54" s="127">
        <f t="shared" si="6"/>
        <v>5.6564588883170348</v>
      </c>
      <c r="H54" s="127">
        <f>SUM(H49:H53)</f>
        <v>6.2982764772100932</v>
      </c>
      <c r="I54" s="212"/>
      <c r="J54" s="205"/>
      <c r="K54" s="211"/>
    </row>
    <row r="55" spans="2:11" outlineLevel="1">
      <c r="B55" s="85" t="s">
        <v>216</v>
      </c>
      <c r="C55" s="97">
        <f>'Pricing Calc (Per Service)'!C114</f>
        <v>0.55461084143572814</v>
      </c>
      <c r="D55" s="97">
        <f>'Pricing Calc (Per Service)'!D114</f>
        <v>0.52630686954654426</v>
      </c>
      <c r="E55" s="97">
        <f>'Pricing Calc (Per Service)'!E114</f>
        <v>0.54700920627782379</v>
      </c>
      <c r="F55" s="97">
        <f>'Pricing Calc (Per Service)'!F114</f>
        <v>0.55604140343860353</v>
      </c>
      <c r="G55" s="97">
        <f>'Pricing Calc (Per Service)'!G114</f>
        <v>0.56733234512756903</v>
      </c>
      <c r="H55" s="97">
        <f>'Pricing Calc (Per Service)'!H114</f>
        <v>0.57636438278809976</v>
      </c>
      <c r="I55" s="212"/>
      <c r="J55" s="205"/>
      <c r="K55" s="211"/>
    </row>
    <row r="56" spans="2:11" outlineLevel="1">
      <c r="B56" s="85" t="s">
        <v>217</v>
      </c>
      <c r="C56" s="97">
        <f>'Pricing Calc (Per Service)'!C124</f>
        <v>0.4527903653859332</v>
      </c>
      <c r="D56" s="97">
        <f>'Pricing Calc (Per Service)'!D124</f>
        <v>0.42409121275516853</v>
      </c>
      <c r="E56" s="97">
        <f>'Pricing Calc (Per Service)'!E124</f>
        <v>0.44441165738913563</v>
      </c>
      <c r="F56" s="97">
        <f>'Pricing Calc (Per Service)'!F124</f>
        <v>0.45404918224575869</v>
      </c>
      <c r="G56" s="97">
        <f>'Pricing Calc (Per Service)'!G124</f>
        <v>0.46571105048706912</v>
      </c>
      <c r="H56" s="97">
        <f>'Pricing Calc (Per Service)'!H124</f>
        <v>0.47568872405253404</v>
      </c>
      <c r="I56" s="212"/>
      <c r="J56" s="205"/>
      <c r="K56" s="211"/>
    </row>
    <row r="57" spans="2:11" outlineLevel="1">
      <c r="B57" s="85" t="s">
        <v>218</v>
      </c>
      <c r="C57" s="97">
        <f>'Pricing Calc (Per Service)'!C134</f>
        <v>2.4745125192443198</v>
      </c>
      <c r="D57" s="97">
        <f>'Pricing Calc (Per Service)'!D134</f>
        <v>2.2631106432208639</v>
      </c>
      <c r="E57" s="97">
        <f>'Pricing Calc (Per Service)'!E134</f>
        <v>2.4082291633319359</v>
      </c>
      <c r="F57" s="97">
        <f>'Pricing Calc (Per Service)'!F134</f>
        <v>2.4818867008929346</v>
      </c>
      <c r="G57" s="97">
        <f>'Pricing Calc (Per Service)'!G134</f>
        <v>2.5692597847034122</v>
      </c>
      <c r="H57" s="97">
        <f>'Pricing Calc (Per Service)'!H134</f>
        <v>2.6500763040724524</v>
      </c>
      <c r="I57" s="212"/>
      <c r="J57" s="205"/>
      <c r="K57" s="211"/>
    </row>
    <row r="58" spans="2:11" outlineLevel="1">
      <c r="B58" s="85" t="s">
        <v>235</v>
      </c>
      <c r="C58" s="97">
        <f>'Pricing Calc (Per Service)'!C144</f>
        <v>0.59645581916944146</v>
      </c>
      <c r="D58" s="97">
        <f>'Pricing Calc (Per Service)'!D144</f>
        <v>0</v>
      </c>
      <c r="E58" s="97">
        <f>'Pricing Calc (Per Service)'!E144</f>
        <v>0.24062280296710217</v>
      </c>
      <c r="F58" s="97">
        <f>'Pricing Calc (Per Service)'!F144</f>
        <v>0.47356429954103091</v>
      </c>
      <c r="G58" s="97">
        <f>'Pricing Calc (Per Service)'!G144</f>
        <v>0.85855385043911014</v>
      </c>
      <c r="H58" s="97">
        <f>'Pricing Calc (Per Service)'!H144</f>
        <v>1.4095381428999638</v>
      </c>
      <c r="I58" s="212"/>
      <c r="J58" s="205"/>
      <c r="K58" s="211"/>
    </row>
    <row r="59" spans="2:11" outlineLevel="1">
      <c r="B59" s="85" t="s">
        <v>213</v>
      </c>
      <c r="C59" s="97">
        <f>'Pricing Calc (Per Service)'!C154</f>
        <v>1.2033834292579106</v>
      </c>
      <c r="D59" s="97">
        <f>'Pricing Calc (Per Service)'!D154</f>
        <v>1.2214719195700983</v>
      </c>
      <c r="E59" s="97">
        <f>'Pricing Calc (Per Service)'!E154</f>
        <v>1.2100889942439153</v>
      </c>
      <c r="F59" s="97">
        <f>'Pricing Calc (Per Service)'!F154</f>
        <v>1.2031454515186222</v>
      </c>
      <c r="G59" s="97">
        <f>'Pricing Calc (Per Service)'!G154</f>
        <v>1.1956018575598739</v>
      </c>
      <c r="H59" s="97">
        <f>'Pricing Calc (Per Service)'!H154</f>
        <v>1.186608923397044</v>
      </c>
      <c r="I59" s="212"/>
      <c r="J59" s="205"/>
      <c r="K59" s="211"/>
    </row>
    <row r="60" spans="2:11">
      <c r="B60" s="60" t="s">
        <v>173</v>
      </c>
      <c r="C60" s="127">
        <f>SUM(C55:C59)</f>
        <v>5.2817529744933331</v>
      </c>
      <c r="D60" s="127">
        <f t="shared" ref="D60:G60" si="7">SUM(D55:D59)</f>
        <v>4.4349806450926748</v>
      </c>
      <c r="E60" s="127">
        <f t="shared" si="7"/>
        <v>4.8503618242099131</v>
      </c>
      <c r="F60" s="127">
        <f t="shared" si="7"/>
        <v>5.1686870376369498</v>
      </c>
      <c r="G60" s="127">
        <f t="shared" si="7"/>
        <v>5.6564588883170339</v>
      </c>
      <c r="H60" s="127">
        <f>SUM(H55:H59)</f>
        <v>6.2982764772100932</v>
      </c>
      <c r="I60" s="212"/>
      <c r="J60" s="205"/>
      <c r="K60" s="211"/>
    </row>
    <row r="61" spans="2:11">
      <c r="C61" s="97"/>
    </row>
    <row r="62" spans="2:11">
      <c r="B62" s="463" t="s">
        <v>778</v>
      </c>
      <c r="C62" s="463"/>
      <c r="D62" s="463"/>
      <c r="E62" s="463"/>
      <c r="F62" s="463"/>
      <c r="G62" s="463"/>
      <c r="H62" s="463"/>
    </row>
    <row r="64" spans="2:11" hidden="1" outlineLevel="1">
      <c r="B64" s="85" t="s">
        <v>216</v>
      </c>
      <c r="C64" s="97">
        <v>8.0139754228866984</v>
      </c>
      <c r="D64" s="97">
        <v>7.6276696410459666</v>
      </c>
      <c r="E64" s="97">
        <v>7.7494980456229579</v>
      </c>
      <c r="F64" s="97">
        <v>8.1010567192134975</v>
      </c>
      <c r="G64" s="97">
        <v>8.1794597387359733</v>
      </c>
      <c r="H64" s="97">
        <v>8.4121929698151021</v>
      </c>
    </row>
    <row r="65" spans="2:8" hidden="1" outlineLevel="1">
      <c r="B65" s="85" t="s">
        <v>217</v>
      </c>
      <c r="C65" s="97">
        <v>6.5431414104873742</v>
      </c>
      <c r="D65" s="97">
        <v>6.1474471960391961</v>
      </c>
      <c r="E65" s="97">
        <v>6.2959950780791587</v>
      </c>
      <c r="F65" s="97">
        <v>6.6151156297690008</v>
      </c>
      <c r="G65" s="97">
        <v>6.7143444579858675</v>
      </c>
      <c r="H65" s="97">
        <v>6.9428046905636513</v>
      </c>
    </row>
    <row r="66" spans="2:8" hidden="1" outlineLevel="1">
      <c r="B66" s="85" t="s">
        <v>218</v>
      </c>
      <c r="C66" s="97">
        <v>5.1104455832503657</v>
      </c>
      <c r="D66" s="97">
        <v>4.6954988201659411</v>
      </c>
      <c r="E66" s="97">
        <v>4.873923504778249</v>
      </c>
      <c r="F66" s="97">
        <v>5.1655724119665596</v>
      </c>
      <c r="G66" s="97">
        <v>5.2917224036870305</v>
      </c>
      <c r="H66" s="97">
        <v>5.5255107756540474</v>
      </c>
    </row>
    <row r="67" spans="2:8" hidden="1" outlineLevel="1">
      <c r="B67" s="85" t="s">
        <v>235</v>
      </c>
      <c r="C67" s="97">
        <v>2.9635144592471407</v>
      </c>
      <c r="D67" s="97">
        <v>2.2858469303746536</v>
      </c>
      <c r="E67" s="97">
        <v>3.009099148225804</v>
      </c>
      <c r="F67" s="97">
        <v>3.0067801002716616</v>
      </c>
      <c r="G67" s="97">
        <v>2.6799614680600499</v>
      </c>
      <c r="H67" s="97">
        <v>3.8358846493035332</v>
      </c>
    </row>
    <row r="68" spans="2:8" hidden="1" outlineLevel="1">
      <c r="B68" s="85" t="s">
        <v>213</v>
      </c>
      <c r="C68" s="97">
        <v>4.3253428522108806</v>
      </c>
      <c r="D68" s="97">
        <v>4.4031323194950085</v>
      </c>
      <c r="E68" s="97">
        <v>4.2678419213800289</v>
      </c>
      <c r="F68" s="97">
        <v>4.2311040516381953</v>
      </c>
      <c r="G68" s="97">
        <v>4.2877040891531726</v>
      </c>
      <c r="H68" s="97">
        <v>4.4369318793880002</v>
      </c>
    </row>
    <row r="69" spans="2:8" collapsed="1">
      <c r="B69" s="60" t="s">
        <v>167</v>
      </c>
      <c r="C69" s="127">
        <v>26.956419728082459</v>
      </c>
      <c r="D69" s="127">
        <v>25.159594907120763</v>
      </c>
      <c r="E69" s="127">
        <v>26.196357698086196</v>
      </c>
      <c r="F69" s="127">
        <v>27.119628912858914</v>
      </c>
      <c r="G69" s="127">
        <v>27.153192157622094</v>
      </c>
      <c r="H69" s="127">
        <v>29.153324964724334</v>
      </c>
    </row>
    <row r="70" spans="2:8" hidden="1" outlineLevel="1">
      <c r="B70" s="85" t="s">
        <v>216</v>
      </c>
      <c r="C70" s="97">
        <v>8.0139754228866984</v>
      </c>
      <c r="D70" s="97">
        <v>7.6276696410459666</v>
      </c>
      <c r="E70" s="97">
        <v>7.7494980456229579</v>
      </c>
      <c r="F70" s="97">
        <v>8.1010567192134957</v>
      </c>
      <c r="G70" s="97">
        <v>8.1794597387359733</v>
      </c>
      <c r="H70" s="97">
        <v>8.4121929698151021</v>
      </c>
    </row>
    <row r="71" spans="2:8" hidden="1" outlineLevel="1">
      <c r="B71" s="85" t="s">
        <v>217</v>
      </c>
      <c r="C71" s="97">
        <v>19.629424231462128</v>
      </c>
      <c r="D71" s="97">
        <v>18.442341588117586</v>
      </c>
      <c r="E71" s="97">
        <v>18.887985234237476</v>
      </c>
      <c r="F71" s="97">
        <v>19.845346889307006</v>
      </c>
      <c r="G71" s="97">
        <v>20.1430333739576</v>
      </c>
      <c r="H71" s="97">
        <v>20.828414071690954</v>
      </c>
    </row>
    <row r="72" spans="2:8" hidden="1" outlineLevel="1">
      <c r="B72" s="85" t="s">
        <v>218</v>
      </c>
      <c r="C72" s="97">
        <v>15.331336749751097</v>
      </c>
      <c r="D72" s="97">
        <v>14.086496460497822</v>
      </c>
      <c r="E72" s="97">
        <v>14.621770514334749</v>
      </c>
      <c r="F72" s="97">
        <v>15.496717235899679</v>
      </c>
      <c r="G72" s="97">
        <v>15.875167211061095</v>
      </c>
      <c r="H72" s="97">
        <v>16.576532326962145</v>
      </c>
    </row>
    <row r="73" spans="2:8" hidden="1" outlineLevel="1">
      <c r="B73" s="85" t="s">
        <v>235</v>
      </c>
      <c r="C73" s="97">
        <v>2.9635144592471407</v>
      </c>
      <c r="D73" s="97">
        <v>2.2858469303746536</v>
      </c>
      <c r="E73" s="97">
        <v>3.0090991482258045</v>
      </c>
      <c r="F73" s="97">
        <v>3.0067801002716621</v>
      </c>
      <c r="G73" s="97">
        <v>2.6799614680600494</v>
      </c>
      <c r="H73" s="97">
        <v>3.8358846493035332</v>
      </c>
    </row>
    <row r="74" spans="2:8" hidden="1" outlineLevel="1">
      <c r="B74" s="85" t="s">
        <v>213</v>
      </c>
      <c r="C74" s="97">
        <v>4.3253428522108806</v>
      </c>
      <c r="D74" s="97">
        <v>4.4031323194950085</v>
      </c>
      <c r="E74" s="97">
        <v>4.2678419213800289</v>
      </c>
      <c r="F74" s="97">
        <v>4.2311040516381953</v>
      </c>
      <c r="G74" s="97">
        <v>4.2877040891531726</v>
      </c>
      <c r="H74" s="97">
        <v>4.4369318793880002</v>
      </c>
    </row>
    <row r="75" spans="2:8" collapsed="1">
      <c r="B75" s="60" t="s">
        <v>269</v>
      </c>
      <c r="C75" s="127">
        <v>50.263593715557946</v>
      </c>
      <c r="D75" s="127">
        <v>46.845486939531035</v>
      </c>
      <c r="E75" s="127">
        <v>48.536194863801015</v>
      </c>
      <c r="F75" s="127">
        <v>50.681004996330039</v>
      </c>
      <c r="G75" s="127">
        <v>51.165325880967892</v>
      </c>
      <c r="H75" s="127">
        <v>54.089955897159733</v>
      </c>
    </row>
    <row r="76" spans="2:8" hidden="1" outlineLevel="1">
      <c r="B76" s="85" t="s">
        <v>216</v>
      </c>
      <c r="C76" s="97">
        <v>40.069877114433496</v>
      </c>
      <c r="D76" s="97">
        <v>38.138348205229832</v>
      </c>
      <c r="E76" s="97">
        <v>38.747490228114792</v>
      </c>
      <c r="F76" s="97">
        <v>40.505283596067486</v>
      </c>
      <c r="G76" s="97">
        <v>40.897298693679865</v>
      </c>
      <c r="H76" s="97">
        <v>42.060964849075511</v>
      </c>
    </row>
    <row r="77" spans="2:8" hidden="1" outlineLevel="1">
      <c r="B77" s="85" t="s">
        <v>217</v>
      </c>
      <c r="C77" s="97">
        <v>124.31968679926013</v>
      </c>
      <c r="D77" s="97">
        <v>116.80149672474472</v>
      </c>
      <c r="E77" s="97">
        <v>119.62390648350403</v>
      </c>
      <c r="F77" s="97">
        <v>125.68719696561101</v>
      </c>
      <c r="G77" s="97">
        <v>127.57254470173147</v>
      </c>
      <c r="H77" s="97">
        <v>131.91328912070941</v>
      </c>
    </row>
    <row r="78" spans="2:8" hidden="1" outlineLevel="1">
      <c r="B78" s="85" t="s">
        <v>218</v>
      </c>
      <c r="C78" s="97">
        <v>15.331336749751097</v>
      </c>
      <c r="D78" s="97">
        <v>14.086496460497823</v>
      </c>
      <c r="E78" s="97">
        <v>14.621770514334747</v>
      </c>
      <c r="F78" s="97">
        <v>15.496717235899677</v>
      </c>
      <c r="G78" s="97">
        <v>15.875167211061093</v>
      </c>
      <c r="H78" s="97">
        <v>16.576532326962141</v>
      </c>
    </row>
    <row r="79" spans="2:8" hidden="1" outlineLevel="1">
      <c r="B79" s="85" t="s">
        <v>235</v>
      </c>
      <c r="C79" s="97">
        <v>2.9635144592471407</v>
      </c>
      <c r="D79" s="97">
        <v>2.285846930374654</v>
      </c>
      <c r="E79" s="97">
        <v>3.0090991482258045</v>
      </c>
      <c r="F79" s="97">
        <v>3.0067801002716621</v>
      </c>
      <c r="G79" s="97">
        <v>2.6799614680600499</v>
      </c>
      <c r="H79" s="97">
        <v>3.8358846493035332</v>
      </c>
    </row>
    <row r="80" spans="2:8" hidden="1" outlineLevel="1">
      <c r="B80" s="85" t="s">
        <v>213</v>
      </c>
      <c r="C80" s="97">
        <v>4.3253428522108823</v>
      </c>
      <c r="D80" s="97">
        <v>4.4031323194950094</v>
      </c>
      <c r="E80" s="97">
        <v>4.2678419213800289</v>
      </c>
      <c r="F80" s="97">
        <v>4.2311040516381953</v>
      </c>
      <c r="G80" s="97">
        <v>4.2877040891531726</v>
      </c>
      <c r="H80" s="97">
        <v>4.4369318793880002</v>
      </c>
    </row>
    <row r="81" spans="2:8" collapsed="1">
      <c r="B81" s="60" t="s">
        <v>272</v>
      </c>
      <c r="C81" s="127">
        <v>187.00975797490275</v>
      </c>
      <c r="D81" s="127">
        <v>175.71532064034201</v>
      </c>
      <c r="E81" s="127">
        <v>180.2701082955594</v>
      </c>
      <c r="F81" s="127">
        <v>188.92708194948804</v>
      </c>
      <c r="G81" s="127">
        <v>191.31267616368567</v>
      </c>
      <c r="H81" s="127">
        <v>198.82360282543857</v>
      </c>
    </row>
    <row r="82" spans="2:8" hidden="1" outlineLevel="1">
      <c r="B82" s="85" t="s">
        <v>216</v>
      </c>
      <c r="C82" s="97">
        <v>8.0139754228866984</v>
      </c>
      <c r="D82" s="97">
        <v>7.6276696410459666</v>
      </c>
      <c r="E82" s="97">
        <v>7.749498045622957</v>
      </c>
      <c r="F82" s="97">
        <v>8.1010567192134975</v>
      </c>
      <c r="G82" s="97">
        <v>8.1794597387359715</v>
      </c>
      <c r="H82" s="97">
        <v>8.4121929698151003</v>
      </c>
    </row>
    <row r="83" spans="2:8" hidden="1" outlineLevel="1">
      <c r="B83" s="85" t="s">
        <v>217</v>
      </c>
      <c r="C83" s="97">
        <v>6.5431414104873751</v>
      </c>
      <c r="D83" s="97">
        <v>6.1474471960391961</v>
      </c>
      <c r="E83" s="97">
        <v>6.2959950780791587</v>
      </c>
      <c r="F83" s="97">
        <v>6.6151156297690008</v>
      </c>
      <c r="G83" s="97">
        <v>6.7143444579858658</v>
      </c>
      <c r="H83" s="97">
        <v>6.9428046905636522</v>
      </c>
    </row>
    <row r="84" spans="2:8" hidden="1" outlineLevel="1">
      <c r="B84" s="85" t="s">
        <v>218</v>
      </c>
      <c r="C84" s="97">
        <v>15.331336749751097</v>
      </c>
      <c r="D84" s="97">
        <v>14.086496460497825</v>
      </c>
      <c r="E84" s="97">
        <v>14.621770514334747</v>
      </c>
      <c r="F84" s="97">
        <v>15.496717235899677</v>
      </c>
      <c r="G84" s="97">
        <v>15.875167211061095</v>
      </c>
      <c r="H84" s="97">
        <v>16.576532326962141</v>
      </c>
    </row>
    <row r="85" spans="2:8" hidden="1" outlineLevel="1">
      <c r="B85" s="85" t="s">
        <v>235</v>
      </c>
      <c r="C85" s="97">
        <v>2.9635144592471407</v>
      </c>
      <c r="D85" s="97">
        <v>2.285846930374654</v>
      </c>
      <c r="E85" s="97">
        <v>3.0090991482258045</v>
      </c>
      <c r="F85" s="97">
        <v>3.0067801002716616</v>
      </c>
      <c r="G85" s="97">
        <v>2.6799614680600494</v>
      </c>
      <c r="H85" s="97">
        <v>3.8358846493035332</v>
      </c>
    </row>
    <row r="86" spans="2:8" hidden="1" outlineLevel="1">
      <c r="B86" s="85" t="s">
        <v>213</v>
      </c>
      <c r="C86" s="97">
        <v>4.3253428522108823</v>
      </c>
      <c r="D86" s="97">
        <v>4.4031323194950094</v>
      </c>
      <c r="E86" s="97">
        <v>4.2678419213800298</v>
      </c>
      <c r="F86" s="97">
        <v>4.2311040516381953</v>
      </c>
      <c r="G86" s="97">
        <v>4.2877040891531726</v>
      </c>
      <c r="H86" s="97">
        <v>4.436931879388001</v>
      </c>
    </row>
    <row r="87" spans="2:8" collapsed="1">
      <c r="B87" s="60" t="s">
        <v>170</v>
      </c>
      <c r="C87" s="127">
        <v>37.177310894583194</v>
      </c>
      <c r="D87" s="127">
        <v>34.550592547452652</v>
      </c>
      <c r="E87" s="127">
        <v>35.944204707642697</v>
      </c>
      <c r="F87" s="127">
        <v>37.450773736792037</v>
      </c>
      <c r="G87" s="127">
        <v>37.736636964996158</v>
      </c>
      <c r="H87" s="127">
        <v>40.204346516032423</v>
      </c>
    </row>
    <row r="88" spans="2:8" hidden="1" outlineLevel="1">
      <c r="B88" s="85" t="s">
        <v>216</v>
      </c>
      <c r="C88" s="97">
        <v>8.0139754228866984</v>
      </c>
      <c r="D88" s="97">
        <v>7.6276696410459666</v>
      </c>
      <c r="E88" s="97">
        <v>7.749498045622957</v>
      </c>
      <c r="F88" s="97">
        <v>8.1010567192134975</v>
      </c>
      <c r="G88" s="97">
        <v>8.1794597387359733</v>
      </c>
      <c r="H88" s="97">
        <v>8.4121929698151021</v>
      </c>
    </row>
    <row r="89" spans="2:8" hidden="1" outlineLevel="1">
      <c r="B89" s="85" t="s">
        <v>217</v>
      </c>
      <c r="C89" s="97">
        <v>19.629424231462124</v>
      </c>
      <c r="D89" s="97">
        <v>18.442341588117589</v>
      </c>
      <c r="E89" s="97">
        <v>18.887985234237476</v>
      </c>
      <c r="F89" s="97">
        <v>19.845346889307002</v>
      </c>
      <c r="G89" s="97">
        <v>20.1430333739576</v>
      </c>
      <c r="H89" s="97">
        <v>20.828414071690958</v>
      </c>
    </row>
    <row r="90" spans="2:8" hidden="1" outlineLevel="1">
      <c r="B90" s="85" t="s">
        <v>218</v>
      </c>
      <c r="C90" s="97">
        <v>45.994010249253293</v>
      </c>
      <c r="D90" s="97">
        <v>42.259489381493459</v>
      </c>
      <c r="E90" s="97">
        <v>43.865311543004239</v>
      </c>
      <c r="F90" s="97">
        <v>46.490151707699034</v>
      </c>
      <c r="G90" s="97">
        <v>47.625501633183283</v>
      </c>
      <c r="H90" s="97">
        <v>49.729596980886427</v>
      </c>
    </row>
    <row r="91" spans="2:8" hidden="1" outlineLevel="1">
      <c r="B91" s="85" t="s">
        <v>235</v>
      </c>
      <c r="C91" s="97">
        <v>2.9635144592471407</v>
      </c>
      <c r="D91" s="97">
        <v>2.2858469303746536</v>
      </c>
      <c r="E91" s="97">
        <v>3.0090991482258045</v>
      </c>
      <c r="F91" s="97">
        <v>3.0067801002716616</v>
      </c>
      <c r="G91" s="97">
        <v>2.6799614680600494</v>
      </c>
      <c r="H91" s="97">
        <v>3.8358846493035332</v>
      </c>
    </row>
    <row r="92" spans="2:8" hidden="1" outlineLevel="1">
      <c r="B92" s="85" t="s">
        <v>213</v>
      </c>
      <c r="C92" s="97">
        <v>4.3253428522108823</v>
      </c>
      <c r="D92" s="97">
        <v>4.4031323194950094</v>
      </c>
      <c r="E92" s="97">
        <v>4.2678419213800289</v>
      </c>
      <c r="F92" s="97">
        <v>4.2311040516381953</v>
      </c>
      <c r="G92" s="97">
        <v>4.2877040891531726</v>
      </c>
      <c r="H92" s="97">
        <v>4.4369318793880002</v>
      </c>
    </row>
    <row r="93" spans="2:8" collapsed="1">
      <c r="B93" s="60" t="s">
        <v>270</v>
      </c>
      <c r="C93" s="127">
        <v>80.926267215060136</v>
      </c>
      <c r="D93" s="127">
        <v>75.018479860526696</v>
      </c>
      <c r="E93" s="127">
        <v>77.779735892470498</v>
      </c>
      <c r="F93" s="127">
        <v>81.674439468129393</v>
      </c>
      <c r="G93" s="127">
        <v>82.915660303090064</v>
      </c>
      <c r="H93" s="127">
        <v>87.24302055108403</v>
      </c>
    </row>
    <row r="94" spans="2:8" hidden="1" outlineLevel="1">
      <c r="B94" s="85" t="s">
        <v>216</v>
      </c>
      <c r="C94" s="97">
        <v>40.069877114433496</v>
      </c>
      <c r="D94" s="97">
        <v>38.138348205229832</v>
      </c>
      <c r="E94" s="97">
        <v>38.747490228114792</v>
      </c>
      <c r="F94" s="97">
        <v>40.505283596067486</v>
      </c>
      <c r="G94" s="97">
        <v>40.897298693679865</v>
      </c>
      <c r="H94" s="97">
        <v>42.060964849075511</v>
      </c>
    </row>
    <row r="95" spans="2:8" hidden="1" outlineLevel="1">
      <c r="B95" s="85" t="s">
        <v>217</v>
      </c>
      <c r="C95" s="97">
        <v>124.31968679926013</v>
      </c>
      <c r="D95" s="97">
        <v>116.80149672474474</v>
      </c>
      <c r="E95" s="97">
        <v>119.62390648350403</v>
      </c>
      <c r="F95" s="97">
        <v>125.68719696561102</v>
      </c>
      <c r="G95" s="97">
        <v>127.57254470173147</v>
      </c>
      <c r="H95" s="97">
        <v>131.91328912070938</v>
      </c>
    </row>
    <row r="96" spans="2:8" hidden="1" outlineLevel="1">
      <c r="B96" s="85" t="s">
        <v>218</v>
      </c>
      <c r="C96" s="97">
        <v>45.994010249253293</v>
      </c>
      <c r="D96" s="97">
        <v>42.259489381493466</v>
      </c>
      <c r="E96" s="97">
        <v>43.865311543004232</v>
      </c>
      <c r="F96" s="97">
        <v>46.490151707699034</v>
      </c>
      <c r="G96" s="97">
        <v>47.625501633183283</v>
      </c>
      <c r="H96" s="97">
        <v>49.729596980886427</v>
      </c>
    </row>
    <row r="97" spans="2:8" hidden="1" outlineLevel="1">
      <c r="B97" s="85" t="s">
        <v>235</v>
      </c>
      <c r="C97" s="97">
        <v>2.9635144592471407</v>
      </c>
      <c r="D97" s="97">
        <v>2.2858469303746536</v>
      </c>
      <c r="E97" s="97">
        <v>3.0090991482258049</v>
      </c>
      <c r="F97" s="97">
        <v>3.0067801002716612</v>
      </c>
      <c r="G97" s="97">
        <v>2.6799614680600494</v>
      </c>
      <c r="H97" s="97">
        <v>3.8358846493035332</v>
      </c>
    </row>
    <row r="98" spans="2:8" hidden="1" outlineLevel="1">
      <c r="B98" s="85" t="s">
        <v>213</v>
      </c>
      <c r="C98" s="97">
        <v>4.3253428522108814</v>
      </c>
      <c r="D98" s="97">
        <v>4.4031323194950085</v>
      </c>
      <c r="E98" s="97">
        <v>4.2678419213800298</v>
      </c>
      <c r="F98" s="97">
        <v>4.2311040516381944</v>
      </c>
      <c r="G98" s="97">
        <v>4.2877040891531726</v>
      </c>
      <c r="H98" s="97">
        <v>4.436931879388001</v>
      </c>
    </row>
    <row r="99" spans="2:8" collapsed="1">
      <c r="B99" s="60" t="s">
        <v>271</v>
      </c>
      <c r="C99" s="127">
        <v>217.67243147440493</v>
      </c>
      <c r="D99" s="127">
        <v>203.8883135613377</v>
      </c>
      <c r="E99" s="127">
        <v>209.51364932422888</v>
      </c>
      <c r="F99" s="127">
        <v>219.9205164212874</v>
      </c>
      <c r="G99" s="127">
        <v>223.06301058580786</v>
      </c>
      <c r="H99" s="127">
        <v>231.97666747936285</v>
      </c>
    </row>
    <row r="100" spans="2:8" hidden="1" outlineLevel="1">
      <c r="B100" s="85" t="s">
        <v>216</v>
      </c>
      <c r="C100" s="97">
        <v>0.80139754228866988</v>
      </c>
      <c r="D100" s="97">
        <v>0.76276696410459677</v>
      </c>
      <c r="E100" s="97">
        <v>0.77494980456229579</v>
      </c>
      <c r="F100" s="97">
        <v>0.81010567192134963</v>
      </c>
      <c r="G100" s="97">
        <v>0.81794597387359735</v>
      </c>
      <c r="H100" s="97">
        <v>0.84121929698151021</v>
      </c>
    </row>
    <row r="101" spans="2:8" hidden="1" outlineLevel="1">
      <c r="B101" s="85" t="s">
        <v>217</v>
      </c>
      <c r="C101" s="97">
        <v>0.65431414104873764</v>
      </c>
      <c r="D101" s="97">
        <v>0.61474471960391974</v>
      </c>
      <c r="E101" s="97">
        <v>0.62959950780791596</v>
      </c>
      <c r="F101" s="97">
        <v>0.66151156297690028</v>
      </c>
      <c r="G101" s="97">
        <v>0.6714344457985868</v>
      </c>
      <c r="H101" s="97">
        <v>0.69428046905636509</v>
      </c>
    </row>
    <row r="102" spans="2:8" hidden="1" outlineLevel="1">
      <c r="B102" s="85" t="s">
        <v>218</v>
      </c>
      <c r="C102" s="97">
        <v>3.5773119082752558</v>
      </c>
      <c r="D102" s="97">
        <v>3.2868491741161585</v>
      </c>
      <c r="E102" s="97">
        <v>3.4117464533447741</v>
      </c>
      <c r="F102" s="97">
        <v>3.6159006883765916</v>
      </c>
      <c r="G102" s="97">
        <v>3.7042056825809215</v>
      </c>
      <c r="H102" s="97">
        <v>3.8678575429578332</v>
      </c>
    </row>
    <row r="103" spans="2:8" hidden="1" outlineLevel="1">
      <c r="B103" s="85" t="s">
        <v>235</v>
      </c>
      <c r="C103" s="97">
        <v>2.9635144592471407</v>
      </c>
      <c r="D103" s="97">
        <v>2.2858469303746536</v>
      </c>
      <c r="E103" s="97">
        <v>3.0090991482258045</v>
      </c>
      <c r="F103" s="97">
        <v>3.0067801002716621</v>
      </c>
      <c r="G103" s="97">
        <v>2.6799614680600494</v>
      </c>
      <c r="H103" s="97">
        <v>3.8358846493035332</v>
      </c>
    </row>
    <row r="104" spans="2:8" hidden="1" outlineLevel="1">
      <c r="B104" s="85" t="s">
        <v>213</v>
      </c>
      <c r="C104" s="97">
        <v>4.3253428522108806</v>
      </c>
      <c r="D104" s="97">
        <v>4.4031323194950085</v>
      </c>
      <c r="E104" s="97">
        <v>4.2678419213800289</v>
      </c>
      <c r="F104" s="97">
        <v>4.2311040516381953</v>
      </c>
      <c r="G104" s="97">
        <v>4.2877040891531726</v>
      </c>
      <c r="H104" s="97">
        <v>4.4369318793880002</v>
      </c>
    </row>
    <row r="105" spans="2:8" collapsed="1">
      <c r="B105" s="60" t="s">
        <v>105</v>
      </c>
      <c r="C105" s="127">
        <v>12.321880903070685</v>
      </c>
      <c r="D105" s="127">
        <v>11.353340107694336</v>
      </c>
      <c r="E105" s="127">
        <v>12.09323683532082</v>
      </c>
      <c r="F105" s="127">
        <v>12.325402075184698</v>
      </c>
      <c r="G105" s="127">
        <v>12.161251659466327</v>
      </c>
      <c r="H105" s="127">
        <v>13.676173837687243</v>
      </c>
    </row>
    <row r="106" spans="2:8" hidden="1" outlineLevel="1">
      <c r="B106" s="85" t="s">
        <v>216</v>
      </c>
      <c r="C106" s="97">
        <v>0.80139754228867</v>
      </c>
      <c r="D106" s="97">
        <v>0.76276696410459666</v>
      </c>
      <c r="E106" s="97">
        <v>0.77494980456229579</v>
      </c>
      <c r="F106" s="97">
        <v>0.81010567192134963</v>
      </c>
      <c r="G106" s="97">
        <v>0.81794597387359735</v>
      </c>
      <c r="H106" s="97">
        <v>0.84121929698151032</v>
      </c>
    </row>
    <row r="107" spans="2:8" hidden="1" outlineLevel="1">
      <c r="B107" s="85" t="s">
        <v>217</v>
      </c>
      <c r="C107" s="97">
        <v>0.65431414104873753</v>
      </c>
      <c r="D107" s="97">
        <v>0.61474471960391963</v>
      </c>
      <c r="E107" s="97">
        <v>0.62959950780791596</v>
      </c>
      <c r="F107" s="97">
        <v>0.66151156297690006</v>
      </c>
      <c r="G107" s="97">
        <v>0.67143444579858669</v>
      </c>
      <c r="H107" s="97">
        <v>0.6942804690563652</v>
      </c>
    </row>
    <row r="108" spans="2:8" hidden="1" outlineLevel="1">
      <c r="B108" s="85" t="s">
        <v>218</v>
      </c>
      <c r="C108" s="97">
        <v>3.5773119082752558</v>
      </c>
      <c r="D108" s="97">
        <v>3.2868491741161585</v>
      </c>
      <c r="E108" s="97">
        <v>3.4117464533447737</v>
      </c>
      <c r="F108" s="97">
        <v>3.6159006883765912</v>
      </c>
      <c r="G108" s="97">
        <v>3.7042056825809215</v>
      </c>
      <c r="H108" s="97">
        <v>3.8678575429578332</v>
      </c>
    </row>
    <row r="109" spans="2:8" hidden="1" outlineLevel="1">
      <c r="B109" s="85" t="s">
        <v>235</v>
      </c>
      <c r="C109" s="97">
        <v>2.9635144592471407</v>
      </c>
      <c r="D109" s="97">
        <v>2.285846930374654</v>
      </c>
      <c r="E109" s="97">
        <v>3.0090991482258045</v>
      </c>
      <c r="F109" s="97">
        <v>3.0067801002716616</v>
      </c>
      <c r="G109" s="97">
        <v>2.6799614680600494</v>
      </c>
      <c r="H109" s="97">
        <v>3.8358846493035332</v>
      </c>
    </row>
    <row r="110" spans="2:8" hidden="1" outlineLevel="1">
      <c r="B110" s="85" t="s">
        <v>213</v>
      </c>
      <c r="C110" s="97">
        <v>4.3253428522108823</v>
      </c>
      <c r="D110" s="97">
        <v>4.4031323194950094</v>
      </c>
      <c r="E110" s="97">
        <v>4.2678419213800298</v>
      </c>
      <c r="F110" s="97">
        <v>4.2311040516381953</v>
      </c>
      <c r="G110" s="97">
        <v>4.2877040891531726</v>
      </c>
      <c r="H110" s="97">
        <v>4.4369318793880002</v>
      </c>
    </row>
    <row r="111" spans="2:8" collapsed="1">
      <c r="B111" s="60" t="s">
        <v>173</v>
      </c>
      <c r="C111" s="127">
        <v>12.321880903070685</v>
      </c>
      <c r="D111" s="127">
        <v>11.353340107694338</v>
      </c>
      <c r="E111" s="127">
        <v>12.09323683532082</v>
      </c>
      <c r="F111" s="127">
        <v>12.325402075184698</v>
      </c>
      <c r="G111" s="127">
        <v>12.161251659466327</v>
      </c>
      <c r="H111" s="127">
        <v>13.676173837687243</v>
      </c>
    </row>
    <row r="112" spans="2:8">
      <c r="C112" s="97"/>
    </row>
    <row r="113" spans="2:8">
      <c r="B113" s="463" t="s">
        <v>779</v>
      </c>
      <c r="C113" s="463"/>
      <c r="D113" s="463"/>
      <c r="E113" s="463"/>
      <c r="F113" s="463"/>
      <c r="G113" s="463"/>
      <c r="H113" s="463"/>
    </row>
    <row r="115" spans="2:8" hidden="1" outlineLevel="1">
      <c r="B115" s="85" t="s">
        <v>216</v>
      </c>
      <c r="C115" s="97">
        <f>C64-C13</f>
        <v>2.4678670085294181</v>
      </c>
      <c r="D115" s="97">
        <f t="shared" ref="D115:H115" si="8">D64-D13</f>
        <v>2.3646009455805244</v>
      </c>
      <c r="E115" s="97">
        <f t="shared" si="8"/>
        <v>2.2794059828447208</v>
      </c>
      <c r="F115" s="97">
        <f t="shared" si="8"/>
        <v>2.5406426848274615</v>
      </c>
      <c r="G115" s="97">
        <f t="shared" si="8"/>
        <v>2.5061362874602828</v>
      </c>
      <c r="H115" s="97">
        <f t="shared" si="8"/>
        <v>2.6485491419341054</v>
      </c>
    </row>
    <row r="116" spans="2:8" hidden="1" outlineLevel="1">
      <c r="B116" s="85" t="s">
        <v>217</v>
      </c>
      <c r="C116" s="97">
        <f t="shared" ref="C116:H131" si="9">C65-C14</f>
        <v>2.0152377566280428</v>
      </c>
      <c r="D116" s="97">
        <f t="shared" si="9"/>
        <v>1.9065350684875115</v>
      </c>
      <c r="E116" s="97">
        <f t="shared" si="9"/>
        <v>1.8518785041878036</v>
      </c>
      <c r="F116" s="97">
        <f t="shared" si="9"/>
        <v>2.0746238073114132</v>
      </c>
      <c r="G116" s="97">
        <f t="shared" si="9"/>
        <v>2.0572339531151762</v>
      </c>
      <c r="H116" s="97">
        <f t="shared" si="9"/>
        <v>2.1859174500383114</v>
      </c>
    </row>
    <row r="117" spans="2:8" hidden="1" outlineLevel="1">
      <c r="B117" s="85" t="s">
        <v>218</v>
      </c>
      <c r="C117" s="97">
        <f t="shared" si="9"/>
        <v>1.575427698615623</v>
      </c>
      <c r="D117" s="97">
        <f t="shared" si="9"/>
        <v>1.4624836155647065</v>
      </c>
      <c r="E117" s="97">
        <f t="shared" si="9"/>
        <v>1.4335961285897687</v>
      </c>
      <c r="F117" s="97">
        <f t="shared" si="9"/>
        <v>1.6200199821195098</v>
      </c>
      <c r="G117" s="97">
        <f t="shared" si="9"/>
        <v>1.6213512826821557</v>
      </c>
      <c r="H117" s="97">
        <f t="shared" si="9"/>
        <v>1.7396874841219727</v>
      </c>
    </row>
    <row r="118" spans="2:8" hidden="1" outlineLevel="1">
      <c r="B118" s="85" t="s">
        <v>235</v>
      </c>
      <c r="C118" s="97">
        <f t="shared" si="9"/>
        <v>2.3670586400776994</v>
      </c>
      <c r="D118" s="97">
        <f t="shared" si="9"/>
        <v>2.2858469303746536</v>
      </c>
      <c r="E118" s="97">
        <f t="shared" si="9"/>
        <v>2.7684763452587018</v>
      </c>
      <c r="F118" s="97">
        <f t="shared" si="9"/>
        <v>2.5332158007306309</v>
      </c>
      <c r="G118" s="97">
        <f t="shared" si="9"/>
        <v>1.8214076176209397</v>
      </c>
      <c r="H118" s="97">
        <f t="shared" si="9"/>
        <v>2.4263465064035694</v>
      </c>
    </row>
    <row r="119" spans="2:8" hidden="1" outlineLevel="1">
      <c r="B119" s="85" t="s">
        <v>213</v>
      </c>
      <c r="C119" s="97">
        <f t="shared" si="9"/>
        <v>3.1219594229529699</v>
      </c>
      <c r="D119" s="97">
        <f t="shared" si="9"/>
        <v>3.18166039992491</v>
      </c>
      <c r="E119" s="97">
        <f t="shared" si="9"/>
        <v>3.0577529271361135</v>
      </c>
      <c r="F119" s="97">
        <f t="shared" si="9"/>
        <v>3.0279586001195731</v>
      </c>
      <c r="G119" s="97">
        <f t="shared" si="9"/>
        <v>3.0921022315932984</v>
      </c>
      <c r="H119" s="97">
        <f t="shared" si="9"/>
        <v>3.2503229559909559</v>
      </c>
    </row>
    <row r="120" spans="2:8" collapsed="1">
      <c r="B120" s="60" t="s">
        <v>167</v>
      </c>
      <c r="C120" s="127">
        <f t="shared" si="9"/>
        <v>11.547550526803754</v>
      </c>
      <c r="D120" s="127">
        <f t="shared" si="9"/>
        <v>11.201126959932305</v>
      </c>
      <c r="E120" s="127">
        <f t="shared" si="9"/>
        <v>11.391109888017105</v>
      </c>
      <c r="F120" s="127">
        <f t="shared" si="9"/>
        <v>11.796460875108586</v>
      </c>
      <c r="G120" s="127">
        <f t="shared" si="9"/>
        <v>11.098231372471851</v>
      </c>
      <c r="H120" s="127">
        <f t="shared" si="9"/>
        <v>12.250823538488916</v>
      </c>
    </row>
    <row r="121" spans="2:8" hidden="1" outlineLevel="1">
      <c r="B121" s="85" t="s">
        <v>216</v>
      </c>
      <c r="C121" s="97">
        <f t="shared" si="9"/>
        <v>2.4678670085294181</v>
      </c>
      <c r="D121" s="97">
        <f t="shared" si="9"/>
        <v>2.3646009455805244</v>
      </c>
      <c r="E121" s="97">
        <f t="shared" si="9"/>
        <v>2.27940598284472</v>
      </c>
      <c r="F121" s="97">
        <f t="shared" si="9"/>
        <v>2.5406426848274597</v>
      </c>
      <c r="G121" s="97">
        <f t="shared" si="9"/>
        <v>2.5061362874602837</v>
      </c>
      <c r="H121" s="97">
        <f t="shared" si="9"/>
        <v>2.6485491419341054</v>
      </c>
    </row>
    <row r="122" spans="2:8" hidden="1" outlineLevel="1">
      <c r="B122" s="85" t="s">
        <v>217</v>
      </c>
      <c r="C122" s="97">
        <f t="shared" si="9"/>
        <v>6.045713269884132</v>
      </c>
      <c r="D122" s="97">
        <f t="shared" si="9"/>
        <v>5.7196052054625319</v>
      </c>
      <c r="E122" s="97">
        <f t="shared" si="9"/>
        <v>5.5556355125634092</v>
      </c>
      <c r="F122" s="97">
        <f t="shared" si="9"/>
        <v>6.223871421934243</v>
      </c>
      <c r="G122" s="97">
        <f t="shared" si="9"/>
        <v>6.1717018593455251</v>
      </c>
      <c r="H122" s="97">
        <f t="shared" si="9"/>
        <v>6.5577523501149333</v>
      </c>
    </row>
    <row r="123" spans="2:8" hidden="1" outlineLevel="1">
      <c r="B123" s="85" t="s">
        <v>218</v>
      </c>
      <c r="C123" s="97">
        <f t="shared" si="9"/>
        <v>4.7262830958468687</v>
      </c>
      <c r="D123" s="97">
        <f t="shared" si="9"/>
        <v>4.3874508466941204</v>
      </c>
      <c r="E123" s="97">
        <f t="shared" si="9"/>
        <v>4.3007883857693088</v>
      </c>
      <c r="F123" s="97">
        <f t="shared" si="9"/>
        <v>4.8600599463585308</v>
      </c>
      <c r="G123" s="97">
        <f t="shared" si="9"/>
        <v>4.8640538480464688</v>
      </c>
      <c r="H123" s="97">
        <f t="shared" si="9"/>
        <v>5.2190624523659199</v>
      </c>
    </row>
    <row r="124" spans="2:8" hidden="1" outlineLevel="1">
      <c r="B124" s="85" t="s">
        <v>235</v>
      </c>
      <c r="C124" s="97">
        <f t="shared" si="9"/>
        <v>2.3670586400776994</v>
      </c>
      <c r="D124" s="97">
        <f t="shared" si="9"/>
        <v>2.2858469303746536</v>
      </c>
      <c r="E124" s="97">
        <f t="shared" si="9"/>
        <v>2.7684763452587022</v>
      </c>
      <c r="F124" s="97">
        <f t="shared" si="9"/>
        <v>2.5332158007306314</v>
      </c>
      <c r="G124" s="97">
        <f t="shared" si="9"/>
        <v>1.8214076176209393</v>
      </c>
      <c r="H124" s="97">
        <f t="shared" si="9"/>
        <v>2.4263465064035694</v>
      </c>
    </row>
    <row r="125" spans="2:8" hidden="1" outlineLevel="1">
      <c r="B125" s="85" t="s">
        <v>213</v>
      </c>
      <c r="C125" s="97">
        <f t="shared" si="9"/>
        <v>3.1219594229529699</v>
      </c>
      <c r="D125" s="97">
        <f t="shared" si="9"/>
        <v>3.18166039992491</v>
      </c>
      <c r="E125" s="97">
        <f t="shared" si="9"/>
        <v>3.0577529271361135</v>
      </c>
      <c r="F125" s="97">
        <f t="shared" si="9"/>
        <v>3.0279586001195731</v>
      </c>
      <c r="G125" s="97">
        <f t="shared" si="9"/>
        <v>3.0921022315932989</v>
      </c>
      <c r="H125" s="97">
        <f t="shared" si="9"/>
        <v>3.2503229559909563</v>
      </c>
    </row>
    <row r="126" spans="2:8" collapsed="1">
      <c r="B126" s="60" t="s">
        <v>269</v>
      </c>
      <c r="C126" s="127">
        <f t="shared" si="9"/>
        <v>18.728881437291086</v>
      </c>
      <c r="D126" s="127">
        <f t="shared" si="9"/>
        <v>17.939164328036739</v>
      </c>
      <c r="E126" s="127">
        <f t="shared" si="9"/>
        <v>17.962059153572252</v>
      </c>
      <c r="F126" s="127">
        <f t="shared" si="9"/>
        <v>19.185748453970437</v>
      </c>
      <c r="G126" s="127">
        <f t="shared" si="9"/>
        <v>18.455401844066515</v>
      </c>
      <c r="H126" s="127">
        <f t="shared" si="9"/>
        <v>20.102033406809483</v>
      </c>
    </row>
    <row r="127" spans="2:8" hidden="1" outlineLevel="1">
      <c r="B127" s="85" t="s">
        <v>216</v>
      </c>
      <c r="C127" s="97">
        <f t="shared" si="9"/>
        <v>12.339335042647093</v>
      </c>
      <c r="D127" s="97">
        <f t="shared" si="9"/>
        <v>11.823004727902617</v>
      </c>
      <c r="E127" s="97">
        <f t="shared" si="9"/>
        <v>11.397029914223602</v>
      </c>
      <c r="F127" s="97">
        <f t="shared" si="9"/>
        <v>12.703213424137303</v>
      </c>
      <c r="G127" s="97">
        <f t="shared" si="9"/>
        <v>12.530681437301414</v>
      </c>
      <c r="H127" s="97">
        <f t="shared" si="9"/>
        <v>13.242745709670526</v>
      </c>
    </row>
    <row r="128" spans="2:8" hidden="1" outlineLevel="1">
      <c r="B128" s="85" t="s">
        <v>217</v>
      </c>
      <c r="C128" s="97">
        <f t="shared" si="9"/>
        <v>38.289517375932832</v>
      </c>
      <c r="D128" s="97">
        <f t="shared" si="9"/>
        <v>36.224166301262713</v>
      </c>
      <c r="E128" s="97">
        <f t="shared" si="9"/>
        <v>35.185691579568271</v>
      </c>
      <c r="F128" s="97">
        <f t="shared" si="9"/>
        <v>39.417852338916859</v>
      </c>
      <c r="G128" s="97">
        <f t="shared" si="9"/>
        <v>39.087445109188337</v>
      </c>
      <c r="H128" s="97">
        <f t="shared" si="9"/>
        <v>41.532431550727935</v>
      </c>
    </row>
    <row r="129" spans="2:8" hidden="1" outlineLevel="1">
      <c r="B129" s="85" t="s">
        <v>218</v>
      </c>
      <c r="C129" s="97">
        <f t="shared" si="9"/>
        <v>4.7262830958468705</v>
      </c>
      <c r="D129" s="97">
        <f t="shared" si="9"/>
        <v>4.3874508466941204</v>
      </c>
      <c r="E129" s="97">
        <f t="shared" si="9"/>
        <v>4.300788385769307</v>
      </c>
      <c r="F129" s="97">
        <f t="shared" si="9"/>
        <v>4.860059946358529</v>
      </c>
      <c r="G129" s="97">
        <f t="shared" si="9"/>
        <v>4.8640538480464688</v>
      </c>
      <c r="H129" s="97">
        <f t="shared" si="9"/>
        <v>5.2190624523659181</v>
      </c>
    </row>
    <row r="130" spans="2:8" hidden="1" outlineLevel="1">
      <c r="B130" s="85" t="s">
        <v>235</v>
      </c>
      <c r="C130" s="97">
        <f t="shared" si="9"/>
        <v>2.3670586400776994</v>
      </c>
      <c r="D130" s="97">
        <f t="shared" si="9"/>
        <v>2.285846930374654</v>
      </c>
      <c r="E130" s="97">
        <f t="shared" si="9"/>
        <v>2.7684763452587022</v>
      </c>
      <c r="F130" s="97">
        <f t="shared" si="9"/>
        <v>2.5332158007306314</v>
      </c>
      <c r="G130" s="97">
        <f t="shared" si="9"/>
        <v>1.8214076176209397</v>
      </c>
      <c r="H130" s="97">
        <f t="shared" si="9"/>
        <v>2.4263465064035694</v>
      </c>
    </row>
    <row r="131" spans="2:8" hidden="1" outlineLevel="1">
      <c r="B131" s="85" t="s">
        <v>213</v>
      </c>
      <c r="C131" s="97">
        <f t="shared" si="9"/>
        <v>3.1219594229529717</v>
      </c>
      <c r="D131" s="97">
        <f t="shared" si="9"/>
        <v>3.1816603999249109</v>
      </c>
      <c r="E131" s="97">
        <f t="shared" si="9"/>
        <v>3.0577529271361135</v>
      </c>
      <c r="F131" s="97">
        <f t="shared" si="9"/>
        <v>3.0279586001195731</v>
      </c>
      <c r="G131" s="97">
        <f t="shared" si="9"/>
        <v>3.0921022315932989</v>
      </c>
      <c r="H131" s="97">
        <f t="shared" si="9"/>
        <v>3.2503229559909563</v>
      </c>
    </row>
    <row r="132" spans="2:8" collapsed="1">
      <c r="B132" s="60" t="s">
        <v>272</v>
      </c>
      <c r="C132" s="127">
        <f t="shared" ref="C132:H147" si="10">C81-C30</f>
        <v>60.84415357745749</v>
      </c>
      <c r="D132" s="127">
        <f t="shared" si="10"/>
        <v>57.902129206158989</v>
      </c>
      <c r="E132" s="127">
        <f t="shared" si="10"/>
        <v>56.709739151955986</v>
      </c>
      <c r="F132" s="127">
        <f t="shared" si="10"/>
        <v>62.542300110262914</v>
      </c>
      <c r="G132" s="127">
        <f t="shared" si="10"/>
        <v>61.395690243750465</v>
      </c>
      <c r="H132" s="127">
        <f t="shared" si="10"/>
        <v>65.670909175158869</v>
      </c>
    </row>
    <row r="133" spans="2:8" hidden="1" outlineLevel="1">
      <c r="B133" s="85" t="s">
        <v>216</v>
      </c>
      <c r="C133" s="97">
        <f t="shared" si="10"/>
        <v>2.4678670085294181</v>
      </c>
      <c r="D133" s="97">
        <f t="shared" si="10"/>
        <v>2.3646009455805244</v>
      </c>
      <c r="E133" s="97">
        <f t="shared" si="10"/>
        <v>2.2794059828447191</v>
      </c>
      <c r="F133" s="97">
        <f t="shared" si="10"/>
        <v>2.5406426848274615</v>
      </c>
      <c r="G133" s="97">
        <f t="shared" si="10"/>
        <v>2.5061362874602819</v>
      </c>
      <c r="H133" s="97">
        <f t="shared" si="10"/>
        <v>2.6485491419341045</v>
      </c>
    </row>
    <row r="134" spans="2:8" hidden="1" outlineLevel="1">
      <c r="B134" s="85" t="s">
        <v>217</v>
      </c>
      <c r="C134" s="97">
        <f t="shared" si="10"/>
        <v>2.0152377566280437</v>
      </c>
      <c r="D134" s="97">
        <f t="shared" si="10"/>
        <v>1.9065350684875115</v>
      </c>
      <c r="E134" s="97">
        <f t="shared" si="10"/>
        <v>1.8518785041878036</v>
      </c>
      <c r="F134" s="97">
        <f t="shared" si="10"/>
        <v>2.0746238073114132</v>
      </c>
      <c r="G134" s="97">
        <f t="shared" si="10"/>
        <v>2.0572339531151753</v>
      </c>
      <c r="H134" s="97">
        <f t="shared" si="10"/>
        <v>2.1859174500383123</v>
      </c>
    </row>
    <row r="135" spans="2:8" hidden="1" outlineLevel="1">
      <c r="B135" s="85" t="s">
        <v>218</v>
      </c>
      <c r="C135" s="97">
        <f t="shared" si="10"/>
        <v>4.7262830958468705</v>
      </c>
      <c r="D135" s="97">
        <f t="shared" si="10"/>
        <v>4.3874508466941222</v>
      </c>
      <c r="E135" s="97">
        <f t="shared" si="10"/>
        <v>4.3007883857693052</v>
      </c>
      <c r="F135" s="97">
        <f t="shared" si="10"/>
        <v>4.8600599463585272</v>
      </c>
      <c r="G135" s="97">
        <f t="shared" si="10"/>
        <v>4.8640538480464706</v>
      </c>
      <c r="H135" s="97">
        <f t="shared" si="10"/>
        <v>5.2190624523659181</v>
      </c>
    </row>
    <row r="136" spans="2:8" hidden="1" outlineLevel="1">
      <c r="B136" s="85" t="s">
        <v>235</v>
      </c>
      <c r="C136" s="97">
        <f t="shared" si="10"/>
        <v>2.3670586400776994</v>
      </c>
      <c r="D136" s="97">
        <f t="shared" si="10"/>
        <v>2.285846930374654</v>
      </c>
      <c r="E136" s="97">
        <f t="shared" si="10"/>
        <v>2.7684763452587022</v>
      </c>
      <c r="F136" s="97">
        <f t="shared" si="10"/>
        <v>2.5332158007306309</v>
      </c>
      <c r="G136" s="97">
        <f t="shared" si="10"/>
        <v>1.8214076176209393</v>
      </c>
      <c r="H136" s="97">
        <f t="shared" si="10"/>
        <v>2.4263465064035694</v>
      </c>
    </row>
    <row r="137" spans="2:8" hidden="1" outlineLevel="1">
      <c r="B137" s="85" t="s">
        <v>213</v>
      </c>
      <c r="C137" s="97">
        <f t="shared" si="10"/>
        <v>3.1219594229529717</v>
      </c>
      <c r="D137" s="97">
        <f t="shared" si="10"/>
        <v>3.1816603999249109</v>
      </c>
      <c r="E137" s="97">
        <f t="shared" si="10"/>
        <v>3.0577529271361144</v>
      </c>
      <c r="F137" s="97">
        <f t="shared" si="10"/>
        <v>3.0279586001195731</v>
      </c>
      <c r="G137" s="97">
        <f t="shared" si="10"/>
        <v>3.0921022315932989</v>
      </c>
      <c r="H137" s="97">
        <f t="shared" si="10"/>
        <v>3.2503229559909572</v>
      </c>
    </row>
    <row r="138" spans="2:8" collapsed="1">
      <c r="B138" s="60" t="s">
        <v>170</v>
      </c>
      <c r="C138" s="127">
        <f t="shared" si="10"/>
        <v>14.698405924035001</v>
      </c>
      <c r="D138" s="127">
        <f t="shared" si="10"/>
        <v>14.126094191061725</v>
      </c>
      <c r="E138" s="127">
        <f t="shared" si="10"/>
        <v>14.258302145196648</v>
      </c>
      <c r="F138" s="127">
        <f t="shared" si="10"/>
        <v>15.03650083934761</v>
      </c>
      <c r="G138" s="127">
        <f t="shared" si="10"/>
        <v>14.340933937836169</v>
      </c>
      <c r="H138" s="127">
        <f t="shared" si="10"/>
        <v>15.730198506732854</v>
      </c>
    </row>
    <row r="139" spans="2:8" hidden="1" outlineLevel="1">
      <c r="B139" s="85" t="s">
        <v>216</v>
      </c>
      <c r="C139" s="97">
        <f t="shared" si="10"/>
        <v>2.4678670085294163</v>
      </c>
      <c r="D139" s="97">
        <f t="shared" si="10"/>
        <v>2.3646009455805244</v>
      </c>
      <c r="E139" s="97">
        <f t="shared" si="10"/>
        <v>2.2794059828447191</v>
      </c>
      <c r="F139" s="97">
        <f t="shared" si="10"/>
        <v>2.5406426848274606</v>
      </c>
      <c r="G139" s="97">
        <f t="shared" si="10"/>
        <v>2.5061362874602828</v>
      </c>
      <c r="H139" s="97">
        <f t="shared" si="10"/>
        <v>2.6485491419341045</v>
      </c>
    </row>
    <row r="140" spans="2:8" hidden="1" outlineLevel="1">
      <c r="B140" s="85" t="s">
        <v>217</v>
      </c>
      <c r="C140" s="97">
        <f t="shared" si="10"/>
        <v>6.0457132698841285</v>
      </c>
      <c r="D140" s="97">
        <f t="shared" si="10"/>
        <v>5.7196052054625355</v>
      </c>
      <c r="E140" s="97">
        <f t="shared" si="10"/>
        <v>5.5556355125634109</v>
      </c>
      <c r="F140" s="97">
        <f t="shared" si="10"/>
        <v>6.2238714219342413</v>
      </c>
      <c r="G140" s="97">
        <f t="shared" si="10"/>
        <v>6.1717018593455251</v>
      </c>
      <c r="H140" s="97">
        <f t="shared" si="10"/>
        <v>6.5577523501149368</v>
      </c>
    </row>
    <row r="141" spans="2:8" hidden="1" outlineLevel="1">
      <c r="B141" s="85" t="s">
        <v>218</v>
      </c>
      <c r="C141" s="97">
        <f t="shared" si="10"/>
        <v>14.178849287540608</v>
      </c>
      <c r="D141" s="97">
        <f t="shared" si="10"/>
        <v>13.162352540082349</v>
      </c>
      <c r="E141" s="97">
        <f t="shared" si="10"/>
        <v>12.902365157307919</v>
      </c>
      <c r="F141" s="97">
        <f t="shared" si="10"/>
        <v>14.580179839075587</v>
      </c>
      <c r="G141" s="97">
        <f t="shared" si="10"/>
        <v>14.592161544139408</v>
      </c>
      <c r="H141" s="97">
        <f t="shared" si="10"/>
        <v>15.657187357097754</v>
      </c>
    </row>
    <row r="142" spans="2:8" hidden="1" outlineLevel="1">
      <c r="B142" s="85" t="s">
        <v>235</v>
      </c>
      <c r="C142" s="97">
        <f t="shared" si="10"/>
        <v>2.3670586400776994</v>
      </c>
      <c r="D142" s="97">
        <f t="shared" si="10"/>
        <v>2.2858469303746536</v>
      </c>
      <c r="E142" s="97">
        <f t="shared" si="10"/>
        <v>2.7684763452587022</v>
      </c>
      <c r="F142" s="97">
        <f t="shared" si="10"/>
        <v>2.5332158007306309</v>
      </c>
      <c r="G142" s="97">
        <f t="shared" si="10"/>
        <v>1.8214076176209393</v>
      </c>
      <c r="H142" s="97">
        <f t="shared" si="10"/>
        <v>2.4263465064035694</v>
      </c>
    </row>
    <row r="143" spans="2:8" hidden="1" outlineLevel="1">
      <c r="B143" s="85" t="s">
        <v>213</v>
      </c>
      <c r="C143" s="97">
        <f t="shared" si="10"/>
        <v>3.1219594229529717</v>
      </c>
      <c r="D143" s="97">
        <f t="shared" si="10"/>
        <v>3.1816603999249109</v>
      </c>
      <c r="E143" s="97">
        <f t="shared" si="10"/>
        <v>3.0577529271361135</v>
      </c>
      <c r="F143" s="97">
        <f t="shared" si="10"/>
        <v>3.0279586001195731</v>
      </c>
      <c r="G143" s="97">
        <f t="shared" si="10"/>
        <v>3.0921022315932989</v>
      </c>
      <c r="H143" s="97">
        <f t="shared" si="10"/>
        <v>3.2503229559909563</v>
      </c>
    </row>
    <row r="144" spans="2:8" collapsed="1">
      <c r="B144" s="60" t="s">
        <v>270</v>
      </c>
      <c r="C144" s="127">
        <f t="shared" si="10"/>
        <v>28.18144762898482</v>
      </c>
      <c r="D144" s="127">
        <f t="shared" si="10"/>
        <v>26.714066021424991</v>
      </c>
      <c r="E144" s="127">
        <f t="shared" si="10"/>
        <v>26.563635925110852</v>
      </c>
      <c r="F144" s="127">
        <f t="shared" si="10"/>
        <v>28.905868346687491</v>
      </c>
      <c r="G144" s="127">
        <f t="shared" si="10"/>
        <v>28.183509540159442</v>
      </c>
      <c r="H144" s="127">
        <f t="shared" si="10"/>
        <v>30.540158311541333</v>
      </c>
    </row>
    <row r="145" spans="2:8" hidden="1" outlineLevel="1">
      <c r="B145" s="85" t="s">
        <v>216</v>
      </c>
      <c r="C145" s="97">
        <f t="shared" si="10"/>
        <v>12.339335042647093</v>
      </c>
      <c r="D145" s="97">
        <f t="shared" si="10"/>
        <v>11.823004727902617</v>
      </c>
      <c r="E145" s="97">
        <f t="shared" si="10"/>
        <v>11.397029914223602</v>
      </c>
      <c r="F145" s="97">
        <f t="shared" si="10"/>
        <v>12.703213424137306</v>
      </c>
      <c r="G145" s="97">
        <f t="shared" si="10"/>
        <v>12.530681437301414</v>
      </c>
      <c r="H145" s="97">
        <f t="shared" si="10"/>
        <v>13.242745709670526</v>
      </c>
    </row>
    <row r="146" spans="2:8" hidden="1" outlineLevel="1">
      <c r="B146" s="85" t="s">
        <v>217</v>
      </c>
      <c r="C146" s="97">
        <f t="shared" si="10"/>
        <v>38.289517375932817</v>
      </c>
      <c r="D146" s="97">
        <f t="shared" si="10"/>
        <v>36.224166301262727</v>
      </c>
      <c r="E146" s="97">
        <f t="shared" si="10"/>
        <v>35.185691579568271</v>
      </c>
      <c r="F146" s="97">
        <f t="shared" si="10"/>
        <v>39.417852338916859</v>
      </c>
      <c r="G146" s="97">
        <f t="shared" si="10"/>
        <v>39.087445109188351</v>
      </c>
      <c r="H146" s="97">
        <f t="shared" si="10"/>
        <v>41.532431550727907</v>
      </c>
    </row>
    <row r="147" spans="2:8" hidden="1" outlineLevel="1">
      <c r="B147" s="85" t="s">
        <v>218</v>
      </c>
      <c r="C147" s="97">
        <f t="shared" si="10"/>
        <v>14.178849287540608</v>
      </c>
      <c r="D147" s="97">
        <f t="shared" si="10"/>
        <v>13.16235254008236</v>
      </c>
      <c r="E147" s="97">
        <f t="shared" si="10"/>
        <v>12.902365157307909</v>
      </c>
      <c r="F147" s="97">
        <f t="shared" si="10"/>
        <v>14.580179839075591</v>
      </c>
      <c r="G147" s="97">
        <f t="shared" si="10"/>
        <v>14.592161544139408</v>
      </c>
      <c r="H147" s="97">
        <f t="shared" si="10"/>
        <v>15.657187357097754</v>
      </c>
    </row>
    <row r="148" spans="2:8" hidden="1" outlineLevel="1">
      <c r="B148" s="85" t="s">
        <v>235</v>
      </c>
      <c r="C148" s="97">
        <f t="shared" ref="C148:H162" si="11">C97-C46</f>
        <v>2.3670586400776994</v>
      </c>
      <c r="D148" s="97">
        <f t="shared" si="11"/>
        <v>2.2858469303746536</v>
      </c>
      <c r="E148" s="97">
        <f t="shared" si="11"/>
        <v>2.7684763452587027</v>
      </c>
      <c r="F148" s="97">
        <f t="shared" si="11"/>
        <v>2.5332158007306305</v>
      </c>
      <c r="G148" s="97">
        <f t="shared" si="11"/>
        <v>1.8214076176209393</v>
      </c>
      <c r="H148" s="97">
        <f t="shared" si="11"/>
        <v>2.4263465064035694</v>
      </c>
    </row>
    <row r="149" spans="2:8" hidden="1" outlineLevel="1">
      <c r="B149" s="85" t="s">
        <v>213</v>
      </c>
      <c r="C149" s="97">
        <f t="shared" si="11"/>
        <v>3.1219594229529708</v>
      </c>
      <c r="D149" s="97">
        <f t="shared" si="11"/>
        <v>3.18166039992491</v>
      </c>
      <c r="E149" s="97">
        <f t="shared" si="11"/>
        <v>3.0577529271361144</v>
      </c>
      <c r="F149" s="97">
        <f t="shared" si="11"/>
        <v>3.0279586001195726</v>
      </c>
      <c r="G149" s="97">
        <f t="shared" si="11"/>
        <v>3.0921022315932989</v>
      </c>
      <c r="H149" s="97">
        <f t="shared" si="11"/>
        <v>3.2503229559909572</v>
      </c>
    </row>
    <row r="150" spans="2:8" collapsed="1">
      <c r="B150" s="60" t="s">
        <v>271</v>
      </c>
      <c r="C150" s="127">
        <f t="shared" si="11"/>
        <v>70.296719769151167</v>
      </c>
      <c r="D150" s="127">
        <f t="shared" si="11"/>
        <v>66.677030899547276</v>
      </c>
      <c r="E150" s="127">
        <f t="shared" si="11"/>
        <v>65.311315923494618</v>
      </c>
      <c r="F150" s="127">
        <f t="shared" si="11"/>
        <v>72.262420002979951</v>
      </c>
      <c r="G150" s="127">
        <f t="shared" si="11"/>
        <v>71.123797939843456</v>
      </c>
      <c r="H150" s="127">
        <f t="shared" si="11"/>
        <v>76.109034079890705</v>
      </c>
    </row>
    <row r="151" spans="2:8" hidden="1" outlineLevel="1">
      <c r="B151" s="85" t="s">
        <v>216</v>
      </c>
      <c r="C151" s="97">
        <f t="shared" si="11"/>
        <v>0.24678670085294174</v>
      </c>
      <c r="D151" s="97">
        <f t="shared" si="11"/>
        <v>0.2364600945580525</v>
      </c>
      <c r="E151" s="97">
        <f t="shared" si="11"/>
        <v>0.22794059828447211</v>
      </c>
      <c r="F151" s="97">
        <f t="shared" si="11"/>
        <v>0.25406426848274599</v>
      </c>
      <c r="G151" s="97">
        <f t="shared" si="11"/>
        <v>0.25061362874602822</v>
      </c>
      <c r="H151" s="97">
        <f t="shared" si="11"/>
        <v>0.26485491419341056</v>
      </c>
    </row>
    <row r="152" spans="2:8" hidden="1" outlineLevel="1">
      <c r="B152" s="85" t="s">
        <v>217</v>
      </c>
      <c r="C152" s="97">
        <f t="shared" si="11"/>
        <v>0.20152377566280444</v>
      </c>
      <c r="D152" s="97">
        <f t="shared" si="11"/>
        <v>0.19065350684875121</v>
      </c>
      <c r="E152" s="97">
        <f t="shared" si="11"/>
        <v>0.18518785041878039</v>
      </c>
      <c r="F152" s="97">
        <f t="shared" si="11"/>
        <v>0.20746238073114148</v>
      </c>
      <c r="G152" s="97">
        <f t="shared" si="11"/>
        <v>0.20572339531151757</v>
      </c>
      <c r="H152" s="97">
        <f t="shared" si="11"/>
        <v>0.21859174500383111</v>
      </c>
    </row>
    <row r="153" spans="2:8" hidden="1" outlineLevel="1">
      <c r="B153" s="85" t="s">
        <v>218</v>
      </c>
      <c r="C153" s="97">
        <f t="shared" si="11"/>
        <v>1.102799389030936</v>
      </c>
      <c r="D153" s="97">
        <f t="shared" si="11"/>
        <v>1.0237385308952947</v>
      </c>
      <c r="E153" s="97">
        <f t="shared" si="11"/>
        <v>1.0035172900128382</v>
      </c>
      <c r="F153" s="97">
        <f t="shared" si="11"/>
        <v>1.134013987483657</v>
      </c>
      <c r="G153" s="97">
        <f t="shared" si="11"/>
        <v>1.1349458978775089</v>
      </c>
      <c r="H153" s="97">
        <f t="shared" si="11"/>
        <v>1.2177812388853808</v>
      </c>
    </row>
    <row r="154" spans="2:8" hidden="1" outlineLevel="1">
      <c r="B154" s="85" t="s">
        <v>235</v>
      </c>
      <c r="C154" s="97">
        <f t="shared" si="11"/>
        <v>2.3670586400776994</v>
      </c>
      <c r="D154" s="97">
        <f t="shared" si="11"/>
        <v>2.2858469303746536</v>
      </c>
      <c r="E154" s="97">
        <f t="shared" si="11"/>
        <v>2.7684763452587022</v>
      </c>
      <c r="F154" s="97">
        <f t="shared" si="11"/>
        <v>2.5332158007306314</v>
      </c>
      <c r="G154" s="97">
        <f t="shared" si="11"/>
        <v>1.8214076176209395</v>
      </c>
      <c r="H154" s="97">
        <f t="shared" si="11"/>
        <v>2.4263465064035694</v>
      </c>
    </row>
    <row r="155" spans="2:8" hidden="1" outlineLevel="1">
      <c r="B155" s="85" t="s">
        <v>213</v>
      </c>
      <c r="C155" s="97">
        <f t="shared" si="11"/>
        <v>3.1219594229529699</v>
      </c>
      <c r="D155" s="97">
        <f t="shared" si="11"/>
        <v>3.18166039992491</v>
      </c>
      <c r="E155" s="97">
        <f t="shared" si="11"/>
        <v>3.0577529271361135</v>
      </c>
      <c r="F155" s="97">
        <f t="shared" si="11"/>
        <v>3.0279586001195731</v>
      </c>
      <c r="G155" s="97">
        <f t="shared" si="11"/>
        <v>3.0921022315932984</v>
      </c>
      <c r="H155" s="97">
        <f t="shared" si="11"/>
        <v>3.2503229559909563</v>
      </c>
    </row>
    <row r="156" spans="2:8" collapsed="1">
      <c r="B156" s="60" t="s">
        <v>105</v>
      </c>
      <c r="C156" s="127">
        <f t="shared" si="11"/>
        <v>7.0401279285773519</v>
      </c>
      <c r="D156" s="127">
        <f t="shared" si="11"/>
        <v>6.9183594626016616</v>
      </c>
      <c r="E156" s="127">
        <f t="shared" si="11"/>
        <v>7.2428750111109075</v>
      </c>
      <c r="F156" s="127">
        <f t="shared" si="11"/>
        <v>7.1567150375477482</v>
      </c>
      <c r="G156" s="127">
        <f t="shared" si="11"/>
        <v>6.5047927711492921</v>
      </c>
      <c r="H156" s="127">
        <f t="shared" si="11"/>
        <v>7.3778973604771494</v>
      </c>
    </row>
    <row r="157" spans="2:8" hidden="1" outlineLevel="1">
      <c r="B157" s="85" t="s">
        <v>216</v>
      </c>
      <c r="C157" s="97">
        <f t="shared" si="11"/>
        <v>0.24678670085294185</v>
      </c>
      <c r="D157" s="97">
        <f t="shared" si="11"/>
        <v>0.23646009455805239</v>
      </c>
      <c r="E157" s="97">
        <f t="shared" si="11"/>
        <v>0.227940598284472</v>
      </c>
      <c r="F157" s="97">
        <f t="shared" si="11"/>
        <v>0.2540642684827461</v>
      </c>
      <c r="G157" s="97">
        <f t="shared" si="11"/>
        <v>0.25061362874602833</v>
      </c>
      <c r="H157" s="97">
        <f t="shared" si="11"/>
        <v>0.26485491419341056</v>
      </c>
    </row>
    <row r="158" spans="2:8" hidden="1" outlineLevel="1">
      <c r="B158" s="85" t="s">
        <v>217</v>
      </c>
      <c r="C158" s="97">
        <f t="shared" si="11"/>
        <v>0.20152377566280433</v>
      </c>
      <c r="D158" s="97">
        <f t="shared" si="11"/>
        <v>0.1906535068487511</v>
      </c>
      <c r="E158" s="97">
        <f t="shared" si="11"/>
        <v>0.18518785041878033</v>
      </c>
      <c r="F158" s="97">
        <f t="shared" si="11"/>
        <v>0.20746238073114137</v>
      </c>
      <c r="G158" s="97">
        <f t="shared" si="11"/>
        <v>0.20572339531151757</v>
      </c>
      <c r="H158" s="97">
        <f t="shared" si="11"/>
        <v>0.21859174500383116</v>
      </c>
    </row>
    <row r="159" spans="2:8" hidden="1" outlineLevel="1">
      <c r="B159" s="85" t="s">
        <v>218</v>
      </c>
      <c r="C159" s="97">
        <f t="shared" si="11"/>
        <v>1.102799389030936</v>
      </c>
      <c r="D159" s="97">
        <f t="shared" si="11"/>
        <v>1.0237385308952947</v>
      </c>
      <c r="E159" s="97">
        <f t="shared" si="11"/>
        <v>1.0035172900128377</v>
      </c>
      <c r="F159" s="97">
        <f t="shared" si="11"/>
        <v>1.1340139874836566</v>
      </c>
      <c r="G159" s="97">
        <f t="shared" si="11"/>
        <v>1.1349458978775093</v>
      </c>
      <c r="H159" s="97">
        <f t="shared" si="11"/>
        <v>1.2177812388853808</v>
      </c>
    </row>
    <row r="160" spans="2:8" hidden="1" outlineLevel="1">
      <c r="B160" s="85" t="s">
        <v>235</v>
      </c>
      <c r="C160" s="97">
        <f t="shared" si="11"/>
        <v>2.3670586400776994</v>
      </c>
      <c r="D160" s="97">
        <f t="shared" si="11"/>
        <v>2.285846930374654</v>
      </c>
      <c r="E160" s="97">
        <f t="shared" si="11"/>
        <v>2.7684763452587022</v>
      </c>
      <c r="F160" s="97">
        <f t="shared" si="11"/>
        <v>2.5332158007306309</v>
      </c>
      <c r="G160" s="97">
        <f t="shared" si="11"/>
        <v>1.8214076176209393</v>
      </c>
      <c r="H160" s="97">
        <f t="shared" si="11"/>
        <v>2.4263465064035694</v>
      </c>
    </row>
    <row r="161" spans="2:8" hidden="1" outlineLevel="1">
      <c r="B161" s="85" t="s">
        <v>213</v>
      </c>
      <c r="C161" s="97">
        <f t="shared" si="11"/>
        <v>3.1219594229529717</v>
      </c>
      <c r="D161" s="97">
        <f t="shared" si="11"/>
        <v>3.1816603999249109</v>
      </c>
      <c r="E161" s="97">
        <f t="shared" si="11"/>
        <v>3.0577529271361144</v>
      </c>
      <c r="F161" s="97">
        <f t="shared" si="11"/>
        <v>3.0279586001195731</v>
      </c>
      <c r="G161" s="97">
        <f t="shared" si="11"/>
        <v>3.0921022315932989</v>
      </c>
      <c r="H161" s="97">
        <f t="shared" si="11"/>
        <v>3.2503229559909563</v>
      </c>
    </row>
    <row r="162" spans="2:8" collapsed="1">
      <c r="B162" s="60" t="s">
        <v>173</v>
      </c>
      <c r="C162" s="127">
        <f>C111-C60</f>
        <v>7.0401279285773519</v>
      </c>
      <c r="D162" s="127">
        <f t="shared" si="11"/>
        <v>6.9183594626016633</v>
      </c>
      <c r="E162" s="127">
        <f t="shared" si="11"/>
        <v>7.2428750111109066</v>
      </c>
      <c r="F162" s="127">
        <f t="shared" si="11"/>
        <v>7.1567150375477482</v>
      </c>
      <c r="G162" s="127">
        <f t="shared" si="11"/>
        <v>6.504792771149293</v>
      </c>
      <c r="H162" s="127">
        <f t="shared" si="11"/>
        <v>7.3778973604771494</v>
      </c>
    </row>
    <row r="164" spans="2:8">
      <c r="B164" s="463" t="s">
        <v>780</v>
      </c>
      <c r="C164" s="463"/>
      <c r="D164" s="463"/>
      <c r="E164" s="463"/>
      <c r="F164" s="463"/>
      <c r="G164" s="463"/>
      <c r="H164" s="463"/>
    </row>
    <row r="166" spans="2:8" hidden="1" outlineLevel="1">
      <c r="B166" s="85" t="s">
        <v>216</v>
      </c>
      <c r="C166" s="46">
        <f>C115/C64</f>
        <v>0.30794541763649091</v>
      </c>
      <c r="D166" s="46">
        <f t="shared" ref="D166:H166" si="12">D115/D64</f>
        <v>0.31000306212216494</v>
      </c>
      <c r="E166" s="46">
        <f t="shared" si="12"/>
        <v>0.2941359516997577</v>
      </c>
      <c r="F166" s="46">
        <f t="shared" si="12"/>
        <v>0.31361867628969314</v>
      </c>
      <c r="G166" s="46">
        <f t="shared" si="12"/>
        <v>0.3063938655498013</v>
      </c>
      <c r="H166" s="46">
        <f t="shared" si="12"/>
        <v>0.31484645578598985</v>
      </c>
    </row>
    <row r="167" spans="2:8" hidden="1" outlineLevel="1">
      <c r="B167" s="85" t="s">
        <v>217</v>
      </c>
      <c r="C167" s="46">
        <f t="shared" ref="C167:H182" si="13">C116/C65</f>
        <v>0.30799238931287826</v>
      </c>
      <c r="D167" s="46">
        <f t="shared" si="13"/>
        <v>0.31013443591933465</v>
      </c>
      <c r="E167" s="46">
        <f t="shared" si="13"/>
        <v>0.2941359516997577</v>
      </c>
      <c r="F167" s="46">
        <f t="shared" si="13"/>
        <v>0.31361867628969303</v>
      </c>
      <c r="G167" s="46">
        <f t="shared" si="13"/>
        <v>0.30639386554980141</v>
      </c>
      <c r="H167" s="46">
        <f t="shared" si="13"/>
        <v>0.3148464557859898</v>
      </c>
    </row>
    <row r="168" spans="2:8" hidden="1" outlineLevel="1">
      <c r="B168" s="85" t="s">
        <v>218</v>
      </c>
      <c r="C168" s="46">
        <f t="shared" si="13"/>
        <v>0.30827599530247091</v>
      </c>
      <c r="D168" s="46">
        <f t="shared" si="13"/>
        <v>0.31146501608811428</v>
      </c>
      <c r="E168" s="46">
        <f t="shared" si="13"/>
        <v>0.2941359516997577</v>
      </c>
      <c r="F168" s="46">
        <f t="shared" si="13"/>
        <v>0.31361867628969314</v>
      </c>
      <c r="G168" s="46">
        <f t="shared" si="13"/>
        <v>0.30639386554980136</v>
      </c>
      <c r="H168" s="46">
        <f t="shared" si="13"/>
        <v>0.31484645578598991</v>
      </c>
    </row>
    <row r="169" spans="2:8" hidden="1" outlineLevel="1">
      <c r="B169" s="85" t="s">
        <v>235</v>
      </c>
      <c r="C169" s="46">
        <f t="shared" si="13"/>
        <v>0.79873362274028969</v>
      </c>
      <c r="D169" s="46">
        <f t="shared" si="13"/>
        <v>1</v>
      </c>
      <c r="E169" s="46">
        <f t="shared" si="13"/>
        <v>0.92003493699801286</v>
      </c>
      <c r="F169" s="46">
        <f t="shared" si="13"/>
        <v>0.84250118607002744</v>
      </c>
      <c r="G169" s="46">
        <f t="shared" si="13"/>
        <v>0.67963947964498406</v>
      </c>
      <c r="H169" s="46">
        <f t="shared" si="13"/>
        <v>0.63253896512349816</v>
      </c>
    </row>
    <row r="170" spans="2:8" hidden="1" outlineLevel="1">
      <c r="B170" s="85" t="s">
        <v>213</v>
      </c>
      <c r="C170" s="46">
        <f t="shared" si="13"/>
        <v>0.72178311168031306</v>
      </c>
      <c r="D170" s="46">
        <f t="shared" si="13"/>
        <v>0.72259023101304665</v>
      </c>
      <c r="E170" s="46">
        <f t="shared" si="13"/>
        <v>0.71646349219686489</v>
      </c>
      <c r="F170" s="46">
        <f t="shared" si="13"/>
        <v>0.71564266989539305</v>
      </c>
      <c r="G170" s="46">
        <f t="shared" si="13"/>
        <v>0.72115569715166439</v>
      </c>
      <c r="H170" s="46">
        <f t="shared" si="13"/>
        <v>0.73256093272256484</v>
      </c>
    </row>
    <row r="171" spans="2:8" collapsed="1">
      <c r="B171" s="60" t="s">
        <v>167</v>
      </c>
      <c r="C171" s="336">
        <f t="shared" si="13"/>
        <v>0.42837849548595031</v>
      </c>
      <c r="D171" s="336">
        <f t="shared" si="13"/>
        <v>0.4452029931834125</v>
      </c>
      <c r="E171" s="336">
        <f t="shared" si="13"/>
        <v>0.43483563704924122</v>
      </c>
      <c r="F171" s="336">
        <f t="shared" si="13"/>
        <v>0.434978698012908</v>
      </c>
      <c r="G171" s="336">
        <f t="shared" si="13"/>
        <v>0.4087265802137558</v>
      </c>
      <c r="H171" s="336">
        <f t="shared" si="13"/>
        <v>0.42022045695688132</v>
      </c>
    </row>
    <row r="172" spans="2:8" hidden="1" outlineLevel="1">
      <c r="B172" s="85" t="s">
        <v>216</v>
      </c>
      <c r="C172" s="46">
        <f t="shared" si="13"/>
        <v>0.30794541763649091</v>
      </c>
      <c r="D172" s="46">
        <f t="shared" si="13"/>
        <v>0.31000306212216494</v>
      </c>
      <c r="E172" s="46">
        <f t="shared" si="13"/>
        <v>0.29413595169975754</v>
      </c>
      <c r="F172" s="46">
        <f t="shared" si="13"/>
        <v>0.31361867628969298</v>
      </c>
      <c r="G172" s="46">
        <f t="shared" si="13"/>
        <v>0.30639386554980141</v>
      </c>
      <c r="H172" s="46">
        <f t="shared" si="13"/>
        <v>0.31484645578598985</v>
      </c>
    </row>
    <row r="173" spans="2:8" hidden="1" outlineLevel="1">
      <c r="B173" s="85" t="s">
        <v>217</v>
      </c>
      <c r="C173" s="46">
        <f t="shared" si="13"/>
        <v>0.30799238931287837</v>
      </c>
      <c r="D173" s="46">
        <f t="shared" si="13"/>
        <v>0.31013443591933454</v>
      </c>
      <c r="E173" s="46">
        <f t="shared" si="13"/>
        <v>0.29413595169975759</v>
      </c>
      <c r="F173" s="46">
        <f t="shared" si="13"/>
        <v>0.31361867628969314</v>
      </c>
      <c r="G173" s="46">
        <f t="shared" si="13"/>
        <v>0.3063938655498013</v>
      </c>
      <c r="H173" s="46">
        <f t="shared" si="13"/>
        <v>0.3148464557859898</v>
      </c>
    </row>
    <row r="174" spans="2:8" hidden="1" outlineLevel="1">
      <c r="B174" s="85" t="s">
        <v>218</v>
      </c>
      <c r="C174" s="46">
        <f t="shared" si="13"/>
        <v>0.30827599530247091</v>
      </c>
      <c r="D174" s="46">
        <f t="shared" si="13"/>
        <v>0.31146501608811439</v>
      </c>
      <c r="E174" s="46">
        <f t="shared" si="13"/>
        <v>0.29413595169975781</v>
      </c>
      <c r="F174" s="46">
        <f t="shared" si="13"/>
        <v>0.3136186762896932</v>
      </c>
      <c r="G174" s="46">
        <f t="shared" si="13"/>
        <v>0.30639386554980141</v>
      </c>
      <c r="H174" s="46">
        <f t="shared" si="13"/>
        <v>0.31484645578598996</v>
      </c>
    </row>
    <row r="175" spans="2:8" hidden="1" outlineLevel="1">
      <c r="B175" s="85" t="s">
        <v>235</v>
      </c>
      <c r="C175" s="46">
        <f t="shared" si="13"/>
        <v>0.79873362274028969</v>
      </c>
      <c r="D175" s="46">
        <f t="shared" si="13"/>
        <v>1</v>
      </c>
      <c r="E175" s="46">
        <f t="shared" si="13"/>
        <v>0.92003493699801286</v>
      </c>
      <c r="F175" s="46">
        <f t="shared" si="13"/>
        <v>0.84250118607002744</v>
      </c>
      <c r="G175" s="46">
        <f t="shared" si="13"/>
        <v>0.67963947964498395</v>
      </c>
      <c r="H175" s="46">
        <f t="shared" si="13"/>
        <v>0.63253896512349816</v>
      </c>
    </row>
    <row r="176" spans="2:8" hidden="1" outlineLevel="1">
      <c r="B176" s="85" t="s">
        <v>213</v>
      </c>
      <c r="C176" s="46">
        <f t="shared" si="13"/>
        <v>0.72178311168031306</v>
      </c>
      <c r="D176" s="46">
        <f t="shared" si="13"/>
        <v>0.72259023101304665</v>
      </c>
      <c r="E176" s="46">
        <f t="shared" si="13"/>
        <v>0.71646349219686489</v>
      </c>
      <c r="F176" s="46">
        <f t="shared" si="13"/>
        <v>0.71564266989539305</v>
      </c>
      <c r="G176" s="46">
        <f t="shared" si="13"/>
        <v>0.7211556971516645</v>
      </c>
      <c r="H176" s="46">
        <f t="shared" si="13"/>
        <v>0.73256093272256495</v>
      </c>
    </row>
    <row r="177" spans="2:8" collapsed="1">
      <c r="B177" s="60" t="s">
        <v>269</v>
      </c>
      <c r="C177" s="336">
        <f t="shared" si="13"/>
        <v>0.37261325848044147</v>
      </c>
      <c r="D177" s="336">
        <f t="shared" si="13"/>
        <v>0.38294327799800487</v>
      </c>
      <c r="E177" s="336">
        <f t="shared" si="13"/>
        <v>0.37007555297600414</v>
      </c>
      <c r="F177" s="336">
        <f t="shared" si="13"/>
        <v>0.37855895824006908</v>
      </c>
      <c r="G177" s="336">
        <f t="shared" si="13"/>
        <v>0.36070134463721693</v>
      </c>
      <c r="H177" s="336">
        <f t="shared" si="13"/>
        <v>0.37164078012984741</v>
      </c>
    </row>
    <row r="178" spans="2:8" hidden="1" outlineLevel="1">
      <c r="B178" s="85" t="s">
        <v>216</v>
      </c>
      <c r="C178" s="46">
        <f t="shared" si="13"/>
        <v>0.30794541763649091</v>
      </c>
      <c r="D178" s="46">
        <f t="shared" si="13"/>
        <v>0.31000306212216483</v>
      </c>
      <c r="E178" s="46">
        <f t="shared" si="13"/>
        <v>0.29413595169975759</v>
      </c>
      <c r="F178" s="46">
        <f t="shared" si="13"/>
        <v>0.31361867628969303</v>
      </c>
      <c r="G178" s="46">
        <f t="shared" si="13"/>
        <v>0.30639386554980136</v>
      </c>
      <c r="H178" s="46">
        <f t="shared" si="13"/>
        <v>0.31484645578598985</v>
      </c>
    </row>
    <row r="179" spans="2:8" hidden="1" outlineLevel="1">
      <c r="B179" s="85" t="s">
        <v>217</v>
      </c>
      <c r="C179" s="46">
        <f t="shared" si="13"/>
        <v>0.30799238931287837</v>
      </c>
      <c r="D179" s="46">
        <f t="shared" si="13"/>
        <v>0.31013443591933459</v>
      </c>
      <c r="E179" s="46">
        <f t="shared" si="13"/>
        <v>0.2941359516997577</v>
      </c>
      <c r="F179" s="46">
        <f t="shared" si="13"/>
        <v>0.31361867628969314</v>
      </c>
      <c r="G179" s="46">
        <f t="shared" si="13"/>
        <v>0.30639386554980136</v>
      </c>
      <c r="H179" s="46">
        <f t="shared" si="13"/>
        <v>0.31484645578598991</v>
      </c>
    </row>
    <row r="180" spans="2:8" hidden="1" outlineLevel="1">
      <c r="B180" s="85" t="s">
        <v>218</v>
      </c>
      <c r="C180" s="46">
        <f t="shared" si="13"/>
        <v>0.30827599530247102</v>
      </c>
      <c r="D180" s="46">
        <f t="shared" si="13"/>
        <v>0.31146501608811433</v>
      </c>
      <c r="E180" s="46">
        <f t="shared" si="13"/>
        <v>0.29413595169975776</v>
      </c>
      <c r="F180" s="46">
        <f t="shared" si="13"/>
        <v>0.31361867628969314</v>
      </c>
      <c r="G180" s="46">
        <f t="shared" si="13"/>
        <v>0.30639386554980141</v>
      </c>
      <c r="H180" s="46">
        <f t="shared" si="13"/>
        <v>0.31484645578598991</v>
      </c>
    </row>
    <row r="181" spans="2:8" hidden="1" outlineLevel="1">
      <c r="B181" s="85" t="s">
        <v>235</v>
      </c>
      <c r="C181" s="46">
        <f t="shared" si="13"/>
        <v>0.79873362274028969</v>
      </c>
      <c r="D181" s="46">
        <f t="shared" si="13"/>
        <v>1</v>
      </c>
      <c r="E181" s="46">
        <f t="shared" si="13"/>
        <v>0.92003493699801286</v>
      </c>
      <c r="F181" s="46">
        <f t="shared" si="13"/>
        <v>0.84250118607002744</v>
      </c>
      <c r="G181" s="46">
        <f t="shared" si="13"/>
        <v>0.67963947964498406</v>
      </c>
      <c r="H181" s="46">
        <f t="shared" si="13"/>
        <v>0.63253896512349816</v>
      </c>
    </row>
    <row r="182" spans="2:8" hidden="1" outlineLevel="1">
      <c r="B182" s="85" t="s">
        <v>213</v>
      </c>
      <c r="C182" s="46">
        <f t="shared" si="13"/>
        <v>0.72178311168031317</v>
      </c>
      <c r="D182" s="46">
        <f t="shared" si="13"/>
        <v>0.72259023101304665</v>
      </c>
      <c r="E182" s="46">
        <f t="shared" si="13"/>
        <v>0.71646349219686489</v>
      </c>
      <c r="F182" s="46">
        <f t="shared" si="13"/>
        <v>0.71564266989539305</v>
      </c>
      <c r="G182" s="46">
        <f t="shared" si="13"/>
        <v>0.7211556971516645</v>
      </c>
      <c r="H182" s="46">
        <f t="shared" si="13"/>
        <v>0.73256093272256495</v>
      </c>
    </row>
    <row r="183" spans="2:8" collapsed="1">
      <c r="B183" s="60" t="s">
        <v>272</v>
      </c>
      <c r="C183" s="336">
        <f t="shared" ref="C183:H198" si="14">C132/C81</f>
        <v>0.32535282776860741</v>
      </c>
      <c r="D183" s="336">
        <f t="shared" si="14"/>
        <v>0.32952237172690446</v>
      </c>
      <c r="E183" s="336">
        <f t="shared" si="14"/>
        <v>0.31458204406788454</v>
      </c>
      <c r="F183" s="336">
        <f t="shared" si="14"/>
        <v>0.33103935902098125</v>
      </c>
      <c r="G183" s="336">
        <f t="shared" si="14"/>
        <v>0.32091804617912917</v>
      </c>
      <c r="H183" s="336">
        <f t="shared" si="14"/>
        <v>0.33029735022363538</v>
      </c>
    </row>
    <row r="184" spans="2:8" hidden="1" outlineLevel="1">
      <c r="B184" s="85" t="s">
        <v>216</v>
      </c>
      <c r="C184" s="46">
        <f t="shared" si="14"/>
        <v>0.30794541763649091</v>
      </c>
      <c r="D184" s="46">
        <f t="shared" si="14"/>
        <v>0.31000306212216494</v>
      </c>
      <c r="E184" s="46">
        <f t="shared" si="14"/>
        <v>0.29413595169975748</v>
      </c>
      <c r="F184" s="46">
        <f t="shared" si="14"/>
        <v>0.31361867628969314</v>
      </c>
      <c r="G184" s="46">
        <f t="shared" si="14"/>
        <v>0.3063938655498013</v>
      </c>
      <c r="H184" s="46">
        <f t="shared" si="14"/>
        <v>0.31484645578598985</v>
      </c>
    </row>
    <row r="185" spans="2:8" hidden="1" outlineLevel="1">
      <c r="B185" s="85" t="s">
        <v>217</v>
      </c>
      <c r="C185" s="46">
        <f t="shared" si="14"/>
        <v>0.30799238931287837</v>
      </c>
      <c r="D185" s="46">
        <f t="shared" si="14"/>
        <v>0.31013443591933465</v>
      </c>
      <c r="E185" s="46">
        <f t="shared" si="14"/>
        <v>0.2941359516997577</v>
      </c>
      <c r="F185" s="46">
        <f t="shared" si="14"/>
        <v>0.31361867628969303</v>
      </c>
      <c r="G185" s="46">
        <f t="shared" si="14"/>
        <v>0.30639386554980136</v>
      </c>
      <c r="H185" s="46">
        <f t="shared" si="14"/>
        <v>0.31484645578598991</v>
      </c>
    </row>
    <row r="186" spans="2:8" hidden="1" outlineLevel="1">
      <c r="B186" s="85" t="s">
        <v>218</v>
      </c>
      <c r="C186" s="46">
        <f t="shared" si="14"/>
        <v>0.30827599530247102</v>
      </c>
      <c r="D186" s="46">
        <f t="shared" si="14"/>
        <v>0.31146501608811444</v>
      </c>
      <c r="E186" s="46">
        <f t="shared" si="14"/>
        <v>0.29413595169975759</v>
      </c>
      <c r="F186" s="46">
        <f t="shared" si="14"/>
        <v>0.31361867628969303</v>
      </c>
      <c r="G186" s="46">
        <f t="shared" si="14"/>
        <v>0.30639386554980153</v>
      </c>
      <c r="H186" s="46">
        <f t="shared" si="14"/>
        <v>0.31484645578598991</v>
      </c>
    </row>
    <row r="187" spans="2:8" hidden="1" outlineLevel="1">
      <c r="B187" s="85" t="s">
        <v>235</v>
      </c>
      <c r="C187" s="46">
        <f t="shared" si="14"/>
        <v>0.79873362274028969</v>
      </c>
      <c r="D187" s="46">
        <f t="shared" si="14"/>
        <v>1</v>
      </c>
      <c r="E187" s="46">
        <f t="shared" si="14"/>
        <v>0.92003493699801286</v>
      </c>
      <c r="F187" s="46">
        <f t="shared" si="14"/>
        <v>0.84250118607002744</v>
      </c>
      <c r="G187" s="46">
        <f t="shared" si="14"/>
        <v>0.67963947964498395</v>
      </c>
      <c r="H187" s="46">
        <f t="shared" si="14"/>
        <v>0.63253896512349816</v>
      </c>
    </row>
    <row r="188" spans="2:8" hidden="1" outlineLevel="1">
      <c r="B188" s="85" t="s">
        <v>213</v>
      </c>
      <c r="C188" s="46">
        <f t="shared" si="14"/>
        <v>0.72178311168031317</v>
      </c>
      <c r="D188" s="46">
        <f t="shared" si="14"/>
        <v>0.72259023101304665</v>
      </c>
      <c r="E188" s="46">
        <f t="shared" si="14"/>
        <v>0.716463492196865</v>
      </c>
      <c r="F188" s="46">
        <f t="shared" si="14"/>
        <v>0.71564266989539305</v>
      </c>
      <c r="G188" s="46">
        <f t="shared" si="14"/>
        <v>0.7211556971516645</v>
      </c>
      <c r="H188" s="46">
        <f t="shared" si="14"/>
        <v>0.73256093272256495</v>
      </c>
    </row>
    <row r="189" spans="2:8" collapsed="1">
      <c r="B189" s="60" t="s">
        <v>170</v>
      </c>
      <c r="C189" s="336">
        <f t="shared" si="14"/>
        <v>0.39535957739688449</v>
      </c>
      <c r="D189" s="336">
        <f t="shared" si="14"/>
        <v>0.40885244360601319</v>
      </c>
      <c r="E189" s="336">
        <f t="shared" si="14"/>
        <v>0.39667874866528768</v>
      </c>
      <c r="F189" s="336">
        <f t="shared" si="14"/>
        <v>0.40150040543957022</v>
      </c>
      <c r="G189" s="336">
        <f t="shared" si="14"/>
        <v>0.38002681455527071</v>
      </c>
      <c r="H189" s="336">
        <f t="shared" si="14"/>
        <v>0.39125616680425512</v>
      </c>
    </row>
    <row r="190" spans="2:8" hidden="1" outlineLevel="1">
      <c r="B190" s="85" t="s">
        <v>216</v>
      </c>
      <c r="C190" s="46">
        <f t="shared" si="14"/>
        <v>0.30794541763649069</v>
      </c>
      <c r="D190" s="46">
        <f t="shared" si="14"/>
        <v>0.31000306212216494</v>
      </c>
      <c r="E190" s="46">
        <f t="shared" si="14"/>
        <v>0.29413595169975748</v>
      </c>
      <c r="F190" s="46">
        <f t="shared" si="14"/>
        <v>0.31361867628969303</v>
      </c>
      <c r="G190" s="46">
        <f t="shared" si="14"/>
        <v>0.3063938655498013</v>
      </c>
      <c r="H190" s="46">
        <f t="shared" si="14"/>
        <v>0.31484645578598974</v>
      </c>
    </row>
    <row r="191" spans="2:8" hidden="1" outlineLevel="1">
      <c r="B191" s="85" t="s">
        <v>217</v>
      </c>
      <c r="C191" s="46">
        <f t="shared" si="14"/>
        <v>0.30799238931287826</v>
      </c>
      <c r="D191" s="46">
        <f t="shared" si="14"/>
        <v>0.31013443591933471</v>
      </c>
      <c r="E191" s="46">
        <f t="shared" si="14"/>
        <v>0.2941359516997577</v>
      </c>
      <c r="F191" s="46">
        <f t="shared" si="14"/>
        <v>0.31361867628969314</v>
      </c>
      <c r="G191" s="46">
        <f t="shared" si="14"/>
        <v>0.3063938655498013</v>
      </c>
      <c r="H191" s="46">
        <f t="shared" si="14"/>
        <v>0.31484645578598991</v>
      </c>
    </row>
    <row r="192" spans="2:8" hidden="1" outlineLevel="1">
      <c r="B192" s="85" t="s">
        <v>218</v>
      </c>
      <c r="C192" s="46">
        <f t="shared" si="14"/>
        <v>0.30827599530247091</v>
      </c>
      <c r="D192" s="46">
        <f t="shared" si="14"/>
        <v>0.31146501608811411</v>
      </c>
      <c r="E192" s="46">
        <f t="shared" si="14"/>
        <v>0.2941359516997577</v>
      </c>
      <c r="F192" s="46">
        <f t="shared" si="14"/>
        <v>0.31361867628969309</v>
      </c>
      <c r="G192" s="46">
        <f t="shared" si="14"/>
        <v>0.30639386554980147</v>
      </c>
      <c r="H192" s="46">
        <f t="shared" si="14"/>
        <v>0.31484645578598991</v>
      </c>
    </row>
    <row r="193" spans="2:8" hidden="1" outlineLevel="1">
      <c r="B193" s="85" t="s">
        <v>235</v>
      </c>
      <c r="C193" s="46">
        <f t="shared" si="14"/>
        <v>0.79873362274028969</v>
      </c>
      <c r="D193" s="46">
        <f t="shared" si="14"/>
        <v>1</v>
      </c>
      <c r="E193" s="46">
        <f t="shared" si="14"/>
        <v>0.92003493699801286</v>
      </c>
      <c r="F193" s="46">
        <f t="shared" si="14"/>
        <v>0.84250118607002744</v>
      </c>
      <c r="G193" s="46">
        <f t="shared" si="14"/>
        <v>0.67963947964498395</v>
      </c>
      <c r="H193" s="46">
        <f t="shared" si="14"/>
        <v>0.63253896512349816</v>
      </c>
    </row>
    <row r="194" spans="2:8" hidden="1" outlineLevel="1">
      <c r="B194" s="85" t="s">
        <v>213</v>
      </c>
      <c r="C194" s="46">
        <f t="shared" si="14"/>
        <v>0.72178311168031317</v>
      </c>
      <c r="D194" s="46">
        <f t="shared" si="14"/>
        <v>0.72259023101304665</v>
      </c>
      <c r="E194" s="46">
        <f t="shared" si="14"/>
        <v>0.71646349219686489</v>
      </c>
      <c r="F194" s="46">
        <f t="shared" si="14"/>
        <v>0.71564266989539305</v>
      </c>
      <c r="G194" s="46">
        <f t="shared" si="14"/>
        <v>0.7211556971516645</v>
      </c>
      <c r="H194" s="46">
        <f t="shared" si="14"/>
        <v>0.73256093272256495</v>
      </c>
    </row>
    <row r="195" spans="2:8" collapsed="1">
      <c r="B195" s="60" t="s">
        <v>270</v>
      </c>
      <c r="C195" s="336">
        <f t="shared" si="14"/>
        <v>0.3482360993383411</v>
      </c>
      <c r="D195" s="336">
        <f t="shared" si="14"/>
        <v>0.35609980462269308</v>
      </c>
      <c r="E195" s="336">
        <f t="shared" si="14"/>
        <v>0.34152386377133942</v>
      </c>
      <c r="F195" s="336">
        <f t="shared" si="14"/>
        <v>0.35391572363305901</v>
      </c>
      <c r="G195" s="336">
        <f t="shared" si="14"/>
        <v>0.33990574804732165</v>
      </c>
      <c r="H195" s="336">
        <f t="shared" si="14"/>
        <v>0.35005847022065145</v>
      </c>
    </row>
    <row r="196" spans="2:8" hidden="1" outlineLevel="1">
      <c r="B196" s="85" t="s">
        <v>216</v>
      </c>
      <c r="C196" s="46">
        <f t="shared" si="14"/>
        <v>0.30794541763649091</v>
      </c>
      <c r="D196" s="46">
        <f t="shared" si="14"/>
        <v>0.31000306212216483</v>
      </c>
      <c r="E196" s="46">
        <f t="shared" si="14"/>
        <v>0.29413595169975759</v>
      </c>
      <c r="F196" s="46">
        <f t="shared" si="14"/>
        <v>0.31361867628969314</v>
      </c>
      <c r="G196" s="46">
        <f t="shared" si="14"/>
        <v>0.30639386554980136</v>
      </c>
      <c r="H196" s="46">
        <f t="shared" si="14"/>
        <v>0.31484645578598985</v>
      </c>
    </row>
    <row r="197" spans="2:8" hidden="1" outlineLevel="1">
      <c r="B197" s="85" t="s">
        <v>217</v>
      </c>
      <c r="C197" s="46">
        <f t="shared" si="14"/>
        <v>0.30799238931287826</v>
      </c>
      <c r="D197" s="46">
        <f t="shared" si="14"/>
        <v>0.31013443591933471</v>
      </c>
      <c r="E197" s="46">
        <f t="shared" si="14"/>
        <v>0.2941359516997577</v>
      </c>
      <c r="F197" s="46">
        <f t="shared" si="14"/>
        <v>0.31361867628969309</v>
      </c>
      <c r="G197" s="46">
        <f t="shared" si="14"/>
        <v>0.30639386554980147</v>
      </c>
      <c r="H197" s="46">
        <f t="shared" si="14"/>
        <v>0.31484645578598974</v>
      </c>
    </row>
    <row r="198" spans="2:8" hidden="1" outlineLevel="1">
      <c r="B198" s="85" t="s">
        <v>218</v>
      </c>
      <c r="C198" s="46">
        <f t="shared" si="14"/>
        <v>0.30827599530247091</v>
      </c>
      <c r="D198" s="46">
        <f t="shared" si="14"/>
        <v>0.31146501608811433</v>
      </c>
      <c r="E198" s="46">
        <f t="shared" si="14"/>
        <v>0.29413595169975754</v>
      </c>
      <c r="F198" s="46">
        <f t="shared" si="14"/>
        <v>0.3136186762896932</v>
      </c>
      <c r="G198" s="46">
        <f t="shared" si="14"/>
        <v>0.30639386554980147</v>
      </c>
      <c r="H198" s="46">
        <f t="shared" si="14"/>
        <v>0.31484645578598991</v>
      </c>
    </row>
    <row r="199" spans="2:8" hidden="1" outlineLevel="1">
      <c r="B199" s="85" t="s">
        <v>235</v>
      </c>
      <c r="C199" s="46">
        <f t="shared" ref="C199:H213" si="15">C148/C97</f>
        <v>0.79873362274028969</v>
      </c>
      <c r="D199" s="46">
        <f t="shared" si="15"/>
        <v>1</v>
      </c>
      <c r="E199" s="46">
        <f t="shared" si="15"/>
        <v>0.92003493699801286</v>
      </c>
      <c r="F199" s="46">
        <f t="shared" si="15"/>
        <v>0.84250118607002744</v>
      </c>
      <c r="G199" s="46">
        <f t="shared" si="15"/>
        <v>0.67963947964498395</v>
      </c>
      <c r="H199" s="46">
        <f t="shared" si="15"/>
        <v>0.63253896512349816</v>
      </c>
    </row>
    <row r="200" spans="2:8" hidden="1" outlineLevel="1">
      <c r="B200" s="85" t="s">
        <v>213</v>
      </c>
      <c r="C200" s="46">
        <f t="shared" si="15"/>
        <v>0.72178311168031317</v>
      </c>
      <c r="D200" s="46">
        <f t="shared" si="15"/>
        <v>0.72259023101304665</v>
      </c>
      <c r="E200" s="46">
        <f t="shared" si="15"/>
        <v>0.716463492196865</v>
      </c>
      <c r="F200" s="46">
        <f t="shared" si="15"/>
        <v>0.71564266989539316</v>
      </c>
      <c r="G200" s="46">
        <f t="shared" si="15"/>
        <v>0.7211556971516645</v>
      </c>
      <c r="H200" s="46">
        <f t="shared" si="15"/>
        <v>0.73256093272256495</v>
      </c>
    </row>
    <row r="201" spans="2:8" collapsed="1">
      <c r="B201" s="60" t="s">
        <v>271</v>
      </c>
      <c r="C201" s="336">
        <f t="shared" si="15"/>
        <v>0.32294728042957072</v>
      </c>
      <c r="D201" s="336">
        <f t="shared" si="15"/>
        <v>0.32702723238469567</v>
      </c>
      <c r="E201" s="336">
        <f t="shared" si="15"/>
        <v>0.31172821500723957</v>
      </c>
      <c r="F201" s="336">
        <f t="shared" si="15"/>
        <v>0.32858425934464225</v>
      </c>
      <c r="G201" s="336">
        <f t="shared" si="15"/>
        <v>0.31885070390226605</v>
      </c>
      <c r="H201" s="336">
        <f t="shared" si="15"/>
        <v>0.32808917770431173</v>
      </c>
    </row>
    <row r="202" spans="2:8" hidden="1" outlineLevel="1">
      <c r="B202" s="85" t="s">
        <v>216</v>
      </c>
      <c r="C202" s="46">
        <f t="shared" si="15"/>
        <v>0.3079454176364908</v>
      </c>
      <c r="D202" s="46">
        <f t="shared" si="15"/>
        <v>0.310003062122165</v>
      </c>
      <c r="E202" s="46">
        <f t="shared" si="15"/>
        <v>0.2941359516997577</v>
      </c>
      <c r="F202" s="46">
        <f t="shared" si="15"/>
        <v>0.31361867628969298</v>
      </c>
      <c r="G202" s="46">
        <f t="shared" si="15"/>
        <v>0.30639386554980125</v>
      </c>
      <c r="H202" s="46">
        <f t="shared" si="15"/>
        <v>0.31484645578598991</v>
      </c>
    </row>
    <row r="203" spans="2:8" hidden="1" outlineLevel="1">
      <c r="B203" s="85" t="s">
        <v>217</v>
      </c>
      <c r="C203" s="46">
        <f t="shared" si="15"/>
        <v>0.30799238931287842</v>
      </c>
      <c r="D203" s="46">
        <f t="shared" si="15"/>
        <v>0.31013443591933465</v>
      </c>
      <c r="E203" s="46">
        <f t="shared" si="15"/>
        <v>0.2941359516997577</v>
      </c>
      <c r="F203" s="46">
        <f t="shared" si="15"/>
        <v>0.3136186762896932</v>
      </c>
      <c r="G203" s="46">
        <f t="shared" si="15"/>
        <v>0.3063938655498013</v>
      </c>
      <c r="H203" s="46">
        <f t="shared" si="15"/>
        <v>0.3148464557859898</v>
      </c>
    </row>
    <row r="204" spans="2:8" hidden="1" outlineLevel="1">
      <c r="B204" s="85" t="s">
        <v>218</v>
      </c>
      <c r="C204" s="46">
        <f t="shared" si="15"/>
        <v>0.30827599530247091</v>
      </c>
      <c r="D204" s="46">
        <f t="shared" si="15"/>
        <v>0.31146501608811433</v>
      </c>
      <c r="E204" s="46">
        <f t="shared" si="15"/>
        <v>0.2941359516997577</v>
      </c>
      <c r="F204" s="46">
        <f t="shared" si="15"/>
        <v>0.3136186762896932</v>
      </c>
      <c r="G204" s="46">
        <f t="shared" si="15"/>
        <v>0.3063938655498013</v>
      </c>
      <c r="H204" s="46">
        <f t="shared" si="15"/>
        <v>0.31484645578598985</v>
      </c>
    </row>
    <row r="205" spans="2:8" hidden="1" outlineLevel="1">
      <c r="B205" s="85" t="s">
        <v>235</v>
      </c>
      <c r="C205" s="46">
        <f t="shared" si="15"/>
        <v>0.79873362274028969</v>
      </c>
      <c r="D205" s="46">
        <f t="shared" si="15"/>
        <v>1</v>
      </c>
      <c r="E205" s="46">
        <f t="shared" si="15"/>
        <v>0.92003493699801286</v>
      </c>
      <c r="F205" s="46">
        <f t="shared" si="15"/>
        <v>0.84250118607002744</v>
      </c>
      <c r="G205" s="46">
        <f t="shared" si="15"/>
        <v>0.67963947964498406</v>
      </c>
      <c r="H205" s="46">
        <f t="shared" si="15"/>
        <v>0.63253896512349816</v>
      </c>
    </row>
    <row r="206" spans="2:8" hidden="1" outlineLevel="1">
      <c r="B206" s="85" t="s">
        <v>213</v>
      </c>
      <c r="C206" s="46">
        <f t="shared" si="15"/>
        <v>0.72178311168031306</v>
      </c>
      <c r="D206" s="46">
        <f t="shared" si="15"/>
        <v>0.72259023101304665</v>
      </c>
      <c r="E206" s="46">
        <f t="shared" si="15"/>
        <v>0.71646349219686489</v>
      </c>
      <c r="F206" s="46">
        <f t="shared" si="15"/>
        <v>0.71564266989539305</v>
      </c>
      <c r="G206" s="46">
        <f t="shared" si="15"/>
        <v>0.72115569715166439</v>
      </c>
      <c r="H206" s="46">
        <f t="shared" si="15"/>
        <v>0.73256093272256495</v>
      </c>
    </row>
    <row r="207" spans="2:8" collapsed="1">
      <c r="B207" s="60" t="s">
        <v>105</v>
      </c>
      <c r="C207" s="336">
        <f t="shared" si="15"/>
        <v>0.57135172657146127</v>
      </c>
      <c r="D207" s="336">
        <f t="shared" si="15"/>
        <v>0.60936776287649319</v>
      </c>
      <c r="E207" s="336">
        <f t="shared" si="15"/>
        <v>0.59891947124996181</v>
      </c>
      <c r="F207" s="336">
        <f t="shared" si="15"/>
        <v>0.58064759217524375</v>
      </c>
      <c r="G207" s="336">
        <f t="shared" si="15"/>
        <v>0.53487855964940556</v>
      </c>
      <c r="H207" s="336">
        <f t="shared" si="15"/>
        <v>0.53947086722062421</v>
      </c>
    </row>
    <row r="208" spans="2:8" hidden="1" outlineLevel="1">
      <c r="B208" s="85" t="s">
        <v>216</v>
      </c>
      <c r="C208" s="46">
        <f t="shared" si="15"/>
        <v>0.30794541763649091</v>
      </c>
      <c r="D208" s="46">
        <f t="shared" si="15"/>
        <v>0.31000306212216489</v>
      </c>
      <c r="E208" s="46">
        <f t="shared" si="15"/>
        <v>0.29413595169975754</v>
      </c>
      <c r="F208" s="46">
        <f t="shared" si="15"/>
        <v>0.31361867628969314</v>
      </c>
      <c r="G208" s="46">
        <f t="shared" si="15"/>
        <v>0.30639386554980136</v>
      </c>
      <c r="H208" s="46">
        <f t="shared" si="15"/>
        <v>0.31484645578598985</v>
      </c>
    </row>
    <row r="209" spans="2:8" hidden="1" outlineLevel="1">
      <c r="B209" s="85" t="s">
        <v>217</v>
      </c>
      <c r="C209" s="46">
        <f t="shared" si="15"/>
        <v>0.30799238931287831</v>
      </c>
      <c r="D209" s="46">
        <f t="shared" si="15"/>
        <v>0.31013443591933454</v>
      </c>
      <c r="E209" s="46">
        <f t="shared" si="15"/>
        <v>0.29413595169975759</v>
      </c>
      <c r="F209" s="46">
        <f t="shared" si="15"/>
        <v>0.31361867628969314</v>
      </c>
      <c r="G209" s="46">
        <f t="shared" si="15"/>
        <v>0.30639386554980136</v>
      </c>
      <c r="H209" s="46">
        <f t="shared" si="15"/>
        <v>0.3148464557859898</v>
      </c>
    </row>
    <row r="210" spans="2:8" hidden="1" outlineLevel="1">
      <c r="B210" s="85" t="s">
        <v>218</v>
      </c>
      <c r="C210" s="46">
        <f t="shared" si="15"/>
        <v>0.30827599530247091</v>
      </c>
      <c r="D210" s="46">
        <f t="shared" si="15"/>
        <v>0.31146501608811433</v>
      </c>
      <c r="E210" s="46">
        <f t="shared" si="15"/>
        <v>0.29413595169975765</v>
      </c>
      <c r="F210" s="46">
        <f t="shared" si="15"/>
        <v>0.31361867628969309</v>
      </c>
      <c r="G210" s="46">
        <f t="shared" si="15"/>
        <v>0.30639386554980141</v>
      </c>
      <c r="H210" s="46">
        <f t="shared" si="15"/>
        <v>0.31484645578598985</v>
      </c>
    </row>
    <row r="211" spans="2:8" hidden="1" outlineLevel="1">
      <c r="B211" s="85" t="s">
        <v>235</v>
      </c>
      <c r="C211" s="46">
        <f t="shared" si="15"/>
        <v>0.79873362274028969</v>
      </c>
      <c r="D211" s="46">
        <f t="shared" si="15"/>
        <v>1</v>
      </c>
      <c r="E211" s="46">
        <f t="shared" si="15"/>
        <v>0.92003493699801286</v>
      </c>
      <c r="F211" s="46">
        <f t="shared" si="15"/>
        <v>0.84250118607002744</v>
      </c>
      <c r="G211" s="46">
        <f t="shared" si="15"/>
        <v>0.67963947964498395</v>
      </c>
      <c r="H211" s="46">
        <f t="shared" si="15"/>
        <v>0.63253896512349816</v>
      </c>
    </row>
    <row r="212" spans="2:8" hidden="1" outlineLevel="1">
      <c r="B212" s="85" t="s">
        <v>213</v>
      </c>
      <c r="C212" s="46">
        <f t="shared" si="15"/>
        <v>0.72178311168031317</v>
      </c>
      <c r="D212" s="46">
        <f t="shared" si="15"/>
        <v>0.72259023101304665</v>
      </c>
      <c r="E212" s="46">
        <f t="shared" si="15"/>
        <v>0.716463492196865</v>
      </c>
      <c r="F212" s="46">
        <f t="shared" si="15"/>
        <v>0.71564266989539305</v>
      </c>
      <c r="G212" s="46">
        <f t="shared" si="15"/>
        <v>0.7211556971516645</v>
      </c>
      <c r="H212" s="46">
        <f t="shared" si="15"/>
        <v>0.73256093272256495</v>
      </c>
    </row>
    <row r="213" spans="2:8" collapsed="1">
      <c r="B213" s="60" t="s">
        <v>173</v>
      </c>
      <c r="C213" s="336">
        <f t="shared" si="15"/>
        <v>0.57135172657146127</v>
      </c>
      <c r="D213" s="336">
        <f t="shared" si="15"/>
        <v>0.60936776287649319</v>
      </c>
      <c r="E213" s="336">
        <f t="shared" si="15"/>
        <v>0.59891947124996181</v>
      </c>
      <c r="F213" s="336">
        <f t="shared" si="15"/>
        <v>0.58064759217524375</v>
      </c>
      <c r="G213" s="336">
        <f t="shared" si="15"/>
        <v>0.53487855964940567</v>
      </c>
      <c r="H213" s="336">
        <f t="shared" si="15"/>
        <v>0.53947086722062421</v>
      </c>
    </row>
    <row r="215" spans="2:8">
      <c r="B215" s="29" t="s">
        <v>333</v>
      </c>
    </row>
  </sheetData>
  <mergeCells count="6">
    <mergeCell ref="B164:H164"/>
    <mergeCell ref="D8:H8"/>
    <mergeCell ref="B6:H6"/>
    <mergeCell ref="B11:H11"/>
    <mergeCell ref="B62:H62"/>
    <mergeCell ref="B113:H113"/>
  </mergeCells>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41"/>
  <sheetViews>
    <sheetView showGridLines="0" topLeftCell="A106" workbookViewId="0">
      <selection activeCell="C120" sqref="C120:I131"/>
    </sheetView>
  </sheetViews>
  <sheetFormatPr defaultRowHeight="12.75"/>
  <cols>
    <col min="1" max="1" width="2.85546875" style="13" customWidth="1"/>
    <col min="2" max="2" width="47.140625" style="13" customWidth="1"/>
    <col min="3" max="3" width="23.7109375" style="13" customWidth="1"/>
    <col min="4" max="9" width="14.7109375" style="13" customWidth="1"/>
    <col min="10" max="16384" width="9.140625" style="13"/>
  </cols>
  <sheetData>
    <row r="2" spans="1:9" ht="15.75">
      <c r="A2" s="254" t="s">
        <v>503</v>
      </c>
      <c r="B2" s="10"/>
      <c r="C2" s="10"/>
      <c r="D2" s="10"/>
      <c r="E2" s="10"/>
      <c r="F2" s="10"/>
      <c r="G2" s="10"/>
      <c r="H2" s="10"/>
    </row>
    <row r="3" spans="1:9" ht="15.75">
      <c r="A3" s="254" t="s">
        <v>743</v>
      </c>
      <c r="B3" s="10"/>
      <c r="C3" s="10"/>
      <c r="D3" s="10"/>
      <c r="E3" s="10"/>
      <c r="F3" s="10"/>
      <c r="G3" s="10"/>
      <c r="H3" s="10"/>
    </row>
    <row r="4" spans="1:9" ht="15.75">
      <c r="A4" s="255" t="s">
        <v>499</v>
      </c>
      <c r="B4" s="10"/>
      <c r="C4" s="10"/>
      <c r="D4" s="10"/>
      <c r="E4" s="10"/>
      <c r="F4" s="10"/>
      <c r="G4" s="10"/>
      <c r="H4" s="10"/>
    </row>
    <row r="5" spans="1:9">
      <c r="A5" s="1"/>
      <c r="B5" s="10"/>
      <c r="C5" s="10"/>
      <c r="D5" s="10"/>
      <c r="E5" s="10"/>
      <c r="F5" s="10"/>
      <c r="G5" s="10"/>
      <c r="H5" s="10"/>
    </row>
    <row r="6" spans="1:9">
      <c r="A6" s="1"/>
      <c r="B6" s="469" t="s">
        <v>744</v>
      </c>
      <c r="C6" s="469"/>
      <c r="D6" s="469"/>
      <c r="E6" s="469"/>
      <c r="F6" s="469"/>
      <c r="G6" s="469"/>
      <c r="H6" s="469"/>
      <c r="I6" s="469"/>
    </row>
    <row r="7" spans="1:9">
      <c r="A7" s="48"/>
      <c r="B7" s="51"/>
      <c r="C7" s="51"/>
      <c r="D7" s="51"/>
      <c r="E7" s="51"/>
      <c r="F7" s="51"/>
      <c r="G7" s="51"/>
      <c r="H7" s="51"/>
    </row>
    <row r="8" spans="1:9">
      <c r="A8" s="48"/>
      <c r="B8" s="469" t="s">
        <v>165</v>
      </c>
      <c r="C8" s="469"/>
      <c r="D8" s="469"/>
      <c r="E8" s="469"/>
      <c r="F8" s="469"/>
      <c r="G8" s="469"/>
      <c r="H8" s="469"/>
      <c r="I8" s="469"/>
    </row>
    <row r="9" spans="1:9">
      <c r="B9" s="470" t="s">
        <v>311</v>
      </c>
      <c r="C9" s="470"/>
      <c r="D9" s="470"/>
      <c r="E9" s="470"/>
      <c r="F9" s="470"/>
      <c r="G9" s="470"/>
      <c r="H9" s="470"/>
      <c r="I9" s="470"/>
    </row>
    <row r="10" spans="1:9">
      <c r="B10" s="470" t="s">
        <v>312</v>
      </c>
      <c r="C10" s="470"/>
      <c r="D10" s="470"/>
      <c r="E10" s="470"/>
      <c r="F10" s="470"/>
      <c r="G10" s="470"/>
      <c r="H10" s="470"/>
      <c r="I10" s="470"/>
    </row>
    <row r="11" spans="1:9" ht="27" customHeight="1">
      <c r="B11" s="470" t="s">
        <v>745</v>
      </c>
      <c r="C11" s="470"/>
      <c r="D11" s="470"/>
      <c r="E11" s="470"/>
      <c r="F11" s="470"/>
      <c r="G11" s="470"/>
      <c r="H11" s="470"/>
      <c r="I11" s="470"/>
    </row>
    <row r="12" spans="1:9" ht="15" customHeight="1">
      <c r="B12" s="470" t="s">
        <v>767</v>
      </c>
      <c r="C12" s="470"/>
      <c r="D12" s="470"/>
      <c r="E12" s="470"/>
      <c r="F12" s="470"/>
      <c r="G12" s="470"/>
      <c r="H12" s="470"/>
      <c r="I12" s="470"/>
    </row>
    <row r="14" spans="1:9">
      <c r="B14" s="469" t="s">
        <v>21</v>
      </c>
      <c r="C14" s="469"/>
      <c r="D14" s="469"/>
      <c r="E14" s="469"/>
      <c r="F14" s="469"/>
      <c r="G14" s="469"/>
      <c r="H14" s="469"/>
      <c r="I14" s="469"/>
    </row>
    <row r="15" spans="1:9">
      <c r="B15" s="141"/>
      <c r="C15" s="141"/>
      <c r="D15" s="141"/>
      <c r="E15" s="141"/>
      <c r="F15" s="141"/>
      <c r="G15" s="141"/>
      <c r="H15" s="141"/>
    </row>
    <row r="16" spans="1:9">
      <c r="B16" s="137" t="s">
        <v>279</v>
      </c>
      <c r="C16" s="346">
        <f>'Calculation Variables'!I12</f>
        <v>2.3800000000000002E-2</v>
      </c>
    </row>
    <row r="17" spans="2:10">
      <c r="B17" s="137" t="s">
        <v>297</v>
      </c>
      <c r="C17" s="349">
        <f>'Calculation Variables'!I16</f>
        <v>4.8207467769530332E-2</v>
      </c>
    </row>
    <row r="19" spans="2:10">
      <c r="B19" s="221" t="s">
        <v>493</v>
      </c>
      <c r="C19" s="222"/>
      <c r="D19" s="218"/>
      <c r="E19" s="218"/>
      <c r="F19" s="218"/>
      <c r="G19" s="218"/>
      <c r="H19" s="218"/>
      <c r="I19" s="218"/>
    </row>
    <row r="21" spans="2:10">
      <c r="B21" s="335" t="s">
        <v>762</v>
      </c>
      <c r="C21" s="142"/>
      <c r="D21" s="142"/>
      <c r="E21" s="142"/>
      <c r="F21" s="142"/>
      <c r="G21" s="142"/>
      <c r="H21" s="142"/>
      <c r="I21" s="142"/>
    </row>
    <row r="23" spans="2:10" ht="27" customHeight="1">
      <c r="D23" s="464" t="s">
        <v>791</v>
      </c>
      <c r="E23" s="466"/>
      <c r="F23" s="464" t="s">
        <v>790</v>
      </c>
      <c r="G23" s="466"/>
      <c r="H23" s="471" t="s">
        <v>746</v>
      </c>
      <c r="I23" s="471"/>
    </row>
    <row r="24" spans="2:10">
      <c r="D24" s="347" t="s">
        <v>751</v>
      </c>
      <c r="E24" s="347" t="s">
        <v>760</v>
      </c>
      <c r="F24" s="347" t="s">
        <v>751</v>
      </c>
      <c r="G24" s="347" t="s">
        <v>760</v>
      </c>
      <c r="H24" s="224" t="s">
        <v>751</v>
      </c>
      <c r="I24" s="224" t="s">
        <v>760</v>
      </c>
    </row>
    <row r="25" spans="2:10">
      <c r="D25" s="139"/>
      <c r="E25" s="139"/>
      <c r="F25" s="139"/>
      <c r="G25" s="139"/>
      <c r="H25" s="139"/>
      <c r="I25" s="139"/>
    </row>
    <row r="26" spans="2:10">
      <c r="B26" s="472" t="s">
        <v>787</v>
      </c>
      <c r="C26" s="137" t="s">
        <v>747</v>
      </c>
      <c r="D26" s="331" t="s">
        <v>793</v>
      </c>
      <c r="E26" s="334">
        <v>61.1</v>
      </c>
      <c r="F26" s="331" t="s">
        <v>793</v>
      </c>
      <c r="G26" s="334">
        <v>61.1</v>
      </c>
      <c r="H26" s="331" t="s">
        <v>755</v>
      </c>
      <c r="I26" s="333">
        <v>17.5</v>
      </c>
    </row>
    <row r="27" spans="2:10">
      <c r="B27" s="472"/>
      <c r="C27" s="137" t="s">
        <v>748</v>
      </c>
      <c r="D27" s="331" t="s">
        <v>793</v>
      </c>
      <c r="E27" s="334">
        <v>61.1</v>
      </c>
      <c r="F27" s="331" t="s">
        <v>793</v>
      </c>
      <c r="G27" s="334">
        <v>61.1</v>
      </c>
      <c r="H27" s="331" t="s">
        <v>793</v>
      </c>
      <c r="I27" s="333">
        <v>61.1</v>
      </c>
    </row>
    <row r="28" spans="2:10">
      <c r="B28" s="472"/>
      <c r="C28" s="137" t="s">
        <v>749</v>
      </c>
      <c r="D28" s="331" t="s">
        <v>752</v>
      </c>
      <c r="E28" s="334">
        <v>235</v>
      </c>
      <c r="F28" s="331" t="s">
        <v>752</v>
      </c>
      <c r="G28" s="334">
        <v>235</v>
      </c>
      <c r="H28" s="331" t="s">
        <v>756</v>
      </c>
      <c r="I28" s="333">
        <v>84.69</v>
      </c>
      <c r="J28" s="357" t="s">
        <v>833</v>
      </c>
    </row>
    <row r="29" spans="2:10">
      <c r="B29" s="472"/>
      <c r="C29" s="137" t="s">
        <v>750</v>
      </c>
      <c r="D29" s="331" t="s">
        <v>752</v>
      </c>
      <c r="E29" s="334">
        <v>235</v>
      </c>
      <c r="F29" s="331" t="s">
        <v>752</v>
      </c>
      <c r="G29" s="334">
        <v>235</v>
      </c>
      <c r="H29" s="331" t="s">
        <v>756</v>
      </c>
      <c r="I29" s="333">
        <v>86.35</v>
      </c>
      <c r="J29" s="357" t="s">
        <v>833</v>
      </c>
    </row>
    <row r="30" spans="2:10">
      <c r="B30" s="472" t="s">
        <v>788</v>
      </c>
      <c r="C30" s="137" t="s">
        <v>747</v>
      </c>
      <c r="D30" s="331" t="s">
        <v>757</v>
      </c>
      <c r="E30" s="332" t="s">
        <v>100</v>
      </c>
      <c r="F30" s="331" t="s">
        <v>757</v>
      </c>
      <c r="G30" s="332" t="s">
        <v>100</v>
      </c>
      <c r="H30" s="331" t="s">
        <v>757</v>
      </c>
      <c r="I30" s="332" t="s">
        <v>100</v>
      </c>
    </row>
    <row r="31" spans="2:10">
      <c r="B31" s="472"/>
      <c r="C31" s="137" t="s">
        <v>748</v>
      </c>
      <c r="D31" s="331" t="s">
        <v>757</v>
      </c>
      <c r="E31" s="332" t="s">
        <v>100</v>
      </c>
      <c r="F31" s="331" t="s">
        <v>757</v>
      </c>
      <c r="G31" s="332" t="s">
        <v>100</v>
      </c>
      <c r="H31" s="331" t="s">
        <v>757</v>
      </c>
      <c r="I31" s="332" t="s">
        <v>100</v>
      </c>
    </row>
    <row r="32" spans="2:10">
      <c r="B32" s="472"/>
      <c r="C32" s="137" t="s">
        <v>749</v>
      </c>
      <c r="D32" s="331" t="s">
        <v>753</v>
      </c>
      <c r="E32" s="334">
        <v>328.98</v>
      </c>
      <c r="F32" s="331" t="s">
        <v>753</v>
      </c>
      <c r="G32" s="334">
        <v>328.98</v>
      </c>
      <c r="H32" s="331" t="s">
        <v>753</v>
      </c>
      <c r="I32" s="333">
        <v>328.98</v>
      </c>
      <c r="J32" s="357" t="s">
        <v>819</v>
      </c>
    </row>
    <row r="33" spans="2:10">
      <c r="B33" s="472"/>
      <c r="C33" s="137" t="s">
        <v>750</v>
      </c>
      <c r="D33" s="331" t="s">
        <v>753</v>
      </c>
      <c r="E33" s="334">
        <v>328.98</v>
      </c>
      <c r="F33" s="331" t="s">
        <v>753</v>
      </c>
      <c r="G33" s="334">
        <v>328.98</v>
      </c>
      <c r="H33" s="331" t="s">
        <v>753</v>
      </c>
      <c r="I33" s="333">
        <v>328.98</v>
      </c>
      <c r="J33" s="357" t="s">
        <v>819</v>
      </c>
    </row>
    <row r="34" spans="2:10">
      <c r="B34" s="472" t="s">
        <v>789</v>
      </c>
      <c r="C34" s="137" t="s">
        <v>747</v>
      </c>
      <c r="D34" s="331" t="s">
        <v>754</v>
      </c>
      <c r="E34" s="334">
        <v>149</v>
      </c>
      <c r="F34" s="331" t="s">
        <v>754</v>
      </c>
      <c r="G34" s="334">
        <v>149</v>
      </c>
      <c r="H34" s="331" t="s">
        <v>754</v>
      </c>
      <c r="I34" s="333">
        <v>149</v>
      </c>
    </row>
    <row r="35" spans="2:10">
      <c r="B35" s="472"/>
      <c r="C35" s="137" t="s">
        <v>748</v>
      </c>
      <c r="D35" s="331" t="s">
        <v>754</v>
      </c>
      <c r="E35" s="334">
        <v>149</v>
      </c>
      <c r="F35" s="331" t="s">
        <v>754</v>
      </c>
      <c r="G35" s="334">
        <v>149</v>
      </c>
      <c r="H35" s="331" t="s">
        <v>754</v>
      </c>
      <c r="I35" s="333">
        <v>149</v>
      </c>
    </row>
    <row r="36" spans="2:10">
      <c r="B36" s="472"/>
      <c r="C36" s="137" t="s">
        <v>749</v>
      </c>
      <c r="D36" s="331" t="s">
        <v>757</v>
      </c>
      <c r="E36" s="332" t="s">
        <v>100</v>
      </c>
      <c r="F36" s="331" t="s">
        <v>757</v>
      </c>
      <c r="G36" s="332" t="s">
        <v>100</v>
      </c>
      <c r="H36" s="331" t="s">
        <v>757</v>
      </c>
      <c r="I36" s="332" t="s">
        <v>100</v>
      </c>
    </row>
    <row r="37" spans="2:10">
      <c r="B37" s="472"/>
      <c r="C37" s="137" t="s">
        <v>750</v>
      </c>
      <c r="D37" s="331" t="s">
        <v>757</v>
      </c>
      <c r="E37" s="332" t="s">
        <v>100</v>
      </c>
      <c r="F37" s="331" t="s">
        <v>757</v>
      </c>
      <c r="G37" s="332" t="s">
        <v>100</v>
      </c>
      <c r="H37" s="331" t="s">
        <v>757</v>
      </c>
      <c r="I37" s="332" t="s">
        <v>100</v>
      </c>
    </row>
    <row r="39" spans="2:10">
      <c r="B39" s="335" t="s">
        <v>763</v>
      </c>
      <c r="C39" s="142"/>
      <c r="D39" s="142"/>
      <c r="E39" s="142"/>
      <c r="F39" s="142"/>
      <c r="G39" s="142"/>
      <c r="H39" s="142"/>
      <c r="I39" s="142"/>
    </row>
    <row r="41" spans="2:10" ht="27" customHeight="1">
      <c r="D41" s="464" t="s">
        <v>791</v>
      </c>
      <c r="E41" s="466"/>
      <c r="F41" s="464" t="s">
        <v>790</v>
      </c>
      <c r="G41" s="466"/>
      <c r="H41" s="471" t="s">
        <v>746</v>
      </c>
      <c r="I41" s="471"/>
    </row>
    <row r="42" spans="2:10">
      <c r="D42" s="347" t="s">
        <v>751</v>
      </c>
      <c r="E42" s="347" t="s">
        <v>760</v>
      </c>
      <c r="F42" s="347" t="s">
        <v>751</v>
      </c>
      <c r="G42" s="347" t="s">
        <v>760</v>
      </c>
      <c r="H42" s="347" t="s">
        <v>751</v>
      </c>
      <c r="I42" s="347" t="s">
        <v>760</v>
      </c>
    </row>
    <row r="43" spans="2:10">
      <c r="D43" s="139"/>
      <c r="E43" s="139"/>
      <c r="F43" s="139"/>
      <c r="G43" s="139"/>
      <c r="H43" s="139"/>
      <c r="I43" s="139"/>
    </row>
    <row r="44" spans="2:10">
      <c r="B44" s="472" t="s">
        <v>787</v>
      </c>
      <c r="C44" s="137" t="s">
        <v>747</v>
      </c>
      <c r="D44" s="348" t="s">
        <v>817</v>
      </c>
      <c r="E44" s="334">
        <v>545</v>
      </c>
      <c r="F44" s="332" t="s">
        <v>100</v>
      </c>
      <c r="G44" s="332" t="s">
        <v>100</v>
      </c>
      <c r="H44" s="332" t="s">
        <v>100</v>
      </c>
      <c r="I44" s="332" t="s">
        <v>100</v>
      </c>
      <c r="J44" s="357" t="s">
        <v>820</v>
      </c>
    </row>
    <row r="45" spans="2:10">
      <c r="B45" s="472"/>
      <c r="C45" s="137" t="s">
        <v>748</v>
      </c>
      <c r="D45" s="348" t="s">
        <v>817</v>
      </c>
      <c r="E45" s="334">
        <v>545</v>
      </c>
      <c r="F45" s="332" t="s">
        <v>100</v>
      </c>
      <c r="G45" s="332" t="s">
        <v>100</v>
      </c>
      <c r="H45" s="332" t="s">
        <v>100</v>
      </c>
      <c r="I45" s="332" t="s">
        <v>100</v>
      </c>
      <c r="J45" s="357" t="s">
        <v>820</v>
      </c>
    </row>
    <row r="46" spans="2:10">
      <c r="B46" s="472"/>
      <c r="C46" s="137" t="s">
        <v>749</v>
      </c>
      <c r="D46" s="348" t="s">
        <v>792</v>
      </c>
      <c r="E46" s="334">
        <v>190</v>
      </c>
      <c r="F46" s="332" t="s">
        <v>100</v>
      </c>
      <c r="G46" s="332" t="s">
        <v>100</v>
      </c>
      <c r="H46" s="332" t="s">
        <v>100</v>
      </c>
      <c r="I46" s="332" t="s">
        <v>100</v>
      </c>
    </row>
    <row r="47" spans="2:10">
      <c r="B47" s="472"/>
      <c r="C47" s="137" t="s">
        <v>750</v>
      </c>
      <c r="D47" s="348" t="s">
        <v>792</v>
      </c>
      <c r="E47" s="334">
        <v>190</v>
      </c>
      <c r="F47" s="332" t="s">
        <v>100</v>
      </c>
      <c r="G47" s="332" t="s">
        <v>100</v>
      </c>
      <c r="H47" s="332" t="s">
        <v>100</v>
      </c>
      <c r="I47" s="332" t="s">
        <v>100</v>
      </c>
    </row>
    <row r="48" spans="2:10">
      <c r="B48" s="472" t="s">
        <v>788</v>
      </c>
      <c r="C48" s="137" t="s">
        <v>747</v>
      </c>
      <c r="D48" s="348" t="s">
        <v>100</v>
      </c>
      <c r="E48" s="332" t="s">
        <v>100</v>
      </c>
      <c r="F48" s="332" t="s">
        <v>100</v>
      </c>
      <c r="G48" s="332" t="s">
        <v>100</v>
      </c>
      <c r="H48" s="332" t="s">
        <v>100</v>
      </c>
      <c r="I48" s="332" t="s">
        <v>100</v>
      </c>
    </row>
    <row r="49" spans="2:10">
      <c r="B49" s="472"/>
      <c r="C49" s="137" t="s">
        <v>748</v>
      </c>
      <c r="D49" s="348" t="s">
        <v>100</v>
      </c>
      <c r="E49" s="332" t="s">
        <v>100</v>
      </c>
      <c r="F49" s="332" t="s">
        <v>100</v>
      </c>
      <c r="G49" s="332" t="s">
        <v>100</v>
      </c>
      <c r="H49" s="332" t="s">
        <v>100</v>
      </c>
      <c r="I49" s="332" t="s">
        <v>100</v>
      </c>
    </row>
    <row r="50" spans="2:10">
      <c r="B50" s="472"/>
      <c r="C50" s="137" t="s">
        <v>749</v>
      </c>
      <c r="D50" s="348" t="s">
        <v>792</v>
      </c>
      <c r="E50" s="334">
        <v>190</v>
      </c>
      <c r="F50" s="332" t="s">
        <v>100</v>
      </c>
      <c r="G50" s="332" t="s">
        <v>100</v>
      </c>
      <c r="H50" s="332" t="s">
        <v>100</v>
      </c>
      <c r="I50" s="332" t="s">
        <v>100</v>
      </c>
      <c r="J50" s="357" t="s">
        <v>821</v>
      </c>
    </row>
    <row r="51" spans="2:10">
      <c r="B51" s="472"/>
      <c r="C51" s="137" t="s">
        <v>750</v>
      </c>
      <c r="D51" s="348" t="s">
        <v>792</v>
      </c>
      <c r="E51" s="334">
        <v>190</v>
      </c>
      <c r="F51" s="332" t="s">
        <v>100</v>
      </c>
      <c r="G51" s="332" t="s">
        <v>100</v>
      </c>
      <c r="H51" s="332" t="s">
        <v>100</v>
      </c>
      <c r="I51" s="332" t="s">
        <v>100</v>
      </c>
      <c r="J51" s="357" t="s">
        <v>821</v>
      </c>
    </row>
    <row r="52" spans="2:10">
      <c r="B52" s="472" t="s">
        <v>789</v>
      </c>
      <c r="C52" s="137" t="s">
        <v>747</v>
      </c>
      <c r="D52" s="348" t="s">
        <v>817</v>
      </c>
      <c r="E52" s="334">
        <v>545</v>
      </c>
      <c r="F52" s="332" t="s">
        <v>100</v>
      </c>
      <c r="G52" s="332" t="s">
        <v>100</v>
      </c>
      <c r="H52" s="332" t="s">
        <v>100</v>
      </c>
      <c r="I52" s="332" t="s">
        <v>100</v>
      </c>
      <c r="J52" s="357" t="s">
        <v>822</v>
      </c>
    </row>
    <row r="53" spans="2:10">
      <c r="B53" s="472"/>
      <c r="C53" s="137" t="s">
        <v>748</v>
      </c>
      <c r="D53" s="348" t="s">
        <v>817</v>
      </c>
      <c r="E53" s="334">
        <v>545</v>
      </c>
      <c r="F53" s="332" t="s">
        <v>100</v>
      </c>
      <c r="G53" s="332" t="s">
        <v>100</v>
      </c>
      <c r="H53" s="332" t="s">
        <v>100</v>
      </c>
      <c r="I53" s="332" t="s">
        <v>100</v>
      </c>
      <c r="J53" s="357" t="s">
        <v>822</v>
      </c>
    </row>
    <row r="54" spans="2:10">
      <c r="B54" s="472"/>
      <c r="C54" s="137" t="s">
        <v>749</v>
      </c>
      <c r="D54" s="348" t="s">
        <v>100</v>
      </c>
      <c r="E54" s="332" t="s">
        <v>100</v>
      </c>
      <c r="F54" s="332" t="s">
        <v>100</v>
      </c>
      <c r="G54" s="332" t="s">
        <v>100</v>
      </c>
      <c r="H54" s="332" t="s">
        <v>100</v>
      </c>
      <c r="I54" s="332" t="s">
        <v>100</v>
      </c>
    </row>
    <row r="55" spans="2:10">
      <c r="B55" s="472"/>
      <c r="C55" s="137" t="s">
        <v>750</v>
      </c>
      <c r="D55" s="348" t="s">
        <v>100</v>
      </c>
      <c r="E55" s="332" t="s">
        <v>100</v>
      </c>
      <c r="F55" s="332" t="s">
        <v>100</v>
      </c>
      <c r="G55" s="332" t="s">
        <v>100</v>
      </c>
      <c r="H55" s="332" t="s">
        <v>100</v>
      </c>
      <c r="I55" s="332" t="s">
        <v>100</v>
      </c>
    </row>
    <row r="57" spans="2:10">
      <c r="B57" s="335" t="s">
        <v>764</v>
      </c>
      <c r="C57" s="142"/>
      <c r="D57" s="142"/>
      <c r="E57" s="142"/>
      <c r="F57" s="142"/>
      <c r="G57" s="142"/>
      <c r="H57" s="142"/>
      <c r="I57" s="142"/>
    </row>
    <row r="59" spans="2:10" ht="27" customHeight="1">
      <c r="D59" s="464" t="s">
        <v>791</v>
      </c>
      <c r="E59" s="466"/>
      <c r="F59" s="464" t="s">
        <v>790</v>
      </c>
      <c r="G59" s="466"/>
      <c r="H59" s="471" t="s">
        <v>746</v>
      </c>
      <c r="I59" s="471"/>
    </row>
    <row r="60" spans="2:10">
      <c r="D60" s="347" t="s">
        <v>751</v>
      </c>
      <c r="E60" s="347" t="s">
        <v>760</v>
      </c>
      <c r="F60" s="347" t="s">
        <v>751</v>
      </c>
      <c r="G60" s="347" t="s">
        <v>760</v>
      </c>
      <c r="H60" s="347" t="s">
        <v>751</v>
      </c>
      <c r="I60" s="347" t="s">
        <v>760</v>
      </c>
    </row>
    <row r="61" spans="2:10">
      <c r="D61" s="139"/>
      <c r="E61" s="139"/>
      <c r="F61" s="139"/>
      <c r="G61" s="139"/>
      <c r="H61" s="139"/>
      <c r="I61" s="139"/>
    </row>
    <row r="62" spans="2:10">
      <c r="B62" s="472" t="s">
        <v>787</v>
      </c>
      <c r="C62" s="137" t="s">
        <v>747</v>
      </c>
      <c r="D62" s="331" t="s">
        <v>793</v>
      </c>
      <c r="E62" s="334">
        <f>SUM(E26,E44)</f>
        <v>606.1</v>
      </c>
      <c r="F62" s="331" t="s">
        <v>793</v>
      </c>
      <c r="G62" s="333">
        <f>G26</f>
        <v>61.1</v>
      </c>
      <c r="H62" s="331" t="s">
        <v>755</v>
      </c>
      <c r="I62" s="333">
        <f>I26</f>
        <v>17.5</v>
      </c>
    </row>
    <row r="63" spans="2:10">
      <c r="B63" s="472"/>
      <c r="C63" s="137" t="s">
        <v>748</v>
      </c>
      <c r="D63" s="331" t="s">
        <v>793</v>
      </c>
      <c r="E63" s="334">
        <f>SUM(E27,E45)</f>
        <v>606.1</v>
      </c>
      <c r="F63" s="331" t="s">
        <v>793</v>
      </c>
      <c r="G63" s="333">
        <f t="shared" ref="G63:I65" si="0">G27</f>
        <v>61.1</v>
      </c>
      <c r="H63" s="331" t="s">
        <v>793</v>
      </c>
      <c r="I63" s="333">
        <f t="shared" si="0"/>
        <v>61.1</v>
      </c>
    </row>
    <row r="64" spans="2:10">
      <c r="B64" s="472"/>
      <c r="C64" s="137" t="s">
        <v>749</v>
      </c>
      <c r="D64" s="331" t="s">
        <v>752</v>
      </c>
      <c r="E64" s="334">
        <f>SUM(E28,E46)</f>
        <v>425</v>
      </c>
      <c r="F64" s="331" t="s">
        <v>752</v>
      </c>
      <c r="G64" s="333">
        <f t="shared" si="0"/>
        <v>235</v>
      </c>
      <c r="H64" s="331" t="s">
        <v>756</v>
      </c>
      <c r="I64" s="333">
        <f t="shared" si="0"/>
        <v>84.69</v>
      </c>
    </row>
    <row r="65" spans="2:9">
      <c r="B65" s="472"/>
      <c r="C65" s="137" t="s">
        <v>750</v>
      </c>
      <c r="D65" s="331" t="s">
        <v>752</v>
      </c>
      <c r="E65" s="334">
        <f>SUM(E29,E47)</f>
        <v>425</v>
      </c>
      <c r="F65" s="331" t="s">
        <v>752</v>
      </c>
      <c r="G65" s="333">
        <f t="shared" si="0"/>
        <v>235</v>
      </c>
      <c r="H65" s="331" t="s">
        <v>756</v>
      </c>
      <c r="I65" s="333">
        <f t="shared" si="0"/>
        <v>86.35</v>
      </c>
    </row>
    <row r="66" spans="2:9">
      <c r="B66" s="472" t="s">
        <v>788</v>
      </c>
      <c r="C66" s="137" t="s">
        <v>747</v>
      </c>
      <c r="D66" s="331" t="s">
        <v>757</v>
      </c>
      <c r="E66" s="332" t="s">
        <v>100</v>
      </c>
      <c r="F66" s="331" t="s">
        <v>757</v>
      </c>
      <c r="G66" s="332" t="s">
        <v>100</v>
      </c>
      <c r="H66" s="331" t="s">
        <v>757</v>
      </c>
      <c r="I66" s="332" t="s">
        <v>100</v>
      </c>
    </row>
    <row r="67" spans="2:9">
      <c r="B67" s="472"/>
      <c r="C67" s="137" t="s">
        <v>748</v>
      </c>
      <c r="D67" s="331" t="s">
        <v>757</v>
      </c>
      <c r="E67" s="332" t="s">
        <v>100</v>
      </c>
      <c r="F67" s="331" t="s">
        <v>757</v>
      </c>
      <c r="G67" s="332" t="s">
        <v>100</v>
      </c>
      <c r="H67" s="331" t="s">
        <v>757</v>
      </c>
      <c r="I67" s="332" t="s">
        <v>100</v>
      </c>
    </row>
    <row r="68" spans="2:9">
      <c r="B68" s="472"/>
      <c r="C68" s="137" t="s">
        <v>749</v>
      </c>
      <c r="D68" s="331" t="s">
        <v>753</v>
      </c>
      <c r="E68" s="334">
        <f>SUM(E32,E50)</f>
        <v>518.98</v>
      </c>
      <c r="F68" s="331" t="s">
        <v>753</v>
      </c>
      <c r="G68" s="333">
        <f t="shared" ref="G68:I71" si="1">G32</f>
        <v>328.98</v>
      </c>
      <c r="H68" s="331" t="s">
        <v>753</v>
      </c>
      <c r="I68" s="333">
        <f t="shared" si="1"/>
        <v>328.98</v>
      </c>
    </row>
    <row r="69" spans="2:9">
      <c r="B69" s="472"/>
      <c r="C69" s="137" t="s">
        <v>750</v>
      </c>
      <c r="D69" s="331" t="s">
        <v>753</v>
      </c>
      <c r="E69" s="334">
        <f>SUM(E33,E51)</f>
        <v>518.98</v>
      </c>
      <c r="F69" s="331" t="s">
        <v>753</v>
      </c>
      <c r="G69" s="333">
        <f t="shared" si="1"/>
        <v>328.98</v>
      </c>
      <c r="H69" s="331" t="s">
        <v>753</v>
      </c>
      <c r="I69" s="333">
        <f t="shared" si="1"/>
        <v>328.98</v>
      </c>
    </row>
    <row r="70" spans="2:9">
      <c r="B70" s="472" t="s">
        <v>789</v>
      </c>
      <c r="C70" s="137" t="s">
        <v>747</v>
      </c>
      <c r="D70" s="331" t="s">
        <v>754</v>
      </c>
      <c r="E70" s="334">
        <f>SUM(E34,E52)</f>
        <v>694</v>
      </c>
      <c r="F70" s="331" t="s">
        <v>754</v>
      </c>
      <c r="G70" s="333">
        <f t="shared" si="1"/>
        <v>149</v>
      </c>
      <c r="H70" s="331" t="s">
        <v>754</v>
      </c>
      <c r="I70" s="333">
        <f t="shared" si="1"/>
        <v>149</v>
      </c>
    </row>
    <row r="71" spans="2:9">
      <c r="B71" s="472"/>
      <c r="C71" s="137" t="s">
        <v>748</v>
      </c>
      <c r="D71" s="331" t="s">
        <v>754</v>
      </c>
      <c r="E71" s="334">
        <f>SUM(E35,E53)</f>
        <v>694</v>
      </c>
      <c r="F71" s="331" t="s">
        <v>754</v>
      </c>
      <c r="G71" s="333">
        <f t="shared" si="1"/>
        <v>149</v>
      </c>
      <c r="H71" s="331" t="s">
        <v>754</v>
      </c>
      <c r="I71" s="333">
        <f t="shared" si="1"/>
        <v>149</v>
      </c>
    </row>
    <row r="72" spans="2:9">
      <c r="B72" s="472"/>
      <c r="C72" s="137" t="s">
        <v>749</v>
      </c>
      <c r="D72" s="331" t="s">
        <v>757</v>
      </c>
      <c r="E72" s="332" t="s">
        <v>100</v>
      </c>
      <c r="F72" s="331" t="s">
        <v>757</v>
      </c>
      <c r="G72" s="332" t="s">
        <v>100</v>
      </c>
      <c r="H72" s="331" t="s">
        <v>757</v>
      </c>
      <c r="I72" s="332" t="s">
        <v>100</v>
      </c>
    </row>
    <row r="73" spans="2:9">
      <c r="B73" s="472"/>
      <c r="C73" s="137" t="s">
        <v>750</v>
      </c>
      <c r="D73" s="331" t="s">
        <v>757</v>
      </c>
      <c r="E73" s="332" t="s">
        <v>100</v>
      </c>
      <c r="F73" s="331" t="s">
        <v>757</v>
      </c>
      <c r="G73" s="332" t="s">
        <v>100</v>
      </c>
      <c r="H73" s="331" t="s">
        <v>757</v>
      </c>
      <c r="I73" s="332" t="s">
        <v>100</v>
      </c>
    </row>
    <row r="75" spans="2:9">
      <c r="B75" s="221" t="s">
        <v>494</v>
      </c>
      <c r="C75" s="222"/>
      <c r="D75" s="218"/>
      <c r="E75" s="218"/>
      <c r="F75" s="218"/>
      <c r="G75" s="218"/>
      <c r="H75" s="218"/>
      <c r="I75" s="218"/>
    </row>
    <row r="77" spans="2:9">
      <c r="B77" s="452" t="s">
        <v>334</v>
      </c>
      <c r="C77" s="452"/>
      <c r="D77" s="452"/>
      <c r="E77" s="452"/>
      <c r="F77" s="452"/>
      <c r="G77" s="452"/>
      <c r="H77" s="452"/>
      <c r="I77" s="452"/>
    </row>
    <row r="79" spans="2:9" ht="27.75" customHeight="1">
      <c r="D79" s="464" t="s">
        <v>791</v>
      </c>
      <c r="E79" s="466"/>
      <c r="F79" s="464" t="s">
        <v>790</v>
      </c>
      <c r="G79" s="466"/>
      <c r="H79" s="471" t="s">
        <v>746</v>
      </c>
      <c r="I79" s="471"/>
    </row>
    <row r="80" spans="2:9">
      <c r="D80" s="347" t="s">
        <v>751</v>
      </c>
      <c r="E80" s="347" t="s">
        <v>761</v>
      </c>
      <c r="F80" s="347" t="s">
        <v>751</v>
      </c>
      <c r="G80" s="347" t="s">
        <v>761</v>
      </c>
      <c r="H80" s="224" t="s">
        <v>751</v>
      </c>
      <c r="I80" s="224" t="s">
        <v>761</v>
      </c>
    </row>
    <row r="81" spans="2:9">
      <c r="D81" s="139"/>
      <c r="E81" s="139"/>
      <c r="F81" s="139"/>
      <c r="G81" s="139"/>
      <c r="H81" s="139"/>
      <c r="I81" s="139"/>
    </row>
    <row r="82" spans="2:9">
      <c r="B82" s="472" t="s">
        <v>787</v>
      </c>
      <c r="C82" s="137" t="s">
        <v>747</v>
      </c>
      <c r="D82" s="331" t="s">
        <v>793</v>
      </c>
      <c r="E82" s="334">
        <f t="shared" ref="E82:E85" si="2">E62*($C$17/2)</f>
        <v>14.609273107556168</v>
      </c>
      <c r="F82" s="331" t="s">
        <v>793</v>
      </c>
      <c r="G82" s="334">
        <f t="shared" ref="G82:G85" si="3">G62*($C$17/2)</f>
        <v>1.4727381403591517</v>
      </c>
      <c r="H82" s="331" t="s">
        <v>755</v>
      </c>
      <c r="I82" s="334">
        <f t="shared" ref="I82:I85" si="4">I62*($C$17/2)</f>
        <v>0.42181534298339041</v>
      </c>
    </row>
    <row r="83" spans="2:9">
      <c r="B83" s="472"/>
      <c r="C83" s="137" t="s">
        <v>748</v>
      </c>
      <c r="D83" s="331" t="s">
        <v>793</v>
      </c>
      <c r="E83" s="334">
        <f t="shared" si="2"/>
        <v>14.609273107556168</v>
      </c>
      <c r="F83" s="331" t="s">
        <v>793</v>
      </c>
      <c r="G83" s="334">
        <f t="shared" si="3"/>
        <v>1.4727381403591517</v>
      </c>
      <c r="H83" s="331" t="s">
        <v>793</v>
      </c>
      <c r="I83" s="334">
        <f t="shared" si="4"/>
        <v>1.4727381403591517</v>
      </c>
    </row>
    <row r="84" spans="2:9">
      <c r="B84" s="472"/>
      <c r="C84" s="137" t="s">
        <v>749</v>
      </c>
      <c r="D84" s="331" t="s">
        <v>752</v>
      </c>
      <c r="E84" s="334">
        <f t="shared" si="2"/>
        <v>10.244086901025195</v>
      </c>
      <c r="F84" s="331" t="s">
        <v>752</v>
      </c>
      <c r="G84" s="334">
        <f t="shared" si="3"/>
        <v>5.6643774629198145</v>
      </c>
      <c r="H84" s="331" t="s">
        <v>756</v>
      </c>
      <c r="I84" s="334">
        <f t="shared" si="4"/>
        <v>2.041345222700762</v>
      </c>
    </row>
    <row r="85" spans="2:9">
      <c r="B85" s="472"/>
      <c r="C85" s="137" t="s">
        <v>750</v>
      </c>
      <c r="D85" s="331" t="s">
        <v>752</v>
      </c>
      <c r="E85" s="334">
        <f t="shared" si="2"/>
        <v>10.244086901025195</v>
      </c>
      <c r="F85" s="331" t="s">
        <v>752</v>
      </c>
      <c r="G85" s="334">
        <f t="shared" si="3"/>
        <v>5.6643774629198145</v>
      </c>
      <c r="H85" s="331" t="s">
        <v>756</v>
      </c>
      <c r="I85" s="334">
        <f t="shared" si="4"/>
        <v>2.0813574209494718</v>
      </c>
    </row>
    <row r="86" spans="2:9">
      <c r="B86" s="472" t="s">
        <v>788</v>
      </c>
      <c r="C86" s="137" t="s">
        <v>747</v>
      </c>
      <c r="D86" s="331" t="s">
        <v>757</v>
      </c>
      <c r="E86" s="332" t="s">
        <v>100</v>
      </c>
      <c r="F86" s="331" t="s">
        <v>757</v>
      </c>
      <c r="G86" s="332" t="s">
        <v>100</v>
      </c>
      <c r="H86" s="331" t="s">
        <v>757</v>
      </c>
      <c r="I86" s="332" t="s">
        <v>100</v>
      </c>
    </row>
    <row r="87" spans="2:9">
      <c r="B87" s="472"/>
      <c r="C87" s="137" t="s">
        <v>748</v>
      </c>
      <c r="D87" s="331" t="s">
        <v>757</v>
      </c>
      <c r="E87" s="332" t="s">
        <v>100</v>
      </c>
      <c r="F87" s="331" t="s">
        <v>757</v>
      </c>
      <c r="G87" s="332" t="s">
        <v>100</v>
      </c>
      <c r="H87" s="331" t="s">
        <v>757</v>
      </c>
      <c r="I87" s="332" t="s">
        <v>100</v>
      </c>
    </row>
    <row r="88" spans="2:9">
      <c r="B88" s="472"/>
      <c r="C88" s="137" t="s">
        <v>749</v>
      </c>
      <c r="D88" s="331" t="s">
        <v>753</v>
      </c>
      <c r="E88" s="334">
        <f t="shared" ref="E88:E91" si="5">E68*($C$17/2)</f>
        <v>12.509355811515427</v>
      </c>
      <c r="F88" s="331" t="s">
        <v>753</v>
      </c>
      <c r="G88" s="334">
        <f t="shared" ref="G88:G91" si="6">G68*($C$17/2)</f>
        <v>7.9296463734100451</v>
      </c>
      <c r="H88" s="331" t="s">
        <v>753</v>
      </c>
      <c r="I88" s="334">
        <f t="shared" ref="I88:I91" si="7">I68*($C$17/2)</f>
        <v>7.9296463734100451</v>
      </c>
    </row>
    <row r="89" spans="2:9">
      <c r="B89" s="472"/>
      <c r="C89" s="137" t="s">
        <v>750</v>
      </c>
      <c r="D89" s="331" t="s">
        <v>753</v>
      </c>
      <c r="E89" s="334">
        <f t="shared" si="5"/>
        <v>12.509355811515427</v>
      </c>
      <c r="F89" s="331" t="s">
        <v>753</v>
      </c>
      <c r="G89" s="334">
        <f t="shared" si="6"/>
        <v>7.9296463734100451</v>
      </c>
      <c r="H89" s="331" t="s">
        <v>753</v>
      </c>
      <c r="I89" s="334">
        <f t="shared" si="7"/>
        <v>7.9296463734100451</v>
      </c>
    </row>
    <row r="90" spans="2:9">
      <c r="B90" s="472" t="s">
        <v>789</v>
      </c>
      <c r="C90" s="137" t="s">
        <v>747</v>
      </c>
      <c r="D90" s="331" t="s">
        <v>754</v>
      </c>
      <c r="E90" s="334">
        <f t="shared" si="5"/>
        <v>16.727991316027026</v>
      </c>
      <c r="F90" s="331" t="s">
        <v>754</v>
      </c>
      <c r="G90" s="334">
        <f t="shared" si="6"/>
        <v>3.5914563488300097</v>
      </c>
      <c r="H90" s="331" t="s">
        <v>754</v>
      </c>
      <c r="I90" s="334">
        <f t="shared" si="7"/>
        <v>3.5914563488300097</v>
      </c>
    </row>
    <row r="91" spans="2:9">
      <c r="B91" s="472"/>
      <c r="C91" s="137" t="s">
        <v>748</v>
      </c>
      <c r="D91" s="331" t="s">
        <v>754</v>
      </c>
      <c r="E91" s="334">
        <f t="shared" si="5"/>
        <v>16.727991316027026</v>
      </c>
      <c r="F91" s="331" t="s">
        <v>754</v>
      </c>
      <c r="G91" s="334">
        <f t="shared" si="6"/>
        <v>3.5914563488300097</v>
      </c>
      <c r="H91" s="331" t="s">
        <v>754</v>
      </c>
      <c r="I91" s="334">
        <f t="shared" si="7"/>
        <v>3.5914563488300097</v>
      </c>
    </row>
    <row r="92" spans="2:9">
      <c r="B92" s="472"/>
      <c r="C92" s="137" t="s">
        <v>749</v>
      </c>
      <c r="D92" s="331" t="s">
        <v>757</v>
      </c>
      <c r="E92" s="332" t="s">
        <v>100</v>
      </c>
      <c r="F92" s="331" t="s">
        <v>757</v>
      </c>
      <c r="G92" s="332" t="s">
        <v>100</v>
      </c>
      <c r="H92" s="331" t="s">
        <v>757</v>
      </c>
      <c r="I92" s="332" t="s">
        <v>100</v>
      </c>
    </row>
    <row r="93" spans="2:9">
      <c r="B93" s="472"/>
      <c r="C93" s="137" t="s">
        <v>750</v>
      </c>
      <c r="D93" s="331" t="s">
        <v>757</v>
      </c>
      <c r="E93" s="332" t="s">
        <v>100</v>
      </c>
      <c r="F93" s="331" t="s">
        <v>757</v>
      </c>
      <c r="G93" s="332" t="s">
        <v>100</v>
      </c>
      <c r="H93" s="331" t="s">
        <v>757</v>
      </c>
      <c r="I93" s="332" t="s">
        <v>100</v>
      </c>
    </row>
    <row r="95" spans="2:9">
      <c r="B95" s="221" t="s">
        <v>495</v>
      </c>
      <c r="C95" s="222"/>
      <c r="D95" s="218"/>
      <c r="E95" s="218"/>
      <c r="F95" s="218"/>
      <c r="G95" s="218"/>
      <c r="H95" s="218"/>
      <c r="I95" s="218"/>
    </row>
    <row r="97" spans="2:9">
      <c r="B97" s="452" t="s">
        <v>314</v>
      </c>
      <c r="C97" s="452"/>
      <c r="D97" s="452"/>
      <c r="E97" s="452"/>
      <c r="F97" s="452"/>
      <c r="G97" s="452"/>
      <c r="H97" s="452"/>
      <c r="I97" s="452"/>
    </row>
    <row r="99" spans="2:9">
      <c r="D99" s="224" t="s">
        <v>42</v>
      </c>
    </row>
    <row r="100" spans="2:9" ht="25.5">
      <c r="D100" s="15" t="s">
        <v>766</v>
      </c>
    </row>
    <row r="101" spans="2:9">
      <c r="B101" s="144" t="s">
        <v>294</v>
      </c>
      <c r="D101" s="146">
        <v>94754</v>
      </c>
    </row>
    <row r="102" spans="2:9">
      <c r="B102" s="144" t="s">
        <v>295</v>
      </c>
      <c r="D102" s="146">
        <v>87362</v>
      </c>
    </row>
    <row r="103" spans="2:9">
      <c r="B103" s="144" t="s">
        <v>296</v>
      </c>
      <c r="D103" s="146">
        <v>91058</v>
      </c>
    </row>
    <row r="105" spans="2:9">
      <c r="B105" s="147" t="s">
        <v>290</v>
      </c>
      <c r="C105" s="148"/>
      <c r="D105" s="149">
        <f>SUM(D101:D103)</f>
        <v>273174</v>
      </c>
    </row>
    <row r="106" spans="2:9">
      <c r="B106" s="13" t="s">
        <v>291</v>
      </c>
      <c r="D106" s="358">
        <f>AVERAGE('Forecast Opex Analysis'!K241:N241)</f>
        <v>1.2344347266368934</v>
      </c>
    </row>
    <row r="107" spans="2:9">
      <c r="B107" s="147" t="s">
        <v>292</v>
      </c>
      <c r="C107" s="148"/>
      <c r="D107" s="150">
        <f>D105*(1+D106)</f>
        <v>610389.4720143067</v>
      </c>
    </row>
    <row r="109" spans="2:9">
      <c r="B109" s="13" t="s">
        <v>759</v>
      </c>
      <c r="D109" s="146">
        <f>'Service Volumes'!J204-'Service Volumes'!I204</f>
        <v>22109</v>
      </c>
    </row>
    <row r="110" spans="2:9">
      <c r="B110" s="13" t="s">
        <v>765</v>
      </c>
      <c r="D110" s="145">
        <v>1.2168338128893483</v>
      </c>
    </row>
    <row r="111" spans="2:9">
      <c r="B111" s="147" t="s">
        <v>331</v>
      </c>
      <c r="C111" s="148"/>
      <c r="D111" s="150">
        <f>D109*D110</f>
        <v>26902.978769170601</v>
      </c>
    </row>
    <row r="113" spans="2:9" ht="13.5" thickBot="1">
      <c r="B113" s="151" t="s">
        <v>293</v>
      </c>
      <c r="C113" s="152"/>
      <c r="D113" s="152">
        <f>D107/D111</f>
        <v>22.688546025014187</v>
      </c>
    </row>
    <row r="115" spans="2:9">
      <c r="B115" s="221" t="s">
        <v>768</v>
      </c>
      <c r="C115" s="222"/>
      <c r="D115" s="218"/>
      <c r="E115" s="218"/>
      <c r="F115" s="218"/>
      <c r="G115" s="218"/>
      <c r="H115" s="218"/>
      <c r="I115" s="218"/>
    </row>
    <row r="117" spans="2:9" ht="26.25" customHeight="1">
      <c r="D117" s="464" t="s">
        <v>791</v>
      </c>
      <c r="E117" s="466"/>
      <c r="F117" s="464" t="s">
        <v>790</v>
      </c>
      <c r="G117" s="466"/>
      <c r="H117" s="471" t="s">
        <v>746</v>
      </c>
      <c r="I117" s="471"/>
    </row>
    <row r="118" spans="2:9" ht="25.5">
      <c r="D118" s="15" t="s">
        <v>751</v>
      </c>
      <c r="E118" s="15" t="s">
        <v>769</v>
      </c>
      <c r="F118" s="15" t="s">
        <v>751</v>
      </c>
      <c r="G118" s="15" t="s">
        <v>769</v>
      </c>
      <c r="H118" s="15" t="s">
        <v>751</v>
      </c>
      <c r="I118" s="15" t="s">
        <v>769</v>
      </c>
    </row>
    <row r="119" spans="2:9">
      <c r="D119" s="139"/>
      <c r="E119" s="139"/>
      <c r="F119" s="139"/>
      <c r="G119" s="139"/>
      <c r="H119" s="139"/>
      <c r="I119" s="139"/>
    </row>
    <row r="120" spans="2:9">
      <c r="B120" s="472" t="s">
        <v>787</v>
      </c>
      <c r="C120" s="137" t="s">
        <v>747</v>
      </c>
      <c r="D120" s="331" t="s">
        <v>793</v>
      </c>
      <c r="E120" s="334">
        <f>E62+E82+$D$113</f>
        <v>643.39781913257036</v>
      </c>
      <c r="F120" s="331" t="s">
        <v>793</v>
      </c>
      <c r="G120" s="334">
        <f>G62+G82+$D$113</f>
        <v>85.26128416537334</v>
      </c>
      <c r="H120" s="331" t="s">
        <v>755</v>
      </c>
      <c r="I120" s="334">
        <f>I62+I82+$D$113</f>
        <v>40.610361367997577</v>
      </c>
    </row>
    <row r="121" spans="2:9">
      <c r="B121" s="472"/>
      <c r="C121" s="137" t="s">
        <v>748</v>
      </c>
      <c r="D121" s="331" t="s">
        <v>793</v>
      </c>
      <c r="E121" s="334">
        <f>E63+E83+$D$113</f>
        <v>643.39781913257036</v>
      </c>
      <c r="F121" s="331" t="s">
        <v>793</v>
      </c>
      <c r="G121" s="334">
        <f>G63+G83+$D$113</f>
        <v>85.26128416537334</v>
      </c>
      <c r="H121" s="331" t="s">
        <v>793</v>
      </c>
      <c r="I121" s="334">
        <f>I63+I83+$D$113</f>
        <v>85.26128416537334</v>
      </c>
    </row>
    <row r="122" spans="2:9">
      <c r="B122" s="472"/>
      <c r="C122" s="137" t="s">
        <v>749</v>
      </c>
      <c r="D122" s="331" t="s">
        <v>752</v>
      </c>
      <c r="E122" s="334">
        <f>E64+E84+$D$113</f>
        <v>457.93263292603939</v>
      </c>
      <c r="F122" s="331" t="s">
        <v>752</v>
      </c>
      <c r="G122" s="334">
        <f>G64+G84+$D$113</f>
        <v>263.35292348793399</v>
      </c>
      <c r="H122" s="331" t="s">
        <v>756</v>
      </c>
      <c r="I122" s="334">
        <f>I64+I84+$D$113</f>
        <v>109.41989124771494</v>
      </c>
    </row>
    <row r="123" spans="2:9">
      <c r="B123" s="472"/>
      <c r="C123" s="137" t="s">
        <v>750</v>
      </c>
      <c r="D123" s="331" t="s">
        <v>752</v>
      </c>
      <c r="E123" s="334">
        <f>E65+E85+$D$113</f>
        <v>457.93263292603939</v>
      </c>
      <c r="F123" s="331" t="s">
        <v>752</v>
      </c>
      <c r="G123" s="334">
        <f>G65+G85+$D$113</f>
        <v>263.35292348793399</v>
      </c>
      <c r="H123" s="331" t="s">
        <v>756</v>
      </c>
      <c r="I123" s="334">
        <f>I65+I85+$D$113</f>
        <v>111.11990344596366</v>
      </c>
    </row>
    <row r="124" spans="2:9">
      <c r="B124" s="472" t="s">
        <v>788</v>
      </c>
      <c r="C124" s="137" t="s">
        <v>747</v>
      </c>
      <c r="D124" s="331" t="s">
        <v>757</v>
      </c>
      <c r="E124" s="332" t="s">
        <v>100</v>
      </c>
      <c r="F124" s="331" t="s">
        <v>757</v>
      </c>
      <c r="G124" s="332" t="s">
        <v>100</v>
      </c>
      <c r="H124" s="331" t="s">
        <v>757</v>
      </c>
      <c r="I124" s="332" t="s">
        <v>100</v>
      </c>
    </row>
    <row r="125" spans="2:9">
      <c r="B125" s="472"/>
      <c r="C125" s="137" t="s">
        <v>748</v>
      </c>
      <c r="D125" s="331" t="s">
        <v>757</v>
      </c>
      <c r="E125" s="332" t="s">
        <v>100</v>
      </c>
      <c r="F125" s="331" t="s">
        <v>757</v>
      </c>
      <c r="G125" s="332" t="s">
        <v>100</v>
      </c>
      <c r="H125" s="331" t="s">
        <v>757</v>
      </c>
      <c r="I125" s="332" t="s">
        <v>100</v>
      </c>
    </row>
    <row r="126" spans="2:9">
      <c r="B126" s="472"/>
      <c r="C126" s="137" t="s">
        <v>749</v>
      </c>
      <c r="D126" s="331" t="s">
        <v>753</v>
      </c>
      <c r="E126" s="334">
        <f>E68+E88+$D$113</f>
        <v>554.1779018365296</v>
      </c>
      <c r="F126" s="331" t="s">
        <v>753</v>
      </c>
      <c r="G126" s="334">
        <f>G68+G88+$D$113</f>
        <v>359.59819239842426</v>
      </c>
      <c r="H126" s="331" t="s">
        <v>753</v>
      </c>
      <c r="I126" s="334">
        <f>I68+I88+$D$113</f>
        <v>359.59819239842426</v>
      </c>
    </row>
    <row r="127" spans="2:9">
      <c r="B127" s="472"/>
      <c r="C127" s="137" t="s">
        <v>750</v>
      </c>
      <c r="D127" s="331" t="s">
        <v>753</v>
      </c>
      <c r="E127" s="334">
        <f>E69+E89+$D$113</f>
        <v>554.1779018365296</v>
      </c>
      <c r="F127" s="331" t="s">
        <v>753</v>
      </c>
      <c r="G127" s="334">
        <f>G69+G89+$D$113</f>
        <v>359.59819239842426</v>
      </c>
      <c r="H127" s="331" t="s">
        <v>753</v>
      </c>
      <c r="I127" s="334">
        <f>I69+I89+$D$113</f>
        <v>359.59819239842426</v>
      </c>
    </row>
    <row r="128" spans="2:9">
      <c r="B128" s="472" t="s">
        <v>789</v>
      </c>
      <c r="C128" s="137" t="s">
        <v>747</v>
      </c>
      <c r="D128" s="331" t="s">
        <v>754</v>
      </c>
      <c r="E128" s="334">
        <f>E70+E90+$D$113</f>
        <v>733.41653734104113</v>
      </c>
      <c r="F128" s="331" t="s">
        <v>754</v>
      </c>
      <c r="G128" s="334">
        <f>G70+G90+$D$113</f>
        <v>175.28000237384418</v>
      </c>
      <c r="H128" s="331" t="s">
        <v>754</v>
      </c>
      <c r="I128" s="334">
        <f>I70+I90+$D$113</f>
        <v>175.28000237384418</v>
      </c>
    </row>
    <row r="129" spans="2:9">
      <c r="B129" s="472"/>
      <c r="C129" s="137" t="s">
        <v>748</v>
      </c>
      <c r="D129" s="331" t="s">
        <v>754</v>
      </c>
      <c r="E129" s="334">
        <f>E71+E91+$D$113</f>
        <v>733.41653734104113</v>
      </c>
      <c r="F129" s="331" t="s">
        <v>754</v>
      </c>
      <c r="G129" s="334">
        <f>G71+G91+$D$113</f>
        <v>175.28000237384418</v>
      </c>
      <c r="H129" s="331" t="s">
        <v>754</v>
      </c>
      <c r="I129" s="334">
        <f>I71+I91+$D$113</f>
        <v>175.28000237384418</v>
      </c>
    </row>
    <row r="130" spans="2:9">
      <c r="B130" s="472"/>
      <c r="C130" s="137" t="s">
        <v>749</v>
      </c>
      <c r="D130" s="331" t="s">
        <v>757</v>
      </c>
      <c r="E130" s="332" t="s">
        <v>100</v>
      </c>
      <c r="F130" s="331" t="s">
        <v>757</v>
      </c>
      <c r="G130" s="332" t="s">
        <v>100</v>
      </c>
      <c r="H130" s="331" t="s">
        <v>757</v>
      </c>
      <c r="I130" s="332" t="s">
        <v>100</v>
      </c>
    </row>
    <row r="131" spans="2:9">
      <c r="B131" s="472"/>
      <c r="C131" s="137" t="s">
        <v>750</v>
      </c>
      <c r="D131" s="331" t="s">
        <v>757</v>
      </c>
      <c r="E131" s="332" t="s">
        <v>100</v>
      </c>
      <c r="F131" s="331" t="s">
        <v>757</v>
      </c>
      <c r="G131" s="332" t="s">
        <v>100</v>
      </c>
      <c r="H131" s="331" t="s">
        <v>757</v>
      </c>
      <c r="I131" s="332" t="s">
        <v>100</v>
      </c>
    </row>
    <row r="133" spans="2:9">
      <c r="B133" s="357" t="s">
        <v>818</v>
      </c>
    </row>
    <row r="134" spans="2:9" ht="27" customHeight="1">
      <c r="B134" s="473" t="s">
        <v>834</v>
      </c>
      <c r="C134" s="473"/>
      <c r="D134" s="473"/>
      <c r="E134" s="473"/>
      <c r="F134" s="473"/>
      <c r="G134" s="473"/>
      <c r="H134" s="473"/>
      <c r="I134" s="473"/>
    </row>
    <row r="135" spans="2:9">
      <c r="B135" s="473" t="s">
        <v>835</v>
      </c>
      <c r="C135" s="473"/>
      <c r="D135" s="473"/>
      <c r="E135" s="473"/>
      <c r="F135" s="473"/>
      <c r="G135" s="473"/>
      <c r="H135" s="473"/>
      <c r="I135" s="473"/>
    </row>
    <row r="136" spans="2:9">
      <c r="B136" s="473" t="s">
        <v>836</v>
      </c>
      <c r="C136" s="473"/>
      <c r="D136" s="473"/>
      <c r="E136" s="473"/>
      <c r="F136" s="473"/>
      <c r="G136" s="473"/>
      <c r="H136" s="473"/>
      <c r="I136" s="473"/>
    </row>
    <row r="137" spans="2:9" ht="27.75" customHeight="1">
      <c r="B137" s="473" t="s">
        <v>837</v>
      </c>
      <c r="C137" s="473"/>
      <c r="D137" s="473"/>
      <c r="E137" s="473"/>
      <c r="F137" s="473"/>
      <c r="G137" s="473"/>
      <c r="H137" s="473"/>
      <c r="I137" s="473"/>
    </row>
    <row r="138" spans="2:9">
      <c r="B138" s="473" t="s">
        <v>838</v>
      </c>
      <c r="C138" s="473"/>
      <c r="D138" s="473"/>
      <c r="E138" s="473"/>
      <c r="F138" s="473"/>
      <c r="G138" s="473"/>
      <c r="H138" s="473"/>
      <c r="I138" s="473"/>
    </row>
    <row r="140" spans="2:9">
      <c r="B140" s="196" t="s">
        <v>333</v>
      </c>
    </row>
    <row r="141" spans="2:9">
      <c r="B141" s="196" t="s">
        <v>345</v>
      </c>
    </row>
  </sheetData>
  <mergeCells count="44">
    <mergeCell ref="B138:I138"/>
    <mergeCell ref="B134:I134"/>
    <mergeCell ref="B135:I135"/>
    <mergeCell ref="B136:I136"/>
    <mergeCell ref="B137:I137"/>
    <mergeCell ref="H59:I59"/>
    <mergeCell ref="B124:B127"/>
    <mergeCell ref="B62:B65"/>
    <mergeCell ref="B66:B69"/>
    <mergeCell ref="B70:B73"/>
    <mergeCell ref="D59:E59"/>
    <mergeCell ref="F59:G59"/>
    <mergeCell ref="B128:B131"/>
    <mergeCell ref="D117:E117"/>
    <mergeCell ref="F117:G117"/>
    <mergeCell ref="B77:I77"/>
    <mergeCell ref="B97:I97"/>
    <mergeCell ref="H79:I79"/>
    <mergeCell ref="B82:B85"/>
    <mergeCell ref="B86:B89"/>
    <mergeCell ref="B90:B93"/>
    <mergeCell ref="D79:E79"/>
    <mergeCell ref="F79:G79"/>
    <mergeCell ref="B12:I12"/>
    <mergeCell ref="B14:I14"/>
    <mergeCell ref="H117:I117"/>
    <mergeCell ref="B120:B123"/>
    <mergeCell ref="B26:B29"/>
    <mergeCell ref="B30:B33"/>
    <mergeCell ref="B34:B37"/>
    <mergeCell ref="H23:I23"/>
    <mergeCell ref="F23:G23"/>
    <mergeCell ref="D23:E23"/>
    <mergeCell ref="H41:I41"/>
    <mergeCell ref="B44:B47"/>
    <mergeCell ref="B48:B51"/>
    <mergeCell ref="B52:B55"/>
    <mergeCell ref="D41:E41"/>
    <mergeCell ref="F41:G41"/>
    <mergeCell ref="B6:I6"/>
    <mergeCell ref="B8:I8"/>
    <mergeCell ref="B9:I9"/>
    <mergeCell ref="B10:I10"/>
    <mergeCell ref="B11:I11"/>
  </mergeCells>
  <pageMargins left="0.7" right="0.7" top="0.75" bottom="0.75" header="0.3" footer="0.3"/>
  <pageSetup paperSize="8" scale="3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8"/>
  <sheetViews>
    <sheetView showGridLines="0" workbookViewId="0"/>
  </sheetViews>
  <sheetFormatPr defaultRowHeight="12.75"/>
  <cols>
    <col min="1" max="1" width="2.85546875" style="1" customWidth="1"/>
    <col min="2" max="2" width="54.140625" style="1" customWidth="1"/>
    <col min="3" max="7" width="14.28515625" style="1" customWidth="1"/>
    <col min="8" max="16384" width="9.140625" style="1"/>
  </cols>
  <sheetData>
    <row r="2" spans="1:7" ht="15.75">
      <c r="A2" s="254" t="s">
        <v>503</v>
      </c>
    </row>
    <row r="3" spans="1:7" ht="15.75">
      <c r="A3" s="254" t="s">
        <v>740</v>
      </c>
    </row>
    <row r="4" spans="1:7" ht="15.75">
      <c r="A4" s="255" t="s">
        <v>499</v>
      </c>
    </row>
    <row r="6" spans="1:7">
      <c r="B6" s="445" t="s">
        <v>784</v>
      </c>
      <c r="C6" s="446"/>
      <c r="D6" s="446"/>
      <c r="E6" s="446"/>
      <c r="F6" s="446"/>
      <c r="G6" s="447"/>
    </row>
    <row r="8" spans="1:7">
      <c r="B8" s="445" t="s">
        <v>20</v>
      </c>
      <c r="C8" s="446"/>
      <c r="D8" s="446"/>
      <c r="E8" s="446"/>
      <c r="F8" s="446"/>
      <c r="G8" s="447"/>
    </row>
    <row r="9" spans="1:7" ht="93" customHeight="1">
      <c r="B9" s="474" t="s">
        <v>741</v>
      </c>
      <c r="C9" s="475"/>
      <c r="D9" s="475"/>
      <c r="E9" s="475"/>
      <c r="F9" s="475"/>
      <c r="G9" s="476"/>
    </row>
    <row r="11" spans="1:7">
      <c r="B11" s="445" t="s">
        <v>21</v>
      </c>
      <c r="C11" s="446"/>
      <c r="D11" s="446"/>
      <c r="E11" s="446"/>
      <c r="F11" s="446"/>
      <c r="G11" s="447"/>
    </row>
    <row r="13" spans="1:7">
      <c r="C13" s="464" t="s">
        <v>180</v>
      </c>
      <c r="D13" s="465"/>
      <c r="E13" s="465"/>
      <c r="F13" s="465"/>
      <c r="G13" s="466"/>
    </row>
    <row r="14" spans="1:7">
      <c r="C14" s="40" t="s">
        <v>42</v>
      </c>
      <c r="D14" s="40" t="s">
        <v>43</v>
      </c>
      <c r="E14" s="40" t="s">
        <v>44</v>
      </c>
      <c r="F14" s="40" t="s">
        <v>45</v>
      </c>
      <c r="G14" s="40" t="s">
        <v>46</v>
      </c>
    </row>
    <row r="15" spans="1:7">
      <c r="B15" s="208"/>
    </row>
    <row r="16" spans="1:7">
      <c r="B16" s="1" t="s">
        <v>344</v>
      </c>
      <c r="C16" s="204">
        <f>'Pricing Calc (Per Service)'!D147</f>
        <v>1.2214719195700983</v>
      </c>
      <c r="D16" s="204">
        <f>'Pricing Calc (Per Service)'!E147</f>
        <v>1.2100889942439155</v>
      </c>
      <c r="E16" s="204">
        <f>'Pricing Calc (Per Service)'!F147</f>
        <v>1.2031454515186222</v>
      </c>
      <c r="F16" s="204">
        <f>'Pricing Calc (Per Service)'!G147</f>
        <v>1.1956018575598741</v>
      </c>
      <c r="G16" s="204">
        <f>'Pricing Calc (Per Service)'!H147</f>
        <v>1.1866089233970443</v>
      </c>
    </row>
    <row r="18" spans="2:7" ht="25.5">
      <c r="B18" s="111" t="s">
        <v>742</v>
      </c>
      <c r="C18" s="207">
        <f>NPV('Calculation Variables'!$I$14,'Opening RAB SCS Recovery'!C16:$G$16)</f>
        <v>4.9726570567621735</v>
      </c>
      <c r="D18" s="207">
        <f>NPV('Calculation Variables'!$I$14,'Opening RAB SCS Recovery'!D16:$G$16)</f>
        <v>4.0865395739653669</v>
      </c>
      <c r="E18" s="207">
        <f>NPV('Calculation Variables'!$I$14,'Opening RAB SCS Recovery'!E16:$G$16)</f>
        <v>3.1520455305768094</v>
      </c>
      <c r="F18" s="207">
        <f>NPV('Calculation Variables'!$I$14,'Opening RAB SCS Recovery'!F16:$G$16)</f>
        <v>2.1614730438784551</v>
      </c>
      <c r="G18" s="207">
        <f>NPV('Calculation Variables'!$I$14,'Opening RAB SCS Recovery'!G16:$G$16)</f>
        <v>1.1116402524247573</v>
      </c>
    </row>
  </sheetData>
  <mergeCells count="5">
    <mergeCell ref="B6:G6"/>
    <mergeCell ref="C13:G13"/>
    <mergeCell ref="B8:G8"/>
    <mergeCell ref="B9:G9"/>
    <mergeCell ref="B11:G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3"/>
  <sheetViews>
    <sheetView showGridLines="0" workbookViewId="0"/>
  </sheetViews>
  <sheetFormatPr defaultColWidth="0" defaultRowHeight="15" customHeight="1" zeroHeight="1"/>
  <cols>
    <col min="1" max="1" width="2.7109375" customWidth="1"/>
    <col min="2" max="6" width="9.140625" customWidth="1"/>
    <col min="7" max="16384" width="9.140625" hidden="1"/>
  </cols>
  <sheetData>
    <row r="1" spans="2:2"/>
    <row r="2" spans="2:2">
      <c r="B2" s="201" t="s">
        <v>343</v>
      </c>
    </row>
    <row r="3" spans="2:2"/>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1"/>
  <sheetViews>
    <sheetView showGridLines="0" topLeftCell="A34" workbookViewId="0">
      <selection activeCell="M16" sqref="M16"/>
    </sheetView>
  </sheetViews>
  <sheetFormatPr defaultRowHeight="12.75"/>
  <cols>
    <col min="1" max="1" width="2.85546875" style="1" customWidth="1"/>
    <col min="2" max="2" width="48.7109375" style="1" customWidth="1"/>
    <col min="3" max="8" width="13.140625" style="1" customWidth="1"/>
    <col min="9" max="16384" width="9.140625" style="1"/>
  </cols>
  <sheetData>
    <row r="2" spans="1:8" ht="15.75">
      <c r="A2" s="254" t="s">
        <v>503</v>
      </c>
      <c r="B2" s="10"/>
      <c r="C2" s="10"/>
      <c r="D2" s="10"/>
      <c r="E2" s="10"/>
      <c r="F2" s="10"/>
      <c r="G2" s="10"/>
      <c r="H2" s="10"/>
    </row>
    <row r="3" spans="1:8" ht="15.75">
      <c r="A3" s="254" t="s">
        <v>214</v>
      </c>
      <c r="B3" s="10"/>
      <c r="C3" s="10"/>
      <c r="D3" s="10"/>
      <c r="E3" s="10"/>
      <c r="F3" s="10"/>
      <c r="G3" s="10"/>
      <c r="H3" s="10"/>
    </row>
    <row r="4" spans="1:8" ht="15.75">
      <c r="A4" s="255" t="s">
        <v>499</v>
      </c>
      <c r="B4" s="10"/>
      <c r="C4" s="10"/>
      <c r="D4" s="10"/>
      <c r="E4" s="10"/>
      <c r="F4" s="10"/>
      <c r="G4" s="10"/>
      <c r="H4" s="10"/>
    </row>
    <row r="5" spans="1:8">
      <c r="B5" s="10"/>
      <c r="C5" s="10"/>
      <c r="D5" s="10"/>
      <c r="E5" s="10"/>
      <c r="F5" s="10"/>
      <c r="G5" s="10"/>
      <c r="H5" s="10"/>
    </row>
    <row r="6" spans="1:8" ht="12.75" customHeight="1">
      <c r="B6" s="445" t="s">
        <v>781</v>
      </c>
      <c r="C6" s="446"/>
      <c r="D6" s="446"/>
      <c r="E6" s="446"/>
      <c r="F6" s="446"/>
      <c r="G6" s="446"/>
      <c r="H6" s="447"/>
    </row>
    <row r="8" spans="1:8">
      <c r="C8" s="464" t="s">
        <v>180</v>
      </c>
      <c r="D8" s="465"/>
      <c r="E8" s="465"/>
      <c r="F8" s="465"/>
      <c r="G8" s="466"/>
    </row>
    <row r="9" spans="1:8">
      <c r="C9" s="40" t="s">
        <v>42</v>
      </c>
      <c r="D9" s="40" t="s">
        <v>43</v>
      </c>
      <c r="E9" s="40" t="s">
        <v>44</v>
      </c>
      <c r="F9" s="40" t="s">
        <v>45</v>
      </c>
      <c r="G9" s="40" t="s">
        <v>46</v>
      </c>
      <c r="H9" s="40" t="s">
        <v>22</v>
      </c>
    </row>
    <row r="10" spans="1:8" s="7" customFormat="1">
      <c r="C10" s="337"/>
      <c r="D10" s="337"/>
      <c r="E10" s="337"/>
      <c r="F10" s="337"/>
      <c r="G10" s="337"/>
      <c r="H10" s="337"/>
    </row>
    <row r="11" spans="1:8" s="7" customFormat="1">
      <c r="B11" s="203" t="s">
        <v>783</v>
      </c>
      <c r="C11" s="338"/>
      <c r="D11" s="338"/>
      <c r="E11" s="338"/>
      <c r="F11" s="338"/>
      <c r="G11" s="338"/>
      <c r="H11" s="338"/>
    </row>
    <row r="12" spans="1:8" s="7" customFormat="1">
      <c r="C12" s="337"/>
      <c r="D12" s="337"/>
      <c r="E12" s="337"/>
      <c r="F12" s="337"/>
      <c r="G12" s="337"/>
      <c r="H12" s="337"/>
    </row>
    <row r="13" spans="1:8">
      <c r="B13" s="326" t="s">
        <v>219</v>
      </c>
      <c r="C13" s="162">
        <f>'Pricing Calc (Per Service)'!D91</f>
        <v>5091155.3648260981</v>
      </c>
      <c r="D13" s="162">
        <f>'Pricing Calc (Per Service)'!E91</f>
        <v>5350024.9017633041</v>
      </c>
      <c r="E13" s="162">
        <f>'Pricing Calc (Per Service)'!F91</f>
        <v>5501956.8078037137</v>
      </c>
      <c r="F13" s="162">
        <f>'Pricing Calc (Per Service)'!G91</f>
        <v>5681831.764775292</v>
      </c>
      <c r="G13" s="162">
        <f>'Pricing Calc (Per Service)'!H91</f>
        <v>5850982.6194725167</v>
      </c>
      <c r="H13" s="339">
        <f>SUM(C13:G13)</f>
        <v>27475951.458640926</v>
      </c>
    </row>
    <row r="14" spans="1:8">
      <c r="B14" s="326" t="s">
        <v>220</v>
      </c>
      <c r="C14" s="162">
        <f>'Pricing Calc (Per Service)'!D92</f>
        <v>4138573.3804569594</v>
      </c>
      <c r="D14" s="162">
        <f>'Pricing Calc (Per Service)'!E92</f>
        <v>4384271.5054448098</v>
      </c>
      <c r="E14" s="162">
        <f>'Pricing Calc (Per Service)'!F92</f>
        <v>4532148.1229039105</v>
      </c>
      <c r="F14" s="162">
        <f>'Pricing Calc (Per Service)'!G92</f>
        <v>4705362.4898631973</v>
      </c>
      <c r="G14" s="162">
        <f>'Pricing Calc (Per Service)'!H92</f>
        <v>4872096.0411452046</v>
      </c>
      <c r="H14" s="339">
        <f>SUM(C14:G14)</f>
        <v>22632451.539814085</v>
      </c>
    </row>
    <row r="15" spans="1:8">
      <c r="B15" s="327" t="s">
        <v>221</v>
      </c>
      <c r="C15" s="162">
        <f>'Pricing Calc (Per Service)'!D93</f>
        <v>4518714.2154464228</v>
      </c>
      <c r="D15" s="162">
        <f>'Pricing Calc (Per Service)'!E93</f>
        <v>4841046.7795760455</v>
      </c>
      <c r="E15" s="162">
        <f>'Pricing Calc (Per Service)'!F93</f>
        <v>5039872.6426794836</v>
      </c>
      <c r="F15" s="162">
        <f>'Pricing Calc (Per Service)'!G93</f>
        <v>5270385.0907259313</v>
      </c>
      <c r="G15" s="162">
        <f>'Pricing Calc (Per Service)'!H93</f>
        <v>5497250.7536958847</v>
      </c>
      <c r="H15" s="339">
        <f>SUM(C15:G15)</f>
        <v>25167269.48212377</v>
      </c>
    </row>
    <row r="16" spans="1:8">
      <c r="B16" s="228" t="s">
        <v>234</v>
      </c>
      <c r="C16" s="328">
        <f t="shared" ref="C16:H16" si="0">SUM(C13:C15)</f>
        <v>13748442.96072948</v>
      </c>
      <c r="D16" s="328">
        <f t="shared" si="0"/>
        <v>14575343.186784159</v>
      </c>
      <c r="E16" s="328">
        <f t="shared" si="0"/>
        <v>15073977.573387109</v>
      </c>
      <c r="F16" s="328">
        <f t="shared" si="0"/>
        <v>15657579.345364422</v>
      </c>
      <c r="G16" s="328">
        <f t="shared" si="0"/>
        <v>16220329.414313605</v>
      </c>
      <c r="H16" s="328">
        <f t="shared" si="0"/>
        <v>75275672.48057878</v>
      </c>
    </row>
    <row r="17" spans="2:8">
      <c r="B17" s="10"/>
      <c r="C17" s="108"/>
      <c r="D17" s="108"/>
      <c r="E17" s="108"/>
      <c r="F17" s="108"/>
      <c r="G17" s="109"/>
      <c r="H17" s="340"/>
    </row>
    <row r="18" spans="2:8">
      <c r="B18" s="326" t="s">
        <v>235</v>
      </c>
      <c r="C18" s="162">
        <f>'Pricing Calc (Per Service)'!D96</f>
        <v>0</v>
      </c>
      <c r="D18" s="162">
        <f>'Pricing Calc (Per Service)'!E96</f>
        <v>327526.86516377504</v>
      </c>
      <c r="E18" s="162">
        <f>'Pricing Calc (Per Service)'!F96</f>
        <v>649262.42984464904</v>
      </c>
      <c r="F18" s="162">
        <f>'Pricing Calc (Per Service)'!G96</f>
        <v>1185649.0623970446</v>
      </c>
      <c r="G18" s="162">
        <f>'Pricing Calc (Per Service)'!H96</f>
        <v>1962157.8896265756</v>
      </c>
      <c r="H18" s="339">
        <f>SUM(C18:G18)</f>
        <v>4124596.2470320445</v>
      </c>
    </row>
    <row r="19" spans="2:8">
      <c r="B19" s="327" t="s">
        <v>213</v>
      </c>
      <c r="C19" s="162">
        <f>'Pricing Calc (Per Service)'!D97</f>
        <v>1656012.4725349825</v>
      </c>
      <c r="D19" s="162">
        <f>'Pricing Calc (Per Service)'!E97</f>
        <v>1647128.4099706959</v>
      </c>
      <c r="E19" s="162">
        <f>'Pricing Calc (Per Service)'!F97</f>
        <v>1649527.086536295</v>
      </c>
      <c r="F19" s="162">
        <f>'Pricing Calc (Per Service)'!G97</f>
        <v>1651106.9406898725</v>
      </c>
      <c r="G19" s="162">
        <f>'Pricing Calc (Per Service)'!H97</f>
        <v>1651827.6377782631</v>
      </c>
      <c r="H19" s="339">
        <f>SUM(C19:G19)</f>
        <v>8255602.5475101098</v>
      </c>
    </row>
    <row r="20" spans="2:8">
      <c r="B20" s="22" t="s">
        <v>236</v>
      </c>
      <c r="C20" s="112">
        <f>SUM(C18:C19)</f>
        <v>1656012.4725349825</v>
      </c>
      <c r="D20" s="112">
        <f t="shared" ref="D20:G20" si="1">SUM(D18:D19)</f>
        <v>1974655.2751344708</v>
      </c>
      <c r="E20" s="112">
        <f t="shared" si="1"/>
        <v>2298789.5163809443</v>
      </c>
      <c r="F20" s="112">
        <f t="shared" si="1"/>
        <v>2836756.0030869171</v>
      </c>
      <c r="G20" s="112">
        <f t="shared" si="1"/>
        <v>3613985.5274048387</v>
      </c>
      <c r="H20" s="112">
        <f t="shared" ref="H20" si="2">SUM(H18:H19)</f>
        <v>12380198.794542154</v>
      </c>
    </row>
    <row r="21" spans="2:8">
      <c r="B21" s="24"/>
      <c r="C21" s="108"/>
      <c r="D21" s="108"/>
      <c r="E21" s="108"/>
      <c r="F21" s="108"/>
      <c r="G21" s="109"/>
      <c r="H21" s="340"/>
    </row>
    <row r="22" spans="2:8" ht="13.5" thickBot="1">
      <c r="B22" s="27" t="s">
        <v>349</v>
      </c>
      <c r="C22" s="113">
        <f>SUM(C20,C16)</f>
        <v>15404455.433264462</v>
      </c>
      <c r="D22" s="113">
        <f t="shared" ref="D22:G22" si="3">SUM(D20,D16)</f>
        <v>16549998.46191863</v>
      </c>
      <c r="E22" s="113">
        <f t="shared" si="3"/>
        <v>17372767.089768052</v>
      </c>
      <c r="F22" s="113">
        <f t="shared" si="3"/>
        <v>18494335.348451339</v>
      </c>
      <c r="G22" s="113">
        <f t="shared" si="3"/>
        <v>19834314.941718444</v>
      </c>
      <c r="H22" s="113">
        <f t="shared" ref="H22" si="4">SUM(H20,H16)</f>
        <v>87655871.275120929</v>
      </c>
    </row>
    <row r="24" spans="2:8" s="7" customFormat="1">
      <c r="B24" s="359" t="s">
        <v>782</v>
      </c>
      <c r="C24" s="360"/>
      <c r="D24" s="360"/>
      <c r="E24" s="360"/>
      <c r="F24" s="360"/>
      <c r="G24" s="360"/>
      <c r="H24" s="360"/>
    </row>
    <row r="25" spans="2:8" s="7" customFormat="1">
      <c r="C25" s="337"/>
      <c r="D25" s="337"/>
      <c r="E25" s="337"/>
      <c r="F25" s="337"/>
      <c r="G25" s="337"/>
      <c r="H25" s="337"/>
    </row>
    <row r="26" spans="2:8" s="7" customFormat="1">
      <c r="B26" s="326" t="s">
        <v>219</v>
      </c>
      <c r="C26" s="162">
        <v>7375297.7941528428</v>
      </c>
      <c r="D26" s="162">
        <v>7579398.489902474</v>
      </c>
      <c r="E26" s="162">
        <v>8015889.4447510662</v>
      </c>
      <c r="F26" s="162">
        <v>8191726.5182193266</v>
      </c>
      <c r="G26" s="162">
        <v>8539666.2819348145</v>
      </c>
      <c r="H26" s="339">
        <f>SUM(C26:G26)</f>
        <v>39701978.528960526</v>
      </c>
    </row>
    <row r="27" spans="2:8" s="7" customFormat="1">
      <c r="B27" s="326" t="s">
        <v>220</v>
      </c>
      <c r="C27" s="162">
        <v>5995340.7304564724</v>
      </c>
      <c r="D27" s="162">
        <v>6211212.3658973221</v>
      </c>
      <c r="E27" s="162">
        <v>6602959.559570916</v>
      </c>
      <c r="F27" s="162">
        <v>6783911.2951228451</v>
      </c>
      <c r="G27" s="162">
        <v>7110955.0294078141</v>
      </c>
      <c r="H27" s="339">
        <f>SUM(C27:G27)</f>
        <v>32704378.980455369</v>
      </c>
    </row>
    <row r="28" spans="2:8" s="7" customFormat="1">
      <c r="B28" s="327" t="s">
        <v>221</v>
      </c>
      <c r="C28" s="162">
        <v>6546031.4206552338</v>
      </c>
      <c r="D28" s="162">
        <v>6858327.4516297299</v>
      </c>
      <c r="E28" s="162">
        <v>7342671.5858699633</v>
      </c>
      <c r="F28" s="162">
        <v>7598527.2173286248</v>
      </c>
      <c r="G28" s="162">
        <v>8023385.1231145337</v>
      </c>
      <c r="H28" s="339">
        <f>SUM(C28:G28)</f>
        <v>36368942.798598088</v>
      </c>
    </row>
    <row r="29" spans="2:8" s="7" customFormat="1">
      <c r="B29" s="228" t="s">
        <v>234</v>
      </c>
      <c r="C29" s="328">
        <f>SUM(C26:C28)</f>
        <v>19916669.945264548</v>
      </c>
      <c r="D29" s="328">
        <f t="shared" ref="D29:H29" si="5">SUM(D26:D28)</f>
        <v>20648938.307429526</v>
      </c>
      <c r="E29" s="328">
        <f t="shared" si="5"/>
        <v>21961520.590191945</v>
      </c>
      <c r="F29" s="328">
        <f t="shared" si="5"/>
        <v>22574165.030670799</v>
      </c>
      <c r="G29" s="328">
        <f t="shared" si="5"/>
        <v>23674006.434457161</v>
      </c>
      <c r="H29" s="328">
        <f t="shared" si="5"/>
        <v>108775300.30801398</v>
      </c>
    </row>
    <row r="30" spans="2:8" s="7" customFormat="1">
      <c r="B30" s="10"/>
      <c r="C30" s="108"/>
      <c r="D30" s="108"/>
      <c r="E30" s="108"/>
      <c r="F30" s="108"/>
      <c r="G30" s="109"/>
      <c r="H30" s="340"/>
    </row>
    <row r="31" spans="2:8" s="7" customFormat="1">
      <c r="B31" s="326" t="s">
        <v>235</v>
      </c>
      <c r="C31" s="329">
        <v>3088044.5645814347</v>
      </c>
      <c r="D31" s="329">
        <v>4095874.5340529042</v>
      </c>
      <c r="E31" s="329">
        <v>4122332.1855193474</v>
      </c>
      <c r="F31" s="329">
        <v>3700983.6951292753</v>
      </c>
      <c r="G31" s="329">
        <v>5339771.3046936458</v>
      </c>
      <c r="H31" s="339">
        <f>SUM(C31:G31)</f>
        <v>20347006.283976607</v>
      </c>
    </row>
    <row r="32" spans="2:8" s="7" customFormat="1">
      <c r="B32" s="327" t="s">
        <v>213</v>
      </c>
      <c r="C32" s="330">
        <v>5948372.4153484013</v>
      </c>
      <c r="D32" s="330">
        <v>5809228.6694676001</v>
      </c>
      <c r="E32" s="330">
        <v>5800895.2536214953</v>
      </c>
      <c r="F32" s="330">
        <v>5921250.4032686502</v>
      </c>
      <c r="G32" s="330">
        <v>6176463.5009914059</v>
      </c>
      <c r="H32" s="339">
        <f>SUM(C32:G32)</f>
        <v>29656210.242697552</v>
      </c>
    </row>
    <row r="33" spans="2:8" s="7" customFormat="1">
      <c r="B33" s="22" t="s">
        <v>236</v>
      </c>
      <c r="C33" s="112">
        <f>SUM(C31:C32)</f>
        <v>9036416.9799298365</v>
      </c>
      <c r="D33" s="112">
        <f t="shared" ref="D33:G33" si="6">SUM(D31:D32)</f>
        <v>9905103.2035205048</v>
      </c>
      <c r="E33" s="112">
        <f t="shared" si="6"/>
        <v>9923227.4391408432</v>
      </c>
      <c r="F33" s="112">
        <f t="shared" si="6"/>
        <v>9622234.0983979255</v>
      </c>
      <c r="G33" s="112">
        <f t="shared" si="6"/>
        <v>11516234.805685051</v>
      </c>
      <c r="H33" s="112">
        <f t="shared" ref="H33" si="7">SUM(H31:H32)</f>
        <v>50003216.526674159</v>
      </c>
    </row>
    <row r="34" spans="2:8" s="7" customFormat="1">
      <c r="B34" s="24"/>
      <c r="C34" s="108"/>
      <c r="D34" s="108"/>
      <c r="E34" s="108"/>
      <c r="F34" s="108"/>
      <c r="G34" s="109"/>
      <c r="H34" s="340"/>
    </row>
    <row r="35" spans="2:8" s="7" customFormat="1" ht="13.5" thickBot="1">
      <c r="B35" s="27" t="s">
        <v>349</v>
      </c>
      <c r="C35" s="113">
        <f>SUM(C33,C29)</f>
        <v>28953086.925194383</v>
      </c>
      <c r="D35" s="113">
        <f t="shared" ref="D35:G35" si="8">SUM(D33,D29)</f>
        <v>30554041.510950029</v>
      </c>
      <c r="E35" s="113">
        <f t="shared" si="8"/>
        <v>31884748.029332787</v>
      </c>
      <c r="F35" s="113">
        <f t="shared" si="8"/>
        <v>32196399.129068725</v>
      </c>
      <c r="G35" s="113">
        <f t="shared" si="8"/>
        <v>35190241.240142211</v>
      </c>
      <c r="H35" s="113">
        <f t="shared" ref="H35" si="9">SUM(H33,H29)</f>
        <v>158778516.83468813</v>
      </c>
    </row>
    <row r="36" spans="2:8" s="7" customFormat="1">
      <c r="C36" s="337"/>
      <c r="D36" s="337"/>
      <c r="E36" s="337"/>
      <c r="F36" s="337"/>
      <c r="G36" s="337"/>
      <c r="H36" s="337"/>
    </row>
    <row r="37" spans="2:8">
      <c r="B37" s="359" t="s">
        <v>552</v>
      </c>
      <c r="C37" s="360"/>
      <c r="D37" s="360"/>
      <c r="E37" s="360"/>
      <c r="F37" s="360"/>
      <c r="G37" s="360"/>
      <c r="H37" s="360"/>
    </row>
    <row r="38" spans="2:8">
      <c r="B38" s="7"/>
      <c r="C38" s="337"/>
      <c r="D38" s="337"/>
      <c r="E38" s="337"/>
      <c r="F38" s="337"/>
      <c r="G38" s="337"/>
      <c r="H38" s="337"/>
    </row>
    <row r="39" spans="2:8">
      <c r="B39" s="326" t="s">
        <v>219</v>
      </c>
      <c r="C39" s="162">
        <f>C13-C26</f>
        <v>-2284142.4293267448</v>
      </c>
      <c r="D39" s="162">
        <f t="shared" ref="D39:G39" si="10">D13-D26</f>
        <v>-2229373.5881391698</v>
      </c>
      <c r="E39" s="162">
        <f t="shared" si="10"/>
        <v>-2513932.6369473524</v>
      </c>
      <c r="F39" s="162">
        <f t="shared" si="10"/>
        <v>-2509894.7534440346</v>
      </c>
      <c r="G39" s="162">
        <f t="shared" si="10"/>
        <v>-2688683.6624622978</v>
      </c>
      <c r="H39" s="339">
        <f>SUM(C39:G39)</f>
        <v>-12226027.0703196</v>
      </c>
    </row>
    <row r="40" spans="2:8">
      <c r="B40" s="326" t="s">
        <v>220</v>
      </c>
      <c r="C40" s="162">
        <f t="shared" ref="C40:G40" si="11">C14-C27</f>
        <v>-1856767.349999513</v>
      </c>
      <c r="D40" s="162">
        <f t="shared" si="11"/>
        <v>-1826940.8604525123</v>
      </c>
      <c r="E40" s="162">
        <f t="shared" si="11"/>
        <v>-2070811.4366670055</v>
      </c>
      <c r="F40" s="162">
        <f t="shared" si="11"/>
        <v>-2078548.8052596478</v>
      </c>
      <c r="G40" s="162">
        <f t="shared" si="11"/>
        <v>-2238858.9882626096</v>
      </c>
      <c r="H40" s="339">
        <f>SUM(C40:G40)</f>
        <v>-10071927.440641288</v>
      </c>
    </row>
    <row r="41" spans="2:8">
      <c r="B41" s="327" t="s">
        <v>221</v>
      </c>
      <c r="C41" s="162">
        <f t="shared" ref="C41:G41" si="12">C15-C28</f>
        <v>-2027317.205208811</v>
      </c>
      <c r="D41" s="162">
        <f t="shared" si="12"/>
        <v>-2017280.6720536845</v>
      </c>
      <c r="E41" s="162">
        <f t="shared" si="12"/>
        <v>-2302798.9431904797</v>
      </c>
      <c r="F41" s="162">
        <f t="shared" si="12"/>
        <v>-2328142.1266026935</v>
      </c>
      <c r="G41" s="162">
        <f t="shared" si="12"/>
        <v>-2526134.369418649</v>
      </c>
      <c r="H41" s="339">
        <f>SUM(C41:G41)</f>
        <v>-11201673.316474317</v>
      </c>
    </row>
    <row r="42" spans="2:8">
      <c r="B42" s="228" t="s">
        <v>234</v>
      </c>
      <c r="C42" s="328">
        <f t="shared" ref="C42:H42" si="13">SUM(C39:C41)</f>
        <v>-6168226.9845350683</v>
      </c>
      <c r="D42" s="328">
        <f t="shared" si="13"/>
        <v>-6073595.1206453666</v>
      </c>
      <c r="E42" s="328">
        <f t="shared" si="13"/>
        <v>-6887543.0168048376</v>
      </c>
      <c r="F42" s="328">
        <f t="shared" si="13"/>
        <v>-6916585.6853063758</v>
      </c>
      <c r="G42" s="328">
        <f t="shared" si="13"/>
        <v>-7453677.0201435564</v>
      </c>
      <c r="H42" s="328">
        <f t="shared" si="13"/>
        <v>-33499627.827435203</v>
      </c>
    </row>
    <row r="43" spans="2:8">
      <c r="B43" s="10"/>
      <c r="C43" s="108"/>
      <c r="D43" s="108"/>
      <c r="E43" s="108"/>
      <c r="F43" s="108"/>
      <c r="G43" s="109"/>
      <c r="H43" s="340"/>
    </row>
    <row r="44" spans="2:8">
      <c r="B44" s="326" t="s">
        <v>235</v>
      </c>
      <c r="C44" s="162">
        <f t="shared" ref="C44:G44" si="14">C18-C31</f>
        <v>-3088044.5645814347</v>
      </c>
      <c r="D44" s="162">
        <f t="shared" si="14"/>
        <v>-3768347.6688891291</v>
      </c>
      <c r="E44" s="162">
        <f t="shared" si="14"/>
        <v>-3473069.7556746984</v>
      </c>
      <c r="F44" s="162">
        <f t="shared" si="14"/>
        <v>-2515334.6327322307</v>
      </c>
      <c r="G44" s="162">
        <f t="shared" si="14"/>
        <v>-3377613.4150670702</v>
      </c>
      <c r="H44" s="339">
        <f>SUM(C44:G44)</f>
        <v>-16222410.036944564</v>
      </c>
    </row>
    <row r="45" spans="2:8">
      <c r="B45" s="327" t="s">
        <v>213</v>
      </c>
      <c r="C45" s="162">
        <f t="shared" ref="C45:G45" si="15">C19-C32</f>
        <v>-4292359.9428134188</v>
      </c>
      <c r="D45" s="162">
        <f t="shared" si="15"/>
        <v>-4162100.259496904</v>
      </c>
      <c r="E45" s="162">
        <f t="shared" si="15"/>
        <v>-4151368.1670852005</v>
      </c>
      <c r="F45" s="162">
        <f t="shared" si="15"/>
        <v>-4270143.4625787772</v>
      </c>
      <c r="G45" s="162">
        <f t="shared" si="15"/>
        <v>-4524635.8632131424</v>
      </c>
      <c r="H45" s="339">
        <f>SUM(C45:G45)</f>
        <v>-21400607.695187442</v>
      </c>
    </row>
    <row r="46" spans="2:8">
      <c r="B46" s="22" t="s">
        <v>236</v>
      </c>
      <c r="C46" s="112">
        <f>SUM(C44:C45)</f>
        <v>-7380404.507394854</v>
      </c>
      <c r="D46" s="112">
        <f t="shared" ref="D46:H46" si="16">SUM(D44:D45)</f>
        <v>-7930447.9283860326</v>
      </c>
      <c r="E46" s="112">
        <f t="shared" si="16"/>
        <v>-7624437.9227598989</v>
      </c>
      <c r="F46" s="112">
        <f t="shared" si="16"/>
        <v>-6785478.0953110084</v>
      </c>
      <c r="G46" s="112">
        <f t="shared" si="16"/>
        <v>-7902249.2782802125</v>
      </c>
      <c r="H46" s="112">
        <f t="shared" si="16"/>
        <v>-37623017.732132003</v>
      </c>
    </row>
    <row r="47" spans="2:8">
      <c r="B47" s="24"/>
      <c r="C47" s="108"/>
      <c r="D47" s="108"/>
      <c r="E47" s="108"/>
      <c r="F47" s="108"/>
      <c r="G47" s="109"/>
      <c r="H47" s="340"/>
    </row>
    <row r="48" spans="2:8" ht="13.5" thickBot="1">
      <c r="B48" s="27" t="s">
        <v>349</v>
      </c>
      <c r="C48" s="113">
        <f>SUM(C46,C42)</f>
        <v>-13548631.491929922</v>
      </c>
      <c r="D48" s="113">
        <f t="shared" ref="D48:H48" si="17">SUM(D46,D42)</f>
        <v>-14004043.049031399</v>
      </c>
      <c r="E48" s="113">
        <f t="shared" si="17"/>
        <v>-14511980.939564737</v>
      </c>
      <c r="F48" s="113">
        <f t="shared" si="17"/>
        <v>-13702063.780617384</v>
      </c>
      <c r="G48" s="113">
        <f t="shared" si="17"/>
        <v>-15355926.298423769</v>
      </c>
      <c r="H48" s="113">
        <f t="shared" si="17"/>
        <v>-71122645.559567213</v>
      </c>
    </row>
    <row r="50" spans="2:8">
      <c r="B50" s="359" t="s">
        <v>553</v>
      </c>
      <c r="C50" s="360"/>
      <c r="D50" s="360"/>
      <c r="E50" s="360"/>
      <c r="F50" s="360"/>
      <c r="G50" s="360"/>
      <c r="H50" s="360"/>
    </row>
    <row r="51" spans="2:8">
      <c r="B51" s="7"/>
      <c r="C51" s="337"/>
      <c r="D51" s="337"/>
      <c r="E51" s="337"/>
      <c r="F51" s="337"/>
      <c r="G51" s="337"/>
      <c r="H51" s="337"/>
    </row>
    <row r="52" spans="2:8">
      <c r="B52" s="326" t="s">
        <v>219</v>
      </c>
      <c r="C52" s="341">
        <f t="shared" ref="C52:H55" si="18">C39/C26</f>
        <v>-0.3097017223003008</v>
      </c>
      <c r="D52" s="341">
        <f t="shared" si="18"/>
        <v>-0.29413595169975759</v>
      </c>
      <c r="E52" s="341">
        <f t="shared" si="18"/>
        <v>-0.31361867628969309</v>
      </c>
      <c r="F52" s="341">
        <f t="shared" si="18"/>
        <v>-0.30639386554980136</v>
      </c>
      <c r="G52" s="341">
        <f t="shared" si="18"/>
        <v>-0.31484645578598985</v>
      </c>
      <c r="H52" s="342">
        <f t="shared" si="18"/>
        <v>-0.30794503254797112</v>
      </c>
    </row>
    <row r="53" spans="2:8">
      <c r="B53" s="326" t="s">
        <v>220</v>
      </c>
      <c r="C53" s="341">
        <f t="shared" si="18"/>
        <v>-0.3097017223003008</v>
      </c>
      <c r="D53" s="341">
        <f t="shared" si="18"/>
        <v>-0.29413595169975765</v>
      </c>
      <c r="E53" s="341">
        <f t="shared" si="18"/>
        <v>-0.31361867628969309</v>
      </c>
      <c r="F53" s="341">
        <f t="shared" si="18"/>
        <v>-0.30639386554980136</v>
      </c>
      <c r="G53" s="341">
        <f t="shared" si="18"/>
        <v>-0.31484645578598985</v>
      </c>
      <c r="H53" s="342">
        <f t="shared" si="18"/>
        <v>-0.30796877221427821</v>
      </c>
    </row>
    <row r="54" spans="2:8">
      <c r="B54" s="327" t="s">
        <v>221</v>
      </c>
      <c r="C54" s="341">
        <f t="shared" si="18"/>
        <v>-0.30970172230030085</v>
      </c>
      <c r="D54" s="341">
        <f t="shared" si="18"/>
        <v>-0.2941359516997577</v>
      </c>
      <c r="E54" s="341">
        <f t="shared" si="18"/>
        <v>-0.31361867628969314</v>
      </c>
      <c r="F54" s="341">
        <f t="shared" si="18"/>
        <v>-0.30639386554980141</v>
      </c>
      <c r="G54" s="341">
        <f t="shared" si="18"/>
        <v>-0.31484645578598985</v>
      </c>
      <c r="H54" s="342">
        <f t="shared" si="18"/>
        <v>-0.30800107054269688</v>
      </c>
    </row>
    <row r="55" spans="2:8">
      <c r="B55" s="228" t="s">
        <v>234</v>
      </c>
      <c r="C55" s="343">
        <f t="shared" si="18"/>
        <v>-0.3097017223003008</v>
      </c>
      <c r="D55" s="343">
        <f t="shared" si="18"/>
        <v>-0.29413595169975765</v>
      </c>
      <c r="E55" s="343">
        <f t="shared" si="18"/>
        <v>-0.31361867628969309</v>
      </c>
      <c r="F55" s="343">
        <f t="shared" si="18"/>
        <v>-0.30639386554980136</v>
      </c>
      <c r="G55" s="343">
        <f t="shared" si="18"/>
        <v>-0.31484645578598991</v>
      </c>
      <c r="H55" s="343">
        <f t="shared" si="18"/>
        <v>-0.30797090637834013</v>
      </c>
    </row>
    <row r="56" spans="2:8">
      <c r="B56" s="10"/>
      <c r="C56" s="46"/>
      <c r="D56" s="46"/>
      <c r="E56" s="46"/>
      <c r="F56" s="46"/>
      <c r="G56" s="344"/>
      <c r="H56" s="345"/>
    </row>
    <row r="57" spans="2:8">
      <c r="B57" s="326" t="s">
        <v>235</v>
      </c>
      <c r="C57" s="341">
        <f t="shared" ref="C57:H59" si="19">C44/C31</f>
        <v>-1</v>
      </c>
      <c r="D57" s="341">
        <f t="shared" si="19"/>
        <v>-0.92003493699801286</v>
      </c>
      <c r="E57" s="341">
        <f t="shared" si="19"/>
        <v>-0.84250118607002744</v>
      </c>
      <c r="F57" s="341">
        <f t="shared" si="19"/>
        <v>-0.67963947964498395</v>
      </c>
      <c r="G57" s="341">
        <f t="shared" si="19"/>
        <v>-0.63253896512349816</v>
      </c>
      <c r="H57" s="342">
        <f t="shared" si="19"/>
        <v>-0.79728731640092987</v>
      </c>
    </row>
    <row r="58" spans="2:8">
      <c r="B58" s="327" t="s">
        <v>213</v>
      </c>
      <c r="C58" s="341">
        <f t="shared" si="19"/>
        <v>-0.72160242215803017</v>
      </c>
      <c r="D58" s="341">
        <f t="shared" si="19"/>
        <v>-0.71646349219686489</v>
      </c>
      <c r="E58" s="341">
        <f t="shared" si="19"/>
        <v>-0.71564266989539316</v>
      </c>
      <c r="F58" s="341">
        <f t="shared" si="19"/>
        <v>-0.72115569715166439</v>
      </c>
      <c r="G58" s="341">
        <f t="shared" si="19"/>
        <v>-0.73256093272256484</v>
      </c>
      <c r="H58" s="342">
        <f t="shared" si="19"/>
        <v>-0.72162314469891031</v>
      </c>
    </row>
    <row r="59" spans="2:8">
      <c r="B59" s="22" t="s">
        <v>236</v>
      </c>
      <c r="C59" s="336">
        <f t="shared" si="19"/>
        <v>-0.81674014421722263</v>
      </c>
      <c r="D59" s="336">
        <f t="shared" si="19"/>
        <v>-0.80064263495683385</v>
      </c>
      <c r="E59" s="336">
        <f t="shared" si="19"/>
        <v>-0.76834255483113523</v>
      </c>
      <c r="F59" s="336">
        <f t="shared" si="19"/>
        <v>-0.7051873843352835</v>
      </c>
      <c r="G59" s="336">
        <f t="shared" si="19"/>
        <v>-0.6861834107775594</v>
      </c>
      <c r="H59" s="336">
        <f t="shared" si="19"/>
        <v>-0.75241195158039575</v>
      </c>
    </row>
    <row r="60" spans="2:8">
      <c r="B60" s="24"/>
      <c r="C60" s="46"/>
      <c r="D60" s="46"/>
      <c r="E60" s="46"/>
      <c r="F60" s="46"/>
      <c r="G60" s="344"/>
      <c r="H60" s="345"/>
    </row>
    <row r="61" spans="2:8" ht="13.5" thickBot="1">
      <c r="B61" s="27" t="s">
        <v>349</v>
      </c>
      <c r="C61" s="38">
        <f t="shared" ref="C61:H61" si="20">C48/C35</f>
        <v>-0.4679511903837853</v>
      </c>
      <c r="D61" s="38">
        <f t="shared" si="20"/>
        <v>-0.45833684699330518</v>
      </c>
      <c r="E61" s="38">
        <f t="shared" si="20"/>
        <v>-0.4551386426580587</v>
      </c>
      <c r="F61" s="38">
        <f t="shared" si="20"/>
        <v>-0.42557752268160909</v>
      </c>
      <c r="G61" s="38">
        <f t="shared" si="20"/>
        <v>-0.43636888402194179</v>
      </c>
      <c r="H61" s="38">
        <f t="shared" si="20"/>
        <v>-0.44793620054793926</v>
      </c>
    </row>
  </sheetData>
  <mergeCells count="2">
    <mergeCell ref="C8:G8"/>
    <mergeCell ref="B6:H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showGridLines="0" topLeftCell="A4" workbookViewId="0">
      <selection activeCell="K14" sqref="K14"/>
    </sheetView>
  </sheetViews>
  <sheetFormatPr defaultRowHeight="12.75"/>
  <cols>
    <col min="1" max="1" width="2.85546875" style="1" customWidth="1"/>
    <col min="2" max="2" width="31.7109375" style="10" customWidth="1"/>
    <col min="3" max="12" width="13.5703125" style="10" customWidth="1"/>
    <col min="13" max="13" width="13.5703125" style="1" customWidth="1"/>
    <col min="14" max="16384" width="9.140625" style="1"/>
  </cols>
  <sheetData>
    <row r="1" spans="1:13">
      <c r="M1" s="198"/>
    </row>
    <row r="2" spans="1:13" ht="15.75">
      <c r="A2" s="254" t="s">
        <v>503</v>
      </c>
      <c r="L2" s="43"/>
    </row>
    <row r="3" spans="1:13" ht="15.75">
      <c r="A3" s="254" t="s">
        <v>214</v>
      </c>
      <c r="L3" s="43"/>
    </row>
    <row r="4" spans="1:13" ht="15.75">
      <c r="A4" s="255" t="s">
        <v>499</v>
      </c>
      <c r="L4" s="43"/>
    </row>
    <row r="5" spans="1:13">
      <c r="L5" s="43"/>
    </row>
    <row r="6" spans="1:13" ht="12.75" customHeight="1">
      <c r="B6" s="445" t="s">
        <v>215</v>
      </c>
      <c r="C6" s="446"/>
      <c r="D6" s="446"/>
      <c r="E6" s="446"/>
      <c r="F6" s="446"/>
      <c r="G6" s="446"/>
      <c r="H6" s="446"/>
      <c r="I6" s="446"/>
      <c r="J6" s="446"/>
      <c r="K6" s="446"/>
      <c r="L6" s="446"/>
      <c r="M6" s="447"/>
    </row>
    <row r="8" spans="1:13" ht="12.75" customHeight="1">
      <c r="B8" s="468" t="s">
        <v>491</v>
      </c>
      <c r="C8" s="468"/>
      <c r="D8" s="468"/>
      <c r="E8" s="468"/>
      <c r="F8" s="468"/>
      <c r="G8" s="468"/>
      <c r="H8" s="468"/>
      <c r="I8" s="468"/>
      <c r="J8" s="468"/>
      <c r="K8" s="468"/>
      <c r="L8" s="468"/>
      <c r="M8" s="468"/>
    </row>
    <row r="10" spans="1:13">
      <c r="C10" s="52" t="s">
        <v>205</v>
      </c>
      <c r="D10" s="52" t="s">
        <v>206</v>
      </c>
      <c r="E10" s="52" t="s">
        <v>207</v>
      </c>
      <c r="F10" s="52" t="s">
        <v>208</v>
      </c>
      <c r="G10" s="52" t="s">
        <v>209</v>
      </c>
      <c r="H10" s="52" t="s">
        <v>210</v>
      </c>
      <c r="I10" s="52" t="s">
        <v>42</v>
      </c>
      <c r="J10" s="52" t="s">
        <v>43</v>
      </c>
      <c r="K10" s="52" t="s">
        <v>44</v>
      </c>
      <c r="L10" s="52" t="s">
        <v>45</v>
      </c>
      <c r="M10" s="52" t="s">
        <v>46</v>
      </c>
    </row>
    <row r="11" spans="1:13">
      <c r="B11" s="16" t="s">
        <v>211</v>
      </c>
      <c r="C11" s="92">
        <v>4.3499999999999997E-2</v>
      </c>
      <c r="D11" s="92">
        <v>1.8200000000000001E-2</v>
      </c>
      <c r="E11" s="92">
        <v>2.8500000000000001E-2</v>
      </c>
      <c r="F11" s="92">
        <v>3.39E-2</v>
      </c>
      <c r="G11" s="92">
        <v>1.7600000000000001E-2</v>
      </c>
      <c r="H11" s="92">
        <v>2.4748502983200193E-2</v>
      </c>
      <c r="I11" s="143">
        <f t="shared" ref="I11:M11" si="0">I12</f>
        <v>2.3800000000000002E-2</v>
      </c>
      <c r="J11" s="143">
        <f t="shared" si="0"/>
        <v>2.3800000000000002E-2</v>
      </c>
      <c r="K11" s="143">
        <f t="shared" si="0"/>
        <v>2.3800000000000002E-2</v>
      </c>
      <c r="L11" s="143">
        <f t="shared" si="0"/>
        <v>2.3800000000000002E-2</v>
      </c>
      <c r="M11" s="143">
        <f t="shared" si="0"/>
        <v>2.3800000000000002E-2</v>
      </c>
    </row>
    <row r="12" spans="1:13">
      <c r="B12" s="16" t="s">
        <v>212</v>
      </c>
      <c r="C12" s="93"/>
      <c r="D12" s="94">
        <v>4.3499999999999997E-2</v>
      </c>
      <c r="E12" s="94">
        <v>1.8200000000000001E-2</v>
      </c>
      <c r="F12" s="94">
        <v>2.8500000000000001E-2</v>
      </c>
      <c r="G12" s="94">
        <v>3.39E-2</v>
      </c>
      <c r="H12" s="94">
        <v>1.7600000000000001E-2</v>
      </c>
      <c r="I12" s="400">
        <v>2.3800000000000002E-2</v>
      </c>
      <c r="J12" s="400">
        <v>2.3800000000000002E-2</v>
      </c>
      <c r="K12" s="400">
        <v>2.3800000000000002E-2</v>
      </c>
      <c r="L12" s="400">
        <v>2.3800000000000002E-2</v>
      </c>
      <c r="M12" s="400">
        <v>2.3800000000000002E-2</v>
      </c>
    </row>
    <row r="13" spans="1:13">
      <c r="B13" s="16" t="s">
        <v>489</v>
      </c>
      <c r="C13" s="93"/>
      <c r="D13" s="94"/>
      <c r="E13" s="94"/>
      <c r="F13" s="94"/>
      <c r="G13" s="94"/>
      <c r="H13" s="94"/>
      <c r="I13" s="306">
        <v>1</v>
      </c>
      <c r="J13" s="307">
        <f>I13*(1+J12)</f>
        <v>1.0238</v>
      </c>
      <c r="K13" s="307">
        <f>J13*(1+K12)</f>
        <v>1.0481664400000001</v>
      </c>
      <c r="L13" s="307">
        <f>K13*(1+L12)</f>
        <v>1.0731128012720001</v>
      </c>
      <c r="M13" s="307">
        <f>L13*(1+M12)</f>
        <v>1.0986528859422737</v>
      </c>
    </row>
    <row r="14" spans="1:13">
      <c r="B14" s="16" t="s">
        <v>229</v>
      </c>
      <c r="C14" s="93"/>
      <c r="D14" s="92">
        <v>0.1002</v>
      </c>
      <c r="E14" s="92">
        <v>0.1002</v>
      </c>
      <c r="F14" s="92">
        <v>0.1002</v>
      </c>
      <c r="G14" s="92">
        <v>0.1002</v>
      </c>
      <c r="H14" s="92">
        <v>0.1002</v>
      </c>
      <c r="I14" s="398">
        <v>6.7439687262819042E-2</v>
      </c>
      <c r="J14" s="398">
        <v>6.6797709422110288E-2</v>
      </c>
      <c r="K14" s="398">
        <v>6.6797709422110288E-2</v>
      </c>
      <c r="L14" s="398">
        <v>6.6797709422110288E-2</v>
      </c>
      <c r="M14" s="398">
        <v>6.6797709422110288E-2</v>
      </c>
    </row>
    <row r="15" spans="1:13">
      <c r="B15" s="16" t="s">
        <v>230</v>
      </c>
      <c r="C15" s="93"/>
      <c r="D15" s="92"/>
      <c r="E15" s="92"/>
      <c r="F15" s="92"/>
      <c r="G15" s="92"/>
      <c r="H15" s="92"/>
      <c r="I15" s="398">
        <v>4.2625207328403025E-2</v>
      </c>
      <c r="J15" s="398">
        <v>4.1998153371859949E-2</v>
      </c>
      <c r="K15" s="398">
        <v>4.1998153371859949E-2</v>
      </c>
      <c r="L15" s="398">
        <v>4.1998153371859949E-2</v>
      </c>
      <c r="M15" s="398">
        <v>4.1998153371859949E-2</v>
      </c>
    </row>
    <row r="16" spans="1:13">
      <c r="B16" s="16" t="s">
        <v>313</v>
      </c>
      <c r="C16" s="93"/>
      <c r="D16" s="92"/>
      <c r="E16" s="92"/>
      <c r="F16" s="92"/>
      <c r="G16" s="92"/>
      <c r="H16" s="92"/>
      <c r="I16" s="398">
        <v>4.8207467769530332E-2</v>
      </c>
      <c r="J16" s="398">
        <v>4.7580413812987166E-2</v>
      </c>
      <c r="K16" s="398">
        <v>4.7580413812987166E-2</v>
      </c>
      <c r="L16" s="398">
        <v>4.7580413812987166E-2</v>
      </c>
      <c r="M16" s="398">
        <v>4.7580413812987166E-2</v>
      </c>
    </row>
    <row r="18" spans="2:13" ht="12.75" customHeight="1">
      <c r="B18" s="468" t="s">
        <v>492</v>
      </c>
      <c r="C18" s="468"/>
      <c r="D18" s="468"/>
      <c r="E18" s="468"/>
      <c r="F18" s="468"/>
      <c r="G18" s="468"/>
      <c r="H18" s="468"/>
      <c r="I18" s="468"/>
      <c r="J18" s="468"/>
      <c r="K18" s="468"/>
      <c r="L18" s="468"/>
      <c r="M18" s="468"/>
    </row>
    <row r="20" spans="2:13" ht="12.75" customHeight="1">
      <c r="C20" s="486" t="s">
        <v>51</v>
      </c>
      <c r="D20" s="487"/>
      <c r="E20" s="488"/>
      <c r="F20" s="486" t="s">
        <v>231</v>
      </c>
      <c r="G20" s="488"/>
    </row>
    <row r="21" spans="2:13" ht="25.5">
      <c r="C21" s="15" t="s">
        <v>216</v>
      </c>
      <c r="D21" s="15" t="s">
        <v>217</v>
      </c>
      <c r="E21" s="15" t="s">
        <v>218</v>
      </c>
      <c r="F21" s="15" t="s">
        <v>213</v>
      </c>
      <c r="G21" s="15" t="s">
        <v>260</v>
      </c>
      <c r="H21" s="480" t="s">
        <v>23</v>
      </c>
      <c r="I21" s="481"/>
      <c r="J21" s="481"/>
      <c r="K21" s="481"/>
      <c r="L21" s="481"/>
      <c r="M21" s="482"/>
    </row>
    <row r="22" spans="2:13">
      <c r="C22" s="39"/>
      <c r="D22" s="39"/>
      <c r="E22" s="39"/>
      <c r="F22" s="39"/>
      <c r="G22" s="39"/>
    </row>
    <row r="23" spans="2:13" ht="93" customHeight="1">
      <c r="B23" s="95" t="s">
        <v>167</v>
      </c>
      <c r="C23" s="93">
        <v>1</v>
      </c>
      <c r="D23" s="93">
        <v>1</v>
      </c>
      <c r="E23" s="93">
        <v>1</v>
      </c>
      <c r="F23" s="93">
        <v>1</v>
      </c>
      <c r="G23" s="93">
        <v>1</v>
      </c>
      <c r="H23" s="483" t="s">
        <v>282</v>
      </c>
      <c r="I23" s="484"/>
      <c r="J23" s="484"/>
      <c r="K23" s="484"/>
      <c r="L23" s="484"/>
      <c r="M23" s="485"/>
    </row>
    <row r="24" spans="2:13" ht="156.75" customHeight="1">
      <c r="B24" s="95" t="s">
        <v>269</v>
      </c>
      <c r="C24" s="133">
        <v>1</v>
      </c>
      <c r="D24" s="133">
        <v>3</v>
      </c>
      <c r="E24" s="133">
        <v>3</v>
      </c>
      <c r="F24" s="93">
        <v>1</v>
      </c>
      <c r="G24" s="93">
        <v>1</v>
      </c>
      <c r="H24" s="477" t="s">
        <v>283</v>
      </c>
      <c r="I24" s="478"/>
      <c r="J24" s="478"/>
      <c r="K24" s="478"/>
      <c r="L24" s="478"/>
      <c r="M24" s="479"/>
    </row>
    <row r="25" spans="2:13" ht="171.75" customHeight="1">
      <c r="B25" s="95" t="s">
        <v>272</v>
      </c>
      <c r="C25" s="133">
        <v>5</v>
      </c>
      <c r="D25" s="133">
        <v>19</v>
      </c>
      <c r="E25" s="133">
        <v>3</v>
      </c>
      <c r="F25" s="93">
        <v>1</v>
      </c>
      <c r="G25" s="93">
        <v>1</v>
      </c>
      <c r="H25" s="477" t="s">
        <v>280</v>
      </c>
      <c r="I25" s="478"/>
      <c r="J25" s="478"/>
      <c r="K25" s="478"/>
      <c r="L25" s="478"/>
      <c r="M25" s="479"/>
    </row>
    <row r="26" spans="2:13" ht="44.25" customHeight="1">
      <c r="B26" s="95" t="s">
        <v>170</v>
      </c>
      <c r="C26" s="133">
        <v>1</v>
      </c>
      <c r="D26" s="133">
        <v>1</v>
      </c>
      <c r="E26" s="133">
        <v>3</v>
      </c>
      <c r="F26" s="93">
        <v>1</v>
      </c>
      <c r="G26" s="93">
        <v>1</v>
      </c>
      <c r="H26" s="477" t="s">
        <v>277</v>
      </c>
      <c r="I26" s="478"/>
      <c r="J26" s="478"/>
      <c r="K26" s="478"/>
      <c r="L26" s="478"/>
      <c r="M26" s="479"/>
    </row>
    <row r="27" spans="2:13" ht="169.5" customHeight="1">
      <c r="B27" s="95" t="s">
        <v>270</v>
      </c>
      <c r="C27" s="133">
        <v>1</v>
      </c>
      <c r="D27" s="133">
        <v>3</v>
      </c>
      <c r="E27" s="133">
        <v>9</v>
      </c>
      <c r="F27" s="93">
        <v>1</v>
      </c>
      <c r="G27" s="93">
        <v>1</v>
      </c>
      <c r="H27" s="477" t="s">
        <v>278</v>
      </c>
      <c r="I27" s="478"/>
      <c r="J27" s="478"/>
      <c r="K27" s="478"/>
      <c r="L27" s="478"/>
      <c r="M27" s="479"/>
    </row>
    <row r="28" spans="2:13" ht="173.25" customHeight="1">
      <c r="B28" s="95" t="s">
        <v>271</v>
      </c>
      <c r="C28" s="133">
        <v>5</v>
      </c>
      <c r="D28" s="133">
        <v>19</v>
      </c>
      <c r="E28" s="133">
        <v>9</v>
      </c>
      <c r="F28" s="93">
        <v>1</v>
      </c>
      <c r="G28" s="93">
        <v>1</v>
      </c>
      <c r="H28" s="477" t="s">
        <v>284</v>
      </c>
      <c r="I28" s="478"/>
      <c r="J28" s="478"/>
      <c r="K28" s="478"/>
      <c r="L28" s="478"/>
      <c r="M28" s="479"/>
    </row>
    <row r="29" spans="2:13" ht="81" customHeight="1">
      <c r="B29" s="95" t="s">
        <v>105</v>
      </c>
      <c r="C29" s="133">
        <v>0.1</v>
      </c>
      <c r="D29" s="133">
        <v>0.1</v>
      </c>
      <c r="E29" s="133">
        <v>0.7</v>
      </c>
      <c r="F29" s="93">
        <v>1</v>
      </c>
      <c r="G29" s="93">
        <v>1</v>
      </c>
      <c r="H29" s="477" t="s">
        <v>490</v>
      </c>
      <c r="I29" s="478"/>
      <c r="J29" s="478"/>
      <c r="K29" s="478"/>
      <c r="L29" s="478"/>
      <c r="M29" s="479"/>
    </row>
    <row r="30" spans="2:13" ht="81.75" customHeight="1">
      <c r="B30" s="95" t="s">
        <v>173</v>
      </c>
      <c r="C30" s="133">
        <v>0.1</v>
      </c>
      <c r="D30" s="133">
        <v>0.1</v>
      </c>
      <c r="E30" s="133">
        <v>0.7</v>
      </c>
      <c r="F30" s="93">
        <v>1</v>
      </c>
      <c r="G30" s="93">
        <v>1</v>
      </c>
      <c r="H30" s="477" t="s">
        <v>490</v>
      </c>
      <c r="I30" s="478"/>
      <c r="J30" s="478"/>
      <c r="K30" s="478"/>
      <c r="L30" s="478"/>
      <c r="M30" s="479"/>
    </row>
    <row r="32" spans="2:13">
      <c r="B32" s="200" t="s">
        <v>333</v>
      </c>
    </row>
  </sheetData>
  <mergeCells count="14">
    <mergeCell ref="C20:E20"/>
    <mergeCell ref="F20:G20"/>
    <mergeCell ref="B6:M6"/>
    <mergeCell ref="B8:M8"/>
    <mergeCell ref="B18:M18"/>
    <mergeCell ref="H29:M29"/>
    <mergeCell ref="H30:M30"/>
    <mergeCell ref="H28:M28"/>
    <mergeCell ref="H25:M25"/>
    <mergeCell ref="H21:M21"/>
    <mergeCell ref="H23:M23"/>
    <mergeCell ref="H24:M24"/>
    <mergeCell ref="H26:M26"/>
    <mergeCell ref="H27:M27"/>
  </mergeCells>
  <pageMargins left="0.7" right="0.7" top="0.75" bottom="0.75" header="0.3" footer="0.3"/>
  <pageSetup paperSize="9" scale="3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1048571"/>
  <sheetViews>
    <sheetView showGridLines="0" topLeftCell="A78" zoomScaleNormal="100" workbookViewId="0">
      <selection activeCell="K99" sqref="K99"/>
    </sheetView>
  </sheetViews>
  <sheetFormatPr defaultRowHeight="12.75" outlineLevelRow="1"/>
  <cols>
    <col min="1" max="1" width="2.85546875" style="1" customWidth="1"/>
    <col min="2" max="2" width="49.5703125" style="10" bestFit="1" customWidth="1"/>
    <col min="3" max="7" width="15.140625" style="10" customWidth="1"/>
    <col min="8" max="8" width="15.140625" style="43" customWidth="1"/>
    <col min="9" max="9" width="2.28515625" style="10" customWidth="1"/>
    <col min="10" max="10" width="9.140625" style="10"/>
    <col min="11" max="11" width="11.42578125" style="10" bestFit="1" customWidth="1"/>
    <col min="12" max="18" width="9.140625" style="10"/>
    <col min="19" max="16384" width="9.140625" style="1"/>
  </cols>
  <sheetData>
    <row r="1" spans="1:18">
      <c r="H1" s="198"/>
    </row>
    <row r="2" spans="1:18" ht="15.75">
      <c r="A2" s="254" t="s">
        <v>503</v>
      </c>
      <c r="I2" s="1"/>
      <c r="J2" s="1"/>
      <c r="K2" s="1"/>
      <c r="L2" s="1"/>
      <c r="M2" s="1"/>
      <c r="N2" s="1"/>
      <c r="O2" s="1"/>
      <c r="P2" s="1"/>
      <c r="Q2" s="1"/>
      <c r="R2" s="1"/>
    </row>
    <row r="3" spans="1:18" ht="15.75">
      <c r="A3" s="254" t="s">
        <v>346</v>
      </c>
      <c r="I3" s="1"/>
      <c r="J3" s="1"/>
      <c r="K3" s="1"/>
      <c r="L3" s="1"/>
      <c r="M3" s="1"/>
      <c r="N3" s="1"/>
      <c r="O3" s="1"/>
      <c r="P3" s="1"/>
      <c r="Q3" s="1"/>
      <c r="R3" s="1"/>
    </row>
    <row r="4" spans="1:18" ht="15.75">
      <c r="A4" s="255" t="s">
        <v>499</v>
      </c>
      <c r="I4" s="1"/>
      <c r="J4" s="1"/>
      <c r="K4" s="1"/>
      <c r="L4" s="1"/>
      <c r="M4" s="1"/>
      <c r="N4" s="1"/>
      <c r="O4" s="1"/>
      <c r="P4" s="1"/>
      <c r="Q4" s="1"/>
      <c r="R4" s="1"/>
    </row>
    <row r="6" spans="1:18" ht="14.25" customHeight="1">
      <c r="B6" s="445" t="s">
        <v>275</v>
      </c>
      <c r="C6" s="446"/>
      <c r="D6" s="446"/>
      <c r="E6" s="446"/>
      <c r="F6" s="446"/>
      <c r="G6" s="446"/>
      <c r="H6" s="447"/>
      <c r="I6" s="1"/>
      <c r="J6" s="1"/>
      <c r="K6" s="1"/>
      <c r="L6" s="1"/>
      <c r="M6" s="1"/>
      <c r="N6" s="1"/>
      <c r="O6" s="1"/>
      <c r="P6" s="1"/>
      <c r="Q6" s="1"/>
      <c r="R6" s="1"/>
    </row>
    <row r="8" spans="1:18">
      <c r="B8" s="445" t="s">
        <v>488</v>
      </c>
      <c r="C8" s="446"/>
      <c r="D8" s="446"/>
      <c r="E8" s="446"/>
      <c r="F8" s="446"/>
      <c r="G8" s="446"/>
      <c r="H8" s="447"/>
      <c r="I8" s="1"/>
      <c r="J8" s="1"/>
      <c r="K8" s="1"/>
      <c r="L8" s="1"/>
      <c r="M8" s="1"/>
      <c r="N8" s="1"/>
      <c r="O8" s="1"/>
      <c r="P8" s="1"/>
      <c r="Q8" s="1"/>
      <c r="R8" s="1"/>
    </row>
    <row r="9" spans="1:18" ht="105" customHeight="1">
      <c r="B9" s="489" t="s">
        <v>735</v>
      </c>
      <c r="C9" s="490"/>
      <c r="D9" s="490"/>
      <c r="E9" s="490"/>
      <c r="F9" s="490"/>
      <c r="G9" s="490"/>
      <c r="H9" s="491"/>
      <c r="I9" s="1"/>
      <c r="J9" s="1"/>
      <c r="K9" s="1"/>
      <c r="L9" s="1"/>
      <c r="M9" s="1"/>
      <c r="N9" s="1"/>
      <c r="O9" s="1"/>
      <c r="P9" s="1"/>
      <c r="Q9" s="1"/>
      <c r="R9" s="1"/>
    </row>
    <row r="11" spans="1:18">
      <c r="B11" s="445" t="s">
        <v>53</v>
      </c>
      <c r="C11" s="446"/>
      <c r="D11" s="446"/>
      <c r="E11" s="446"/>
      <c r="F11" s="446"/>
      <c r="G11" s="446"/>
      <c r="H11" s="447"/>
      <c r="I11" s="1"/>
      <c r="J11" s="1"/>
      <c r="K11" s="1"/>
      <c r="L11" s="1"/>
      <c r="M11" s="1"/>
      <c r="N11" s="1"/>
      <c r="O11" s="1"/>
      <c r="P11" s="1"/>
      <c r="Q11" s="1"/>
      <c r="R11" s="1"/>
    </row>
    <row r="13" spans="1:18">
      <c r="D13" s="464" t="s">
        <v>180</v>
      </c>
      <c r="E13" s="465"/>
      <c r="F13" s="465"/>
      <c r="G13" s="465"/>
      <c r="H13" s="466"/>
      <c r="I13" s="1"/>
      <c r="J13" s="1"/>
      <c r="K13" s="1"/>
      <c r="L13" s="1"/>
      <c r="M13" s="1"/>
      <c r="N13" s="1"/>
      <c r="O13" s="1"/>
      <c r="P13" s="1"/>
      <c r="Q13" s="1"/>
      <c r="R13" s="1"/>
    </row>
    <row r="14" spans="1:18">
      <c r="D14" s="40" t="s">
        <v>42</v>
      </c>
      <c r="E14" s="40" t="s">
        <v>43</v>
      </c>
      <c r="F14" s="40" t="s">
        <v>44</v>
      </c>
      <c r="G14" s="40" t="s">
        <v>45</v>
      </c>
      <c r="H14" s="40" t="s">
        <v>46</v>
      </c>
      <c r="I14" s="1"/>
      <c r="J14" s="1"/>
      <c r="K14" s="1"/>
      <c r="L14" s="1"/>
      <c r="M14" s="1"/>
      <c r="N14" s="1"/>
      <c r="O14" s="1"/>
      <c r="P14" s="1"/>
      <c r="Q14" s="1"/>
      <c r="R14" s="1"/>
    </row>
    <row r="15" spans="1:18">
      <c r="B15" s="24"/>
      <c r="C15" s="24"/>
      <c r="D15" s="24"/>
      <c r="E15" s="24"/>
      <c r="F15" s="24"/>
      <c r="G15" s="24"/>
      <c r="H15" s="44"/>
      <c r="I15" s="1"/>
      <c r="J15" s="1"/>
      <c r="K15" s="1"/>
      <c r="L15" s="1"/>
      <c r="M15" s="1"/>
      <c r="N15" s="1"/>
      <c r="O15" s="1"/>
      <c r="P15" s="1"/>
      <c r="Q15" s="1"/>
      <c r="R15" s="1"/>
    </row>
    <row r="16" spans="1:18">
      <c r="B16" s="16" t="s">
        <v>242</v>
      </c>
      <c r="C16" s="16"/>
      <c r="D16" s="110"/>
      <c r="E16" s="110"/>
      <c r="F16" s="110"/>
      <c r="G16" s="110"/>
      <c r="H16" s="110"/>
    </row>
    <row r="17" spans="2:18">
      <c r="D17" s="108"/>
      <c r="E17" s="108"/>
      <c r="F17" s="108"/>
      <c r="G17" s="108"/>
      <c r="H17" s="109"/>
      <c r="I17" s="1"/>
      <c r="J17" s="1"/>
      <c r="K17" s="1"/>
      <c r="L17" s="1"/>
      <c r="M17" s="1"/>
      <c r="N17" s="1"/>
      <c r="O17" s="1"/>
      <c r="P17" s="1"/>
      <c r="Q17" s="1"/>
      <c r="R17" s="1"/>
    </row>
    <row r="18" spans="2:18">
      <c r="B18" s="103" t="s">
        <v>243</v>
      </c>
      <c r="C18" s="103"/>
      <c r="D18" s="117"/>
      <c r="E18" s="117"/>
      <c r="F18" s="117"/>
      <c r="G18" s="117"/>
      <c r="H18" s="118"/>
      <c r="I18" s="1"/>
      <c r="J18" s="1"/>
      <c r="K18" s="1"/>
      <c r="L18" s="1"/>
      <c r="M18" s="1"/>
      <c r="N18" s="1"/>
      <c r="O18" s="1"/>
      <c r="P18" s="1"/>
      <c r="Q18" s="1"/>
      <c r="R18" s="1"/>
    </row>
    <row r="19" spans="2:18">
      <c r="D19" s="108"/>
      <c r="E19" s="108"/>
      <c r="F19" s="108"/>
      <c r="G19" s="108"/>
      <c r="H19" s="109"/>
      <c r="I19" s="1"/>
      <c r="J19" s="1"/>
      <c r="K19" s="1"/>
      <c r="L19" s="1"/>
      <c r="M19" s="1"/>
      <c r="N19" s="1"/>
      <c r="O19" s="1"/>
      <c r="P19" s="1"/>
      <c r="Q19" s="1"/>
      <c r="R19" s="1"/>
    </row>
    <row r="20" spans="2:18">
      <c r="B20" s="58" t="s">
        <v>167</v>
      </c>
      <c r="C20" s="58"/>
      <c r="D20" s="108">
        <f>'Service Volumes'!K258</f>
        <v>842577.16835754679</v>
      </c>
      <c r="E20" s="108">
        <f>'Service Volumes'!L258</f>
        <v>852512.43735132238</v>
      </c>
      <c r="F20" s="108">
        <f>'Service Volumes'!M258</f>
        <v>862244.50573519152</v>
      </c>
      <c r="G20" s="108">
        <f>'Service Volumes'!N258</f>
        <v>872663.42535740137</v>
      </c>
      <c r="H20" s="108">
        <f>'Service Volumes'!O258</f>
        <v>884596.85169119691</v>
      </c>
      <c r="I20" s="1"/>
      <c r="J20" s="1"/>
      <c r="K20" s="1"/>
      <c r="L20" s="1"/>
      <c r="M20" s="1"/>
      <c r="N20" s="1"/>
      <c r="O20" s="1"/>
      <c r="P20" s="1"/>
      <c r="Q20" s="1"/>
      <c r="R20" s="1"/>
    </row>
    <row r="21" spans="2:18">
      <c r="B21" s="58" t="s">
        <v>269</v>
      </c>
      <c r="C21" s="58"/>
      <c r="D21" s="108">
        <f>'Service Volumes'!K259</f>
        <v>13.581642453460056</v>
      </c>
      <c r="E21" s="108">
        <f>'Service Volumes'!L259</f>
        <v>7.2049683208886748</v>
      </c>
      <c r="F21" s="108">
        <f>'Service Volumes'!M259</f>
        <v>7.2872184340018098</v>
      </c>
      <c r="G21" s="108">
        <f>'Service Volumes'!N259</f>
        <v>7.3752734376908302</v>
      </c>
      <c r="H21" s="108">
        <f>'Service Volumes'!O259</f>
        <v>7.4761282228266204</v>
      </c>
      <c r="I21" s="1"/>
      <c r="J21" s="1"/>
      <c r="K21" s="1"/>
      <c r="L21" s="1"/>
      <c r="M21" s="1"/>
      <c r="N21" s="1"/>
      <c r="O21" s="1"/>
      <c r="P21" s="1"/>
      <c r="Q21" s="1"/>
      <c r="R21" s="1"/>
    </row>
    <row r="22" spans="2:18">
      <c r="B22" s="58" t="s">
        <v>272</v>
      </c>
      <c r="C22" s="58"/>
      <c r="D22" s="108">
        <f>'Service Volumes'!K260</f>
        <v>1</v>
      </c>
      <c r="E22" s="108">
        <f>'Service Volumes'!L260</f>
        <v>1</v>
      </c>
      <c r="F22" s="108">
        <f>'Service Volumes'!M260</f>
        <v>1</v>
      </c>
      <c r="G22" s="108">
        <f>'Service Volumes'!N260</f>
        <v>1</v>
      </c>
      <c r="H22" s="108">
        <f>'Service Volumes'!O260</f>
        <v>1</v>
      </c>
      <c r="I22" s="1"/>
      <c r="J22" s="1"/>
      <c r="K22" s="1"/>
      <c r="L22" s="1"/>
      <c r="M22" s="1"/>
      <c r="N22" s="1"/>
      <c r="O22" s="1"/>
      <c r="P22" s="1"/>
      <c r="Q22" s="1"/>
      <c r="R22" s="1"/>
    </row>
    <row r="23" spans="2:18">
      <c r="B23" s="58" t="s">
        <v>170</v>
      </c>
      <c r="C23" s="58"/>
      <c r="D23" s="108">
        <f>'Service Volumes'!K261</f>
        <v>77917.790896148726</v>
      </c>
      <c r="E23" s="108">
        <f>'Service Volumes'!L261</f>
        <v>79321.996735611523</v>
      </c>
      <c r="F23" s="108">
        <f>'Service Volumes'!M261</f>
        <v>81120.460148634622</v>
      </c>
      <c r="G23" s="108">
        <f>'Service Volumes'!N261</f>
        <v>82861.275914869067</v>
      </c>
      <c r="H23" s="108">
        <f>'Service Volumes'!O261</f>
        <v>84780.202777770668</v>
      </c>
      <c r="I23" s="1"/>
      <c r="J23" s="1"/>
      <c r="K23" s="1"/>
      <c r="L23" s="1"/>
      <c r="M23" s="1"/>
      <c r="N23" s="1"/>
      <c r="O23" s="1"/>
      <c r="P23" s="1"/>
      <c r="Q23" s="1"/>
      <c r="R23" s="1"/>
    </row>
    <row r="24" spans="2:18">
      <c r="B24" s="58" t="s">
        <v>270</v>
      </c>
      <c r="C24" s="58"/>
      <c r="D24" s="108">
        <f>'Service Volumes'!K262</f>
        <v>1630.5185325527705</v>
      </c>
      <c r="E24" s="108">
        <f>'Service Volumes'!L262</f>
        <v>1561.2354265661047</v>
      </c>
      <c r="F24" s="108">
        <f>'Service Volumes'!M262</f>
        <v>1596.6332343539418</v>
      </c>
      <c r="G24" s="108">
        <f>'Service Volumes'!N262</f>
        <v>1630.8964067048448</v>
      </c>
      <c r="H24" s="108">
        <f>'Service Volumes'!O262</f>
        <v>1668.6652063145796</v>
      </c>
      <c r="I24" s="1"/>
      <c r="J24" s="1"/>
      <c r="K24" s="1"/>
      <c r="L24" s="1"/>
      <c r="M24" s="1"/>
      <c r="N24" s="1"/>
      <c r="O24" s="1"/>
      <c r="P24" s="1"/>
      <c r="Q24" s="1"/>
      <c r="R24" s="1"/>
    </row>
    <row r="25" spans="2:18">
      <c r="B25" s="58" t="s">
        <v>271</v>
      </c>
      <c r="C25" s="58"/>
      <c r="D25" s="108">
        <f>'Service Volumes'!K263</f>
        <v>373.61288105599544</v>
      </c>
      <c r="E25" s="108">
        <f>'Service Volumes'!L263</f>
        <v>380.90977285028509</v>
      </c>
      <c r="F25" s="108">
        <f>'Service Volumes'!M263</f>
        <v>389.5461198703623</v>
      </c>
      <c r="G25" s="108">
        <f>'Service Volumes'!N263</f>
        <v>397.90563886104923</v>
      </c>
      <c r="H25" s="108">
        <f>'Service Volumes'!O263</f>
        <v>407.1204597877142</v>
      </c>
      <c r="I25" s="1"/>
      <c r="J25" s="1"/>
      <c r="K25" s="1"/>
      <c r="L25" s="1"/>
      <c r="M25" s="1"/>
      <c r="N25" s="1"/>
      <c r="O25" s="1"/>
      <c r="P25" s="1"/>
      <c r="Q25" s="1"/>
      <c r="R25" s="1"/>
    </row>
    <row r="26" spans="2:18">
      <c r="B26" s="58" t="s">
        <v>105</v>
      </c>
      <c r="C26" s="58"/>
      <c r="D26" s="108">
        <f>'Service Volumes'!K264</f>
        <v>351006.78141432191</v>
      </c>
      <c r="E26" s="108">
        <f>'Service Volumes'!L264</f>
        <v>343402.71864170098</v>
      </c>
      <c r="F26" s="108">
        <f>'Service Volumes'!M264</f>
        <v>337293.87741479604</v>
      </c>
      <c r="G26" s="108">
        <f>'Service Volumes'!N264</f>
        <v>330667.96397234476</v>
      </c>
      <c r="H26" s="108">
        <f>'Service Volumes'!O264</f>
        <v>323418.80570423586</v>
      </c>
      <c r="I26" s="1"/>
      <c r="J26" s="1"/>
      <c r="K26" s="1"/>
      <c r="L26" s="1"/>
      <c r="M26" s="1"/>
      <c r="N26" s="1"/>
      <c r="O26" s="1"/>
      <c r="P26" s="1"/>
      <c r="Q26" s="1"/>
      <c r="R26" s="1"/>
    </row>
    <row r="27" spans="2:18">
      <c r="B27" s="58" t="s">
        <v>173</v>
      </c>
      <c r="C27" s="58"/>
      <c r="D27" s="108">
        <f>'Service Volumes'!K265</f>
        <v>82231.116166959691</v>
      </c>
      <c r="E27" s="108">
        <f>'Service Volumes'!L265</f>
        <v>83975.533711402357</v>
      </c>
      <c r="F27" s="108">
        <f>'Service Volumes'!M265</f>
        <v>88358.885249638333</v>
      </c>
      <c r="G27" s="108">
        <f>'Service Volumes'!N265</f>
        <v>92754.07800308842</v>
      </c>
      <c r="H27" s="108">
        <f>'Service Volumes'!O265</f>
        <v>97177.198020747775</v>
      </c>
      <c r="I27" s="1"/>
      <c r="J27" s="1"/>
      <c r="K27" s="1"/>
      <c r="L27" s="1"/>
      <c r="M27" s="1"/>
      <c r="N27" s="1"/>
      <c r="O27" s="1"/>
      <c r="P27" s="1"/>
      <c r="Q27" s="1"/>
      <c r="R27" s="1"/>
    </row>
    <row r="28" spans="2:18">
      <c r="B28" s="114" t="s">
        <v>101</v>
      </c>
      <c r="C28" s="114"/>
      <c r="D28" s="112">
        <f>SUM(D20:D27)</f>
        <v>1355751.5698910395</v>
      </c>
      <c r="E28" s="112">
        <f>SUM(E20:E27)</f>
        <v>1361163.0366077747</v>
      </c>
      <c r="F28" s="112">
        <f>SUM(F20:F27)</f>
        <v>1371012.1951209188</v>
      </c>
      <c r="G28" s="112">
        <f>SUM(G20:G27)</f>
        <v>1380983.9205667072</v>
      </c>
      <c r="H28" s="112">
        <f>SUM(H20:H27)</f>
        <v>1392057.3199882763</v>
      </c>
      <c r="I28" s="1"/>
      <c r="J28" s="1"/>
      <c r="K28" s="1"/>
      <c r="L28" s="1"/>
      <c r="M28" s="1"/>
      <c r="N28" s="1"/>
      <c r="O28" s="1"/>
      <c r="P28" s="1"/>
      <c r="Q28" s="1"/>
      <c r="R28" s="1"/>
    </row>
    <row r="29" spans="2:18">
      <c r="D29" s="108"/>
      <c r="E29" s="108"/>
      <c r="F29" s="108"/>
      <c r="G29" s="108"/>
      <c r="H29" s="109"/>
      <c r="I29" s="1"/>
      <c r="J29" s="1"/>
      <c r="K29" s="1"/>
      <c r="L29" s="1"/>
      <c r="M29" s="1"/>
      <c r="N29" s="1"/>
      <c r="O29" s="1"/>
      <c r="P29" s="1"/>
      <c r="Q29" s="1"/>
      <c r="R29" s="1"/>
    </row>
    <row r="30" spans="2:18" outlineLevel="1">
      <c r="B30" s="468" t="s">
        <v>244</v>
      </c>
      <c r="C30" s="468"/>
      <c r="D30" s="468"/>
      <c r="E30" s="468"/>
      <c r="F30" s="468"/>
      <c r="G30" s="468"/>
      <c r="H30" s="468"/>
      <c r="I30" s="1"/>
      <c r="J30" s="1"/>
      <c r="K30" s="1"/>
      <c r="L30" s="1"/>
      <c r="M30" s="1"/>
      <c r="N30" s="1"/>
      <c r="O30" s="1"/>
      <c r="P30" s="1"/>
      <c r="Q30" s="1"/>
      <c r="R30" s="1"/>
    </row>
    <row r="31" spans="2:18" outlineLevel="1">
      <c r="D31" s="108"/>
      <c r="E31" s="108"/>
      <c r="F31" s="108"/>
      <c r="G31" s="108"/>
      <c r="H31" s="109"/>
      <c r="I31" s="1"/>
      <c r="J31" s="1"/>
      <c r="K31" s="1"/>
      <c r="L31" s="1"/>
      <c r="M31" s="1"/>
      <c r="N31" s="1"/>
      <c r="O31" s="1"/>
      <c r="P31" s="1"/>
      <c r="Q31" s="1"/>
      <c r="R31" s="1"/>
    </row>
    <row r="32" spans="2:18" outlineLevel="1">
      <c r="B32" s="119" t="s">
        <v>237</v>
      </c>
      <c r="C32" s="119"/>
      <c r="D32" s="120"/>
      <c r="E32" s="120"/>
      <c r="F32" s="120"/>
      <c r="G32" s="120"/>
      <c r="H32" s="121"/>
      <c r="I32" s="1"/>
      <c r="J32" s="1"/>
      <c r="K32" s="1"/>
      <c r="L32" s="1"/>
      <c r="M32" s="1"/>
      <c r="N32" s="1"/>
      <c r="O32" s="1"/>
      <c r="P32" s="1"/>
      <c r="Q32" s="1"/>
      <c r="R32" s="1"/>
    </row>
    <row r="33" spans="2:18" outlineLevel="1">
      <c r="B33" s="58" t="s">
        <v>167</v>
      </c>
      <c r="C33" s="58"/>
      <c r="D33" s="108">
        <f>D20*'Calculation Variables'!$C23</f>
        <v>842577.16835754679</v>
      </c>
      <c r="E33" s="108">
        <f>E20*'Calculation Variables'!$C23</f>
        <v>852512.43735132238</v>
      </c>
      <c r="F33" s="108">
        <f>F20*'Calculation Variables'!$C23</f>
        <v>862244.50573519152</v>
      </c>
      <c r="G33" s="108">
        <f>G20*'Calculation Variables'!$C23</f>
        <v>872663.42535740137</v>
      </c>
      <c r="H33" s="108">
        <f>H20*'Calculation Variables'!$C23</f>
        <v>884596.85169119691</v>
      </c>
      <c r="I33" s="1"/>
      <c r="J33" s="1"/>
      <c r="K33" s="1"/>
      <c r="L33" s="1"/>
      <c r="M33" s="1"/>
      <c r="N33" s="1"/>
      <c r="O33" s="1"/>
      <c r="P33" s="1"/>
      <c r="Q33" s="1"/>
      <c r="R33" s="1"/>
    </row>
    <row r="34" spans="2:18" outlineLevel="1">
      <c r="B34" s="58" t="s">
        <v>269</v>
      </c>
      <c r="C34" s="58"/>
      <c r="D34" s="108">
        <f>D21*'Calculation Variables'!$C24</f>
        <v>13.581642453460056</v>
      </c>
      <c r="E34" s="108">
        <f>E21*'Calculation Variables'!$C24</f>
        <v>7.2049683208886748</v>
      </c>
      <c r="F34" s="108">
        <f>F21*'Calculation Variables'!$C24</f>
        <v>7.2872184340018098</v>
      </c>
      <c r="G34" s="108">
        <f>G21*'Calculation Variables'!$C24</f>
        <v>7.3752734376908302</v>
      </c>
      <c r="H34" s="108">
        <f>H21*'Calculation Variables'!$C24</f>
        <v>7.4761282228266204</v>
      </c>
      <c r="I34" s="1"/>
      <c r="J34" s="1"/>
      <c r="K34" s="1"/>
      <c r="L34" s="1"/>
      <c r="M34" s="1"/>
      <c r="N34" s="1"/>
      <c r="O34" s="1"/>
      <c r="P34" s="1"/>
      <c r="Q34" s="1"/>
      <c r="R34" s="1"/>
    </row>
    <row r="35" spans="2:18" outlineLevel="1">
      <c r="B35" s="58" t="s">
        <v>272</v>
      </c>
      <c r="C35" s="58"/>
      <c r="D35" s="108">
        <f>D22*'Calculation Variables'!$C25</f>
        <v>5</v>
      </c>
      <c r="E35" s="108">
        <f>E22*'Calculation Variables'!$C25</f>
        <v>5</v>
      </c>
      <c r="F35" s="108">
        <f>F22*'Calculation Variables'!$C25</f>
        <v>5</v>
      </c>
      <c r="G35" s="108">
        <f>G22*'Calculation Variables'!$C25</f>
        <v>5</v>
      </c>
      <c r="H35" s="108">
        <f>H22*'Calculation Variables'!$C25</f>
        <v>5</v>
      </c>
      <c r="I35" s="1"/>
      <c r="J35" s="1"/>
      <c r="K35" s="1"/>
      <c r="L35" s="1"/>
      <c r="M35" s="1"/>
      <c r="N35" s="1"/>
      <c r="O35" s="1"/>
      <c r="P35" s="1"/>
      <c r="Q35" s="1"/>
      <c r="R35" s="1"/>
    </row>
    <row r="36" spans="2:18" outlineLevel="1">
      <c r="B36" s="58" t="s">
        <v>170</v>
      </c>
      <c r="C36" s="58"/>
      <c r="D36" s="108">
        <f>D23*'Calculation Variables'!$C26</f>
        <v>77917.790896148726</v>
      </c>
      <c r="E36" s="108">
        <f>E23*'Calculation Variables'!$C26</f>
        <v>79321.996735611523</v>
      </c>
      <c r="F36" s="108">
        <f>F23*'Calculation Variables'!$C26</f>
        <v>81120.460148634622</v>
      </c>
      <c r="G36" s="108">
        <f>G23*'Calculation Variables'!$C26</f>
        <v>82861.275914869067</v>
      </c>
      <c r="H36" s="108">
        <f>H23*'Calculation Variables'!$C26</f>
        <v>84780.202777770668</v>
      </c>
      <c r="I36" s="1"/>
      <c r="J36" s="1"/>
      <c r="K36" s="1"/>
      <c r="L36" s="1"/>
      <c r="M36" s="1"/>
      <c r="N36" s="1"/>
      <c r="O36" s="1"/>
      <c r="P36" s="1"/>
      <c r="Q36" s="1"/>
      <c r="R36" s="1"/>
    </row>
    <row r="37" spans="2:18" outlineLevel="1">
      <c r="B37" s="58" t="s">
        <v>270</v>
      </c>
      <c r="C37" s="58"/>
      <c r="D37" s="108">
        <f>D24*'Calculation Variables'!$C27</f>
        <v>1630.5185325527705</v>
      </c>
      <c r="E37" s="108">
        <f>E24*'Calculation Variables'!$C27</f>
        <v>1561.2354265661047</v>
      </c>
      <c r="F37" s="108">
        <f>F24*'Calculation Variables'!$C27</f>
        <v>1596.6332343539418</v>
      </c>
      <c r="G37" s="108">
        <f>G24*'Calculation Variables'!$C27</f>
        <v>1630.8964067048448</v>
      </c>
      <c r="H37" s="108">
        <f>H24*'Calculation Variables'!$C27</f>
        <v>1668.6652063145796</v>
      </c>
      <c r="I37" s="1"/>
      <c r="J37" s="1"/>
      <c r="K37" s="1"/>
      <c r="L37" s="1"/>
      <c r="M37" s="1"/>
      <c r="N37" s="1"/>
      <c r="O37" s="1"/>
      <c r="P37" s="1"/>
      <c r="Q37" s="1"/>
      <c r="R37" s="1"/>
    </row>
    <row r="38" spans="2:18" outlineLevel="1">
      <c r="B38" s="58" t="s">
        <v>271</v>
      </c>
      <c r="C38" s="58"/>
      <c r="D38" s="108">
        <f>D25*'Calculation Variables'!$C28</f>
        <v>1868.0644052799771</v>
      </c>
      <c r="E38" s="108">
        <f>E25*'Calculation Variables'!$C28</f>
        <v>1904.5488642514256</v>
      </c>
      <c r="F38" s="108">
        <f>F25*'Calculation Variables'!$C28</f>
        <v>1947.7305993518116</v>
      </c>
      <c r="G38" s="108">
        <f>G25*'Calculation Variables'!$C28</f>
        <v>1989.5281943052462</v>
      </c>
      <c r="H38" s="108">
        <f>H25*'Calculation Variables'!$C28</f>
        <v>2035.602298938571</v>
      </c>
      <c r="I38" s="1"/>
      <c r="J38" s="1"/>
      <c r="K38" s="1"/>
      <c r="L38" s="1"/>
      <c r="M38" s="1"/>
      <c r="N38" s="1"/>
      <c r="O38" s="1"/>
      <c r="P38" s="1"/>
      <c r="Q38" s="1"/>
      <c r="R38" s="1"/>
    </row>
    <row r="39" spans="2:18" outlineLevel="1">
      <c r="B39" s="58" t="s">
        <v>105</v>
      </c>
      <c r="C39" s="58"/>
      <c r="D39" s="108">
        <f>D26*'Calculation Variables'!$C29</f>
        <v>35100.678141432196</v>
      </c>
      <c r="E39" s="108">
        <f>E26*'Calculation Variables'!$C29</f>
        <v>34340.271864170099</v>
      </c>
      <c r="F39" s="108">
        <f>F26*'Calculation Variables'!$C29</f>
        <v>33729.387741479608</v>
      </c>
      <c r="G39" s="108">
        <f>G26*'Calculation Variables'!$C29</f>
        <v>33066.796397234481</v>
      </c>
      <c r="H39" s="108">
        <f>H26*'Calculation Variables'!$C29</f>
        <v>32341.880570423586</v>
      </c>
      <c r="I39" s="1"/>
      <c r="J39" s="1"/>
      <c r="K39" s="1"/>
      <c r="L39" s="1"/>
      <c r="M39" s="1"/>
      <c r="N39" s="1"/>
      <c r="O39" s="1"/>
      <c r="P39" s="1"/>
      <c r="Q39" s="1"/>
      <c r="R39" s="1"/>
    </row>
    <row r="40" spans="2:18" outlineLevel="1">
      <c r="B40" s="58" t="s">
        <v>173</v>
      </c>
      <c r="C40" s="58"/>
      <c r="D40" s="108">
        <f>D27*'Calculation Variables'!$C30</f>
        <v>8223.1116166959691</v>
      </c>
      <c r="E40" s="108">
        <f>E27*'Calculation Variables'!$C30</f>
        <v>8397.5533711402368</v>
      </c>
      <c r="F40" s="108">
        <f>F27*'Calculation Variables'!$C30</f>
        <v>8835.8885249638333</v>
      </c>
      <c r="G40" s="108">
        <f>G27*'Calculation Variables'!$C30</f>
        <v>9275.4078003088416</v>
      </c>
      <c r="H40" s="108">
        <f>H27*'Calculation Variables'!$C30</f>
        <v>9717.7198020747783</v>
      </c>
      <c r="I40" s="1"/>
      <c r="J40" s="1"/>
      <c r="K40" s="1"/>
      <c r="L40" s="1"/>
      <c r="M40" s="1"/>
      <c r="N40" s="1"/>
      <c r="O40" s="1"/>
      <c r="P40" s="1"/>
      <c r="Q40" s="1"/>
      <c r="R40" s="1"/>
    </row>
    <row r="41" spans="2:18" outlineLevel="1">
      <c r="B41" s="114" t="s">
        <v>101</v>
      </c>
      <c r="C41" s="114"/>
      <c r="D41" s="112">
        <f>SUM(D33:D40)</f>
        <v>967335.91359210992</v>
      </c>
      <c r="E41" s="112">
        <f>SUM(E33:E40)</f>
        <v>978050.2485813828</v>
      </c>
      <c r="F41" s="112">
        <f>SUM(F33:F40)</f>
        <v>989486.89320240938</v>
      </c>
      <c r="G41" s="112">
        <f>SUM(G33:G40)</f>
        <v>1001499.7053442615</v>
      </c>
      <c r="H41" s="112">
        <f>SUM(H33:H40)</f>
        <v>1015153.3984749418</v>
      </c>
      <c r="I41" s="1"/>
      <c r="J41" s="1"/>
      <c r="K41" s="1"/>
      <c r="L41" s="1"/>
      <c r="M41" s="1"/>
      <c r="N41" s="1"/>
      <c r="O41" s="1"/>
      <c r="P41" s="1"/>
      <c r="Q41" s="1"/>
      <c r="R41" s="1"/>
    </row>
    <row r="42" spans="2:18" outlineLevel="1">
      <c r="D42" s="108"/>
      <c r="E42" s="108"/>
      <c r="F42" s="108"/>
      <c r="G42" s="108"/>
      <c r="H42" s="109"/>
      <c r="I42" s="1"/>
      <c r="J42" s="1"/>
      <c r="K42" s="1"/>
      <c r="L42" s="1"/>
      <c r="M42" s="1"/>
      <c r="N42" s="1"/>
      <c r="O42" s="1"/>
      <c r="P42" s="1"/>
      <c r="Q42" s="1"/>
      <c r="R42" s="1"/>
    </row>
    <row r="43" spans="2:18" outlineLevel="1">
      <c r="B43" s="119" t="s">
        <v>238</v>
      </c>
      <c r="C43" s="119"/>
      <c r="D43" s="120"/>
      <c r="E43" s="120"/>
      <c r="F43" s="120"/>
      <c r="G43" s="120"/>
      <c r="H43" s="121"/>
      <c r="I43" s="1"/>
      <c r="J43" s="1"/>
      <c r="K43" s="1"/>
      <c r="L43" s="1"/>
      <c r="M43" s="1"/>
      <c r="N43" s="1"/>
      <c r="O43" s="1"/>
      <c r="P43" s="1"/>
      <c r="Q43" s="1"/>
      <c r="R43" s="1"/>
    </row>
    <row r="44" spans="2:18" outlineLevel="1">
      <c r="B44" s="58" t="s">
        <v>167</v>
      </c>
      <c r="C44" s="58"/>
      <c r="D44" s="108">
        <f>D20*'Calculation Variables'!$D23</f>
        <v>842577.16835754679</v>
      </c>
      <c r="E44" s="108">
        <f>E20*'Calculation Variables'!$D23</f>
        <v>852512.43735132238</v>
      </c>
      <c r="F44" s="108">
        <f>F20*'Calculation Variables'!$D23</f>
        <v>862244.50573519152</v>
      </c>
      <c r="G44" s="108">
        <f>G20*'Calculation Variables'!$D23</f>
        <v>872663.42535740137</v>
      </c>
      <c r="H44" s="108">
        <f>H20*'Calculation Variables'!$D23</f>
        <v>884596.85169119691</v>
      </c>
      <c r="I44" s="1"/>
      <c r="J44" s="1"/>
      <c r="K44" s="1"/>
      <c r="L44" s="1"/>
      <c r="M44" s="1"/>
      <c r="N44" s="1"/>
      <c r="O44" s="1"/>
      <c r="P44" s="1"/>
      <c r="Q44" s="1"/>
      <c r="R44" s="1"/>
    </row>
    <row r="45" spans="2:18" outlineLevel="1">
      <c r="B45" s="58" t="s">
        <v>269</v>
      </c>
      <c r="C45" s="58"/>
      <c r="D45" s="108">
        <f>D21*'Calculation Variables'!$D24</f>
        <v>40.744927360380167</v>
      </c>
      <c r="E45" s="108">
        <f>E21*'Calculation Variables'!$D24</f>
        <v>21.614904962666024</v>
      </c>
      <c r="F45" s="108">
        <f>F21*'Calculation Variables'!$D24</f>
        <v>21.861655302005431</v>
      </c>
      <c r="G45" s="108">
        <f>G21*'Calculation Variables'!$D24</f>
        <v>22.125820313072492</v>
      </c>
      <c r="H45" s="108">
        <f>H21*'Calculation Variables'!$D24</f>
        <v>22.428384668479861</v>
      </c>
      <c r="I45" s="1"/>
      <c r="J45" s="1"/>
      <c r="K45" s="1"/>
      <c r="L45" s="1"/>
      <c r="M45" s="1"/>
      <c r="N45" s="1"/>
      <c r="O45" s="1"/>
      <c r="P45" s="1"/>
      <c r="Q45" s="1"/>
      <c r="R45" s="1"/>
    </row>
    <row r="46" spans="2:18" outlineLevel="1">
      <c r="B46" s="58" t="s">
        <v>272</v>
      </c>
      <c r="C46" s="58"/>
      <c r="D46" s="108">
        <f>D22*'Calculation Variables'!$D25</f>
        <v>19</v>
      </c>
      <c r="E46" s="108">
        <f>E22*'Calculation Variables'!$D25</f>
        <v>19</v>
      </c>
      <c r="F46" s="108">
        <f>F22*'Calculation Variables'!$D25</f>
        <v>19</v>
      </c>
      <c r="G46" s="108">
        <f>G22*'Calculation Variables'!$D25</f>
        <v>19</v>
      </c>
      <c r="H46" s="108">
        <f>H22*'Calculation Variables'!$D25</f>
        <v>19</v>
      </c>
      <c r="I46" s="1"/>
      <c r="J46" s="1"/>
      <c r="K46" s="1"/>
      <c r="L46" s="1"/>
      <c r="M46" s="1"/>
      <c r="N46" s="1"/>
      <c r="O46" s="1"/>
      <c r="P46" s="1"/>
      <c r="Q46" s="1"/>
      <c r="R46" s="1"/>
    </row>
    <row r="47" spans="2:18" outlineLevel="1">
      <c r="B47" s="58" t="s">
        <v>170</v>
      </c>
      <c r="C47" s="58"/>
      <c r="D47" s="108">
        <f>D23*'Calculation Variables'!$D26</f>
        <v>77917.790896148726</v>
      </c>
      <c r="E47" s="108">
        <f>E23*'Calculation Variables'!$D26</f>
        <v>79321.996735611523</v>
      </c>
      <c r="F47" s="108">
        <f>F23*'Calculation Variables'!$D26</f>
        <v>81120.460148634622</v>
      </c>
      <c r="G47" s="108">
        <f>G23*'Calculation Variables'!$D26</f>
        <v>82861.275914869067</v>
      </c>
      <c r="H47" s="108">
        <f>H23*'Calculation Variables'!$D26</f>
        <v>84780.202777770668</v>
      </c>
      <c r="I47" s="1"/>
      <c r="J47" s="1"/>
      <c r="K47" s="1"/>
      <c r="L47" s="1"/>
      <c r="M47" s="1"/>
      <c r="N47" s="1"/>
      <c r="O47" s="1"/>
      <c r="P47" s="1"/>
      <c r="Q47" s="1"/>
      <c r="R47" s="1"/>
    </row>
    <row r="48" spans="2:18" outlineLevel="1">
      <c r="B48" s="58" t="s">
        <v>270</v>
      </c>
      <c r="C48" s="58"/>
      <c r="D48" s="108">
        <f>D24*'Calculation Variables'!$D27</f>
        <v>4891.5555976583109</v>
      </c>
      <c r="E48" s="108">
        <f>E24*'Calculation Variables'!$D27</f>
        <v>4683.7062796983137</v>
      </c>
      <c r="F48" s="108">
        <f>F24*'Calculation Variables'!$D27</f>
        <v>4789.8997030618257</v>
      </c>
      <c r="G48" s="108">
        <f>G24*'Calculation Variables'!$D27</f>
        <v>4892.6892201145347</v>
      </c>
      <c r="H48" s="108">
        <f>H24*'Calculation Variables'!$D27</f>
        <v>5005.9956189437389</v>
      </c>
      <c r="I48" s="1"/>
      <c r="J48" s="1"/>
      <c r="K48" s="1"/>
      <c r="L48" s="1"/>
      <c r="M48" s="1"/>
      <c r="N48" s="1"/>
      <c r="O48" s="1"/>
      <c r="P48" s="1"/>
      <c r="Q48" s="1"/>
      <c r="R48" s="1"/>
    </row>
    <row r="49" spans="2:18" outlineLevel="1">
      <c r="B49" s="58" t="s">
        <v>271</v>
      </c>
      <c r="C49" s="58"/>
      <c r="D49" s="108">
        <f>D25*'Calculation Variables'!$D28</f>
        <v>7098.6447400639136</v>
      </c>
      <c r="E49" s="108">
        <f>E25*'Calculation Variables'!$D28</f>
        <v>7237.2856841554167</v>
      </c>
      <c r="F49" s="108">
        <f>F25*'Calculation Variables'!$D28</f>
        <v>7401.3762775368841</v>
      </c>
      <c r="G49" s="108">
        <f>G25*'Calculation Variables'!$D28</f>
        <v>7560.207138359935</v>
      </c>
      <c r="H49" s="108">
        <f>H25*'Calculation Variables'!$D28</f>
        <v>7735.2887359665701</v>
      </c>
      <c r="I49" s="1"/>
      <c r="J49" s="1"/>
      <c r="K49" s="1"/>
      <c r="L49" s="1"/>
      <c r="M49" s="1"/>
      <c r="N49" s="1"/>
      <c r="O49" s="1"/>
      <c r="P49" s="1"/>
      <c r="Q49" s="1"/>
      <c r="R49" s="1"/>
    </row>
    <row r="50" spans="2:18" outlineLevel="1">
      <c r="B50" s="58" t="s">
        <v>105</v>
      </c>
      <c r="C50" s="58"/>
      <c r="D50" s="108">
        <f>D26*'Calculation Variables'!$D29</f>
        <v>35100.678141432196</v>
      </c>
      <c r="E50" s="108">
        <f>E26*'Calculation Variables'!$D29</f>
        <v>34340.271864170099</v>
      </c>
      <c r="F50" s="108">
        <f>F26*'Calculation Variables'!$D29</f>
        <v>33729.387741479608</v>
      </c>
      <c r="G50" s="108">
        <f>G26*'Calculation Variables'!$D29</f>
        <v>33066.796397234481</v>
      </c>
      <c r="H50" s="108">
        <f>H26*'Calculation Variables'!$D29</f>
        <v>32341.880570423586</v>
      </c>
      <c r="I50" s="1"/>
      <c r="J50" s="1"/>
      <c r="K50" s="1"/>
      <c r="L50" s="1"/>
      <c r="M50" s="1"/>
      <c r="N50" s="1"/>
      <c r="O50" s="1"/>
      <c r="P50" s="1"/>
      <c r="Q50" s="1"/>
      <c r="R50" s="1"/>
    </row>
    <row r="51" spans="2:18" outlineLevel="1">
      <c r="B51" s="58" t="s">
        <v>173</v>
      </c>
      <c r="C51" s="58"/>
      <c r="D51" s="108">
        <f>D27*'Calculation Variables'!$D30</f>
        <v>8223.1116166959691</v>
      </c>
      <c r="E51" s="108">
        <f>E27*'Calculation Variables'!$D30</f>
        <v>8397.5533711402368</v>
      </c>
      <c r="F51" s="108">
        <f>F27*'Calculation Variables'!$D30</f>
        <v>8835.8885249638333</v>
      </c>
      <c r="G51" s="108">
        <f>G27*'Calculation Variables'!$D30</f>
        <v>9275.4078003088416</v>
      </c>
      <c r="H51" s="108">
        <f>H27*'Calculation Variables'!$D30</f>
        <v>9717.7198020747783</v>
      </c>
      <c r="I51" s="1"/>
      <c r="J51" s="1"/>
      <c r="K51" s="1"/>
      <c r="L51" s="1"/>
      <c r="M51" s="1"/>
      <c r="N51" s="1"/>
      <c r="O51" s="1"/>
      <c r="P51" s="1"/>
      <c r="Q51" s="1"/>
      <c r="R51" s="1"/>
    </row>
    <row r="52" spans="2:18" outlineLevel="1">
      <c r="B52" s="114" t="s">
        <v>101</v>
      </c>
      <c r="C52" s="114"/>
      <c r="D52" s="112">
        <f>SUM(D44:D51)</f>
        <v>975868.69427690632</v>
      </c>
      <c r="E52" s="112">
        <f>SUM(E44:E51)</f>
        <v>986533.86619106075</v>
      </c>
      <c r="F52" s="112">
        <f>SUM(F44:F51)</f>
        <v>998162.3797861702</v>
      </c>
      <c r="G52" s="112">
        <f>SUM(G44:G51)</f>
        <v>1010360.9276486012</v>
      </c>
      <c r="H52" s="112">
        <f>SUM(H44:H51)</f>
        <v>1024219.3675810447</v>
      </c>
      <c r="I52" s="1"/>
      <c r="J52" s="1"/>
      <c r="K52" s="1"/>
      <c r="L52" s="1"/>
      <c r="M52" s="1"/>
      <c r="N52" s="1"/>
      <c r="O52" s="1"/>
      <c r="P52" s="1"/>
      <c r="Q52" s="1"/>
      <c r="R52" s="1"/>
    </row>
    <row r="53" spans="2:18" outlineLevel="1">
      <c r="D53" s="108"/>
      <c r="E53" s="108"/>
      <c r="F53" s="108"/>
      <c r="G53" s="108"/>
      <c r="H53" s="109"/>
      <c r="I53" s="1"/>
      <c r="J53" s="1"/>
      <c r="K53" s="1"/>
      <c r="L53" s="1"/>
      <c r="M53" s="1"/>
      <c r="N53" s="1"/>
      <c r="O53" s="1"/>
      <c r="P53" s="1"/>
      <c r="Q53" s="1"/>
      <c r="R53" s="1"/>
    </row>
    <row r="54" spans="2:18" outlineLevel="1">
      <c r="B54" s="119" t="s">
        <v>239</v>
      </c>
      <c r="C54" s="119"/>
      <c r="D54" s="120"/>
      <c r="E54" s="120"/>
      <c r="F54" s="120"/>
      <c r="G54" s="120"/>
      <c r="H54" s="121"/>
      <c r="I54" s="1"/>
      <c r="J54" s="1"/>
      <c r="K54" s="1"/>
      <c r="L54" s="1"/>
      <c r="M54" s="1"/>
      <c r="N54" s="1"/>
      <c r="O54" s="1"/>
      <c r="P54" s="1"/>
      <c r="Q54" s="1"/>
      <c r="R54" s="1"/>
    </row>
    <row r="55" spans="2:18" outlineLevel="1">
      <c r="B55" s="58" t="s">
        <v>167</v>
      </c>
      <c r="C55" s="58"/>
      <c r="D55" s="108">
        <f>D20*'Calculation Variables'!$E23</f>
        <v>842577.16835754679</v>
      </c>
      <c r="E55" s="108">
        <f>E20*'Calculation Variables'!$E23</f>
        <v>852512.43735132238</v>
      </c>
      <c r="F55" s="108">
        <f>F20*'Calculation Variables'!$E23</f>
        <v>862244.50573519152</v>
      </c>
      <c r="G55" s="108">
        <f>G20*'Calculation Variables'!$E23</f>
        <v>872663.42535740137</v>
      </c>
      <c r="H55" s="108">
        <f>H20*'Calculation Variables'!$E23</f>
        <v>884596.85169119691</v>
      </c>
      <c r="I55" s="1"/>
      <c r="J55" s="1"/>
      <c r="K55" s="1"/>
      <c r="L55" s="1"/>
      <c r="M55" s="1"/>
      <c r="N55" s="1"/>
      <c r="O55" s="1"/>
      <c r="P55" s="1"/>
      <c r="Q55" s="1"/>
      <c r="R55" s="1"/>
    </row>
    <row r="56" spans="2:18" outlineLevel="1">
      <c r="B56" s="58" t="s">
        <v>269</v>
      </c>
      <c r="C56" s="58"/>
      <c r="D56" s="108">
        <f>D21*'Calculation Variables'!$E24</f>
        <v>40.744927360380167</v>
      </c>
      <c r="E56" s="108">
        <f>E21*'Calculation Variables'!$E24</f>
        <v>21.614904962666024</v>
      </c>
      <c r="F56" s="108">
        <f>F21*'Calculation Variables'!$E24</f>
        <v>21.861655302005431</v>
      </c>
      <c r="G56" s="108">
        <f>G21*'Calculation Variables'!$E24</f>
        <v>22.125820313072492</v>
      </c>
      <c r="H56" s="108">
        <f>H21*'Calculation Variables'!$E24</f>
        <v>22.428384668479861</v>
      </c>
      <c r="I56" s="1"/>
      <c r="J56" s="1"/>
      <c r="K56" s="1"/>
      <c r="L56" s="1"/>
      <c r="M56" s="1"/>
      <c r="N56" s="1"/>
      <c r="O56" s="1"/>
      <c r="P56" s="1"/>
      <c r="Q56" s="1"/>
      <c r="R56" s="1"/>
    </row>
    <row r="57" spans="2:18" outlineLevel="1">
      <c r="B57" s="58" t="s">
        <v>272</v>
      </c>
      <c r="C57" s="58"/>
      <c r="D57" s="108">
        <f>D22*'Calculation Variables'!$E25</f>
        <v>3</v>
      </c>
      <c r="E57" s="108">
        <f>E22*'Calculation Variables'!$E25</f>
        <v>3</v>
      </c>
      <c r="F57" s="108">
        <f>F22*'Calculation Variables'!$E25</f>
        <v>3</v>
      </c>
      <c r="G57" s="108">
        <f>G22*'Calculation Variables'!$E25</f>
        <v>3</v>
      </c>
      <c r="H57" s="108">
        <f>H22*'Calculation Variables'!$E25</f>
        <v>3</v>
      </c>
      <c r="I57" s="1"/>
      <c r="J57" s="1"/>
      <c r="K57" s="1"/>
      <c r="L57" s="1"/>
      <c r="M57" s="1"/>
      <c r="N57" s="1"/>
      <c r="O57" s="1"/>
      <c r="P57" s="1"/>
      <c r="Q57" s="1"/>
      <c r="R57" s="1"/>
    </row>
    <row r="58" spans="2:18" outlineLevel="1">
      <c r="B58" s="58" t="s">
        <v>170</v>
      </c>
      <c r="C58" s="58"/>
      <c r="D58" s="108">
        <f>D23*'Calculation Variables'!$E26</f>
        <v>233753.37268844619</v>
      </c>
      <c r="E58" s="108">
        <f>E23*'Calculation Variables'!$E26</f>
        <v>237965.99020683457</v>
      </c>
      <c r="F58" s="108">
        <f>F23*'Calculation Variables'!$E26</f>
        <v>243361.38044590387</v>
      </c>
      <c r="G58" s="108">
        <f>G23*'Calculation Variables'!$E26</f>
        <v>248583.8277446072</v>
      </c>
      <c r="H58" s="108">
        <f>H23*'Calculation Variables'!$E26</f>
        <v>254340.608333312</v>
      </c>
      <c r="I58" s="1"/>
      <c r="J58" s="1"/>
      <c r="K58" s="1"/>
      <c r="L58" s="1"/>
      <c r="M58" s="1"/>
      <c r="N58" s="1"/>
      <c r="O58" s="1"/>
      <c r="P58" s="1"/>
      <c r="Q58" s="1"/>
      <c r="R58" s="1"/>
    </row>
    <row r="59" spans="2:18" outlineLevel="1">
      <c r="B59" s="58" t="s">
        <v>270</v>
      </c>
      <c r="C59" s="58"/>
      <c r="D59" s="108">
        <f>D24*'Calculation Variables'!$E27</f>
        <v>14674.666792974935</v>
      </c>
      <c r="E59" s="108">
        <f>E24*'Calculation Variables'!$E27</f>
        <v>14051.118839094943</v>
      </c>
      <c r="F59" s="108">
        <f>F24*'Calculation Variables'!$E27</f>
        <v>14369.699109185476</v>
      </c>
      <c r="G59" s="108">
        <f>G24*'Calculation Variables'!$E27</f>
        <v>14678.067660343604</v>
      </c>
      <c r="H59" s="108">
        <f>H24*'Calculation Variables'!$E27</f>
        <v>15017.986856831216</v>
      </c>
      <c r="I59" s="1"/>
      <c r="J59" s="1"/>
      <c r="K59" s="1"/>
      <c r="L59" s="1"/>
      <c r="M59" s="1"/>
      <c r="N59" s="1"/>
      <c r="O59" s="1"/>
      <c r="P59" s="1"/>
      <c r="Q59" s="1"/>
      <c r="R59" s="1"/>
    </row>
    <row r="60" spans="2:18" outlineLevel="1">
      <c r="B60" s="58" t="s">
        <v>271</v>
      </c>
      <c r="C60" s="58"/>
      <c r="D60" s="108">
        <f>D25*'Calculation Variables'!$E28</f>
        <v>3362.5159295039589</v>
      </c>
      <c r="E60" s="108">
        <f>E25*'Calculation Variables'!$E28</f>
        <v>3428.187955652566</v>
      </c>
      <c r="F60" s="108">
        <f>F25*'Calculation Variables'!$E28</f>
        <v>3505.9150788332608</v>
      </c>
      <c r="G60" s="108">
        <f>G25*'Calculation Variables'!$E28</f>
        <v>3581.1507497494431</v>
      </c>
      <c r="H60" s="108">
        <f>H25*'Calculation Variables'!$E28</f>
        <v>3664.0841380894276</v>
      </c>
      <c r="I60" s="1"/>
      <c r="J60" s="1"/>
      <c r="K60" s="1"/>
      <c r="L60" s="1"/>
      <c r="M60" s="1"/>
      <c r="N60" s="1"/>
      <c r="O60" s="1"/>
      <c r="P60" s="1"/>
      <c r="Q60" s="1"/>
      <c r="R60" s="1"/>
    </row>
    <row r="61" spans="2:18" outlineLevel="1">
      <c r="B61" s="58" t="s">
        <v>105</v>
      </c>
      <c r="C61" s="58"/>
      <c r="D61" s="108">
        <f>D26*'Calculation Variables'!$E29</f>
        <v>245704.74699002533</v>
      </c>
      <c r="E61" s="108">
        <f>E26*'Calculation Variables'!$E29</f>
        <v>240381.90304919067</v>
      </c>
      <c r="F61" s="108">
        <f>F26*'Calculation Variables'!$E29</f>
        <v>236105.71419035722</v>
      </c>
      <c r="G61" s="108">
        <f>G26*'Calculation Variables'!$E29</f>
        <v>231467.57478064133</v>
      </c>
      <c r="H61" s="108">
        <f>H26*'Calculation Variables'!$E29</f>
        <v>226393.1639929651</v>
      </c>
      <c r="I61" s="1"/>
      <c r="J61" s="1"/>
      <c r="K61" s="1"/>
      <c r="L61" s="1"/>
      <c r="M61" s="1"/>
      <c r="N61" s="1"/>
      <c r="O61" s="1"/>
      <c r="P61" s="1"/>
      <c r="Q61" s="1"/>
      <c r="R61" s="1"/>
    </row>
    <row r="62" spans="2:18" outlineLevel="1">
      <c r="B62" s="58" t="s">
        <v>173</v>
      </c>
      <c r="C62" s="58"/>
      <c r="D62" s="108">
        <f>D27*'Calculation Variables'!$E30</f>
        <v>57561.781316871777</v>
      </c>
      <c r="E62" s="108">
        <f>E27*'Calculation Variables'!$E30</f>
        <v>58782.873597981648</v>
      </c>
      <c r="F62" s="108">
        <f>F27*'Calculation Variables'!$E30</f>
        <v>61851.219674746826</v>
      </c>
      <c r="G62" s="108">
        <f>G27*'Calculation Variables'!$E30</f>
        <v>64927.854602161889</v>
      </c>
      <c r="H62" s="108">
        <f>H27*'Calculation Variables'!$E30</f>
        <v>68024.038614523437</v>
      </c>
      <c r="I62" s="1"/>
      <c r="J62" s="1"/>
      <c r="K62" s="1"/>
      <c r="L62" s="1"/>
      <c r="M62" s="1"/>
      <c r="N62" s="1"/>
      <c r="O62" s="1"/>
      <c r="P62" s="1"/>
      <c r="Q62" s="1"/>
      <c r="R62" s="1"/>
    </row>
    <row r="63" spans="2:18" outlineLevel="1">
      <c r="B63" s="114" t="s">
        <v>101</v>
      </c>
      <c r="C63" s="114"/>
      <c r="D63" s="112">
        <f>SUM(D55:D62)</f>
        <v>1397677.9970027294</v>
      </c>
      <c r="E63" s="112">
        <f t="shared" ref="E63" si="0">SUM(E55:E62)</f>
        <v>1407147.1259050395</v>
      </c>
      <c r="F63" s="112">
        <f t="shared" ref="F63" si="1">SUM(F55:F62)</f>
        <v>1421463.2958895201</v>
      </c>
      <c r="G63" s="112">
        <f t="shared" ref="G63" si="2">SUM(G55:G62)</f>
        <v>1435927.0267152179</v>
      </c>
      <c r="H63" s="112">
        <f t="shared" ref="H63" si="3">SUM(H55:H62)</f>
        <v>1452062.1620115864</v>
      </c>
      <c r="I63" s="1"/>
      <c r="J63" s="1"/>
      <c r="K63" s="1"/>
      <c r="L63" s="1"/>
      <c r="M63" s="1"/>
      <c r="N63" s="1"/>
      <c r="O63" s="1"/>
      <c r="P63" s="1"/>
      <c r="Q63" s="1"/>
      <c r="R63" s="1"/>
    </row>
    <row r="64" spans="2:18" outlineLevel="1">
      <c r="D64" s="108"/>
      <c r="E64" s="108"/>
      <c r="F64" s="108"/>
      <c r="G64" s="108"/>
      <c r="H64" s="109"/>
      <c r="I64" s="1"/>
      <c r="J64" s="1"/>
      <c r="K64" s="1"/>
      <c r="L64" s="1"/>
      <c r="M64" s="1"/>
      <c r="N64" s="1"/>
      <c r="O64" s="1"/>
      <c r="P64" s="1"/>
      <c r="Q64" s="1"/>
      <c r="R64" s="1"/>
    </row>
    <row r="65" spans="2:18" outlineLevel="1">
      <c r="B65" s="119" t="s">
        <v>240</v>
      </c>
      <c r="C65" s="119"/>
      <c r="D65" s="120"/>
      <c r="E65" s="120"/>
      <c r="F65" s="120"/>
      <c r="G65" s="120"/>
      <c r="H65" s="121"/>
      <c r="I65" s="1"/>
      <c r="J65" s="1"/>
      <c r="K65" s="1"/>
      <c r="L65" s="1"/>
      <c r="M65" s="1"/>
      <c r="N65" s="1"/>
      <c r="O65" s="1"/>
      <c r="P65" s="1"/>
      <c r="Q65" s="1"/>
      <c r="R65" s="1"/>
    </row>
    <row r="66" spans="2:18" outlineLevel="1">
      <c r="B66" s="58" t="s">
        <v>167</v>
      </c>
      <c r="C66" s="58"/>
      <c r="D66" s="108">
        <f>D20*'Calculation Variables'!$F23</f>
        <v>842577.16835754679</v>
      </c>
      <c r="E66" s="108">
        <f>E20*'Calculation Variables'!$F23</f>
        <v>852512.43735132238</v>
      </c>
      <c r="F66" s="108">
        <f>F20*'Calculation Variables'!$F23</f>
        <v>862244.50573519152</v>
      </c>
      <c r="G66" s="108">
        <f>G20*'Calculation Variables'!$F23</f>
        <v>872663.42535740137</v>
      </c>
      <c r="H66" s="108">
        <f>H20*'Calculation Variables'!$F23</f>
        <v>884596.85169119691</v>
      </c>
      <c r="I66" s="1"/>
      <c r="J66" s="1"/>
      <c r="K66" s="1"/>
      <c r="L66" s="1"/>
      <c r="M66" s="1"/>
      <c r="N66" s="1"/>
      <c r="O66" s="1"/>
      <c r="P66" s="1"/>
      <c r="Q66" s="1"/>
      <c r="R66" s="1"/>
    </row>
    <row r="67" spans="2:18" outlineLevel="1">
      <c r="B67" s="58" t="s">
        <v>269</v>
      </c>
      <c r="C67" s="58"/>
      <c r="D67" s="108">
        <f>D21*'Calculation Variables'!$F24</f>
        <v>13.581642453460056</v>
      </c>
      <c r="E67" s="108">
        <f>E21*'Calculation Variables'!$F24</f>
        <v>7.2049683208886748</v>
      </c>
      <c r="F67" s="108">
        <f>F21*'Calculation Variables'!$F24</f>
        <v>7.2872184340018098</v>
      </c>
      <c r="G67" s="108">
        <f>G21*'Calculation Variables'!$F24</f>
        <v>7.3752734376908302</v>
      </c>
      <c r="H67" s="108">
        <f>H21*'Calculation Variables'!$F24</f>
        <v>7.4761282228266204</v>
      </c>
      <c r="I67" s="1"/>
      <c r="J67" s="1"/>
      <c r="K67" s="1"/>
      <c r="L67" s="1"/>
      <c r="M67" s="1"/>
      <c r="N67" s="1"/>
      <c r="O67" s="1"/>
      <c r="P67" s="1"/>
      <c r="Q67" s="1"/>
      <c r="R67" s="1"/>
    </row>
    <row r="68" spans="2:18" outlineLevel="1">
      <c r="B68" s="58" t="s">
        <v>272</v>
      </c>
      <c r="C68" s="58"/>
      <c r="D68" s="108">
        <f>D22*'Calculation Variables'!$F25</f>
        <v>1</v>
      </c>
      <c r="E68" s="108">
        <f>E22*'Calculation Variables'!$F25</f>
        <v>1</v>
      </c>
      <c r="F68" s="108">
        <f>F22*'Calculation Variables'!$F25</f>
        <v>1</v>
      </c>
      <c r="G68" s="108">
        <f>G22*'Calculation Variables'!$F25</f>
        <v>1</v>
      </c>
      <c r="H68" s="108">
        <f>H22*'Calculation Variables'!$F25</f>
        <v>1</v>
      </c>
      <c r="I68" s="1"/>
      <c r="J68" s="1"/>
      <c r="K68" s="1"/>
      <c r="L68" s="1"/>
      <c r="M68" s="1"/>
      <c r="N68" s="1"/>
      <c r="O68" s="1"/>
      <c r="P68" s="1"/>
      <c r="Q68" s="1"/>
      <c r="R68" s="1"/>
    </row>
    <row r="69" spans="2:18" outlineLevel="1">
      <c r="B69" s="58" t="s">
        <v>170</v>
      </c>
      <c r="C69" s="58"/>
      <c r="D69" s="108">
        <f>D23*'Calculation Variables'!$F26</f>
        <v>77917.790896148726</v>
      </c>
      <c r="E69" s="108">
        <f>E23*'Calculation Variables'!$F26</f>
        <v>79321.996735611523</v>
      </c>
      <c r="F69" s="108">
        <f>F23*'Calculation Variables'!$F26</f>
        <v>81120.460148634622</v>
      </c>
      <c r="G69" s="108">
        <f>G23*'Calculation Variables'!$F26</f>
        <v>82861.275914869067</v>
      </c>
      <c r="H69" s="108">
        <f>H23*'Calculation Variables'!$F26</f>
        <v>84780.202777770668</v>
      </c>
      <c r="I69" s="1"/>
      <c r="J69" s="1"/>
      <c r="K69" s="1"/>
      <c r="L69" s="1"/>
      <c r="M69" s="1"/>
      <c r="N69" s="1"/>
      <c r="O69" s="1"/>
      <c r="P69" s="1"/>
      <c r="Q69" s="1"/>
      <c r="R69" s="1"/>
    </row>
    <row r="70" spans="2:18" outlineLevel="1">
      <c r="B70" s="58" t="s">
        <v>270</v>
      </c>
      <c r="C70" s="58"/>
      <c r="D70" s="108">
        <f>D24*'Calculation Variables'!$F27</f>
        <v>1630.5185325527705</v>
      </c>
      <c r="E70" s="108">
        <f>E24*'Calculation Variables'!$F27</f>
        <v>1561.2354265661047</v>
      </c>
      <c r="F70" s="108">
        <f>F24*'Calculation Variables'!$F27</f>
        <v>1596.6332343539418</v>
      </c>
      <c r="G70" s="108">
        <f>G24*'Calculation Variables'!$F27</f>
        <v>1630.8964067048448</v>
      </c>
      <c r="H70" s="108">
        <f>H24*'Calculation Variables'!$F27</f>
        <v>1668.6652063145796</v>
      </c>
      <c r="I70" s="1"/>
      <c r="J70" s="1"/>
      <c r="K70" s="1"/>
      <c r="L70" s="1"/>
      <c r="M70" s="1"/>
      <c r="N70" s="1"/>
      <c r="O70" s="1"/>
      <c r="P70" s="1"/>
      <c r="Q70" s="1"/>
      <c r="R70" s="1"/>
    </row>
    <row r="71" spans="2:18" outlineLevel="1">
      <c r="B71" s="58" t="s">
        <v>271</v>
      </c>
      <c r="C71" s="58"/>
      <c r="D71" s="108">
        <f>D25*'Calculation Variables'!$F28</f>
        <v>373.61288105599544</v>
      </c>
      <c r="E71" s="108">
        <f>E25*'Calculation Variables'!$F28</f>
        <v>380.90977285028509</v>
      </c>
      <c r="F71" s="108">
        <f>F25*'Calculation Variables'!$F28</f>
        <v>389.5461198703623</v>
      </c>
      <c r="G71" s="108">
        <f>G25*'Calculation Variables'!$F28</f>
        <v>397.90563886104923</v>
      </c>
      <c r="H71" s="108">
        <f>H25*'Calculation Variables'!$F28</f>
        <v>407.1204597877142</v>
      </c>
      <c r="I71" s="1"/>
      <c r="J71" s="1"/>
      <c r="K71" s="1"/>
      <c r="L71" s="1"/>
      <c r="M71" s="1"/>
      <c r="N71" s="1"/>
      <c r="O71" s="1"/>
      <c r="P71" s="1"/>
      <c r="Q71" s="1"/>
      <c r="R71" s="1"/>
    </row>
    <row r="72" spans="2:18" outlineLevel="1">
      <c r="B72" s="58" t="s">
        <v>105</v>
      </c>
      <c r="C72" s="58"/>
      <c r="D72" s="108">
        <f>D26*'Calculation Variables'!$F29</f>
        <v>351006.78141432191</v>
      </c>
      <c r="E72" s="108">
        <f>E26*'Calculation Variables'!$F29</f>
        <v>343402.71864170098</v>
      </c>
      <c r="F72" s="108">
        <f>F26*'Calculation Variables'!$F29</f>
        <v>337293.87741479604</v>
      </c>
      <c r="G72" s="108">
        <f>G26*'Calculation Variables'!$F29</f>
        <v>330667.96397234476</v>
      </c>
      <c r="H72" s="108">
        <f>H26*'Calculation Variables'!$F29</f>
        <v>323418.80570423586</v>
      </c>
      <c r="I72" s="1"/>
      <c r="J72" s="1"/>
      <c r="K72" s="1"/>
      <c r="L72" s="1"/>
      <c r="M72" s="1"/>
      <c r="N72" s="1"/>
      <c r="O72" s="1"/>
      <c r="P72" s="1"/>
      <c r="Q72" s="1"/>
      <c r="R72" s="1"/>
    </row>
    <row r="73" spans="2:18" outlineLevel="1">
      <c r="B73" s="58" t="s">
        <v>173</v>
      </c>
      <c r="C73" s="58"/>
      <c r="D73" s="108">
        <f>D27*'Calculation Variables'!$F30</f>
        <v>82231.116166959691</v>
      </c>
      <c r="E73" s="108">
        <f>E27*'Calculation Variables'!$F30</f>
        <v>83975.533711402357</v>
      </c>
      <c r="F73" s="108">
        <f>F27*'Calculation Variables'!$F30</f>
        <v>88358.885249638333</v>
      </c>
      <c r="G73" s="108">
        <f>G27*'Calculation Variables'!$F30</f>
        <v>92754.07800308842</v>
      </c>
      <c r="H73" s="108">
        <f>H27*'Calculation Variables'!$F30</f>
        <v>97177.198020747775</v>
      </c>
      <c r="I73" s="1"/>
      <c r="J73" s="1"/>
      <c r="K73" s="1"/>
      <c r="L73" s="1"/>
      <c r="M73" s="1"/>
      <c r="N73" s="1"/>
      <c r="O73" s="1"/>
      <c r="P73" s="1"/>
      <c r="Q73" s="1"/>
      <c r="R73" s="1"/>
    </row>
    <row r="74" spans="2:18" outlineLevel="1">
      <c r="B74" s="114" t="s">
        <v>101</v>
      </c>
      <c r="C74" s="114"/>
      <c r="D74" s="112">
        <f>SUM(D66:D73)</f>
        <v>1355751.5698910395</v>
      </c>
      <c r="E74" s="112">
        <f t="shared" ref="E74" si="4">SUM(E66:E73)</f>
        <v>1361163.0366077747</v>
      </c>
      <c r="F74" s="112">
        <f t="shared" ref="F74" si="5">SUM(F66:F73)</f>
        <v>1371012.1951209188</v>
      </c>
      <c r="G74" s="112">
        <f t="shared" ref="G74" si="6">SUM(G66:G73)</f>
        <v>1380983.9205667072</v>
      </c>
      <c r="H74" s="112">
        <f t="shared" ref="H74" si="7">SUM(H66:H73)</f>
        <v>1392057.3199882763</v>
      </c>
      <c r="I74" s="1"/>
      <c r="J74" s="1"/>
      <c r="K74" s="1"/>
      <c r="L74" s="1"/>
      <c r="M74" s="1"/>
      <c r="N74" s="1"/>
      <c r="O74" s="1"/>
      <c r="P74" s="1"/>
      <c r="Q74" s="1"/>
      <c r="R74" s="1"/>
    </row>
    <row r="75" spans="2:18" outlineLevel="1">
      <c r="D75" s="108"/>
      <c r="E75" s="108"/>
      <c r="F75" s="108"/>
      <c r="G75" s="108"/>
      <c r="H75" s="109"/>
    </row>
    <row r="76" spans="2:18" outlineLevel="1">
      <c r="B76" s="119" t="s">
        <v>241</v>
      </c>
      <c r="C76" s="119"/>
      <c r="D76" s="120"/>
      <c r="E76" s="120"/>
      <c r="F76" s="120"/>
      <c r="G76" s="120"/>
      <c r="H76" s="121"/>
    </row>
    <row r="77" spans="2:18" outlineLevel="1">
      <c r="B77" s="58" t="s">
        <v>167</v>
      </c>
      <c r="C77" s="58"/>
      <c r="D77" s="108">
        <f>D20*'Calculation Variables'!$G23</f>
        <v>842577.16835754679</v>
      </c>
      <c r="E77" s="108">
        <f>E20*'Calculation Variables'!$G23</f>
        <v>852512.43735132238</v>
      </c>
      <c r="F77" s="108">
        <f>F20*'Calculation Variables'!$G23</f>
        <v>862244.50573519152</v>
      </c>
      <c r="G77" s="108">
        <f>G20*'Calculation Variables'!$G23</f>
        <v>872663.42535740137</v>
      </c>
      <c r="H77" s="108">
        <f>H20*'Calculation Variables'!$G23</f>
        <v>884596.85169119691</v>
      </c>
    </row>
    <row r="78" spans="2:18" outlineLevel="1">
      <c r="B78" s="58" t="s">
        <v>269</v>
      </c>
      <c r="C78" s="58"/>
      <c r="D78" s="108">
        <f>D21*'Calculation Variables'!$G24</f>
        <v>13.581642453460056</v>
      </c>
      <c r="E78" s="108">
        <f>E21*'Calculation Variables'!$G24</f>
        <v>7.2049683208886748</v>
      </c>
      <c r="F78" s="108">
        <f>F21*'Calculation Variables'!$G24</f>
        <v>7.2872184340018098</v>
      </c>
      <c r="G78" s="108">
        <f>G21*'Calculation Variables'!$G24</f>
        <v>7.3752734376908302</v>
      </c>
      <c r="H78" s="108">
        <f>H21*'Calculation Variables'!$G24</f>
        <v>7.4761282228266204</v>
      </c>
    </row>
    <row r="79" spans="2:18" outlineLevel="1">
      <c r="B79" s="58" t="s">
        <v>272</v>
      </c>
      <c r="C79" s="58"/>
      <c r="D79" s="108">
        <f>D22*'Calculation Variables'!$G25</f>
        <v>1</v>
      </c>
      <c r="E79" s="108">
        <f>E22*'Calculation Variables'!$G25</f>
        <v>1</v>
      </c>
      <c r="F79" s="108">
        <f>F22*'Calculation Variables'!$G25</f>
        <v>1</v>
      </c>
      <c r="G79" s="108">
        <f>G22*'Calculation Variables'!$G25</f>
        <v>1</v>
      </c>
      <c r="H79" s="108">
        <f>H22*'Calculation Variables'!$G25</f>
        <v>1</v>
      </c>
    </row>
    <row r="80" spans="2:18" outlineLevel="1">
      <c r="B80" s="58" t="s">
        <v>170</v>
      </c>
      <c r="C80" s="58"/>
      <c r="D80" s="108">
        <f>D23*'Calculation Variables'!$G26</f>
        <v>77917.790896148726</v>
      </c>
      <c r="E80" s="108">
        <f>E23*'Calculation Variables'!$G26</f>
        <v>79321.996735611523</v>
      </c>
      <c r="F80" s="108">
        <f>F23*'Calculation Variables'!$G26</f>
        <v>81120.460148634622</v>
      </c>
      <c r="G80" s="108">
        <f>G23*'Calculation Variables'!$G26</f>
        <v>82861.275914869067</v>
      </c>
      <c r="H80" s="108">
        <f>H23*'Calculation Variables'!$G26</f>
        <v>84780.202777770668</v>
      </c>
    </row>
    <row r="81" spans="2:18" outlineLevel="1">
      <c r="B81" s="58" t="s">
        <v>270</v>
      </c>
      <c r="C81" s="58"/>
      <c r="D81" s="108">
        <f>D24*'Calculation Variables'!$G27</f>
        <v>1630.5185325527705</v>
      </c>
      <c r="E81" s="108">
        <f>E24*'Calculation Variables'!$G27</f>
        <v>1561.2354265661047</v>
      </c>
      <c r="F81" s="108">
        <f>F24*'Calculation Variables'!$G27</f>
        <v>1596.6332343539418</v>
      </c>
      <c r="G81" s="108">
        <f>G24*'Calculation Variables'!$G27</f>
        <v>1630.8964067048448</v>
      </c>
      <c r="H81" s="108">
        <f>H24*'Calculation Variables'!$G27</f>
        <v>1668.6652063145796</v>
      </c>
    </row>
    <row r="82" spans="2:18" outlineLevel="1">
      <c r="B82" s="58" t="s">
        <v>271</v>
      </c>
      <c r="C82" s="58"/>
      <c r="D82" s="108">
        <f>D25*'Calculation Variables'!$G28</f>
        <v>373.61288105599544</v>
      </c>
      <c r="E82" s="108">
        <f>E25*'Calculation Variables'!$G28</f>
        <v>380.90977285028509</v>
      </c>
      <c r="F82" s="108">
        <f>F25*'Calculation Variables'!$G28</f>
        <v>389.5461198703623</v>
      </c>
      <c r="G82" s="108">
        <f>G25*'Calculation Variables'!$G28</f>
        <v>397.90563886104923</v>
      </c>
      <c r="H82" s="108">
        <f>H25*'Calculation Variables'!$G28</f>
        <v>407.1204597877142</v>
      </c>
    </row>
    <row r="83" spans="2:18" outlineLevel="1">
      <c r="B83" s="58" t="s">
        <v>105</v>
      </c>
      <c r="C83" s="58"/>
      <c r="D83" s="108">
        <f>D26*'Calculation Variables'!$G29</f>
        <v>351006.78141432191</v>
      </c>
      <c r="E83" s="108">
        <f>E26*'Calculation Variables'!$G29</f>
        <v>343402.71864170098</v>
      </c>
      <c r="F83" s="108">
        <f>F26*'Calculation Variables'!$G29</f>
        <v>337293.87741479604</v>
      </c>
      <c r="G83" s="108">
        <f>G26*'Calculation Variables'!$G29</f>
        <v>330667.96397234476</v>
      </c>
      <c r="H83" s="108">
        <f>H26*'Calculation Variables'!$G29</f>
        <v>323418.80570423586</v>
      </c>
    </row>
    <row r="84" spans="2:18" outlineLevel="1">
      <c r="B84" s="58" t="s">
        <v>173</v>
      </c>
      <c r="C84" s="58"/>
      <c r="D84" s="108">
        <f>D27*'Calculation Variables'!$G30</f>
        <v>82231.116166959691</v>
      </c>
      <c r="E84" s="108">
        <f>E27*'Calculation Variables'!$G30</f>
        <v>83975.533711402357</v>
      </c>
      <c r="F84" s="108">
        <f>F27*'Calculation Variables'!$G30</f>
        <v>88358.885249638333</v>
      </c>
      <c r="G84" s="108">
        <f>G27*'Calculation Variables'!$G30</f>
        <v>92754.07800308842</v>
      </c>
      <c r="H84" s="108">
        <f>H27*'Calculation Variables'!$G30</f>
        <v>97177.198020747775</v>
      </c>
    </row>
    <row r="85" spans="2:18" outlineLevel="1">
      <c r="B85" s="114" t="s">
        <v>101</v>
      </c>
      <c r="C85" s="114"/>
      <c r="D85" s="112">
        <f>SUM(D77:D84)</f>
        <v>1355751.5698910395</v>
      </c>
      <c r="E85" s="112">
        <f t="shared" ref="E85" si="8">SUM(E77:E84)</f>
        <v>1361163.0366077747</v>
      </c>
      <c r="F85" s="112">
        <f t="shared" ref="F85" si="9">SUM(F77:F84)</f>
        <v>1371012.1951209188</v>
      </c>
      <c r="G85" s="112">
        <f t="shared" ref="G85" si="10">SUM(G77:G84)</f>
        <v>1380983.9205667072</v>
      </c>
      <c r="H85" s="112">
        <f t="shared" ref="H85" si="11">SUM(H77:H84)</f>
        <v>1392057.3199882763</v>
      </c>
    </row>
    <row r="86" spans="2:18" outlineLevel="1">
      <c r="B86" s="115"/>
      <c r="C86" s="115"/>
      <c r="D86" s="116"/>
      <c r="E86" s="116"/>
      <c r="F86" s="116"/>
      <c r="G86" s="116"/>
      <c r="H86" s="116"/>
    </row>
    <row r="87" spans="2:18">
      <c r="B87" s="16" t="s">
        <v>285</v>
      </c>
      <c r="C87" s="16"/>
      <c r="D87" s="110"/>
      <c r="E87" s="110"/>
      <c r="F87" s="110"/>
      <c r="G87" s="110"/>
      <c r="H87" s="110"/>
      <c r="I87" s="1"/>
      <c r="J87" s="1"/>
      <c r="K87" s="1"/>
      <c r="L87" s="1"/>
      <c r="M87" s="1"/>
      <c r="N87" s="1"/>
      <c r="O87" s="1"/>
      <c r="P87" s="1"/>
      <c r="Q87" s="1"/>
      <c r="R87" s="1"/>
    </row>
    <row r="89" spans="2:18">
      <c r="B89" s="103" t="s">
        <v>252</v>
      </c>
      <c r="C89" s="103"/>
      <c r="D89" s="106"/>
      <c r="E89" s="106"/>
      <c r="F89" s="106"/>
      <c r="G89" s="106"/>
      <c r="H89" s="106"/>
      <c r="I89" s="1"/>
      <c r="J89" s="1"/>
      <c r="K89" s="382" t="s">
        <v>852</v>
      </c>
      <c r="L89" s="365"/>
      <c r="M89" s="365"/>
      <c r="N89" s="365"/>
      <c r="O89" s="365"/>
      <c r="P89" s="1"/>
      <c r="Q89" s="1"/>
      <c r="R89" s="1"/>
    </row>
    <row r="90" spans="2:18">
      <c r="D90" s="107"/>
      <c r="E90" s="107"/>
      <c r="F90" s="107"/>
      <c r="G90" s="107"/>
      <c r="H90" s="107"/>
      <c r="I90" s="1"/>
      <c r="J90" s="1"/>
      <c r="K90" s="382" t="s">
        <v>42</v>
      </c>
      <c r="L90" s="382" t="s">
        <v>43</v>
      </c>
      <c r="M90" s="382" t="s">
        <v>44</v>
      </c>
      <c r="N90" s="382" t="s">
        <v>45</v>
      </c>
      <c r="O90" s="382" t="s">
        <v>46</v>
      </c>
      <c r="P90" s="1"/>
      <c r="Q90" s="1"/>
      <c r="R90" s="1"/>
    </row>
    <row r="91" spans="2:18">
      <c r="B91" s="326" t="s">
        <v>219</v>
      </c>
      <c r="C91" s="326"/>
      <c r="D91" s="394">
        <f>K91*$D$94</f>
        <v>5091155.3648260981</v>
      </c>
      <c r="E91" s="394">
        <f>L91*$E$94</f>
        <v>5350024.9017633041</v>
      </c>
      <c r="F91" s="394">
        <f>M91*$F$94</f>
        <v>5501956.8078037137</v>
      </c>
      <c r="G91" s="394">
        <f>N91*$G$94</f>
        <v>5681831.764775292</v>
      </c>
      <c r="H91" s="394">
        <f>O91*$H$94</f>
        <v>5850982.6194725167</v>
      </c>
      <c r="I91" s="1"/>
      <c r="J91" s="1"/>
      <c r="K91" s="396">
        <v>0.37030777807845416</v>
      </c>
      <c r="L91" s="396">
        <v>0.36705996100416421</v>
      </c>
      <c r="M91" s="396">
        <v>0.36499701429285264</v>
      </c>
      <c r="N91" s="396">
        <v>0.36288059855545002</v>
      </c>
      <c r="O91" s="396">
        <v>0.36071909947213071</v>
      </c>
      <c r="P91" s="1"/>
      <c r="Q91" s="1"/>
      <c r="R91" s="1"/>
    </row>
    <row r="92" spans="2:18">
      <c r="B92" s="326" t="s">
        <v>220</v>
      </c>
      <c r="C92" s="326"/>
      <c r="D92" s="394">
        <f>K92*$D$94</f>
        <v>4138573.3804569594</v>
      </c>
      <c r="E92" s="394">
        <f t="shared" ref="E92:E93" si="12">L92*$E$94</f>
        <v>4384271.5054448098</v>
      </c>
      <c r="F92" s="394">
        <f t="shared" ref="F92:F93" si="13">M92*$F$94</f>
        <v>4532148.1229039105</v>
      </c>
      <c r="G92" s="394">
        <f t="shared" ref="G92:G93" si="14">N92*$G$94</f>
        <v>4705362.4898631973</v>
      </c>
      <c r="H92" s="394">
        <f t="shared" ref="H92:H93" si="15">O92*$H$94</f>
        <v>4872096.0411452046</v>
      </c>
      <c r="I92" s="1"/>
      <c r="J92" s="1"/>
      <c r="K92" s="396">
        <v>0.30102124235291366</v>
      </c>
      <c r="L92" s="396">
        <v>0.30080056773003755</v>
      </c>
      <c r="M92" s="396">
        <v>0.3006603997411641</v>
      </c>
      <c r="N92" s="396">
        <v>0.3005165987714612</v>
      </c>
      <c r="O92" s="396">
        <v>0.30036973459033645</v>
      </c>
      <c r="P92" s="1"/>
      <c r="Q92" s="1"/>
      <c r="R92" s="1"/>
    </row>
    <row r="93" spans="2:18">
      <c r="B93" s="327" t="s">
        <v>221</v>
      </c>
      <c r="C93" s="327"/>
      <c r="D93" s="394">
        <f t="shared" ref="D93" si="16">K93*$D$94</f>
        <v>4518714.2154464228</v>
      </c>
      <c r="E93" s="394">
        <f t="shared" si="12"/>
        <v>4841046.7795760455</v>
      </c>
      <c r="F93" s="394">
        <f t="shared" si="13"/>
        <v>5039872.6426794836</v>
      </c>
      <c r="G93" s="394">
        <f t="shared" si="14"/>
        <v>5270385.0907259313</v>
      </c>
      <c r="H93" s="394">
        <f t="shared" si="15"/>
        <v>5497250.7536958847</v>
      </c>
      <c r="I93" s="1"/>
      <c r="J93" s="1"/>
      <c r="K93" s="396">
        <v>0.32867097956863206</v>
      </c>
      <c r="L93" s="396">
        <v>0.33213947126579824</v>
      </c>
      <c r="M93" s="396">
        <v>0.33434258596598332</v>
      </c>
      <c r="N93" s="396">
        <v>0.33660280267308884</v>
      </c>
      <c r="O93" s="396">
        <v>0.33891116593753295</v>
      </c>
      <c r="P93" s="1"/>
      <c r="Q93" s="1"/>
      <c r="R93" s="1"/>
    </row>
    <row r="94" spans="2:18">
      <c r="B94" s="226" t="s">
        <v>234</v>
      </c>
      <c r="C94" s="226"/>
      <c r="D94" s="395">
        <v>13748442.960729482</v>
      </c>
      <c r="E94" s="395">
        <v>14575343.186784159</v>
      </c>
      <c r="F94" s="395">
        <v>15073977.573387107</v>
      </c>
      <c r="G94" s="395">
        <v>15657579.34536442</v>
      </c>
      <c r="H94" s="395">
        <v>16220329.414313605</v>
      </c>
      <c r="I94" s="1"/>
      <c r="J94" s="1"/>
      <c r="K94" s="1"/>
      <c r="L94" s="1"/>
      <c r="M94" s="1"/>
      <c r="N94" s="1"/>
      <c r="O94" s="1"/>
      <c r="P94" s="1"/>
      <c r="Q94" s="1"/>
      <c r="R94" s="1"/>
    </row>
    <row r="95" spans="2:18">
      <c r="D95" s="108"/>
      <c r="E95" s="108"/>
      <c r="F95" s="108"/>
      <c r="G95" s="108"/>
      <c r="H95" s="109"/>
      <c r="I95" s="1"/>
      <c r="J95" s="1"/>
      <c r="K95" s="1"/>
      <c r="L95" s="1"/>
      <c r="M95" s="1"/>
      <c r="N95" s="1"/>
      <c r="O95" s="1"/>
      <c r="P95" s="1"/>
      <c r="Q95" s="1"/>
      <c r="R95" s="1"/>
    </row>
    <row r="96" spans="2:18">
      <c r="B96" s="326" t="s">
        <v>235</v>
      </c>
      <c r="C96" s="326"/>
      <c r="D96" s="393">
        <f>'Recoverable Replcmt RAB'!D40</f>
        <v>0</v>
      </c>
      <c r="E96" s="393">
        <f>'Recoverable Replcmt RAB'!E40</f>
        <v>327526.86516377504</v>
      </c>
      <c r="F96" s="393">
        <f>'Recoverable Replcmt RAB'!F40</f>
        <v>649262.42984464904</v>
      </c>
      <c r="G96" s="393">
        <f>'Recoverable Replcmt RAB'!G40</f>
        <v>1185649.0623970446</v>
      </c>
      <c r="H96" s="393">
        <f>'Recoverable Replcmt RAB'!H40</f>
        <v>1962157.8896265756</v>
      </c>
      <c r="I96" s="1"/>
      <c r="J96" s="1"/>
      <c r="K96" s="1"/>
      <c r="L96" s="1"/>
      <c r="M96" s="1"/>
      <c r="N96" s="1"/>
      <c r="O96" s="1"/>
      <c r="P96" s="1"/>
      <c r="Q96" s="1"/>
      <c r="R96" s="1"/>
    </row>
    <row r="97" spans="2:18">
      <c r="B97" s="327" t="s">
        <v>213</v>
      </c>
      <c r="C97" s="327"/>
      <c r="D97" s="330">
        <f>'Recoverable Opening RAB'!D29*1000000</f>
        <v>1656012.4725349825</v>
      </c>
      <c r="E97" s="330">
        <f>'Recoverable Opening RAB'!E29*1000000</f>
        <v>1647128.4099706959</v>
      </c>
      <c r="F97" s="330">
        <f>'Recoverable Opening RAB'!F29*1000000</f>
        <v>1649527.086536295</v>
      </c>
      <c r="G97" s="330">
        <f>'Recoverable Opening RAB'!G29*1000000</f>
        <v>1651106.9406898725</v>
      </c>
      <c r="H97" s="330">
        <f>'Recoverable Opening RAB'!H29*1000000</f>
        <v>1651827.6377782631</v>
      </c>
      <c r="I97" s="1"/>
      <c r="J97" s="1"/>
      <c r="K97" s="1"/>
      <c r="L97" s="1"/>
      <c r="M97" s="1"/>
      <c r="N97" s="1"/>
      <c r="O97" s="1"/>
      <c r="P97" s="1"/>
      <c r="Q97" s="1"/>
      <c r="R97" s="1"/>
    </row>
    <row r="98" spans="2:18">
      <c r="B98" s="22" t="s">
        <v>236</v>
      </c>
      <c r="C98" s="22"/>
      <c r="D98" s="112">
        <f>SUM(D96:D97)</f>
        <v>1656012.4725349825</v>
      </c>
      <c r="E98" s="112">
        <f t="shared" ref="E98" si="17">SUM(E96:E97)</f>
        <v>1974655.2751344708</v>
      </c>
      <c r="F98" s="112">
        <f t="shared" ref="F98" si="18">SUM(F96:F97)</f>
        <v>2298789.5163809443</v>
      </c>
      <c r="G98" s="112">
        <f t="shared" ref="G98" si="19">SUM(G96:G97)</f>
        <v>2836756.0030869171</v>
      </c>
      <c r="H98" s="112">
        <f t="shared" ref="H98" si="20">SUM(H96:H97)</f>
        <v>3613985.5274048387</v>
      </c>
      <c r="I98" s="1"/>
      <c r="J98" s="1"/>
      <c r="K98" s="1"/>
      <c r="L98" s="1"/>
      <c r="M98" s="1"/>
      <c r="N98" s="1"/>
      <c r="O98" s="1"/>
      <c r="P98" s="1"/>
      <c r="Q98" s="1"/>
      <c r="R98" s="1"/>
    </row>
    <row r="99" spans="2:18">
      <c r="B99" s="24"/>
      <c r="C99" s="24"/>
      <c r="D99" s="108"/>
      <c r="E99" s="108"/>
      <c r="F99" s="108"/>
      <c r="G99" s="108"/>
      <c r="H99" s="109"/>
      <c r="I99" s="1"/>
      <c r="J99" s="1"/>
      <c r="K99" s="1"/>
      <c r="L99" s="1"/>
      <c r="M99" s="1"/>
      <c r="N99" s="1"/>
      <c r="O99" s="1"/>
      <c r="P99" s="1"/>
      <c r="Q99" s="1"/>
      <c r="R99" s="1"/>
    </row>
    <row r="100" spans="2:18" ht="13.5" thickBot="1">
      <c r="B100" s="27" t="s">
        <v>349</v>
      </c>
      <c r="C100" s="27"/>
      <c r="D100" s="113">
        <f>SUM(D98,D94)</f>
        <v>15404455.433264464</v>
      </c>
      <c r="E100" s="113">
        <f t="shared" ref="E100:H100" si="21">SUM(E98,E94)</f>
        <v>16549998.46191863</v>
      </c>
      <c r="F100" s="113">
        <f t="shared" si="21"/>
        <v>17372767.089768052</v>
      </c>
      <c r="G100" s="113">
        <f t="shared" si="21"/>
        <v>18494335.348451339</v>
      </c>
      <c r="H100" s="113">
        <f t="shared" si="21"/>
        <v>19834314.941718444</v>
      </c>
      <c r="I100" s="1"/>
      <c r="J100" s="1"/>
      <c r="K100" s="1"/>
      <c r="L100" s="1"/>
      <c r="M100" s="1"/>
      <c r="N100" s="1"/>
      <c r="O100" s="1"/>
      <c r="P100" s="1"/>
      <c r="Q100" s="1"/>
      <c r="R100" s="1"/>
    </row>
    <row r="101" spans="2:18">
      <c r="D101" s="108"/>
      <c r="E101" s="108"/>
      <c r="F101" s="108"/>
      <c r="G101" s="108"/>
      <c r="H101" s="109"/>
      <c r="I101" s="1"/>
      <c r="J101" s="1"/>
      <c r="K101" s="1"/>
      <c r="L101" s="1"/>
      <c r="M101" s="1"/>
      <c r="N101" s="1"/>
      <c r="O101" s="1"/>
      <c r="P101" s="1"/>
      <c r="Q101" s="1"/>
      <c r="R101" s="1"/>
    </row>
    <row r="102" spans="2:18">
      <c r="B102" s="103" t="s">
        <v>253</v>
      </c>
      <c r="C102" s="103"/>
      <c r="D102" s="106"/>
      <c r="E102" s="106"/>
      <c r="F102" s="106"/>
      <c r="G102" s="106"/>
      <c r="H102" s="106"/>
      <c r="I102" s="1"/>
      <c r="J102" s="1"/>
      <c r="K102" s="1"/>
      <c r="L102" s="1"/>
      <c r="M102" s="1"/>
      <c r="N102" s="1"/>
      <c r="O102" s="1"/>
      <c r="P102" s="1"/>
      <c r="Q102" s="1"/>
      <c r="R102" s="1"/>
    </row>
    <row r="103" spans="2:18">
      <c r="D103" s="108"/>
      <c r="E103" s="108"/>
      <c r="F103" s="108"/>
      <c r="G103" s="108"/>
      <c r="H103" s="109"/>
      <c r="I103" s="1"/>
      <c r="J103" s="1"/>
      <c r="K103" s="1"/>
      <c r="L103" s="1"/>
      <c r="M103" s="1"/>
      <c r="N103" s="1"/>
      <c r="O103" s="1"/>
      <c r="P103" s="1"/>
      <c r="Q103" s="1"/>
      <c r="R103" s="1"/>
    </row>
    <row r="104" spans="2:18">
      <c r="C104" s="40" t="s">
        <v>250</v>
      </c>
      <c r="D104" s="40" t="s">
        <v>42</v>
      </c>
      <c r="E104" s="40" t="s">
        <v>43</v>
      </c>
      <c r="F104" s="40" t="s">
        <v>44</v>
      </c>
      <c r="G104" s="40" t="s">
        <v>45</v>
      </c>
      <c r="H104" s="40" t="s">
        <v>46</v>
      </c>
      <c r="I104" s="1"/>
      <c r="J104" s="1"/>
      <c r="K104" s="1"/>
      <c r="L104" s="1"/>
      <c r="M104" s="1"/>
      <c r="N104" s="1"/>
      <c r="O104" s="1"/>
      <c r="P104" s="1"/>
      <c r="Q104" s="1"/>
      <c r="R104" s="1"/>
    </row>
    <row r="105" spans="2:18" outlineLevel="1">
      <c r="D105" s="108"/>
      <c r="E105" s="108"/>
      <c r="F105" s="108"/>
      <c r="G105" s="108"/>
      <c r="H105" s="109"/>
      <c r="I105" s="1"/>
      <c r="J105" s="1"/>
      <c r="K105" s="1"/>
      <c r="L105" s="1"/>
      <c r="M105" s="1"/>
      <c r="N105" s="1"/>
      <c r="O105" s="1"/>
      <c r="P105" s="1"/>
      <c r="Q105" s="1"/>
      <c r="R105" s="1"/>
    </row>
    <row r="106" spans="2:18" outlineLevel="1">
      <c r="B106" s="119" t="s">
        <v>245</v>
      </c>
      <c r="C106" s="119"/>
      <c r="D106" s="120"/>
      <c r="E106" s="120"/>
      <c r="F106" s="120"/>
      <c r="G106" s="120"/>
      <c r="H106" s="121"/>
      <c r="I106" s="1"/>
      <c r="J106" s="1"/>
      <c r="K106" s="1"/>
      <c r="L106" s="1"/>
      <c r="M106" s="1"/>
      <c r="N106" s="1"/>
      <c r="O106" s="1"/>
      <c r="P106" s="1"/>
      <c r="Q106" s="1"/>
      <c r="R106" s="1"/>
    </row>
    <row r="107" spans="2:18" outlineLevel="1">
      <c r="B107" s="58" t="s">
        <v>167</v>
      </c>
      <c r="C107" s="122">
        <f t="shared" ref="C107" si="22">AVERAGE(D107:H107)</f>
        <v>5.5461084143572803</v>
      </c>
      <c r="D107" s="97">
        <f t="shared" ref="D107:G114" si="23">((D33/D$41)*D$91)/D20</f>
        <v>5.2630686954654422</v>
      </c>
      <c r="E107" s="97">
        <f t="shared" si="23"/>
        <v>5.470092062778237</v>
      </c>
      <c r="F107" s="97">
        <f t="shared" si="23"/>
        <v>5.560414034386036</v>
      </c>
      <c r="G107" s="97">
        <f t="shared" si="23"/>
        <v>5.6733234512756905</v>
      </c>
      <c r="H107" s="97">
        <f t="shared" ref="H107" si="24">((H33/H$41)*H$91)/H20</f>
        <v>5.7636438278809967</v>
      </c>
      <c r="I107" s="1"/>
      <c r="J107" s="1"/>
      <c r="K107" s="1"/>
      <c r="L107" s="1"/>
      <c r="M107" s="1"/>
      <c r="N107" s="1"/>
      <c r="O107" s="1"/>
      <c r="P107" s="1"/>
      <c r="Q107" s="1"/>
      <c r="R107" s="1"/>
    </row>
    <row r="108" spans="2:18" outlineLevel="1">
      <c r="B108" s="58" t="s">
        <v>269</v>
      </c>
      <c r="C108" s="122">
        <f t="shared" ref="C108:C114" si="25">AVERAGE(D108:H108)</f>
        <v>5.5461084143572803</v>
      </c>
      <c r="D108" s="97">
        <f t="shared" si="23"/>
        <v>5.2630686954654422</v>
      </c>
      <c r="E108" s="97">
        <f t="shared" si="23"/>
        <v>5.4700920627782379</v>
      </c>
      <c r="F108" s="97">
        <f t="shared" si="23"/>
        <v>5.560414034386036</v>
      </c>
      <c r="G108" s="97">
        <f t="shared" si="23"/>
        <v>5.6733234512756896</v>
      </c>
      <c r="H108" s="97">
        <f t="shared" ref="H108" si="26">((H34/H$41)*H$91)/H21</f>
        <v>5.7636438278809967</v>
      </c>
      <c r="I108" s="1"/>
      <c r="J108" s="1"/>
      <c r="K108" s="1"/>
      <c r="L108" s="1"/>
      <c r="M108" s="1"/>
      <c r="N108" s="1"/>
      <c r="O108" s="1"/>
      <c r="P108" s="1"/>
      <c r="Q108" s="1"/>
      <c r="R108" s="1"/>
    </row>
    <row r="109" spans="2:18" outlineLevel="1">
      <c r="B109" s="58" t="s">
        <v>272</v>
      </c>
      <c r="C109" s="122">
        <f t="shared" ref="C109" si="27">AVERAGE(D109:H109)</f>
        <v>27.730542071786402</v>
      </c>
      <c r="D109" s="97">
        <f t="shared" si="23"/>
        <v>26.315343477327215</v>
      </c>
      <c r="E109" s="97">
        <f t="shared" si="23"/>
        <v>27.35046031389119</v>
      </c>
      <c r="F109" s="97">
        <f t="shared" si="23"/>
        <v>27.802070171930183</v>
      </c>
      <c r="G109" s="97">
        <f t="shared" si="23"/>
        <v>28.366617256378451</v>
      </c>
      <c r="H109" s="97">
        <f t="shared" ref="H109" si="28">((H35/H$41)*H$91)/H22</f>
        <v>28.818219139404984</v>
      </c>
      <c r="I109" s="1"/>
      <c r="J109" s="1"/>
      <c r="K109" s="1"/>
      <c r="L109" s="1"/>
      <c r="M109" s="1"/>
      <c r="N109" s="1"/>
      <c r="O109" s="1"/>
      <c r="P109" s="1"/>
      <c r="Q109" s="1"/>
      <c r="R109" s="1"/>
    </row>
    <row r="110" spans="2:18" outlineLevel="1">
      <c r="B110" s="58" t="s">
        <v>170</v>
      </c>
      <c r="C110" s="122">
        <f t="shared" si="25"/>
        <v>5.5461084143572803</v>
      </c>
      <c r="D110" s="97">
        <f t="shared" si="23"/>
        <v>5.2630686954654422</v>
      </c>
      <c r="E110" s="97">
        <f t="shared" si="23"/>
        <v>5.4700920627782379</v>
      </c>
      <c r="F110" s="97">
        <f t="shared" si="23"/>
        <v>5.560414034386036</v>
      </c>
      <c r="G110" s="97">
        <f t="shared" si="23"/>
        <v>5.6733234512756896</v>
      </c>
      <c r="H110" s="97">
        <f t="shared" ref="H110" si="29">((H36/H$41)*H$91)/H23</f>
        <v>5.7636438278809958</v>
      </c>
      <c r="I110" s="1"/>
      <c r="J110" s="1"/>
      <c r="K110" s="1"/>
      <c r="L110" s="1"/>
      <c r="M110" s="1"/>
      <c r="N110" s="1"/>
      <c r="O110" s="1"/>
      <c r="P110" s="1"/>
      <c r="Q110" s="1"/>
      <c r="R110" s="1"/>
    </row>
    <row r="111" spans="2:18" outlineLevel="1">
      <c r="B111" s="58" t="s">
        <v>270</v>
      </c>
      <c r="C111" s="122">
        <f t="shared" si="25"/>
        <v>5.5461084143572821</v>
      </c>
      <c r="D111" s="97">
        <f t="shared" si="23"/>
        <v>5.2630686954654422</v>
      </c>
      <c r="E111" s="97">
        <f t="shared" si="23"/>
        <v>5.4700920627782379</v>
      </c>
      <c r="F111" s="97">
        <f t="shared" si="23"/>
        <v>5.5604140343860369</v>
      </c>
      <c r="G111" s="97">
        <f t="shared" si="23"/>
        <v>5.6733234512756905</v>
      </c>
      <c r="H111" s="97">
        <f t="shared" ref="H111" si="30">((H37/H$41)*H$91)/H24</f>
        <v>5.7636438278809976</v>
      </c>
      <c r="I111" s="1"/>
      <c r="J111" s="1"/>
      <c r="K111" s="1"/>
      <c r="L111" s="1"/>
      <c r="M111" s="1"/>
      <c r="N111" s="1"/>
      <c r="O111" s="1"/>
      <c r="P111" s="1"/>
      <c r="Q111" s="1"/>
      <c r="R111" s="1"/>
    </row>
    <row r="112" spans="2:18" outlineLevel="1">
      <c r="B112" s="58" t="s">
        <v>271</v>
      </c>
      <c r="C112" s="122">
        <f t="shared" si="25"/>
        <v>27.730542071786402</v>
      </c>
      <c r="D112" s="97">
        <f t="shared" si="23"/>
        <v>26.315343477327215</v>
      </c>
      <c r="E112" s="97">
        <f t="shared" si="23"/>
        <v>27.35046031389119</v>
      </c>
      <c r="F112" s="97">
        <f t="shared" si="23"/>
        <v>27.802070171930179</v>
      </c>
      <c r="G112" s="97">
        <f t="shared" si="23"/>
        <v>28.366617256378451</v>
      </c>
      <c r="H112" s="97">
        <f t="shared" ref="H112" si="31">((H38/H$41)*H$91)/H25</f>
        <v>28.818219139404984</v>
      </c>
      <c r="I112" s="1"/>
      <c r="J112" s="1"/>
      <c r="K112" s="1"/>
      <c r="L112" s="1"/>
      <c r="M112" s="1"/>
      <c r="N112" s="1"/>
      <c r="O112" s="1"/>
      <c r="P112" s="1"/>
      <c r="Q112" s="1"/>
      <c r="R112" s="1"/>
    </row>
    <row r="113" spans="2:18" outlineLevel="1">
      <c r="B113" s="58" t="s">
        <v>105</v>
      </c>
      <c r="C113" s="122">
        <f t="shared" si="25"/>
        <v>0.55461084143572814</v>
      </c>
      <c r="D113" s="97">
        <f t="shared" si="23"/>
        <v>0.52630686954654426</v>
      </c>
      <c r="E113" s="97">
        <f t="shared" si="23"/>
        <v>0.54700920627782368</v>
      </c>
      <c r="F113" s="97">
        <f t="shared" si="23"/>
        <v>0.55604140343860364</v>
      </c>
      <c r="G113" s="97">
        <f t="shared" si="23"/>
        <v>0.56733234512756914</v>
      </c>
      <c r="H113" s="97">
        <f t="shared" ref="H113" si="32">((H39/H$41)*H$91)/H26</f>
        <v>0.57636438278809965</v>
      </c>
      <c r="I113" s="1"/>
      <c r="J113" s="1"/>
      <c r="K113" s="1"/>
      <c r="L113" s="1"/>
      <c r="M113" s="1"/>
      <c r="N113" s="1"/>
      <c r="O113" s="1"/>
      <c r="P113" s="1"/>
      <c r="Q113" s="1"/>
      <c r="R113" s="1"/>
    </row>
    <row r="114" spans="2:18" outlineLevel="1">
      <c r="B114" s="58" t="s">
        <v>173</v>
      </c>
      <c r="C114" s="122">
        <f t="shared" si="25"/>
        <v>0.55461084143572814</v>
      </c>
      <c r="D114" s="97">
        <f t="shared" si="23"/>
        <v>0.52630686954654426</v>
      </c>
      <c r="E114" s="97">
        <f t="shared" si="23"/>
        <v>0.54700920627782379</v>
      </c>
      <c r="F114" s="97">
        <f t="shared" si="23"/>
        <v>0.55604140343860353</v>
      </c>
      <c r="G114" s="97">
        <f t="shared" si="23"/>
        <v>0.56733234512756903</v>
      </c>
      <c r="H114" s="97">
        <f t="shared" ref="H114" si="33">((H40/H$41)*H$91)/H27</f>
        <v>0.57636438278809976</v>
      </c>
      <c r="I114" s="1"/>
      <c r="J114" s="1"/>
      <c r="K114" s="1"/>
      <c r="L114" s="1"/>
      <c r="M114" s="1"/>
      <c r="N114" s="1"/>
      <c r="O114" s="1"/>
      <c r="P114" s="1"/>
      <c r="Q114" s="1"/>
      <c r="R114" s="1"/>
    </row>
    <row r="115" spans="2:18" outlineLevel="1">
      <c r="D115" s="108"/>
      <c r="E115" s="108"/>
      <c r="F115" s="108"/>
      <c r="G115" s="108"/>
      <c r="H115" s="108"/>
      <c r="I115" s="1"/>
      <c r="J115" s="1"/>
      <c r="K115" s="1"/>
      <c r="L115" s="1"/>
      <c r="M115" s="1"/>
      <c r="N115" s="1"/>
      <c r="O115" s="1"/>
      <c r="P115" s="1"/>
      <c r="Q115" s="1"/>
      <c r="R115" s="1"/>
    </row>
    <row r="116" spans="2:18" outlineLevel="1">
      <c r="B116" s="119" t="s">
        <v>246</v>
      </c>
      <c r="C116" s="119"/>
      <c r="D116" s="120"/>
      <c r="E116" s="120"/>
      <c r="F116" s="120"/>
      <c r="G116" s="120"/>
      <c r="H116" s="120"/>
      <c r="I116" s="1"/>
      <c r="J116" s="1"/>
      <c r="K116" s="1"/>
      <c r="L116" s="1"/>
      <c r="M116" s="1"/>
      <c r="N116" s="1"/>
      <c r="O116" s="1"/>
      <c r="P116" s="1"/>
      <c r="Q116" s="1"/>
      <c r="R116" s="1"/>
    </row>
    <row r="117" spans="2:18" outlineLevel="1">
      <c r="B117" s="58" t="s">
        <v>167</v>
      </c>
      <c r="C117" s="122">
        <f t="shared" ref="C117" si="34">AVERAGE(D117:H117)</f>
        <v>4.5279036538593314</v>
      </c>
      <c r="D117" s="97">
        <f t="shared" ref="D117:G124" si="35">((D44/D$52)*D$92)/D20</f>
        <v>4.2409121275516846</v>
      </c>
      <c r="E117" s="97">
        <f t="shared" si="35"/>
        <v>4.4441165738913551</v>
      </c>
      <c r="F117" s="97">
        <f t="shared" si="35"/>
        <v>4.5404918224575876</v>
      </c>
      <c r="G117" s="97">
        <f t="shared" si="35"/>
        <v>4.6571105048706913</v>
      </c>
      <c r="H117" s="97">
        <f t="shared" ref="H117" si="36">((H44/H$52)*H$92)/H20</f>
        <v>4.75688724052534</v>
      </c>
      <c r="I117" s="1"/>
      <c r="J117" s="1"/>
      <c r="K117" s="1"/>
      <c r="L117" s="1"/>
      <c r="M117" s="1"/>
      <c r="N117" s="1"/>
      <c r="O117" s="1"/>
      <c r="P117" s="1"/>
      <c r="Q117" s="1"/>
      <c r="R117" s="1"/>
    </row>
    <row r="118" spans="2:18" outlineLevel="1">
      <c r="B118" s="58" t="s">
        <v>269</v>
      </c>
      <c r="C118" s="122">
        <f t="shared" ref="C118:C124" si="37">AVERAGE(D118:H118)</f>
        <v>13.583710961577996</v>
      </c>
      <c r="D118" s="97">
        <f t="shared" si="35"/>
        <v>12.722736382655054</v>
      </c>
      <c r="E118" s="97">
        <f t="shared" si="35"/>
        <v>13.332349721674067</v>
      </c>
      <c r="F118" s="97">
        <f t="shared" si="35"/>
        <v>13.621475467372763</v>
      </c>
      <c r="G118" s="97">
        <f t="shared" si="35"/>
        <v>13.971331514612075</v>
      </c>
      <c r="H118" s="97">
        <f t="shared" ref="H118" si="38">((H45/H$52)*H$92)/H21</f>
        <v>14.270661721576021</v>
      </c>
      <c r="I118" s="1"/>
      <c r="J118" s="1"/>
      <c r="K118" s="1"/>
      <c r="L118" s="1"/>
      <c r="M118" s="1"/>
      <c r="N118" s="1"/>
      <c r="O118" s="1"/>
      <c r="P118" s="1"/>
      <c r="Q118" s="1"/>
      <c r="R118" s="1"/>
    </row>
    <row r="119" spans="2:18" outlineLevel="1">
      <c r="B119" s="58" t="s">
        <v>272</v>
      </c>
      <c r="C119" s="122">
        <f t="shared" ref="C119" si="39">AVERAGE(D119:H119)</f>
        <v>86.030169423327294</v>
      </c>
      <c r="D119" s="97">
        <f t="shared" si="35"/>
        <v>80.57733042348201</v>
      </c>
      <c r="E119" s="97">
        <f t="shared" si="35"/>
        <v>84.438214903935759</v>
      </c>
      <c r="F119" s="97">
        <f t="shared" si="35"/>
        <v>86.269344626694149</v>
      </c>
      <c r="G119" s="97">
        <f t="shared" si="35"/>
        <v>88.485099592543136</v>
      </c>
      <c r="H119" s="97">
        <f t="shared" ref="H119" si="40">((H46/H$52)*H$92)/H22</f>
        <v>90.380857569981472</v>
      </c>
      <c r="I119" s="1"/>
      <c r="J119" s="1"/>
      <c r="K119" s="1"/>
      <c r="L119" s="1"/>
      <c r="M119" s="1"/>
      <c r="N119" s="1"/>
      <c r="O119" s="1"/>
      <c r="P119" s="1"/>
      <c r="Q119" s="1"/>
      <c r="R119" s="1"/>
    </row>
    <row r="120" spans="2:18" outlineLevel="1">
      <c r="B120" s="58" t="s">
        <v>170</v>
      </c>
      <c r="C120" s="122">
        <f t="shared" si="37"/>
        <v>4.5279036538593314</v>
      </c>
      <c r="D120" s="97">
        <f t="shared" si="35"/>
        <v>4.2409121275516846</v>
      </c>
      <c r="E120" s="97">
        <f t="shared" si="35"/>
        <v>4.4441165738913551</v>
      </c>
      <c r="F120" s="97">
        <f t="shared" si="35"/>
        <v>4.5404918224575876</v>
      </c>
      <c r="G120" s="97">
        <f t="shared" si="35"/>
        <v>4.6571105048706904</v>
      </c>
      <c r="H120" s="97">
        <f t="shared" ref="H120" si="41">((H47/H$52)*H$92)/H23</f>
        <v>4.75688724052534</v>
      </c>
      <c r="I120" s="1"/>
      <c r="J120" s="1"/>
      <c r="K120" s="1"/>
      <c r="L120" s="1"/>
      <c r="M120" s="1"/>
      <c r="N120" s="1"/>
      <c r="O120" s="1"/>
      <c r="P120" s="1"/>
      <c r="Q120" s="1"/>
      <c r="R120" s="1"/>
    </row>
    <row r="121" spans="2:18" outlineLevel="1">
      <c r="B121" s="58" t="s">
        <v>270</v>
      </c>
      <c r="C121" s="122">
        <f t="shared" si="37"/>
        <v>13.583710961577996</v>
      </c>
      <c r="D121" s="97">
        <f t="shared" si="35"/>
        <v>12.722736382655054</v>
      </c>
      <c r="E121" s="97">
        <f t="shared" si="35"/>
        <v>13.332349721674065</v>
      </c>
      <c r="F121" s="97">
        <f t="shared" si="35"/>
        <v>13.621475467372761</v>
      </c>
      <c r="G121" s="97">
        <f t="shared" si="35"/>
        <v>13.971331514612075</v>
      </c>
      <c r="H121" s="97">
        <f t="shared" ref="H121" si="42">((H48/H$52)*H$92)/H24</f>
        <v>14.270661721576021</v>
      </c>
      <c r="I121" s="1"/>
      <c r="J121" s="1"/>
      <c r="K121" s="1"/>
      <c r="L121" s="1"/>
      <c r="M121" s="1"/>
      <c r="N121" s="1"/>
      <c r="O121" s="1"/>
      <c r="P121" s="1"/>
      <c r="Q121" s="1"/>
      <c r="R121" s="1"/>
    </row>
    <row r="122" spans="2:18" outlineLevel="1">
      <c r="B122" s="58" t="s">
        <v>271</v>
      </c>
      <c r="C122" s="122">
        <f t="shared" si="37"/>
        <v>86.030169423327308</v>
      </c>
      <c r="D122" s="97">
        <f t="shared" si="35"/>
        <v>80.57733042348201</v>
      </c>
      <c r="E122" s="97">
        <f t="shared" si="35"/>
        <v>84.438214903935759</v>
      </c>
      <c r="F122" s="97">
        <f t="shared" si="35"/>
        <v>86.269344626694163</v>
      </c>
      <c r="G122" s="97">
        <f t="shared" si="35"/>
        <v>88.485099592543122</v>
      </c>
      <c r="H122" s="97">
        <f t="shared" ref="H122" si="43">((H49/H$52)*H$92)/H25</f>
        <v>90.380857569981472</v>
      </c>
      <c r="I122" s="1"/>
      <c r="J122" s="1"/>
      <c r="K122" s="1"/>
      <c r="L122" s="1"/>
      <c r="M122" s="1"/>
      <c r="N122" s="1"/>
      <c r="O122" s="1"/>
      <c r="P122" s="1"/>
      <c r="Q122" s="1"/>
      <c r="R122" s="1"/>
    </row>
    <row r="123" spans="2:18" outlineLevel="1">
      <c r="B123" s="58" t="s">
        <v>105</v>
      </c>
      <c r="C123" s="122">
        <f t="shared" si="37"/>
        <v>0.4527903653859332</v>
      </c>
      <c r="D123" s="97">
        <f t="shared" si="35"/>
        <v>0.42409121275516853</v>
      </c>
      <c r="E123" s="97">
        <f t="shared" si="35"/>
        <v>0.44441165738913557</v>
      </c>
      <c r="F123" s="97">
        <f t="shared" si="35"/>
        <v>0.4540491822457588</v>
      </c>
      <c r="G123" s="97">
        <f t="shared" si="35"/>
        <v>0.46571105048706923</v>
      </c>
      <c r="H123" s="97">
        <f t="shared" ref="H123" si="44">((H50/H$52)*H$92)/H26</f>
        <v>0.47568872405253398</v>
      </c>
      <c r="I123" s="1"/>
      <c r="J123" s="1"/>
      <c r="K123" s="1"/>
      <c r="L123" s="1"/>
      <c r="M123" s="1"/>
      <c r="N123" s="1"/>
      <c r="O123" s="1"/>
      <c r="P123" s="1"/>
      <c r="Q123" s="1"/>
      <c r="R123" s="1"/>
    </row>
    <row r="124" spans="2:18" outlineLevel="1">
      <c r="B124" s="58" t="s">
        <v>173</v>
      </c>
      <c r="C124" s="122">
        <f t="shared" si="37"/>
        <v>0.4527903653859332</v>
      </c>
      <c r="D124" s="97">
        <f t="shared" si="35"/>
        <v>0.42409121275516853</v>
      </c>
      <c r="E124" s="97">
        <f t="shared" si="35"/>
        <v>0.44441165738913563</v>
      </c>
      <c r="F124" s="97">
        <f t="shared" si="35"/>
        <v>0.45404918224575869</v>
      </c>
      <c r="G124" s="97">
        <f t="shared" si="35"/>
        <v>0.46571105048706912</v>
      </c>
      <c r="H124" s="97">
        <f t="shared" ref="H124" si="45">((H51/H$52)*H$92)/H27</f>
        <v>0.47568872405253404</v>
      </c>
      <c r="I124" s="1"/>
      <c r="J124" s="1"/>
      <c r="K124" s="1"/>
      <c r="L124" s="1"/>
      <c r="M124" s="1"/>
      <c r="N124" s="1"/>
      <c r="O124" s="1"/>
      <c r="P124" s="1"/>
      <c r="Q124" s="1"/>
      <c r="R124" s="1"/>
    </row>
    <row r="125" spans="2:18" outlineLevel="1">
      <c r="D125" s="108"/>
      <c r="E125" s="108"/>
      <c r="F125" s="108"/>
      <c r="G125" s="108"/>
      <c r="H125" s="108"/>
      <c r="I125" s="1"/>
      <c r="J125" s="1"/>
      <c r="K125" s="1"/>
      <c r="L125" s="1"/>
      <c r="M125" s="1"/>
      <c r="N125" s="1"/>
      <c r="O125" s="1"/>
      <c r="P125" s="1"/>
      <c r="Q125" s="1"/>
      <c r="R125" s="1"/>
    </row>
    <row r="126" spans="2:18" outlineLevel="1">
      <c r="B126" s="119" t="s">
        <v>247</v>
      </c>
      <c r="C126" s="119"/>
      <c r="D126" s="120"/>
      <c r="E126" s="120"/>
      <c r="F126" s="120"/>
      <c r="G126" s="120"/>
      <c r="H126" s="120"/>
      <c r="I126" s="1"/>
      <c r="J126" s="1"/>
      <c r="K126" s="1"/>
      <c r="L126" s="1"/>
      <c r="M126" s="1"/>
      <c r="N126" s="1"/>
      <c r="O126" s="1"/>
      <c r="P126" s="1"/>
      <c r="Q126" s="1"/>
      <c r="R126" s="1"/>
    </row>
    <row r="127" spans="2:18" outlineLevel="1">
      <c r="B127" s="58" t="s">
        <v>167</v>
      </c>
      <c r="C127" s="122">
        <f t="shared" ref="C127" si="46">AVERAGE(D127:H127)</f>
        <v>3.5350178846347426</v>
      </c>
      <c r="D127" s="97">
        <f t="shared" ref="D127:G134" si="47">((D55/D$63)*D$93)/D20</f>
        <v>3.2330152046012346</v>
      </c>
      <c r="E127" s="97">
        <f t="shared" si="47"/>
        <v>3.4403273761884803</v>
      </c>
      <c r="F127" s="97">
        <f t="shared" si="47"/>
        <v>3.5455524298470498</v>
      </c>
      <c r="G127" s="97">
        <f t="shared" si="47"/>
        <v>3.6703711210048748</v>
      </c>
      <c r="H127" s="97">
        <f t="shared" ref="H127" si="48">((H55/H$63)*H$93)/H20</f>
        <v>3.7858232915320746</v>
      </c>
      <c r="I127" s="1"/>
      <c r="J127" s="1"/>
      <c r="K127" s="1"/>
      <c r="L127" s="1"/>
      <c r="M127" s="1"/>
      <c r="N127" s="1"/>
      <c r="O127" s="1"/>
      <c r="P127" s="1"/>
      <c r="Q127" s="1"/>
      <c r="R127" s="1"/>
    </row>
    <row r="128" spans="2:18" outlineLevel="1">
      <c r="B128" s="58" t="s">
        <v>269</v>
      </c>
      <c r="C128" s="122">
        <f t="shared" ref="C128:C134" si="49">AVERAGE(D128:H128)</f>
        <v>10.605053653904228</v>
      </c>
      <c r="D128" s="97">
        <f t="shared" si="47"/>
        <v>9.6990456138037011</v>
      </c>
      <c r="E128" s="97">
        <f t="shared" si="47"/>
        <v>10.32098212856544</v>
      </c>
      <c r="F128" s="97">
        <f t="shared" si="47"/>
        <v>10.636657289541148</v>
      </c>
      <c r="G128" s="97">
        <f t="shared" si="47"/>
        <v>11.011113363014626</v>
      </c>
      <c r="H128" s="97">
        <f t="shared" ref="H128" si="50">((H56/H$63)*H$93)/H21</f>
        <v>11.357469874596225</v>
      </c>
      <c r="I128" s="1"/>
      <c r="J128" s="1"/>
      <c r="K128" s="1"/>
      <c r="L128" s="1"/>
      <c r="M128" s="1"/>
      <c r="N128" s="1"/>
      <c r="O128" s="1"/>
      <c r="P128" s="1"/>
      <c r="Q128" s="1"/>
      <c r="R128" s="1"/>
    </row>
    <row r="129" spans="2:18" outlineLevel="1">
      <c r="B129" s="58" t="s">
        <v>272</v>
      </c>
      <c r="C129" s="122">
        <f t="shared" ref="C129" si="51">AVERAGE(D129:H129)</f>
        <v>10.605053653904227</v>
      </c>
      <c r="D129" s="97">
        <f t="shared" si="47"/>
        <v>9.6990456138037029</v>
      </c>
      <c r="E129" s="97">
        <f t="shared" si="47"/>
        <v>10.32098212856544</v>
      </c>
      <c r="F129" s="97">
        <f t="shared" si="47"/>
        <v>10.636657289541148</v>
      </c>
      <c r="G129" s="97">
        <f t="shared" si="47"/>
        <v>11.011113363014625</v>
      </c>
      <c r="H129" s="97">
        <f t="shared" ref="H129" si="52">((H57/H$63)*H$93)/H22</f>
        <v>11.357469874596223</v>
      </c>
      <c r="I129" s="1"/>
      <c r="J129" s="1"/>
      <c r="K129" s="1"/>
      <c r="L129" s="1"/>
      <c r="M129" s="1"/>
      <c r="N129" s="1"/>
      <c r="O129" s="1"/>
      <c r="P129" s="1"/>
      <c r="Q129" s="1"/>
      <c r="R129" s="1"/>
    </row>
    <row r="130" spans="2:18" outlineLevel="1">
      <c r="B130" s="58" t="s">
        <v>170</v>
      </c>
      <c r="C130" s="122">
        <f t="shared" si="49"/>
        <v>10.605053653904227</v>
      </c>
      <c r="D130" s="97">
        <f t="shared" si="47"/>
        <v>9.6990456138037029</v>
      </c>
      <c r="E130" s="97">
        <f t="shared" si="47"/>
        <v>10.320982128565442</v>
      </c>
      <c r="F130" s="97">
        <f t="shared" si="47"/>
        <v>10.63665728954115</v>
      </c>
      <c r="G130" s="97">
        <f t="shared" si="47"/>
        <v>11.011113363014625</v>
      </c>
      <c r="H130" s="97">
        <f t="shared" ref="H130" si="53">((H58/H$63)*H$93)/H23</f>
        <v>11.357469874596223</v>
      </c>
      <c r="I130" s="1"/>
      <c r="J130" s="1"/>
      <c r="K130" s="1"/>
      <c r="L130" s="1"/>
      <c r="M130" s="1"/>
      <c r="N130" s="1"/>
      <c r="O130" s="1"/>
      <c r="P130" s="1"/>
      <c r="Q130" s="1"/>
      <c r="R130" s="1"/>
    </row>
    <row r="131" spans="2:18" outlineLevel="1">
      <c r="B131" s="58" t="s">
        <v>270</v>
      </c>
      <c r="C131" s="122">
        <f t="shared" si="49"/>
        <v>31.815160961712685</v>
      </c>
      <c r="D131" s="97">
        <f t="shared" si="47"/>
        <v>29.09713684141111</v>
      </c>
      <c r="E131" s="97">
        <f t="shared" si="47"/>
        <v>30.96294638569632</v>
      </c>
      <c r="F131" s="97">
        <f t="shared" si="47"/>
        <v>31.909971868623447</v>
      </c>
      <c r="G131" s="97">
        <f t="shared" si="47"/>
        <v>33.033340089043875</v>
      </c>
      <c r="H131" s="97">
        <f t="shared" ref="H131" si="54">((H59/H$63)*H$93)/H24</f>
        <v>34.072409623788673</v>
      </c>
      <c r="I131" s="1"/>
      <c r="J131" s="1"/>
      <c r="K131" s="1"/>
      <c r="L131" s="1"/>
      <c r="M131" s="1"/>
      <c r="N131" s="1"/>
      <c r="O131" s="1"/>
      <c r="P131" s="1"/>
      <c r="Q131" s="1"/>
      <c r="R131" s="1"/>
    </row>
    <row r="132" spans="2:18" outlineLevel="1">
      <c r="B132" s="58" t="s">
        <v>271</v>
      </c>
      <c r="C132" s="122">
        <f t="shared" si="49"/>
        <v>31.815160961712685</v>
      </c>
      <c r="D132" s="97">
        <f t="shared" si="47"/>
        <v>29.097136841411107</v>
      </c>
      <c r="E132" s="97">
        <f t="shared" si="47"/>
        <v>30.962946385696323</v>
      </c>
      <c r="F132" s="97">
        <f t="shared" si="47"/>
        <v>31.909971868623444</v>
      </c>
      <c r="G132" s="97">
        <f t="shared" si="47"/>
        <v>33.033340089043875</v>
      </c>
      <c r="H132" s="97">
        <f t="shared" ref="H132" si="55">((H60/H$63)*H$93)/H25</f>
        <v>34.072409623788673</v>
      </c>
      <c r="I132" s="1"/>
      <c r="J132" s="1"/>
      <c r="K132" s="1"/>
      <c r="L132" s="1"/>
      <c r="M132" s="1"/>
      <c r="N132" s="1"/>
      <c r="O132" s="1"/>
      <c r="P132" s="1"/>
      <c r="Q132" s="1"/>
      <c r="R132" s="1"/>
    </row>
    <row r="133" spans="2:18" outlineLevel="1">
      <c r="B133" s="58" t="s">
        <v>105</v>
      </c>
      <c r="C133" s="122">
        <f t="shared" si="49"/>
        <v>2.4745125192443198</v>
      </c>
      <c r="D133" s="97">
        <f t="shared" si="47"/>
        <v>2.2631106432208639</v>
      </c>
      <c r="E133" s="97">
        <f t="shared" si="47"/>
        <v>2.4082291633319359</v>
      </c>
      <c r="F133" s="97">
        <f t="shared" si="47"/>
        <v>2.4818867008929346</v>
      </c>
      <c r="G133" s="97">
        <f t="shared" si="47"/>
        <v>2.5692597847034127</v>
      </c>
      <c r="H133" s="97">
        <f t="shared" ref="H133" si="56">((H61/H$63)*H$93)/H26</f>
        <v>2.6500763040724524</v>
      </c>
      <c r="I133" s="1"/>
      <c r="J133" s="1"/>
      <c r="K133" s="1"/>
      <c r="L133" s="1"/>
      <c r="M133" s="1"/>
      <c r="N133" s="1"/>
      <c r="O133" s="1"/>
      <c r="P133" s="1"/>
      <c r="Q133" s="1"/>
      <c r="R133" s="1"/>
    </row>
    <row r="134" spans="2:18" outlineLevel="1">
      <c r="B134" s="58" t="s">
        <v>173</v>
      </c>
      <c r="C134" s="122">
        <f t="shared" si="49"/>
        <v>2.4745125192443198</v>
      </c>
      <c r="D134" s="97">
        <f t="shared" si="47"/>
        <v>2.2631106432208639</v>
      </c>
      <c r="E134" s="97">
        <f t="shared" si="47"/>
        <v>2.4082291633319359</v>
      </c>
      <c r="F134" s="97">
        <f t="shared" si="47"/>
        <v>2.4818867008929346</v>
      </c>
      <c r="G134" s="97">
        <f t="shared" si="47"/>
        <v>2.5692597847034122</v>
      </c>
      <c r="H134" s="97">
        <f t="shared" ref="H134" si="57">((H62/H$63)*H$93)/H27</f>
        <v>2.6500763040724524</v>
      </c>
      <c r="I134" s="1"/>
      <c r="J134" s="1"/>
      <c r="K134" s="1"/>
      <c r="L134" s="1"/>
      <c r="M134" s="1"/>
      <c r="N134" s="1"/>
      <c r="O134" s="1"/>
      <c r="P134" s="1"/>
      <c r="Q134" s="1"/>
      <c r="R134" s="1"/>
    </row>
    <row r="135" spans="2:18" outlineLevel="1">
      <c r="D135" s="108"/>
      <c r="E135" s="108"/>
      <c r="F135" s="108"/>
      <c r="G135" s="108"/>
      <c r="H135" s="108"/>
      <c r="I135" s="1"/>
      <c r="J135" s="1"/>
      <c r="K135" s="1"/>
      <c r="L135" s="1"/>
      <c r="M135" s="1"/>
      <c r="N135" s="1"/>
      <c r="O135" s="1"/>
      <c r="P135" s="1"/>
      <c r="Q135" s="1"/>
      <c r="R135" s="1"/>
    </row>
    <row r="136" spans="2:18" outlineLevel="1">
      <c r="B136" s="119" t="s">
        <v>249</v>
      </c>
      <c r="C136" s="119"/>
      <c r="D136" s="120"/>
      <c r="E136" s="120"/>
      <c r="F136" s="120"/>
      <c r="G136" s="120"/>
      <c r="H136" s="120"/>
      <c r="I136" s="1"/>
      <c r="J136" s="1"/>
      <c r="K136" s="1"/>
      <c r="L136" s="1"/>
      <c r="M136" s="1"/>
      <c r="N136" s="1"/>
      <c r="O136" s="1"/>
      <c r="P136" s="1"/>
      <c r="Q136" s="1"/>
      <c r="R136" s="1"/>
    </row>
    <row r="137" spans="2:18" outlineLevel="1">
      <c r="B137" s="58" t="s">
        <v>167</v>
      </c>
      <c r="C137" s="122">
        <f t="shared" ref="C137" si="58">AVERAGE(D137:H137)</f>
        <v>0.59645581916944135</v>
      </c>
      <c r="D137" s="97">
        <f t="shared" ref="D137:G144" si="59">((D77/D$85)*D$96)/D20</f>
        <v>0</v>
      </c>
      <c r="E137" s="97">
        <f t="shared" si="59"/>
        <v>0.24062280296710215</v>
      </c>
      <c r="F137" s="97">
        <f t="shared" si="59"/>
        <v>0.47356429954103085</v>
      </c>
      <c r="G137" s="97">
        <f t="shared" si="59"/>
        <v>0.85855385043911014</v>
      </c>
      <c r="H137" s="97">
        <f t="shared" ref="H137" si="60">((H77/H$85)*H$96)/H20</f>
        <v>1.4095381428999638</v>
      </c>
      <c r="I137" s="1"/>
      <c r="J137" s="1"/>
      <c r="K137" s="1"/>
      <c r="L137" s="1"/>
      <c r="M137" s="1"/>
      <c r="N137" s="1"/>
      <c r="O137" s="1"/>
      <c r="P137" s="1"/>
      <c r="Q137" s="1"/>
      <c r="R137" s="1"/>
    </row>
    <row r="138" spans="2:18" outlineLevel="1">
      <c r="B138" s="58" t="s">
        <v>269</v>
      </c>
      <c r="C138" s="122">
        <f t="shared" ref="C138:C144" si="61">AVERAGE(D138:H138)</f>
        <v>0.59645581916944135</v>
      </c>
      <c r="D138" s="97">
        <f t="shared" si="59"/>
        <v>0</v>
      </c>
      <c r="E138" s="97">
        <f t="shared" si="59"/>
        <v>0.24062280296710217</v>
      </c>
      <c r="F138" s="97">
        <f t="shared" si="59"/>
        <v>0.47356429954103085</v>
      </c>
      <c r="G138" s="97">
        <f t="shared" si="59"/>
        <v>0.85855385043911014</v>
      </c>
      <c r="H138" s="97">
        <f t="shared" ref="H138" si="62">((H78/H$85)*H$96)/H21</f>
        <v>1.4095381428999638</v>
      </c>
      <c r="I138" s="1"/>
      <c r="J138" s="1"/>
      <c r="K138" s="1"/>
      <c r="L138" s="1"/>
      <c r="M138" s="1"/>
      <c r="N138" s="1"/>
      <c r="O138" s="1"/>
      <c r="P138" s="1"/>
      <c r="Q138" s="1"/>
      <c r="R138" s="1"/>
    </row>
    <row r="139" spans="2:18" outlineLevel="1">
      <c r="B139" s="58" t="s">
        <v>272</v>
      </c>
      <c r="C139" s="122">
        <f t="shared" ref="C139" si="63">AVERAGE(D139:H139)</f>
        <v>0.59645581916944135</v>
      </c>
      <c r="D139" s="97">
        <f t="shared" si="59"/>
        <v>0</v>
      </c>
      <c r="E139" s="97">
        <f t="shared" si="59"/>
        <v>0.24062280296710217</v>
      </c>
      <c r="F139" s="97">
        <f t="shared" si="59"/>
        <v>0.47356429954103085</v>
      </c>
      <c r="G139" s="97">
        <f t="shared" si="59"/>
        <v>0.85855385043911014</v>
      </c>
      <c r="H139" s="97">
        <f t="shared" ref="H139" si="64">((H79/H$85)*H$96)/H22</f>
        <v>1.4095381428999638</v>
      </c>
      <c r="I139" s="1"/>
      <c r="J139" s="1"/>
      <c r="K139" s="1"/>
      <c r="L139" s="1"/>
      <c r="M139" s="1"/>
      <c r="N139" s="1"/>
      <c r="O139" s="1"/>
      <c r="P139" s="1"/>
      <c r="Q139" s="1"/>
      <c r="R139" s="1"/>
    </row>
    <row r="140" spans="2:18" outlineLevel="1">
      <c r="B140" s="58" t="s">
        <v>170</v>
      </c>
      <c r="C140" s="122">
        <f t="shared" si="61"/>
        <v>0.59645581916944135</v>
      </c>
      <c r="D140" s="97">
        <f t="shared" si="59"/>
        <v>0</v>
      </c>
      <c r="E140" s="97">
        <f t="shared" si="59"/>
        <v>0.24062280296710215</v>
      </c>
      <c r="F140" s="97">
        <f t="shared" si="59"/>
        <v>0.4735642995410308</v>
      </c>
      <c r="G140" s="97">
        <f t="shared" si="59"/>
        <v>0.85855385043911014</v>
      </c>
      <c r="H140" s="97">
        <f t="shared" ref="H140" si="65">((H80/H$85)*H$96)/H23</f>
        <v>1.4095381428999638</v>
      </c>
      <c r="I140" s="1"/>
      <c r="J140" s="1"/>
      <c r="K140" s="1"/>
      <c r="L140" s="1"/>
      <c r="M140" s="1"/>
      <c r="N140" s="1"/>
      <c r="O140" s="1"/>
      <c r="P140" s="1"/>
      <c r="Q140" s="1"/>
      <c r="R140" s="1"/>
    </row>
    <row r="141" spans="2:18" outlineLevel="1">
      <c r="B141" s="58" t="s">
        <v>270</v>
      </c>
      <c r="C141" s="122">
        <f t="shared" si="61"/>
        <v>0.59645581916944135</v>
      </c>
      <c r="D141" s="97">
        <f t="shared" si="59"/>
        <v>0</v>
      </c>
      <c r="E141" s="97">
        <f t="shared" si="59"/>
        <v>0.24062280296710217</v>
      </c>
      <c r="F141" s="97">
        <f t="shared" si="59"/>
        <v>0.47356429954103085</v>
      </c>
      <c r="G141" s="97">
        <f t="shared" si="59"/>
        <v>0.85855385043911014</v>
      </c>
      <c r="H141" s="97">
        <f t="shared" ref="H141" si="66">((H81/H$85)*H$96)/H24</f>
        <v>1.4095381428999636</v>
      </c>
      <c r="I141" s="1"/>
      <c r="J141" s="1"/>
      <c r="K141" s="1"/>
      <c r="L141" s="1"/>
      <c r="M141" s="1"/>
      <c r="N141" s="1"/>
      <c r="O141" s="1"/>
      <c r="P141" s="1"/>
      <c r="Q141" s="1"/>
      <c r="R141" s="1"/>
    </row>
    <row r="142" spans="2:18" outlineLevel="1">
      <c r="B142" s="58" t="s">
        <v>271</v>
      </c>
      <c r="C142" s="122">
        <f t="shared" si="61"/>
        <v>0.59645581916944135</v>
      </c>
      <c r="D142" s="97">
        <f t="shared" si="59"/>
        <v>0</v>
      </c>
      <c r="E142" s="97">
        <f t="shared" si="59"/>
        <v>0.24062280296710217</v>
      </c>
      <c r="F142" s="97">
        <f t="shared" si="59"/>
        <v>0.4735642995410308</v>
      </c>
      <c r="G142" s="97">
        <f t="shared" si="59"/>
        <v>0.85855385043911014</v>
      </c>
      <c r="H142" s="97">
        <f t="shared" ref="H142" si="67">((H82/H$85)*H$96)/H25</f>
        <v>1.4095381428999638</v>
      </c>
      <c r="I142" s="1"/>
      <c r="J142" s="1"/>
      <c r="K142" s="1"/>
      <c r="L142" s="1"/>
      <c r="M142" s="1"/>
      <c r="N142" s="1"/>
      <c r="O142" s="1"/>
      <c r="P142" s="1"/>
      <c r="Q142" s="1"/>
      <c r="R142" s="1"/>
    </row>
    <row r="143" spans="2:18" outlineLevel="1">
      <c r="B143" s="58" t="s">
        <v>105</v>
      </c>
      <c r="C143" s="122">
        <f t="shared" si="61"/>
        <v>0.59645581916944135</v>
      </c>
      <c r="D143" s="97">
        <f t="shared" si="59"/>
        <v>0</v>
      </c>
      <c r="E143" s="97">
        <f t="shared" si="59"/>
        <v>0.24062280296710217</v>
      </c>
      <c r="F143" s="97">
        <f t="shared" si="59"/>
        <v>0.47356429954103085</v>
      </c>
      <c r="G143" s="97">
        <f t="shared" si="59"/>
        <v>0.85855385043911003</v>
      </c>
      <c r="H143" s="97">
        <f t="shared" ref="H143" si="68">((H83/H$85)*H$96)/H26</f>
        <v>1.4095381428999638</v>
      </c>
      <c r="I143" s="1"/>
      <c r="J143" s="1"/>
      <c r="K143" s="1"/>
      <c r="L143" s="1"/>
      <c r="M143" s="1"/>
      <c r="N143" s="1"/>
      <c r="O143" s="1"/>
      <c r="P143" s="1"/>
      <c r="Q143" s="1"/>
      <c r="R143" s="1"/>
    </row>
    <row r="144" spans="2:18" outlineLevel="1">
      <c r="B144" s="58" t="s">
        <v>173</v>
      </c>
      <c r="C144" s="122">
        <f t="shared" si="61"/>
        <v>0.59645581916944146</v>
      </c>
      <c r="D144" s="97">
        <f t="shared" si="59"/>
        <v>0</v>
      </c>
      <c r="E144" s="97">
        <f t="shared" si="59"/>
        <v>0.24062280296710217</v>
      </c>
      <c r="F144" s="97">
        <f t="shared" si="59"/>
        <v>0.47356429954103091</v>
      </c>
      <c r="G144" s="97">
        <f t="shared" si="59"/>
        <v>0.85855385043911014</v>
      </c>
      <c r="H144" s="97">
        <f t="shared" ref="H144" si="69">((H84/H$85)*H$96)/H27</f>
        <v>1.4095381428999638</v>
      </c>
      <c r="I144" s="1"/>
      <c r="J144" s="1"/>
      <c r="K144" s="1"/>
      <c r="L144" s="1"/>
      <c r="M144" s="1"/>
      <c r="N144" s="1"/>
      <c r="O144" s="1"/>
      <c r="P144" s="1"/>
      <c r="Q144" s="1"/>
      <c r="R144" s="1"/>
    </row>
    <row r="145" spans="2:18" outlineLevel="1">
      <c r="D145" s="108"/>
      <c r="E145" s="108"/>
      <c r="F145" s="108"/>
      <c r="G145" s="108"/>
      <c r="H145" s="108"/>
      <c r="I145" s="1"/>
      <c r="J145" s="1"/>
      <c r="K145" s="1"/>
      <c r="L145" s="1"/>
      <c r="M145" s="1"/>
      <c r="N145" s="1"/>
      <c r="O145" s="1"/>
      <c r="P145" s="1"/>
      <c r="Q145" s="1"/>
      <c r="R145" s="1"/>
    </row>
    <row r="146" spans="2:18" outlineLevel="1">
      <c r="B146" s="119" t="s">
        <v>248</v>
      </c>
      <c r="C146" s="119"/>
      <c r="D146" s="120"/>
      <c r="E146" s="120"/>
      <c r="F146" s="120"/>
      <c r="G146" s="120"/>
      <c r="H146" s="120"/>
      <c r="I146" s="1"/>
      <c r="J146" s="1"/>
      <c r="K146" s="1"/>
      <c r="L146" s="1"/>
      <c r="M146" s="1"/>
      <c r="N146" s="1"/>
      <c r="O146" s="1"/>
      <c r="P146" s="1"/>
      <c r="Q146" s="1"/>
      <c r="R146" s="1"/>
    </row>
    <row r="147" spans="2:18" outlineLevel="1">
      <c r="B147" s="58" t="s">
        <v>167</v>
      </c>
      <c r="C147" s="122">
        <f t="shared" ref="C147" si="70">AVERAGE(D147:H147)</f>
        <v>1.2033834292579109</v>
      </c>
      <c r="D147" s="97">
        <f t="shared" ref="D147:G154" si="71">((D66/D$74)*D$97)/D20</f>
        <v>1.2214719195700983</v>
      </c>
      <c r="E147" s="97">
        <f t="shared" si="71"/>
        <v>1.2100889942439155</v>
      </c>
      <c r="F147" s="97">
        <f t="shared" si="71"/>
        <v>1.2031454515186222</v>
      </c>
      <c r="G147" s="97">
        <f t="shared" si="71"/>
        <v>1.1956018575598741</v>
      </c>
      <c r="H147" s="97">
        <f t="shared" ref="H147" si="72">((H66/H$74)*H$97)/H20</f>
        <v>1.1866089233970443</v>
      </c>
      <c r="I147" s="1"/>
      <c r="J147" s="1"/>
      <c r="K147" s="1"/>
      <c r="L147" s="1"/>
      <c r="M147" s="1"/>
      <c r="N147" s="1"/>
      <c r="O147" s="1"/>
      <c r="P147" s="1"/>
      <c r="Q147" s="1"/>
      <c r="R147" s="1"/>
    </row>
    <row r="148" spans="2:18" outlineLevel="1">
      <c r="B148" s="58" t="s">
        <v>269</v>
      </c>
      <c r="C148" s="122">
        <f t="shared" ref="C148:C154" si="73">AVERAGE(D148:H148)</f>
        <v>1.2033834292579109</v>
      </c>
      <c r="D148" s="97">
        <f t="shared" si="71"/>
        <v>1.2214719195700985</v>
      </c>
      <c r="E148" s="97">
        <f t="shared" si="71"/>
        <v>1.2100889942439153</v>
      </c>
      <c r="F148" s="97">
        <f t="shared" si="71"/>
        <v>1.2031454515186222</v>
      </c>
      <c r="G148" s="97">
        <f t="shared" si="71"/>
        <v>1.1956018575598739</v>
      </c>
      <c r="H148" s="97">
        <f t="shared" ref="H148" si="74">((H67/H$74)*H$97)/H21</f>
        <v>1.186608923397044</v>
      </c>
      <c r="I148" s="1"/>
      <c r="J148" s="1"/>
      <c r="K148" s="1"/>
      <c r="L148" s="1"/>
      <c r="M148" s="1"/>
      <c r="N148" s="1"/>
      <c r="O148" s="1"/>
      <c r="P148" s="1"/>
      <c r="Q148" s="1"/>
      <c r="R148" s="1"/>
    </row>
    <row r="149" spans="2:18" outlineLevel="1">
      <c r="B149" s="58" t="s">
        <v>272</v>
      </c>
      <c r="C149" s="122">
        <f t="shared" ref="C149" si="75">AVERAGE(D149:H149)</f>
        <v>1.2033834292579109</v>
      </c>
      <c r="D149" s="97">
        <f t="shared" si="71"/>
        <v>1.2214719195700985</v>
      </c>
      <c r="E149" s="97">
        <f t="shared" si="71"/>
        <v>1.2100889942439155</v>
      </c>
      <c r="F149" s="97">
        <f t="shared" si="71"/>
        <v>1.2031454515186222</v>
      </c>
      <c r="G149" s="97">
        <f t="shared" si="71"/>
        <v>1.1956018575598739</v>
      </c>
      <c r="H149" s="97">
        <f t="shared" ref="H149" si="76">((H68/H$74)*H$97)/H22</f>
        <v>1.186608923397044</v>
      </c>
      <c r="I149" s="1"/>
      <c r="J149" s="1"/>
      <c r="K149" s="1"/>
      <c r="L149" s="1"/>
      <c r="M149" s="1"/>
      <c r="N149" s="1"/>
      <c r="O149" s="1"/>
      <c r="P149" s="1"/>
      <c r="Q149" s="1"/>
      <c r="R149" s="1"/>
    </row>
    <row r="150" spans="2:18" outlineLevel="1">
      <c r="B150" s="58" t="s">
        <v>170</v>
      </c>
      <c r="C150" s="122">
        <f t="shared" si="73"/>
        <v>1.2033834292579109</v>
      </c>
      <c r="D150" s="97">
        <f t="shared" si="71"/>
        <v>1.2214719195700983</v>
      </c>
      <c r="E150" s="97">
        <f t="shared" si="71"/>
        <v>1.2100889942439155</v>
      </c>
      <c r="F150" s="97">
        <f t="shared" si="71"/>
        <v>1.2031454515186222</v>
      </c>
      <c r="G150" s="97">
        <f t="shared" si="71"/>
        <v>1.1956018575598739</v>
      </c>
      <c r="H150" s="97">
        <f t="shared" ref="H150" si="77">((H69/H$74)*H$97)/H23</f>
        <v>1.186608923397044</v>
      </c>
      <c r="I150" s="1"/>
      <c r="J150" s="1"/>
      <c r="K150" s="1"/>
      <c r="L150" s="1"/>
      <c r="M150" s="1"/>
      <c r="N150" s="1"/>
      <c r="O150" s="1"/>
      <c r="P150" s="1"/>
      <c r="Q150" s="1"/>
      <c r="R150" s="1"/>
    </row>
    <row r="151" spans="2:18" outlineLevel="1">
      <c r="B151" s="58" t="s">
        <v>270</v>
      </c>
      <c r="C151" s="122">
        <f t="shared" si="73"/>
        <v>1.2033834292579109</v>
      </c>
      <c r="D151" s="97">
        <f t="shared" si="71"/>
        <v>1.2214719195700985</v>
      </c>
      <c r="E151" s="97">
        <f t="shared" si="71"/>
        <v>1.2100889942439155</v>
      </c>
      <c r="F151" s="97">
        <f t="shared" si="71"/>
        <v>1.2031454515186222</v>
      </c>
      <c r="G151" s="97">
        <f t="shared" si="71"/>
        <v>1.1956018575598739</v>
      </c>
      <c r="H151" s="97">
        <f t="shared" ref="H151" si="78">((H70/H$74)*H$97)/H24</f>
        <v>1.1866089233970438</v>
      </c>
      <c r="I151" s="1"/>
      <c r="J151" s="1"/>
      <c r="K151" s="1"/>
      <c r="L151" s="1"/>
      <c r="M151" s="1"/>
      <c r="N151" s="1"/>
      <c r="O151" s="1"/>
      <c r="P151" s="1"/>
      <c r="Q151" s="1"/>
      <c r="R151" s="1"/>
    </row>
    <row r="152" spans="2:18" outlineLevel="1">
      <c r="B152" s="58" t="s">
        <v>271</v>
      </c>
      <c r="C152" s="122">
        <f t="shared" si="73"/>
        <v>1.2033834292579106</v>
      </c>
      <c r="D152" s="97">
        <f t="shared" si="71"/>
        <v>1.2214719195700985</v>
      </c>
      <c r="E152" s="97">
        <f t="shared" si="71"/>
        <v>1.2100889942439155</v>
      </c>
      <c r="F152" s="97">
        <f t="shared" si="71"/>
        <v>1.203145451518622</v>
      </c>
      <c r="G152" s="97">
        <f t="shared" si="71"/>
        <v>1.1956018575598739</v>
      </c>
      <c r="H152" s="97">
        <f t="shared" ref="H152" si="79">((H71/H$74)*H$97)/H25</f>
        <v>1.186608923397044</v>
      </c>
      <c r="I152" s="1"/>
      <c r="J152" s="1"/>
      <c r="K152" s="1"/>
      <c r="L152" s="1"/>
      <c r="M152" s="1"/>
      <c r="N152" s="1"/>
      <c r="O152" s="1"/>
      <c r="P152" s="1"/>
      <c r="Q152" s="1"/>
      <c r="R152" s="1"/>
    </row>
    <row r="153" spans="2:18" outlineLevel="1">
      <c r="B153" s="58" t="s">
        <v>105</v>
      </c>
      <c r="C153" s="122">
        <f t="shared" si="73"/>
        <v>1.2033834292579109</v>
      </c>
      <c r="D153" s="97">
        <f t="shared" si="71"/>
        <v>1.2214719195700983</v>
      </c>
      <c r="E153" s="97">
        <f t="shared" si="71"/>
        <v>1.2100889942439155</v>
      </c>
      <c r="F153" s="97">
        <f t="shared" si="71"/>
        <v>1.2031454515186222</v>
      </c>
      <c r="G153" s="97">
        <f t="shared" si="71"/>
        <v>1.1956018575598741</v>
      </c>
      <c r="H153" s="97">
        <f t="shared" ref="H153" si="80">((H72/H$74)*H$97)/H26</f>
        <v>1.186608923397044</v>
      </c>
      <c r="I153" s="1"/>
      <c r="J153" s="1"/>
      <c r="K153" s="1"/>
      <c r="L153" s="1"/>
      <c r="M153" s="1"/>
      <c r="N153" s="1"/>
      <c r="O153" s="1"/>
      <c r="P153" s="1"/>
      <c r="Q153" s="1"/>
      <c r="R153" s="1"/>
    </row>
    <row r="154" spans="2:18" outlineLevel="1">
      <c r="B154" s="58" t="s">
        <v>173</v>
      </c>
      <c r="C154" s="122">
        <f t="shared" si="73"/>
        <v>1.2033834292579106</v>
      </c>
      <c r="D154" s="97">
        <f t="shared" si="71"/>
        <v>1.2214719195700983</v>
      </c>
      <c r="E154" s="97">
        <f t="shared" si="71"/>
        <v>1.2100889942439153</v>
      </c>
      <c r="F154" s="97">
        <f t="shared" si="71"/>
        <v>1.2031454515186222</v>
      </c>
      <c r="G154" s="97">
        <f t="shared" si="71"/>
        <v>1.1956018575598739</v>
      </c>
      <c r="H154" s="97">
        <f t="shared" ref="H154" si="81">((H73/H$74)*H$97)/H27</f>
        <v>1.186608923397044</v>
      </c>
      <c r="I154" s="1"/>
      <c r="J154" s="1"/>
      <c r="K154" s="1"/>
      <c r="L154" s="1"/>
      <c r="M154" s="1"/>
      <c r="N154" s="1"/>
      <c r="O154" s="1"/>
      <c r="P154" s="1"/>
      <c r="Q154" s="1"/>
      <c r="R154" s="1"/>
    </row>
    <row r="155" spans="2:18">
      <c r="D155" s="108"/>
      <c r="E155" s="108"/>
      <c r="F155" s="108"/>
      <c r="G155" s="108"/>
      <c r="H155" s="109"/>
      <c r="I155" s="1"/>
      <c r="J155" s="1"/>
      <c r="K155" s="1"/>
      <c r="L155" s="1"/>
      <c r="M155" s="1"/>
      <c r="N155" s="1"/>
      <c r="O155" s="1"/>
      <c r="P155" s="1"/>
      <c r="Q155" s="1"/>
      <c r="R155" s="1"/>
    </row>
    <row r="156" spans="2:18">
      <c r="B156" s="119" t="s">
        <v>251</v>
      </c>
      <c r="C156" s="119"/>
      <c r="D156" s="120"/>
      <c r="E156" s="120"/>
      <c r="F156" s="120"/>
      <c r="G156" s="120"/>
      <c r="H156" s="121"/>
      <c r="I156" s="1"/>
      <c r="J156" s="1"/>
      <c r="K156" s="1"/>
      <c r="L156" s="1"/>
      <c r="M156" s="1"/>
      <c r="N156" s="1"/>
      <c r="O156" s="1"/>
      <c r="P156" s="1"/>
      <c r="Q156" s="1"/>
      <c r="R156" s="1"/>
    </row>
    <row r="157" spans="2:18">
      <c r="B157" s="58" t="s">
        <v>167</v>
      </c>
      <c r="C157" s="126">
        <f t="shared" ref="C157" si="82">AVERAGE(D157:H157)</f>
        <v>15.408869201278709</v>
      </c>
      <c r="D157" s="97">
        <f>SUM(D147,D137,D127,D117,D107)</f>
        <v>13.95846794718846</v>
      </c>
      <c r="E157" s="97">
        <f t="shared" ref="E157:H157" si="83">SUM(E147,E137,E127,E117,E107)</f>
        <v>14.805247810069091</v>
      </c>
      <c r="F157" s="97">
        <f t="shared" si="83"/>
        <v>15.323168037750325</v>
      </c>
      <c r="G157" s="97">
        <f t="shared" si="83"/>
        <v>16.054960785150243</v>
      </c>
      <c r="H157" s="97">
        <f t="shared" si="83"/>
        <v>16.902501426235421</v>
      </c>
      <c r="I157" s="1"/>
      <c r="J157" s="1"/>
      <c r="K157" s="1"/>
      <c r="L157" s="1"/>
      <c r="M157" s="1"/>
      <c r="N157" s="1"/>
      <c r="O157" s="1"/>
      <c r="P157" s="1"/>
      <c r="Q157" s="1"/>
      <c r="R157" s="1"/>
    </row>
    <row r="158" spans="2:18">
      <c r="B158" s="58" t="s">
        <v>269</v>
      </c>
      <c r="C158" s="126">
        <f t="shared" ref="C158:C164" si="84">AVERAGE(D158:H158)</f>
        <v>31.534712278266859</v>
      </c>
      <c r="D158" s="97">
        <f t="shared" ref="D158:H159" si="85">SUM(D148,D138,D128,D118,D108)</f>
        <v>28.906322611494296</v>
      </c>
      <c r="E158" s="97">
        <f t="shared" si="85"/>
        <v>30.574135710228763</v>
      </c>
      <c r="F158" s="97">
        <f t="shared" si="85"/>
        <v>31.495256542359598</v>
      </c>
      <c r="G158" s="97">
        <f t="shared" si="85"/>
        <v>32.709924036901377</v>
      </c>
      <c r="H158" s="97">
        <f t="shared" si="85"/>
        <v>33.98792249035025</v>
      </c>
      <c r="I158" s="1"/>
      <c r="J158" s="1"/>
      <c r="K158" s="1"/>
      <c r="L158" s="1"/>
      <c r="M158" s="1"/>
      <c r="N158" s="1"/>
      <c r="O158" s="1"/>
      <c r="P158" s="1"/>
      <c r="Q158" s="1"/>
      <c r="R158" s="1"/>
    </row>
    <row r="159" spans="2:18">
      <c r="B159" s="58" t="s">
        <v>272</v>
      </c>
      <c r="C159" s="126">
        <f t="shared" ref="C159" si="86">AVERAGE(D159:H159)</f>
        <v>126.16560439744531</v>
      </c>
      <c r="D159" s="97">
        <f t="shared" si="85"/>
        <v>117.81319143418303</v>
      </c>
      <c r="E159" s="97">
        <f t="shared" si="85"/>
        <v>123.56036914360341</v>
      </c>
      <c r="F159" s="97">
        <f t="shared" si="85"/>
        <v>126.38478183922513</v>
      </c>
      <c r="G159" s="97">
        <f t="shared" si="85"/>
        <v>129.9169859199352</v>
      </c>
      <c r="H159" s="97">
        <f t="shared" si="85"/>
        <v>133.15269365027967</v>
      </c>
      <c r="I159" s="1"/>
      <c r="J159" s="1"/>
      <c r="K159" s="1"/>
      <c r="L159" s="1"/>
      <c r="M159" s="1"/>
      <c r="N159" s="1"/>
      <c r="O159" s="1"/>
      <c r="P159" s="1"/>
      <c r="Q159" s="1"/>
      <c r="R159" s="1"/>
    </row>
    <row r="160" spans="2:18">
      <c r="B160" s="58" t="s">
        <v>170</v>
      </c>
      <c r="C160" s="126">
        <f t="shared" si="84"/>
        <v>22.478904970548193</v>
      </c>
      <c r="D160" s="97">
        <f t="shared" ref="D160:H160" si="87">SUM(D150,D140,D130,D120,D110)</f>
        <v>20.424498356390927</v>
      </c>
      <c r="E160" s="97">
        <f t="shared" si="87"/>
        <v>21.685902562446053</v>
      </c>
      <c r="F160" s="97">
        <f t="shared" si="87"/>
        <v>22.414272897444427</v>
      </c>
      <c r="G160" s="97">
        <f t="shared" si="87"/>
        <v>23.395703027159986</v>
      </c>
      <c r="H160" s="97">
        <f t="shared" si="87"/>
        <v>24.474148009299569</v>
      </c>
      <c r="I160" s="1"/>
      <c r="J160" s="1"/>
      <c r="K160" s="1"/>
      <c r="L160" s="1"/>
      <c r="M160" s="1"/>
      <c r="N160" s="1"/>
      <c r="O160" s="1"/>
      <c r="P160" s="1"/>
      <c r="Q160" s="1"/>
      <c r="R160" s="1"/>
    </row>
    <row r="161" spans="2:18">
      <c r="B161" s="58" t="s">
        <v>270</v>
      </c>
      <c r="C161" s="126">
        <f t="shared" si="84"/>
        <v>52.744819586075309</v>
      </c>
      <c r="D161" s="97">
        <f t="shared" ref="D161:H161" si="88">SUM(D151,D141,D131,D121,D111)</f>
        <v>48.304413839101706</v>
      </c>
      <c r="E161" s="97">
        <f t="shared" si="88"/>
        <v>51.216099967359639</v>
      </c>
      <c r="F161" s="97">
        <f t="shared" si="88"/>
        <v>52.768571121441894</v>
      </c>
      <c r="G161" s="97">
        <f t="shared" si="88"/>
        <v>54.73215076293063</v>
      </c>
      <c r="H161" s="97">
        <f t="shared" si="88"/>
        <v>56.702862239542696</v>
      </c>
      <c r="I161" s="1"/>
      <c r="J161" s="1"/>
      <c r="K161" s="1"/>
      <c r="L161" s="1"/>
      <c r="M161" s="1"/>
      <c r="N161" s="1"/>
      <c r="O161" s="1"/>
      <c r="P161" s="1"/>
      <c r="Q161" s="1"/>
      <c r="R161" s="1"/>
    </row>
    <row r="162" spans="2:18">
      <c r="B162" s="58" t="s">
        <v>271</v>
      </c>
      <c r="C162" s="126">
        <f t="shared" si="84"/>
        <v>147.37571170525376</v>
      </c>
      <c r="D162" s="97">
        <f t="shared" ref="D162:H162" si="89">SUM(D152,D142,D132,D122,D112)</f>
        <v>137.21128266179042</v>
      </c>
      <c r="E162" s="97">
        <f t="shared" si="89"/>
        <v>144.20233340073429</v>
      </c>
      <c r="F162" s="97">
        <f t="shared" si="89"/>
        <v>147.65809641830745</v>
      </c>
      <c r="G162" s="97">
        <f t="shared" si="89"/>
        <v>151.93921264596443</v>
      </c>
      <c r="H162" s="97">
        <f t="shared" si="89"/>
        <v>155.86763339947214</v>
      </c>
      <c r="I162" s="1"/>
      <c r="J162" s="1"/>
      <c r="K162" s="1"/>
      <c r="L162" s="1"/>
      <c r="M162" s="1"/>
      <c r="N162" s="1"/>
      <c r="O162" s="1"/>
      <c r="P162" s="1"/>
      <c r="Q162" s="1"/>
      <c r="R162" s="1"/>
    </row>
    <row r="163" spans="2:18">
      <c r="B163" s="58" t="s">
        <v>105</v>
      </c>
      <c r="C163" s="126">
        <f t="shared" si="84"/>
        <v>5.281752974493334</v>
      </c>
      <c r="D163" s="97">
        <f t="shared" ref="D163:H163" si="90">SUM(D153,D143,D133,D123,D113)</f>
        <v>4.4349806450926748</v>
      </c>
      <c r="E163" s="97">
        <f t="shared" si="90"/>
        <v>4.8503618242099122</v>
      </c>
      <c r="F163" s="97">
        <f t="shared" si="90"/>
        <v>5.1686870376369498</v>
      </c>
      <c r="G163" s="97">
        <f t="shared" si="90"/>
        <v>5.6564588883170348</v>
      </c>
      <c r="H163" s="97">
        <f t="shared" si="90"/>
        <v>6.2982764772100941</v>
      </c>
      <c r="I163" s="1"/>
      <c r="J163" s="1"/>
      <c r="K163" s="1"/>
      <c r="L163" s="1"/>
      <c r="M163" s="1"/>
      <c r="N163" s="1"/>
      <c r="O163" s="1"/>
      <c r="P163" s="1"/>
      <c r="Q163" s="1"/>
      <c r="R163" s="1"/>
    </row>
    <row r="164" spans="2:18">
      <c r="B164" s="58" t="s">
        <v>173</v>
      </c>
      <c r="C164" s="126">
        <f t="shared" si="84"/>
        <v>5.2817529744933331</v>
      </c>
      <c r="D164" s="97">
        <f t="shared" ref="D164:H164" si="91">SUM(D154,D144,D134,D124,D114)</f>
        <v>4.4349806450926748</v>
      </c>
      <c r="E164" s="97">
        <f t="shared" si="91"/>
        <v>4.8503618242099122</v>
      </c>
      <c r="F164" s="97">
        <f t="shared" si="91"/>
        <v>5.1686870376369498</v>
      </c>
      <c r="G164" s="97">
        <f t="shared" si="91"/>
        <v>5.6564588883170339</v>
      </c>
      <c r="H164" s="97">
        <f t="shared" si="91"/>
        <v>6.2982764772100941</v>
      </c>
      <c r="I164" s="1"/>
      <c r="J164" s="1"/>
      <c r="K164" s="1"/>
      <c r="L164" s="1"/>
      <c r="M164" s="1"/>
      <c r="N164" s="1"/>
      <c r="O164" s="1"/>
      <c r="P164" s="1"/>
      <c r="Q164" s="1"/>
      <c r="R164" s="1"/>
    </row>
    <row r="165" spans="2:18">
      <c r="D165" s="108"/>
      <c r="E165" s="108"/>
      <c r="F165" s="108"/>
      <c r="G165" s="108"/>
      <c r="H165" s="109"/>
      <c r="I165" s="1"/>
      <c r="J165" s="1"/>
      <c r="K165" s="1"/>
      <c r="L165" s="1"/>
      <c r="M165" s="1"/>
      <c r="N165" s="1"/>
      <c r="O165" s="1"/>
      <c r="P165" s="1"/>
      <c r="Q165" s="1"/>
      <c r="R165" s="1"/>
    </row>
    <row r="166" spans="2:18">
      <c r="B166" s="103" t="s">
        <v>254</v>
      </c>
      <c r="C166" s="103"/>
      <c r="D166" s="106"/>
      <c r="E166" s="106"/>
      <c r="F166" s="106"/>
      <c r="G166" s="106"/>
      <c r="H166" s="106"/>
      <c r="I166" s="1"/>
      <c r="J166" s="1"/>
      <c r="K166" s="1"/>
      <c r="L166" s="1"/>
      <c r="M166" s="1"/>
      <c r="N166" s="1"/>
      <c r="O166" s="1"/>
      <c r="P166" s="1"/>
      <c r="Q166" s="1"/>
      <c r="R166" s="1"/>
    </row>
    <row r="167" spans="2:18">
      <c r="D167" s="108"/>
      <c r="E167" s="108"/>
      <c r="F167" s="108"/>
      <c r="G167" s="108"/>
      <c r="H167" s="109"/>
      <c r="I167" s="1"/>
      <c r="J167" s="1"/>
      <c r="K167" s="1"/>
      <c r="L167" s="1"/>
      <c r="M167" s="1"/>
      <c r="N167" s="1"/>
      <c r="O167" s="1"/>
      <c r="P167" s="1"/>
      <c r="Q167" s="1"/>
      <c r="R167" s="1"/>
    </row>
    <row r="168" spans="2:18">
      <c r="B168" s="58" t="s">
        <v>167</v>
      </c>
      <c r="D168" s="108">
        <f t="shared" ref="D168:H175" si="92">D157*D20</f>
        <v>11761086.397551632</v>
      </c>
      <c r="E168" s="108">
        <f t="shared" si="92"/>
        <v>12621657.896152329</v>
      </c>
      <c r="F168" s="108">
        <f t="shared" si="92"/>
        <v>13212317.451007312</v>
      </c>
      <c r="G168" s="108">
        <f t="shared" si="92"/>
        <v>14010577.072747964</v>
      </c>
      <c r="H168" s="108">
        <f t="shared" si="92"/>
        <v>14951899.547353819</v>
      </c>
      <c r="I168" s="1"/>
      <c r="J168" s="1"/>
      <c r="K168" s="1"/>
      <c r="L168" s="1"/>
      <c r="M168" s="1"/>
      <c r="N168" s="1"/>
      <c r="O168" s="1"/>
      <c r="P168" s="1"/>
      <c r="Q168" s="1"/>
      <c r="R168" s="1"/>
    </row>
    <row r="169" spans="2:18">
      <c r="B169" s="58" t="s">
        <v>269</v>
      </c>
      <c r="D169" s="108">
        <f t="shared" si="92"/>
        <v>392.5953383536833</v>
      </c>
      <c r="E169" s="108">
        <f t="shared" si="92"/>
        <v>220.28567923074939</v>
      </c>
      <c r="F169" s="108">
        <f t="shared" si="92"/>
        <v>229.51281405909896</v>
      </c>
      <c r="G169" s="108">
        <f t="shared" si="92"/>
        <v>241.24463389824353</v>
      </c>
      <c r="H169" s="108">
        <f t="shared" si="92"/>
        <v>254.09806656535113</v>
      </c>
      <c r="I169" s="1"/>
      <c r="J169" s="1"/>
      <c r="K169" s="1"/>
      <c r="L169" s="1"/>
      <c r="M169" s="1"/>
      <c r="N169" s="1"/>
      <c r="O169" s="1"/>
      <c r="P169" s="1"/>
      <c r="Q169" s="1"/>
      <c r="R169" s="1"/>
    </row>
    <row r="170" spans="2:18">
      <c r="B170" s="58" t="s">
        <v>272</v>
      </c>
      <c r="D170" s="108">
        <f t="shared" si="92"/>
        <v>117.81319143418303</v>
      </c>
      <c r="E170" s="108">
        <f t="shared" si="92"/>
        <v>123.56036914360341</v>
      </c>
      <c r="F170" s="108">
        <f t="shared" si="92"/>
        <v>126.38478183922513</v>
      </c>
      <c r="G170" s="108">
        <f t="shared" si="92"/>
        <v>129.9169859199352</v>
      </c>
      <c r="H170" s="108">
        <f t="shared" si="92"/>
        <v>133.15269365027967</v>
      </c>
      <c r="I170" s="1"/>
      <c r="J170" s="1"/>
      <c r="K170" s="1"/>
      <c r="L170" s="1"/>
      <c r="M170" s="1"/>
      <c r="N170" s="1"/>
      <c r="O170" s="1"/>
      <c r="P170" s="1"/>
      <c r="Q170" s="1"/>
      <c r="R170" s="1"/>
    </row>
    <row r="171" spans="2:18">
      <c r="B171" s="58" t="s">
        <v>170</v>
      </c>
      <c r="D171" s="108">
        <f t="shared" si="92"/>
        <v>1591431.7920920015</v>
      </c>
      <c r="E171" s="108">
        <f t="shared" si="92"/>
        <v>1720169.0922671354</v>
      </c>
      <c r="F171" s="108">
        <f t="shared" si="92"/>
        <v>1818256.1313377616</v>
      </c>
      <c r="G171" s="108">
        <f t="shared" si="92"/>
        <v>1938597.803755841</v>
      </c>
      <c r="H171" s="108">
        <f t="shared" si="92"/>
        <v>2074923.2310415898</v>
      </c>
      <c r="I171" s="1"/>
      <c r="J171" s="1"/>
      <c r="K171" s="1"/>
      <c r="L171" s="1"/>
      <c r="M171" s="1"/>
      <c r="N171" s="1"/>
      <c r="O171" s="1"/>
      <c r="P171" s="1"/>
      <c r="Q171" s="1"/>
      <c r="R171" s="1"/>
    </row>
    <row r="172" spans="2:18">
      <c r="B172" s="58" t="s">
        <v>270</v>
      </c>
      <c r="D172" s="108">
        <f t="shared" si="92"/>
        <v>78761.24196875385</v>
      </c>
      <c r="E172" s="108">
        <f t="shared" si="92"/>
        <v>79960.38967959299</v>
      </c>
      <c r="F172" s="108">
        <f t="shared" si="92"/>
        <v>84252.054381863782</v>
      </c>
      <c r="G172" s="108">
        <f t="shared" si="92"/>
        <v>89262.4680104914</v>
      </c>
      <c r="H172" s="108">
        <f t="shared" si="92"/>
        <v>94618.093317573701</v>
      </c>
      <c r="I172" s="1"/>
      <c r="J172" s="1"/>
      <c r="K172" s="1"/>
      <c r="L172" s="1"/>
      <c r="M172" s="1"/>
      <c r="N172" s="1"/>
      <c r="O172" s="1"/>
      <c r="P172" s="1"/>
      <c r="Q172" s="1"/>
      <c r="R172" s="1"/>
    </row>
    <row r="173" spans="2:18">
      <c r="B173" s="58" t="s">
        <v>271</v>
      </c>
      <c r="D173" s="108">
        <f t="shared" si="92"/>
        <v>51263.902628660071</v>
      </c>
      <c r="E173" s="108">
        <f t="shared" si="92"/>
        <v>54928.078060154774</v>
      </c>
      <c r="F173" s="108">
        <f t="shared" si="92"/>
        <v>57519.638527195508</v>
      </c>
      <c r="G173" s="108">
        <f t="shared" si="92"/>
        <v>60457.469475937287</v>
      </c>
      <c r="H173" s="108">
        <f t="shared" si="92"/>
        <v>63456.902575615975</v>
      </c>
      <c r="I173" s="1"/>
      <c r="J173" s="1"/>
      <c r="K173" s="1"/>
      <c r="L173" s="1"/>
      <c r="M173" s="1"/>
      <c r="N173" s="1"/>
      <c r="O173" s="1"/>
      <c r="P173" s="1"/>
      <c r="Q173" s="1"/>
      <c r="R173" s="1"/>
    </row>
    <row r="174" spans="2:18">
      <c r="B174" s="58" t="s">
        <v>105</v>
      </c>
      <c r="D174" s="108">
        <f t="shared" si="92"/>
        <v>1556708.2818687928</v>
      </c>
      <c r="E174" s="108">
        <f t="shared" si="92"/>
        <v>1665627.436829604</v>
      </c>
      <c r="F174" s="108">
        <f t="shared" si="92"/>
        <v>1743366.4920681627</v>
      </c>
      <c r="G174" s="108">
        <f t="shared" si="92"/>
        <v>1870409.7438930667</v>
      </c>
      <c r="H174" s="108">
        <f t="shared" si="92"/>
        <v>2036981.0562543706</v>
      </c>
      <c r="I174" s="1"/>
      <c r="J174" s="1"/>
      <c r="K174" s="1"/>
      <c r="L174" s="1"/>
      <c r="M174" s="1"/>
      <c r="N174" s="1"/>
      <c r="O174" s="1"/>
      <c r="P174" s="1"/>
      <c r="Q174" s="1"/>
      <c r="R174" s="1"/>
    </row>
    <row r="175" spans="2:18">
      <c r="B175" s="58" t="s">
        <v>173</v>
      </c>
      <c r="D175" s="108">
        <f t="shared" si="92"/>
        <v>364693.40862483357</v>
      </c>
      <c r="E175" s="108">
        <f t="shared" si="92"/>
        <v>407311.7228814385</v>
      </c>
      <c r="F175" s="108">
        <f t="shared" si="92"/>
        <v>456699.42484985635</v>
      </c>
      <c r="G175" s="108">
        <f t="shared" si="92"/>
        <v>524659.62894822098</v>
      </c>
      <c r="H175" s="108">
        <f t="shared" si="92"/>
        <v>612048.86041526299</v>
      </c>
      <c r="I175" s="1"/>
      <c r="J175" s="1"/>
      <c r="K175" s="1"/>
      <c r="L175" s="1"/>
      <c r="M175" s="1"/>
      <c r="N175" s="1"/>
      <c r="O175" s="1"/>
      <c r="P175" s="1"/>
      <c r="Q175" s="1"/>
      <c r="R175" s="1"/>
    </row>
    <row r="176" spans="2:18">
      <c r="B176" s="22" t="s">
        <v>22</v>
      </c>
      <c r="C176" s="125"/>
      <c r="D176" s="112">
        <f>SUM(D168:D175)</f>
        <v>15404455.433264462</v>
      </c>
      <c r="E176" s="112">
        <f>SUM(E168:E175)</f>
        <v>16549998.461918626</v>
      </c>
      <c r="F176" s="112">
        <f>SUM(F168:F175)</f>
        <v>17372767.089768052</v>
      </c>
      <c r="G176" s="112">
        <f>SUM(G168:G175)</f>
        <v>18494335.348451339</v>
      </c>
      <c r="H176" s="112">
        <f>SUM(H168:H175)</f>
        <v>19834314.941718444</v>
      </c>
      <c r="I176" s="1"/>
      <c r="J176" s="1"/>
      <c r="K176" s="1"/>
      <c r="L176" s="1"/>
      <c r="M176" s="1"/>
      <c r="N176" s="1"/>
      <c r="O176" s="1"/>
      <c r="P176" s="1"/>
      <c r="Q176" s="1"/>
      <c r="R176" s="1"/>
    </row>
    <row r="177" spans="2:18">
      <c r="B177" s="31" t="s">
        <v>37</v>
      </c>
      <c r="C177" s="123"/>
      <c r="D177" s="124">
        <f>D176-D100</f>
        <v>0</v>
      </c>
      <c r="E177" s="124">
        <f t="shared" ref="E177:H177" si="93">E176-E100</f>
        <v>0</v>
      </c>
      <c r="F177" s="124">
        <f t="shared" si="93"/>
        <v>0</v>
      </c>
      <c r="G177" s="124">
        <f t="shared" si="93"/>
        <v>0</v>
      </c>
      <c r="H177" s="124">
        <f t="shared" si="93"/>
        <v>0</v>
      </c>
      <c r="I177" s="1"/>
      <c r="J177" s="1"/>
      <c r="K177" s="1"/>
      <c r="L177" s="1"/>
      <c r="M177" s="1"/>
      <c r="N177" s="1"/>
      <c r="O177" s="1"/>
      <c r="P177" s="1"/>
      <c r="Q177" s="1"/>
      <c r="R177" s="1"/>
    </row>
    <row r="178" spans="2:18">
      <c r="D178" s="108"/>
      <c r="E178" s="108"/>
      <c r="F178" s="108"/>
      <c r="G178" s="108"/>
      <c r="H178" s="109"/>
      <c r="I178" s="1"/>
      <c r="J178" s="1"/>
      <c r="K178" s="1"/>
      <c r="L178" s="1"/>
      <c r="M178" s="1"/>
      <c r="N178" s="1"/>
      <c r="O178" s="1"/>
      <c r="P178" s="1"/>
      <c r="Q178" s="1"/>
      <c r="R178" s="1"/>
    </row>
    <row r="179" spans="2:18">
      <c r="B179" s="200" t="s">
        <v>333</v>
      </c>
      <c r="C179" s="1"/>
      <c r="D179" s="1"/>
      <c r="E179" s="1"/>
      <c r="F179" s="1"/>
      <c r="G179" s="1"/>
      <c r="H179" s="1"/>
      <c r="I179" s="1"/>
      <c r="J179" s="1"/>
      <c r="K179" s="1"/>
      <c r="L179" s="1"/>
      <c r="M179" s="1"/>
      <c r="N179" s="1"/>
      <c r="O179" s="1"/>
      <c r="P179" s="1"/>
      <c r="Q179" s="1"/>
      <c r="R179" s="1"/>
    </row>
    <row r="180" spans="2:18">
      <c r="H180" s="10"/>
      <c r="L180" s="1"/>
      <c r="M180" s="1"/>
      <c r="N180" s="1"/>
      <c r="O180" s="1"/>
      <c r="P180" s="1"/>
      <c r="Q180" s="1"/>
      <c r="R180" s="1"/>
    </row>
    <row r="181" spans="2:18">
      <c r="B181" s="1"/>
      <c r="C181" s="1"/>
      <c r="D181" s="1"/>
      <c r="E181" s="1"/>
      <c r="F181" s="1"/>
      <c r="G181" s="1"/>
      <c r="H181" s="1"/>
      <c r="I181" s="1"/>
      <c r="J181" s="1"/>
      <c r="K181" s="1"/>
      <c r="L181" s="1"/>
      <c r="M181" s="1"/>
      <c r="N181" s="1"/>
      <c r="O181" s="1"/>
      <c r="P181" s="1"/>
      <c r="Q181" s="1"/>
      <c r="R181" s="1"/>
    </row>
    <row r="182" spans="2:18">
      <c r="B182" s="1"/>
      <c r="C182" s="1"/>
      <c r="D182" s="1"/>
      <c r="E182" s="1"/>
      <c r="F182" s="1"/>
      <c r="G182" s="1"/>
      <c r="H182" s="1"/>
      <c r="I182" s="1"/>
      <c r="J182" s="1"/>
      <c r="K182" s="1"/>
      <c r="L182" s="1"/>
      <c r="M182" s="1"/>
      <c r="N182" s="1"/>
      <c r="O182" s="1"/>
      <c r="P182" s="1"/>
      <c r="Q182" s="1"/>
      <c r="R182" s="1"/>
    </row>
    <row r="183" spans="2:18">
      <c r="B183" s="1"/>
      <c r="C183" s="1"/>
      <c r="D183" s="1"/>
      <c r="E183" s="1"/>
      <c r="F183" s="1"/>
      <c r="G183" s="1"/>
      <c r="H183" s="1"/>
      <c r="I183" s="1"/>
      <c r="J183" s="1"/>
      <c r="K183" s="1"/>
      <c r="L183" s="1"/>
      <c r="M183" s="1"/>
      <c r="N183" s="1"/>
      <c r="O183" s="1"/>
      <c r="P183" s="1"/>
      <c r="Q183" s="1"/>
      <c r="R183" s="1"/>
    </row>
    <row r="184" spans="2:18">
      <c r="B184" s="1"/>
      <c r="C184" s="1"/>
      <c r="D184" s="1"/>
      <c r="E184" s="1"/>
      <c r="F184" s="1"/>
      <c r="G184" s="1"/>
      <c r="H184" s="1"/>
      <c r="I184" s="1"/>
      <c r="J184" s="1"/>
      <c r="K184" s="1"/>
      <c r="L184" s="1"/>
      <c r="M184" s="1"/>
      <c r="N184" s="1"/>
      <c r="O184" s="1"/>
      <c r="P184" s="1"/>
      <c r="Q184" s="1"/>
      <c r="R184" s="1"/>
    </row>
    <row r="185" spans="2:18">
      <c r="B185" s="1"/>
      <c r="C185" s="1"/>
      <c r="D185" s="1"/>
      <c r="E185" s="1"/>
      <c r="F185" s="1"/>
      <c r="G185" s="1"/>
      <c r="H185" s="1"/>
      <c r="I185" s="1"/>
      <c r="J185" s="1"/>
      <c r="K185" s="1"/>
      <c r="L185" s="1"/>
      <c r="M185" s="1"/>
      <c r="N185" s="1"/>
      <c r="O185" s="1"/>
      <c r="P185" s="1"/>
      <c r="Q185" s="1"/>
      <c r="R185" s="1"/>
    </row>
    <row r="186" spans="2:18">
      <c r="B186" s="1"/>
      <c r="C186" s="1"/>
      <c r="D186" s="1"/>
      <c r="E186" s="1"/>
      <c r="F186" s="1"/>
      <c r="G186" s="1"/>
      <c r="H186" s="1"/>
      <c r="I186" s="1"/>
      <c r="J186" s="1"/>
      <c r="K186" s="1"/>
      <c r="L186" s="1"/>
      <c r="M186" s="1"/>
      <c r="N186" s="1"/>
      <c r="O186" s="1"/>
      <c r="P186" s="1"/>
      <c r="Q186" s="1"/>
      <c r="R186" s="1"/>
    </row>
    <row r="187" spans="2:18">
      <c r="B187" s="1"/>
      <c r="C187" s="1"/>
      <c r="D187" s="1"/>
      <c r="E187" s="1"/>
      <c r="F187" s="1"/>
      <c r="G187" s="1"/>
      <c r="H187" s="1"/>
      <c r="I187" s="1"/>
      <c r="J187" s="1"/>
      <c r="K187" s="1"/>
      <c r="L187" s="1"/>
      <c r="M187" s="1"/>
      <c r="N187" s="1"/>
      <c r="O187" s="1"/>
      <c r="P187" s="1"/>
      <c r="Q187" s="1"/>
      <c r="R187" s="1"/>
    </row>
    <row r="188" spans="2:18">
      <c r="B188" s="1"/>
      <c r="C188" s="1"/>
      <c r="D188" s="1"/>
      <c r="E188" s="1"/>
      <c r="F188" s="1"/>
      <c r="G188" s="1"/>
      <c r="H188" s="1"/>
      <c r="I188" s="1"/>
      <c r="J188" s="1"/>
      <c r="K188" s="1"/>
      <c r="L188" s="1"/>
      <c r="M188" s="1"/>
      <c r="N188" s="1"/>
      <c r="O188" s="1"/>
      <c r="P188" s="1"/>
      <c r="Q188" s="1"/>
      <c r="R188" s="1"/>
    </row>
    <row r="189" spans="2:18">
      <c r="B189" s="1"/>
      <c r="C189" s="1"/>
      <c r="D189" s="1"/>
      <c r="E189" s="1"/>
      <c r="F189" s="1"/>
      <c r="G189" s="1"/>
      <c r="H189" s="1"/>
      <c r="I189" s="1"/>
      <c r="J189" s="1"/>
      <c r="K189" s="1"/>
      <c r="L189" s="1"/>
      <c r="M189" s="1"/>
      <c r="N189" s="1"/>
      <c r="O189" s="1"/>
      <c r="P189" s="1"/>
      <c r="Q189" s="1"/>
      <c r="R189" s="1"/>
    </row>
    <row r="190" spans="2:18">
      <c r="B190" s="1"/>
      <c r="C190" s="1"/>
      <c r="D190" s="1"/>
      <c r="E190" s="1"/>
      <c r="F190" s="1"/>
      <c r="G190" s="1"/>
      <c r="H190" s="1"/>
      <c r="I190" s="1"/>
      <c r="J190" s="1"/>
      <c r="K190" s="1"/>
      <c r="L190" s="1"/>
      <c r="M190" s="1"/>
      <c r="N190" s="1"/>
      <c r="O190" s="1"/>
      <c r="P190" s="1"/>
      <c r="Q190" s="1"/>
      <c r="R190" s="1"/>
    </row>
    <row r="191" spans="2:18">
      <c r="B191" s="1"/>
      <c r="C191" s="1"/>
      <c r="D191" s="1"/>
      <c r="E191" s="1"/>
      <c r="F191" s="1"/>
      <c r="G191" s="1"/>
      <c r="H191" s="1"/>
      <c r="I191" s="1"/>
      <c r="J191" s="1"/>
      <c r="K191" s="1"/>
      <c r="L191" s="1"/>
      <c r="M191" s="1"/>
      <c r="N191" s="1"/>
      <c r="O191" s="1"/>
      <c r="P191" s="1"/>
      <c r="Q191" s="1"/>
      <c r="R191" s="1"/>
    </row>
    <row r="192" spans="2:18">
      <c r="B192" s="1"/>
      <c r="C192" s="1"/>
      <c r="D192" s="1"/>
      <c r="E192" s="1"/>
      <c r="F192" s="1"/>
      <c r="G192" s="1"/>
      <c r="H192" s="1"/>
      <c r="I192" s="1"/>
      <c r="J192" s="1"/>
      <c r="K192" s="1"/>
      <c r="L192" s="1"/>
      <c r="M192" s="1"/>
      <c r="N192" s="1"/>
      <c r="O192" s="1"/>
      <c r="P192" s="1"/>
      <c r="Q192" s="1"/>
      <c r="R192" s="1"/>
    </row>
    <row r="193" spans="2:18">
      <c r="B193" s="1"/>
      <c r="C193" s="1"/>
      <c r="D193" s="1"/>
      <c r="E193" s="1"/>
      <c r="F193" s="1"/>
      <c r="G193" s="1"/>
      <c r="H193" s="1"/>
      <c r="I193" s="1"/>
      <c r="J193" s="1"/>
      <c r="K193" s="1"/>
      <c r="L193" s="1"/>
      <c r="M193" s="1"/>
      <c r="N193" s="1"/>
      <c r="O193" s="1"/>
      <c r="P193" s="1"/>
      <c r="Q193" s="1"/>
      <c r="R193" s="1"/>
    </row>
    <row r="194" spans="2:18">
      <c r="B194" s="1"/>
      <c r="C194" s="1"/>
      <c r="D194" s="1"/>
      <c r="E194" s="1"/>
      <c r="F194" s="1"/>
      <c r="G194" s="1"/>
      <c r="H194" s="1"/>
      <c r="I194" s="1"/>
      <c r="J194" s="1"/>
      <c r="K194" s="1"/>
      <c r="L194" s="1"/>
      <c r="M194" s="1"/>
      <c r="N194" s="1"/>
      <c r="O194" s="1"/>
      <c r="P194" s="1"/>
      <c r="Q194" s="1"/>
      <c r="R194" s="1"/>
    </row>
    <row r="195" spans="2:18">
      <c r="B195" s="1"/>
      <c r="C195" s="1"/>
      <c r="D195" s="1"/>
      <c r="E195" s="1"/>
      <c r="F195" s="1"/>
      <c r="G195" s="1"/>
      <c r="H195" s="1"/>
      <c r="I195" s="1"/>
      <c r="J195" s="1"/>
      <c r="K195" s="1"/>
      <c r="L195" s="1"/>
      <c r="M195" s="1"/>
      <c r="N195" s="1"/>
      <c r="O195" s="1"/>
      <c r="P195" s="1"/>
      <c r="Q195" s="1"/>
      <c r="R195" s="1"/>
    </row>
    <row r="196" spans="2:18">
      <c r="B196" s="1"/>
      <c r="C196" s="1"/>
      <c r="D196" s="1"/>
      <c r="E196" s="1"/>
      <c r="F196" s="1"/>
      <c r="G196" s="1"/>
      <c r="H196" s="1"/>
      <c r="I196" s="1"/>
      <c r="J196" s="1"/>
      <c r="K196" s="1"/>
      <c r="L196" s="1"/>
      <c r="M196" s="1"/>
      <c r="N196" s="1"/>
      <c r="O196" s="1"/>
      <c r="P196" s="1"/>
      <c r="Q196" s="1"/>
      <c r="R196" s="1"/>
    </row>
    <row r="197" spans="2:18" hidden="1" outlineLevel="1">
      <c r="B197" s="1"/>
      <c r="C197" s="1"/>
      <c r="D197" s="1"/>
      <c r="E197" s="1"/>
      <c r="F197" s="1"/>
      <c r="G197" s="1"/>
      <c r="H197" s="1"/>
      <c r="I197" s="1"/>
      <c r="J197" s="1"/>
      <c r="K197" s="1"/>
      <c r="L197" s="1"/>
      <c r="M197" s="1"/>
      <c r="N197" s="1"/>
      <c r="O197" s="1"/>
      <c r="P197" s="1"/>
      <c r="Q197" s="1"/>
      <c r="R197" s="1"/>
    </row>
    <row r="198" spans="2:18" hidden="1" outlineLevel="1">
      <c r="B198" s="1"/>
      <c r="C198" s="1"/>
      <c r="D198" s="1"/>
      <c r="E198" s="1"/>
      <c r="F198" s="1"/>
      <c r="G198" s="1"/>
      <c r="H198" s="1"/>
      <c r="I198" s="1"/>
      <c r="J198" s="1"/>
      <c r="K198" s="1"/>
      <c r="L198" s="1"/>
      <c r="M198" s="1"/>
      <c r="N198" s="1"/>
      <c r="O198" s="1"/>
      <c r="P198" s="1"/>
      <c r="Q198" s="1"/>
      <c r="R198" s="1"/>
    </row>
    <row r="199" spans="2:18" hidden="1" outlineLevel="1">
      <c r="B199" s="1"/>
      <c r="C199" s="1"/>
      <c r="D199" s="1"/>
      <c r="E199" s="1"/>
      <c r="F199" s="1"/>
      <c r="G199" s="1"/>
      <c r="H199" s="1"/>
      <c r="I199" s="1"/>
      <c r="J199" s="1"/>
      <c r="K199" s="1"/>
      <c r="L199" s="1"/>
      <c r="M199" s="1"/>
      <c r="N199" s="1"/>
      <c r="O199" s="1"/>
      <c r="P199" s="1"/>
      <c r="Q199" s="1"/>
      <c r="R199" s="1"/>
    </row>
    <row r="200" spans="2:18" hidden="1" outlineLevel="1">
      <c r="B200" s="1"/>
      <c r="C200" s="1"/>
      <c r="D200" s="1"/>
      <c r="E200" s="1"/>
      <c r="F200" s="1"/>
      <c r="G200" s="1"/>
      <c r="H200" s="1"/>
      <c r="I200" s="1"/>
      <c r="J200" s="1"/>
      <c r="K200" s="1"/>
      <c r="L200" s="1"/>
      <c r="M200" s="1"/>
      <c r="N200" s="1"/>
      <c r="O200" s="1"/>
      <c r="P200" s="1"/>
      <c r="Q200" s="1"/>
      <c r="R200" s="1"/>
    </row>
    <row r="201" spans="2:18" hidden="1" outlineLevel="1">
      <c r="B201" s="1"/>
      <c r="C201" s="1"/>
      <c r="D201" s="1"/>
      <c r="E201" s="1"/>
      <c r="F201" s="1"/>
      <c r="G201" s="1"/>
      <c r="H201" s="1"/>
      <c r="I201" s="1"/>
      <c r="J201" s="1"/>
      <c r="K201" s="1"/>
      <c r="L201" s="1"/>
      <c r="M201" s="1"/>
      <c r="N201" s="1"/>
      <c r="O201" s="1"/>
      <c r="P201" s="1"/>
      <c r="Q201" s="1"/>
      <c r="R201" s="1"/>
    </row>
    <row r="202" spans="2:18" hidden="1" outlineLevel="1">
      <c r="B202" s="1"/>
      <c r="C202" s="1"/>
      <c r="D202" s="1"/>
      <c r="E202" s="1"/>
      <c r="F202" s="1"/>
      <c r="G202" s="1"/>
      <c r="H202" s="1"/>
      <c r="I202" s="1"/>
      <c r="J202" s="1"/>
      <c r="K202" s="1"/>
      <c r="L202" s="1"/>
      <c r="M202" s="1"/>
      <c r="N202" s="1"/>
      <c r="O202" s="1"/>
      <c r="P202" s="1"/>
      <c r="Q202" s="1"/>
      <c r="R202" s="1"/>
    </row>
    <row r="203" spans="2:18" hidden="1" outlineLevel="1">
      <c r="B203" s="1"/>
      <c r="C203" s="1"/>
      <c r="D203" s="1"/>
      <c r="E203" s="1"/>
      <c r="F203" s="1"/>
      <c r="G203" s="1"/>
      <c r="H203" s="1"/>
      <c r="I203" s="1"/>
      <c r="J203" s="1"/>
      <c r="K203" s="1"/>
      <c r="L203" s="1"/>
      <c r="M203" s="1"/>
      <c r="N203" s="1"/>
      <c r="O203" s="1"/>
      <c r="P203" s="1"/>
      <c r="Q203" s="1"/>
      <c r="R203" s="1"/>
    </row>
    <row r="204" spans="2:18" hidden="1" outlineLevel="1">
      <c r="B204" s="1"/>
      <c r="C204" s="1"/>
      <c r="D204" s="1"/>
      <c r="E204" s="1"/>
      <c r="F204" s="1"/>
      <c r="G204" s="1"/>
      <c r="H204" s="1"/>
      <c r="I204" s="1"/>
      <c r="J204" s="1"/>
      <c r="K204" s="1"/>
      <c r="L204" s="1"/>
      <c r="M204" s="1"/>
      <c r="N204" s="1"/>
      <c r="O204" s="1"/>
      <c r="P204" s="1"/>
      <c r="Q204" s="1"/>
      <c r="R204" s="1"/>
    </row>
    <row r="205" spans="2:18" hidden="1" outlineLevel="1">
      <c r="B205" s="1"/>
      <c r="C205" s="1"/>
      <c r="D205" s="1"/>
      <c r="E205" s="1"/>
      <c r="F205" s="1"/>
      <c r="G205" s="1"/>
      <c r="H205" s="1"/>
      <c r="I205" s="1"/>
      <c r="J205" s="1"/>
      <c r="K205" s="1"/>
      <c r="L205" s="1"/>
      <c r="M205" s="1"/>
      <c r="N205" s="1"/>
      <c r="O205" s="1"/>
      <c r="P205" s="1"/>
      <c r="Q205" s="1"/>
      <c r="R205" s="1"/>
    </row>
    <row r="206" spans="2:18" hidden="1" outlineLevel="1">
      <c r="B206" s="1"/>
      <c r="C206" s="1"/>
      <c r="D206" s="1"/>
      <c r="E206" s="1"/>
      <c r="F206" s="1"/>
      <c r="G206" s="1"/>
      <c r="H206" s="1"/>
      <c r="I206" s="1"/>
      <c r="J206" s="1"/>
      <c r="K206" s="1"/>
      <c r="L206" s="1"/>
      <c r="M206" s="1"/>
      <c r="N206" s="1"/>
      <c r="O206" s="1"/>
      <c r="P206" s="1"/>
      <c r="Q206" s="1"/>
      <c r="R206" s="1"/>
    </row>
    <row r="207" spans="2:18" hidden="1" outlineLevel="1">
      <c r="B207" s="1"/>
      <c r="C207" s="1"/>
      <c r="D207" s="1"/>
      <c r="E207" s="1"/>
      <c r="F207" s="1"/>
      <c r="G207" s="1"/>
      <c r="H207" s="1"/>
      <c r="I207" s="1"/>
      <c r="J207" s="1"/>
      <c r="K207" s="1"/>
      <c r="L207" s="1"/>
      <c r="M207" s="1"/>
      <c r="N207" s="1"/>
      <c r="O207" s="1"/>
      <c r="P207" s="1"/>
      <c r="Q207" s="1"/>
      <c r="R207" s="1"/>
    </row>
    <row r="208" spans="2:18" hidden="1" outlineLevel="1">
      <c r="B208" s="1"/>
      <c r="C208" s="1"/>
      <c r="D208" s="1"/>
      <c r="E208" s="1"/>
      <c r="F208" s="1"/>
      <c r="G208" s="1"/>
      <c r="H208" s="1"/>
      <c r="I208" s="1"/>
      <c r="J208" s="1"/>
      <c r="K208" s="1"/>
      <c r="L208" s="1"/>
      <c r="M208" s="1"/>
      <c r="N208" s="1"/>
      <c r="O208" s="1"/>
      <c r="P208" s="1"/>
      <c r="Q208" s="1"/>
      <c r="R208" s="1"/>
    </row>
    <row r="209" spans="2:18" hidden="1" outlineLevel="1">
      <c r="B209" s="1"/>
      <c r="C209" s="1"/>
      <c r="D209" s="1"/>
      <c r="E209" s="1"/>
      <c r="F209" s="1"/>
      <c r="G209" s="1"/>
      <c r="H209" s="1"/>
      <c r="I209" s="1"/>
      <c r="J209" s="1"/>
      <c r="K209" s="1"/>
      <c r="L209" s="1"/>
      <c r="M209" s="1"/>
      <c r="N209" s="1"/>
      <c r="O209" s="1"/>
      <c r="P209" s="1"/>
      <c r="Q209" s="1"/>
      <c r="R209" s="1"/>
    </row>
    <row r="210" spans="2:18" hidden="1" outlineLevel="1">
      <c r="B210" s="1"/>
      <c r="C210" s="1"/>
      <c r="D210" s="1"/>
      <c r="E210" s="1"/>
      <c r="F210" s="1"/>
      <c r="G210" s="1"/>
      <c r="H210" s="1"/>
      <c r="I210" s="1"/>
      <c r="J210" s="1"/>
      <c r="K210" s="1"/>
      <c r="L210" s="1"/>
      <c r="M210" s="1"/>
      <c r="N210" s="1"/>
      <c r="O210" s="1"/>
      <c r="P210" s="1"/>
      <c r="Q210" s="1"/>
      <c r="R210" s="1"/>
    </row>
    <row r="211" spans="2:18" hidden="1" outlineLevel="1">
      <c r="B211" s="1"/>
      <c r="C211" s="1"/>
      <c r="D211" s="1"/>
      <c r="E211" s="1"/>
      <c r="F211" s="1"/>
      <c r="G211" s="1"/>
      <c r="H211" s="1"/>
      <c r="I211" s="1"/>
      <c r="J211" s="1"/>
      <c r="K211" s="1"/>
      <c r="L211" s="1"/>
      <c r="M211" s="1"/>
      <c r="N211" s="1"/>
      <c r="O211" s="1"/>
      <c r="P211" s="1"/>
      <c r="Q211" s="1"/>
      <c r="R211" s="1"/>
    </row>
    <row r="212" spans="2:18" hidden="1" outlineLevel="1">
      <c r="B212" s="1"/>
      <c r="C212" s="1"/>
      <c r="D212" s="1"/>
      <c r="E212" s="1"/>
      <c r="F212" s="1"/>
      <c r="G212" s="1"/>
      <c r="H212" s="1"/>
      <c r="I212" s="1"/>
      <c r="J212" s="1"/>
      <c r="K212" s="1"/>
      <c r="L212" s="1"/>
      <c r="M212" s="1"/>
      <c r="N212" s="1"/>
      <c r="O212" s="1"/>
      <c r="P212" s="1"/>
      <c r="Q212" s="1"/>
      <c r="R212" s="1"/>
    </row>
    <row r="213" spans="2:18" hidden="1" outlineLevel="1">
      <c r="B213" s="1"/>
      <c r="C213" s="1"/>
      <c r="D213" s="1"/>
      <c r="E213" s="1"/>
      <c r="F213" s="1"/>
      <c r="G213" s="1"/>
      <c r="H213" s="1"/>
      <c r="I213" s="1"/>
      <c r="J213" s="1"/>
      <c r="K213" s="1"/>
      <c r="L213" s="1"/>
      <c r="M213" s="1"/>
      <c r="N213" s="1"/>
      <c r="O213" s="1"/>
      <c r="P213" s="1"/>
      <c r="Q213" s="1"/>
      <c r="R213" s="1"/>
    </row>
    <row r="214" spans="2:18" hidden="1" outlineLevel="1">
      <c r="B214" s="1"/>
      <c r="C214" s="1"/>
      <c r="D214" s="1"/>
      <c r="E214" s="1"/>
      <c r="F214" s="1"/>
      <c r="G214" s="1"/>
      <c r="H214" s="1"/>
      <c r="I214" s="1"/>
      <c r="J214" s="1"/>
      <c r="K214" s="1"/>
      <c r="L214" s="1"/>
      <c r="M214" s="1"/>
      <c r="N214" s="1"/>
      <c r="O214" s="1"/>
      <c r="P214" s="1"/>
      <c r="Q214" s="1"/>
      <c r="R214" s="1"/>
    </row>
    <row r="215" spans="2:18" hidden="1" outlineLevel="1">
      <c r="B215" s="1"/>
      <c r="C215" s="1"/>
      <c r="D215" s="1"/>
      <c r="E215" s="1"/>
      <c r="F215" s="1"/>
      <c r="G215" s="1"/>
      <c r="H215" s="1"/>
      <c r="I215" s="1"/>
      <c r="J215" s="1"/>
      <c r="K215" s="1"/>
      <c r="L215" s="1"/>
      <c r="M215" s="1"/>
      <c r="N215" s="1"/>
      <c r="O215" s="1"/>
      <c r="P215" s="1"/>
      <c r="Q215" s="1"/>
      <c r="R215" s="1"/>
    </row>
    <row r="216" spans="2:18" hidden="1" outlineLevel="1">
      <c r="B216" s="1"/>
      <c r="C216" s="1"/>
      <c r="D216" s="1"/>
      <c r="E216" s="1"/>
      <c r="F216" s="1"/>
      <c r="G216" s="1"/>
      <c r="H216" s="1"/>
      <c r="I216" s="1"/>
      <c r="J216" s="1"/>
      <c r="K216" s="1"/>
      <c r="L216" s="1"/>
      <c r="M216" s="1"/>
      <c r="N216" s="1"/>
      <c r="O216" s="1"/>
      <c r="P216" s="1"/>
      <c r="Q216" s="1"/>
      <c r="R216" s="1"/>
    </row>
    <row r="217" spans="2:18" hidden="1" outlineLevel="1">
      <c r="B217" s="1"/>
      <c r="C217" s="1"/>
      <c r="D217" s="1"/>
      <c r="E217" s="1"/>
      <c r="F217" s="1"/>
      <c r="G217" s="1"/>
      <c r="H217" s="1"/>
      <c r="I217" s="1"/>
      <c r="J217" s="1"/>
      <c r="K217" s="1"/>
      <c r="L217" s="1"/>
      <c r="M217" s="1"/>
      <c r="N217" s="1"/>
      <c r="O217" s="1"/>
      <c r="P217" s="1"/>
      <c r="Q217" s="1"/>
      <c r="R217" s="1"/>
    </row>
    <row r="218" spans="2:18" hidden="1" outlineLevel="1">
      <c r="B218" s="1"/>
      <c r="C218" s="1"/>
      <c r="D218" s="1"/>
      <c r="E218" s="1"/>
      <c r="F218" s="1"/>
      <c r="G218" s="1"/>
      <c r="H218" s="1"/>
      <c r="I218" s="1"/>
      <c r="J218" s="1"/>
      <c r="K218" s="1"/>
      <c r="L218" s="1"/>
      <c r="M218" s="1"/>
      <c r="N218" s="1"/>
      <c r="O218" s="1"/>
      <c r="P218" s="1"/>
      <c r="Q218" s="1"/>
      <c r="R218" s="1"/>
    </row>
    <row r="219" spans="2:18" hidden="1" outlineLevel="1">
      <c r="B219" s="1"/>
      <c r="C219" s="1"/>
      <c r="D219" s="1"/>
      <c r="E219" s="1"/>
      <c r="F219" s="1"/>
      <c r="G219" s="1"/>
      <c r="H219" s="1"/>
      <c r="I219" s="1"/>
      <c r="J219" s="1"/>
      <c r="K219" s="1"/>
      <c r="L219" s="1"/>
      <c r="M219" s="1"/>
      <c r="N219" s="1"/>
      <c r="O219" s="1"/>
      <c r="P219" s="1"/>
      <c r="Q219" s="1"/>
      <c r="R219" s="1"/>
    </row>
    <row r="220" spans="2:18" hidden="1" outlineLevel="1">
      <c r="B220" s="1"/>
      <c r="C220" s="1"/>
      <c r="D220" s="1"/>
      <c r="E220" s="1"/>
      <c r="F220" s="1"/>
      <c r="G220" s="1"/>
      <c r="H220" s="1"/>
      <c r="I220" s="1"/>
      <c r="J220" s="1"/>
      <c r="K220" s="1"/>
      <c r="L220" s="1"/>
      <c r="M220" s="1"/>
      <c r="N220" s="1"/>
      <c r="O220" s="1"/>
      <c r="P220" s="1"/>
      <c r="Q220" s="1"/>
      <c r="R220" s="1"/>
    </row>
    <row r="221" spans="2:18" hidden="1" outlineLevel="1">
      <c r="B221" s="1"/>
      <c r="C221" s="1"/>
      <c r="D221" s="1"/>
      <c r="E221" s="1"/>
      <c r="F221" s="1"/>
      <c r="G221" s="1"/>
      <c r="H221" s="1"/>
      <c r="I221" s="1"/>
      <c r="J221" s="1"/>
      <c r="K221" s="1"/>
      <c r="L221" s="1"/>
      <c r="M221" s="1"/>
      <c r="N221" s="1"/>
      <c r="O221" s="1"/>
      <c r="P221" s="1"/>
      <c r="Q221" s="1"/>
      <c r="R221" s="1"/>
    </row>
    <row r="222" spans="2:18" hidden="1" outlineLevel="1">
      <c r="B222" s="1"/>
      <c r="C222" s="1"/>
      <c r="D222" s="1"/>
      <c r="E222" s="1"/>
      <c r="F222" s="1"/>
      <c r="G222" s="1"/>
      <c r="H222" s="1"/>
      <c r="I222" s="1"/>
      <c r="J222" s="1"/>
      <c r="K222" s="1"/>
      <c r="L222" s="1"/>
      <c r="M222" s="1"/>
      <c r="N222" s="1"/>
      <c r="O222" s="1"/>
      <c r="P222" s="1"/>
      <c r="Q222" s="1"/>
      <c r="R222" s="1"/>
    </row>
    <row r="223" spans="2:18" hidden="1" outlineLevel="1">
      <c r="B223" s="1"/>
      <c r="C223" s="1"/>
      <c r="D223" s="1"/>
      <c r="E223" s="1"/>
      <c r="F223" s="1"/>
      <c r="G223" s="1"/>
      <c r="H223" s="1"/>
      <c r="I223" s="1"/>
      <c r="J223" s="1"/>
      <c r="K223" s="1"/>
      <c r="L223" s="1"/>
      <c r="M223" s="1"/>
      <c r="N223" s="1"/>
      <c r="O223" s="1"/>
      <c r="P223" s="1"/>
      <c r="Q223" s="1"/>
      <c r="R223" s="1"/>
    </row>
    <row r="224" spans="2:18" hidden="1" outlineLevel="1">
      <c r="B224" s="1"/>
      <c r="C224" s="1"/>
      <c r="D224" s="1"/>
      <c r="E224" s="1"/>
      <c r="F224" s="1"/>
      <c r="G224" s="1"/>
      <c r="H224" s="1"/>
      <c r="I224" s="1"/>
      <c r="J224" s="1"/>
      <c r="K224" s="1"/>
      <c r="L224" s="1"/>
      <c r="M224" s="1"/>
      <c r="N224" s="1"/>
      <c r="O224" s="1"/>
      <c r="P224" s="1"/>
      <c r="Q224" s="1"/>
      <c r="R224" s="1"/>
    </row>
    <row r="225" spans="2:18" hidden="1" outlineLevel="1">
      <c r="B225" s="1"/>
      <c r="C225" s="1"/>
      <c r="D225" s="1"/>
      <c r="E225" s="1"/>
      <c r="F225" s="1"/>
      <c r="G225" s="1"/>
      <c r="H225" s="1"/>
      <c r="I225" s="1"/>
      <c r="J225" s="1"/>
      <c r="K225" s="1"/>
      <c r="L225" s="1"/>
      <c r="M225" s="1"/>
      <c r="N225" s="1"/>
      <c r="O225" s="1"/>
      <c r="P225" s="1"/>
      <c r="Q225" s="1"/>
      <c r="R225" s="1"/>
    </row>
    <row r="226" spans="2:18" hidden="1" outlineLevel="1">
      <c r="B226" s="1"/>
      <c r="C226" s="1"/>
      <c r="D226" s="1"/>
      <c r="E226" s="1"/>
      <c r="F226" s="1"/>
      <c r="G226" s="1"/>
      <c r="H226" s="1"/>
      <c r="I226" s="1"/>
      <c r="J226" s="1"/>
      <c r="K226" s="1"/>
      <c r="L226" s="1"/>
      <c r="M226" s="1"/>
      <c r="N226" s="1"/>
      <c r="O226" s="1"/>
      <c r="P226" s="1"/>
      <c r="Q226" s="1"/>
      <c r="R226" s="1"/>
    </row>
    <row r="227" spans="2:18" hidden="1" outlineLevel="1">
      <c r="B227" s="1"/>
      <c r="C227" s="1"/>
      <c r="D227" s="1"/>
      <c r="E227" s="1"/>
      <c r="F227" s="1"/>
      <c r="G227" s="1"/>
      <c r="H227" s="1"/>
      <c r="I227" s="1"/>
      <c r="J227" s="1"/>
      <c r="K227" s="1"/>
      <c r="L227" s="1"/>
      <c r="M227" s="1"/>
      <c r="N227" s="1"/>
      <c r="O227" s="1"/>
      <c r="P227" s="1"/>
      <c r="Q227" s="1"/>
      <c r="R227" s="1"/>
    </row>
    <row r="228" spans="2:18" hidden="1" outlineLevel="1">
      <c r="B228" s="1"/>
      <c r="C228" s="1"/>
      <c r="D228" s="1"/>
      <c r="E228" s="1"/>
      <c r="F228" s="1"/>
      <c r="G228" s="1"/>
      <c r="H228" s="1"/>
      <c r="I228" s="1"/>
      <c r="J228" s="1"/>
      <c r="K228" s="1"/>
      <c r="L228" s="1"/>
      <c r="M228" s="1"/>
      <c r="N228" s="1"/>
      <c r="O228" s="1"/>
      <c r="P228" s="1"/>
      <c r="Q228" s="1"/>
      <c r="R228" s="1"/>
    </row>
    <row r="229" spans="2:18" hidden="1" outlineLevel="1">
      <c r="B229" s="1"/>
      <c r="C229" s="1"/>
      <c r="D229" s="1"/>
      <c r="E229" s="1"/>
      <c r="F229" s="1"/>
      <c r="G229" s="1"/>
      <c r="H229" s="1"/>
      <c r="I229" s="1"/>
      <c r="J229" s="1"/>
      <c r="K229" s="1"/>
      <c r="L229" s="1"/>
      <c r="M229" s="1"/>
      <c r="N229" s="1"/>
      <c r="O229" s="1"/>
      <c r="P229" s="1"/>
      <c r="Q229" s="1"/>
      <c r="R229" s="1"/>
    </row>
    <row r="230" spans="2:18" hidden="1" outlineLevel="1">
      <c r="B230" s="1"/>
      <c r="C230" s="1"/>
      <c r="D230" s="1"/>
      <c r="E230" s="1"/>
      <c r="F230" s="1"/>
      <c r="G230" s="1"/>
      <c r="H230" s="1"/>
      <c r="I230" s="1"/>
      <c r="J230" s="1"/>
      <c r="K230" s="1"/>
      <c r="L230" s="1"/>
      <c r="M230" s="1"/>
      <c r="N230" s="1"/>
      <c r="O230" s="1"/>
      <c r="P230" s="1"/>
      <c r="Q230" s="1"/>
      <c r="R230" s="1"/>
    </row>
    <row r="231" spans="2:18" hidden="1" outlineLevel="1">
      <c r="B231" s="1"/>
      <c r="C231" s="1"/>
      <c r="D231" s="1"/>
      <c r="E231" s="1"/>
      <c r="F231" s="1"/>
      <c r="G231" s="1"/>
      <c r="H231" s="1"/>
      <c r="I231" s="1"/>
      <c r="J231" s="1"/>
      <c r="K231" s="1"/>
      <c r="L231" s="1"/>
      <c r="M231" s="1"/>
      <c r="N231" s="1"/>
      <c r="O231" s="1"/>
      <c r="P231" s="1"/>
      <c r="Q231" s="1"/>
      <c r="R231" s="1"/>
    </row>
    <row r="232" spans="2:18" hidden="1" outlineLevel="1">
      <c r="B232" s="1"/>
      <c r="C232" s="1"/>
      <c r="D232" s="1"/>
      <c r="E232" s="1"/>
      <c r="F232" s="1"/>
      <c r="G232" s="1"/>
      <c r="H232" s="1"/>
      <c r="I232" s="1"/>
      <c r="J232" s="1"/>
      <c r="K232" s="1"/>
      <c r="L232" s="1"/>
      <c r="M232" s="1"/>
      <c r="N232" s="1"/>
      <c r="O232" s="1"/>
      <c r="P232" s="1"/>
      <c r="Q232" s="1"/>
      <c r="R232" s="1"/>
    </row>
    <row r="233" spans="2:18" hidden="1" outlineLevel="1">
      <c r="B233" s="1"/>
      <c r="C233" s="1"/>
      <c r="D233" s="1"/>
      <c r="E233" s="1"/>
      <c r="F233" s="1"/>
      <c r="G233" s="1"/>
      <c r="H233" s="1"/>
      <c r="I233" s="1"/>
      <c r="J233" s="1"/>
      <c r="K233" s="1"/>
      <c r="L233" s="1"/>
      <c r="M233" s="1"/>
      <c r="N233" s="1"/>
      <c r="O233" s="1"/>
      <c r="P233" s="1"/>
      <c r="Q233" s="1"/>
      <c r="R233" s="1"/>
    </row>
    <row r="234" spans="2:18" hidden="1" outlineLevel="1">
      <c r="B234" s="1"/>
      <c r="C234" s="1"/>
      <c r="D234" s="1"/>
      <c r="E234" s="1"/>
      <c r="F234" s="1"/>
      <c r="G234" s="1"/>
      <c r="H234" s="1"/>
      <c r="I234" s="1"/>
      <c r="J234" s="1"/>
      <c r="K234" s="1"/>
      <c r="L234" s="1"/>
      <c r="M234" s="1"/>
      <c r="N234" s="1"/>
      <c r="O234" s="1"/>
      <c r="P234" s="1"/>
      <c r="Q234" s="1"/>
      <c r="R234" s="1"/>
    </row>
    <row r="235" spans="2:18" hidden="1" outlineLevel="1">
      <c r="B235" s="1"/>
      <c r="C235" s="1"/>
      <c r="D235" s="1"/>
      <c r="E235" s="1"/>
      <c r="F235" s="1"/>
      <c r="G235" s="1"/>
      <c r="H235" s="1"/>
      <c r="I235" s="1"/>
      <c r="J235" s="1"/>
      <c r="K235" s="1"/>
      <c r="L235" s="1"/>
      <c r="M235" s="1"/>
      <c r="N235" s="1"/>
      <c r="O235" s="1"/>
      <c r="P235" s="1"/>
      <c r="Q235" s="1"/>
      <c r="R235" s="1"/>
    </row>
    <row r="236" spans="2:18" hidden="1" outlineLevel="1">
      <c r="B236" s="1"/>
      <c r="C236" s="1"/>
      <c r="D236" s="1"/>
      <c r="E236" s="1"/>
      <c r="F236" s="1"/>
      <c r="G236" s="1"/>
      <c r="H236" s="1"/>
      <c r="I236" s="1"/>
      <c r="J236" s="1"/>
      <c r="K236" s="1"/>
      <c r="L236" s="1"/>
      <c r="M236" s="1"/>
      <c r="N236" s="1"/>
      <c r="O236" s="1"/>
      <c r="P236" s="1"/>
      <c r="Q236" s="1"/>
      <c r="R236" s="1"/>
    </row>
    <row r="237" spans="2:18" hidden="1" outlineLevel="1">
      <c r="B237" s="1"/>
      <c r="C237" s="1"/>
      <c r="D237" s="1"/>
      <c r="E237" s="1"/>
      <c r="F237" s="1"/>
      <c r="G237" s="1"/>
      <c r="H237" s="1"/>
      <c r="I237" s="1"/>
      <c r="J237" s="1"/>
      <c r="K237" s="1"/>
      <c r="L237" s="1"/>
      <c r="M237" s="1"/>
      <c r="N237" s="1"/>
      <c r="O237" s="1"/>
      <c r="P237" s="1"/>
      <c r="Q237" s="1"/>
      <c r="R237" s="1"/>
    </row>
    <row r="238" spans="2:18" hidden="1" outlineLevel="1">
      <c r="B238" s="1"/>
      <c r="C238" s="1"/>
      <c r="D238" s="1"/>
      <c r="E238" s="1"/>
      <c r="F238" s="1"/>
      <c r="G238" s="1"/>
      <c r="H238" s="1"/>
      <c r="I238" s="1"/>
      <c r="J238" s="1"/>
      <c r="K238" s="1"/>
      <c r="L238" s="1"/>
      <c r="M238" s="1"/>
      <c r="N238" s="1"/>
      <c r="O238" s="1"/>
      <c r="P238" s="1"/>
      <c r="Q238" s="1"/>
      <c r="R238" s="1"/>
    </row>
    <row r="239" spans="2:18" hidden="1" outlineLevel="1">
      <c r="B239" s="1"/>
      <c r="C239" s="1"/>
      <c r="D239" s="1"/>
      <c r="E239" s="1"/>
      <c r="F239" s="1"/>
      <c r="G239" s="1"/>
      <c r="H239" s="1"/>
      <c r="I239" s="1"/>
      <c r="J239" s="1"/>
      <c r="K239" s="1"/>
      <c r="L239" s="1"/>
      <c r="M239" s="1"/>
      <c r="N239" s="1"/>
      <c r="O239" s="1"/>
      <c r="P239" s="1"/>
      <c r="Q239" s="1"/>
      <c r="R239" s="1"/>
    </row>
    <row r="240" spans="2:18" hidden="1" outlineLevel="1">
      <c r="B240" s="1"/>
      <c r="C240" s="1"/>
      <c r="D240" s="1"/>
      <c r="E240" s="1"/>
      <c r="F240" s="1"/>
      <c r="G240" s="1"/>
      <c r="H240" s="1"/>
      <c r="I240" s="1"/>
      <c r="J240" s="1"/>
      <c r="K240" s="1"/>
      <c r="L240" s="1"/>
      <c r="M240" s="1"/>
      <c r="N240" s="1"/>
      <c r="O240" s="1"/>
      <c r="P240" s="1"/>
      <c r="Q240" s="1"/>
      <c r="R240" s="1"/>
    </row>
    <row r="241" spans="2:18" hidden="1" outlineLevel="1">
      <c r="B241" s="1"/>
      <c r="C241" s="1"/>
      <c r="D241" s="1"/>
      <c r="E241" s="1"/>
      <c r="F241" s="1"/>
      <c r="G241" s="1"/>
      <c r="H241" s="1"/>
      <c r="I241" s="1"/>
      <c r="J241" s="1"/>
      <c r="K241" s="1"/>
      <c r="L241" s="1"/>
      <c r="M241" s="1"/>
      <c r="N241" s="1"/>
      <c r="O241" s="1"/>
      <c r="P241" s="1"/>
      <c r="Q241" s="1"/>
      <c r="R241" s="1"/>
    </row>
    <row r="242" spans="2:18" hidden="1" outlineLevel="1">
      <c r="B242" s="1"/>
      <c r="C242" s="1"/>
      <c r="D242" s="1"/>
      <c r="E242" s="1"/>
      <c r="F242" s="1"/>
      <c r="G242" s="1"/>
      <c r="H242" s="1"/>
      <c r="I242" s="1"/>
      <c r="J242" s="1"/>
      <c r="K242" s="1"/>
      <c r="L242" s="1"/>
      <c r="M242" s="1"/>
      <c r="N242" s="1"/>
      <c r="O242" s="1"/>
      <c r="P242" s="1"/>
      <c r="Q242" s="1"/>
      <c r="R242" s="1"/>
    </row>
    <row r="243" spans="2:18" hidden="1" outlineLevel="1">
      <c r="B243" s="1"/>
      <c r="C243" s="1"/>
      <c r="D243" s="1"/>
      <c r="E243" s="1"/>
      <c r="F243" s="1"/>
      <c r="G243" s="1"/>
      <c r="H243" s="1"/>
      <c r="I243" s="1"/>
      <c r="J243" s="1"/>
      <c r="K243" s="1"/>
      <c r="L243" s="1"/>
      <c r="M243" s="1"/>
      <c r="N243" s="1"/>
      <c r="O243" s="1"/>
      <c r="P243" s="1"/>
      <c r="Q243" s="1"/>
      <c r="R243" s="1"/>
    </row>
    <row r="244" spans="2:18" hidden="1" outlineLevel="1">
      <c r="B244" s="1"/>
      <c r="C244" s="1"/>
      <c r="D244" s="1"/>
      <c r="E244" s="1"/>
      <c r="F244" s="1"/>
      <c r="G244" s="1"/>
      <c r="H244" s="1"/>
      <c r="I244" s="1"/>
      <c r="J244" s="1"/>
      <c r="K244" s="1"/>
      <c r="L244" s="1"/>
      <c r="M244" s="1"/>
      <c r="N244" s="1"/>
      <c r="O244" s="1"/>
      <c r="P244" s="1"/>
      <c r="Q244" s="1"/>
      <c r="R244" s="1"/>
    </row>
    <row r="245" spans="2:18" hidden="1" outlineLevel="1">
      <c r="B245" s="1"/>
      <c r="C245" s="1"/>
      <c r="D245" s="1"/>
      <c r="E245" s="1"/>
      <c r="F245" s="1"/>
      <c r="G245" s="1"/>
      <c r="H245" s="1"/>
      <c r="I245" s="1"/>
      <c r="J245" s="1"/>
      <c r="K245" s="1"/>
      <c r="L245" s="1"/>
      <c r="M245" s="1"/>
      <c r="N245" s="1"/>
      <c r="O245" s="1"/>
      <c r="P245" s="1"/>
      <c r="Q245" s="1"/>
      <c r="R245" s="1"/>
    </row>
    <row r="246" spans="2:18" hidden="1" outlineLevel="1">
      <c r="B246" s="1"/>
      <c r="C246" s="1"/>
      <c r="D246" s="1"/>
      <c r="E246" s="1"/>
      <c r="F246" s="1"/>
      <c r="G246" s="1"/>
      <c r="H246" s="1"/>
      <c r="I246" s="1"/>
      <c r="J246" s="1"/>
      <c r="K246" s="1"/>
      <c r="L246" s="1"/>
      <c r="M246" s="1"/>
      <c r="N246" s="1"/>
      <c r="O246" s="1"/>
      <c r="P246" s="1"/>
      <c r="Q246" s="1"/>
      <c r="R246" s="1"/>
    </row>
    <row r="247" spans="2:18" collapsed="1">
      <c r="B247" s="1"/>
      <c r="C247" s="1"/>
      <c r="D247" s="1"/>
      <c r="E247" s="1"/>
      <c r="F247" s="1"/>
      <c r="G247" s="1"/>
      <c r="H247" s="1"/>
      <c r="I247" s="1"/>
      <c r="J247" s="1"/>
      <c r="K247" s="1"/>
      <c r="L247" s="1"/>
      <c r="M247" s="1"/>
      <c r="N247" s="1"/>
      <c r="O247" s="1"/>
      <c r="P247" s="1"/>
      <c r="Q247" s="1"/>
      <c r="R247" s="1"/>
    </row>
    <row r="248" spans="2:18">
      <c r="B248" s="1"/>
      <c r="C248" s="1"/>
      <c r="D248" s="1"/>
      <c r="E248" s="1"/>
      <c r="F248" s="1"/>
      <c r="G248" s="1"/>
      <c r="H248" s="1"/>
      <c r="I248" s="1"/>
      <c r="J248" s="1"/>
      <c r="K248" s="1"/>
      <c r="L248" s="1"/>
      <c r="M248" s="1"/>
      <c r="N248" s="1"/>
      <c r="O248" s="1"/>
      <c r="P248" s="1"/>
      <c r="Q248" s="1"/>
      <c r="R248" s="1"/>
    </row>
    <row r="249" spans="2:18">
      <c r="B249" s="1"/>
      <c r="C249" s="1"/>
      <c r="D249" s="1"/>
      <c r="E249" s="1"/>
      <c r="F249" s="1"/>
      <c r="G249" s="1"/>
      <c r="H249" s="1"/>
      <c r="I249" s="1"/>
      <c r="J249" s="1"/>
      <c r="K249" s="1"/>
      <c r="L249" s="1"/>
      <c r="M249" s="1"/>
      <c r="N249" s="1"/>
      <c r="O249" s="1"/>
      <c r="P249" s="1"/>
      <c r="Q249" s="1"/>
      <c r="R249" s="1"/>
    </row>
    <row r="250" spans="2:18">
      <c r="B250" s="1"/>
      <c r="C250" s="1"/>
      <c r="D250" s="1"/>
      <c r="E250" s="1"/>
      <c r="F250" s="1"/>
      <c r="G250" s="1"/>
      <c r="H250" s="1"/>
      <c r="I250" s="1"/>
      <c r="J250" s="1"/>
      <c r="K250" s="1"/>
      <c r="L250" s="1"/>
      <c r="M250" s="1"/>
      <c r="N250" s="1"/>
      <c r="O250" s="1"/>
      <c r="P250" s="1"/>
      <c r="Q250" s="1"/>
      <c r="R250" s="1"/>
    </row>
    <row r="251" spans="2:18">
      <c r="B251" s="1"/>
      <c r="C251" s="1"/>
      <c r="D251" s="1"/>
      <c r="E251" s="1"/>
      <c r="F251" s="1"/>
      <c r="G251" s="1"/>
      <c r="H251" s="1"/>
      <c r="I251" s="1"/>
      <c r="J251" s="1"/>
      <c r="K251" s="1"/>
      <c r="L251" s="1"/>
      <c r="M251" s="1"/>
      <c r="N251" s="1"/>
      <c r="O251" s="1"/>
      <c r="P251" s="1"/>
      <c r="Q251" s="1"/>
      <c r="R251" s="1"/>
    </row>
    <row r="252" spans="2:18">
      <c r="B252" s="1"/>
      <c r="C252" s="1"/>
      <c r="D252" s="1"/>
      <c r="E252" s="1"/>
      <c r="F252" s="1"/>
      <c r="G252" s="1"/>
      <c r="H252" s="1"/>
      <c r="I252" s="1"/>
      <c r="J252" s="1"/>
      <c r="K252" s="1"/>
      <c r="L252" s="1"/>
      <c r="M252" s="1"/>
      <c r="N252" s="1"/>
      <c r="O252" s="1"/>
      <c r="P252" s="1"/>
      <c r="Q252" s="1"/>
      <c r="R252" s="1"/>
    </row>
    <row r="253" spans="2:18">
      <c r="B253" s="1"/>
      <c r="C253" s="1"/>
      <c r="D253" s="1"/>
      <c r="E253" s="1"/>
      <c r="F253" s="1"/>
      <c r="G253" s="1"/>
      <c r="H253" s="1"/>
      <c r="I253" s="1"/>
      <c r="J253" s="1"/>
      <c r="K253" s="1"/>
      <c r="L253" s="1"/>
      <c r="M253" s="1"/>
      <c r="N253" s="1"/>
      <c r="O253" s="1"/>
      <c r="P253" s="1"/>
      <c r="Q253" s="1"/>
      <c r="R253" s="1"/>
    </row>
    <row r="254" spans="2:18">
      <c r="B254" s="1"/>
      <c r="C254" s="1"/>
      <c r="D254" s="1"/>
      <c r="E254" s="1"/>
      <c r="F254" s="1"/>
      <c r="G254" s="1"/>
      <c r="H254" s="1"/>
      <c r="I254" s="1"/>
      <c r="J254" s="1"/>
      <c r="K254" s="1"/>
      <c r="L254" s="1"/>
      <c r="M254" s="1"/>
      <c r="N254" s="1"/>
      <c r="O254" s="1"/>
      <c r="P254" s="1"/>
      <c r="Q254" s="1"/>
      <c r="R254" s="1"/>
    </row>
    <row r="255" spans="2:18">
      <c r="B255" s="1"/>
      <c r="C255" s="1"/>
      <c r="D255" s="1"/>
      <c r="E255" s="1"/>
      <c r="F255" s="1"/>
      <c r="G255" s="1"/>
      <c r="H255" s="1"/>
      <c r="I255" s="1"/>
      <c r="J255" s="1"/>
      <c r="K255" s="1"/>
      <c r="L255" s="1"/>
      <c r="M255" s="1"/>
      <c r="N255" s="1"/>
      <c r="O255" s="1"/>
      <c r="P255" s="1"/>
      <c r="Q255" s="1"/>
      <c r="R255" s="1"/>
    </row>
    <row r="256" spans="2:18">
      <c r="B256" s="1"/>
      <c r="C256" s="1"/>
      <c r="D256" s="1"/>
      <c r="E256" s="1"/>
      <c r="F256" s="1"/>
      <c r="G256" s="1"/>
      <c r="H256" s="1"/>
      <c r="I256" s="1"/>
      <c r="J256" s="1"/>
      <c r="K256" s="1"/>
      <c r="L256" s="1"/>
      <c r="M256" s="1"/>
      <c r="N256" s="1"/>
      <c r="O256" s="1"/>
      <c r="P256" s="1"/>
      <c r="Q256" s="1"/>
      <c r="R256" s="1"/>
    </row>
    <row r="257" spans="2:18">
      <c r="B257" s="1"/>
      <c r="C257" s="1"/>
      <c r="D257" s="1"/>
      <c r="E257" s="1"/>
      <c r="F257" s="1"/>
      <c r="G257" s="1"/>
      <c r="H257" s="1"/>
      <c r="I257" s="1"/>
      <c r="J257" s="1"/>
      <c r="K257" s="1"/>
      <c r="L257" s="1"/>
      <c r="M257" s="1"/>
      <c r="N257" s="1"/>
      <c r="O257" s="1"/>
      <c r="P257" s="1"/>
      <c r="Q257" s="1"/>
      <c r="R257" s="1"/>
    </row>
    <row r="258" spans="2:18">
      <c r="B258" s="1"/>
      <c r="C258" s="1"/>
      <c r="D258" s="1"/>
      <c r="E258" s="1"/>
      <c r="F258" s="1"/>
      <c r="G258" s="1"/>
      <c r="H258" s="1"/>
      <c r="I258" s="1"/>
      <c r="J258" s="1"/>
      <c r="K258" s="1"/>
      <c r="L258" s="1"/>
      <c r="M258" s="1"/>
      <c r="N258" s="1"/>
      <c r="O258" s="1"/>
      <c r="P258" s="1"/>
      <c r="Q258" s="1"/>
      <c r="R258" s="1"/>
    </row>
    <row r="259" spans="2:18">
      <c r="B259" s="1"/>
      <c r="C259" s="1"/>
      <c r="D259" s="1"/>
      <c r="E259" s="1"/>
      <c r="F259" s="1"/>
      <c r="G259" s="1"/>
      <c r="H259" s="1"/>
      <c r="I259" s="1"/>
      <c r="J259" s="1"/>
      <c r="K259" s="1"/>
      <c r="L259" s="1"/>
      <c r="M259" s="1"/>
      <c r="N259" s="1"/>
      <c r="O259" s="1"/>
      <c r="P259" s="1"/>
      <c r="Q259" s="1"/>
      <c r="R259" s="1"/>
    </row>
    <row r="260" spans="2:18">
      <c r="B260" s="1"/>
      <c r="C260" s="1"/>
      <c r="D260" s="1"/>
      <c r="E260" s="1"/>
      <c r="F260" s="1"/>
      <c r="G260" s="1"/>
      <c r="H260" s="1"/>
      <c r="I260" s="1"/>
      <c r="J260" s="1"/>
      <c r="K260" s="1"/>
      <c r="L260" s="1"/>
      <c r="M260" s="1"/>
      <c r="N260" s="1"/>
      <c r="O260" s="1"/>
      <c r="P260" s="1"/>
      <c r="Q260" s="1"/>
      <c r="R260" s="1"/>
    </row>
    <row r="261" spans="2:18">
      <c r="B261" s="1"/>
      <c r="C261" s="1"/>
      <c r="D261" s="1"/>
      <c r="E261" s="1"/>
      <c r="F261" s="1"/>
      <c r="G261" s="1"/>
      <c r="H261" s="1"/>
      <c r="I261" s="1"/>
      <c r="J261" s="1"/>
      <c r="K261" s="1"/>
      <c r="L261" s="1"/>
      <c r="M261" s="1"/>
      <c r="N261" s="1"/>
      <c r="O261" s="1"/>
      <c r="P261" s="1"/>
      <c r="Q261" s="1"/>
      <c r="R261" s="1"/>
    </row>
    <row r="262" spans="2:18">
      <c r="B262" s="1"/>
      <c r="C262" s="1"/>
      <c r="D262" s="1"/>
      <c r="E262" s="1"/>
      <c r="F262" s="1"/>
      <c r="G262" s="1"/>
      <c r="H262" s="1"/>
      <c r="I262" s="1"/>
      <c r="J262" s="1"/>
      <c r="K262" s="1"/>
      <c r="L262" s="1"/>
      <c r="M262" s="1"/>
      <c r="N262" s="1"/>
      <c r="O262" s="1"/>
      <c r="P262" s="1"/>
      <c r="Q262" s="1"/>
      <c r="R262" s="1"/>
    </row>
    <row r="263" spans="2:18">
      <c r="B263" s="1"/>
      <c r="C263" s="1"/>
      <c r="D263" s="1"/>
      <c r="E263" s="1"/>
      <c r="F263" s="1"/>
      <c r="G263" s="1"/>
      <c r="H263" s="1"/>
      <c r="I263" s="1"/>
      <c r="J263" s="1"/>
      <c r="K263" s="1"/>
      <c r="L263" s="1"/>
      <c r="M263" s="1"/>
      <c r="N263" s="1"/>
      <c r="O263" s="1"/>
      <c r="P263" s="1"/>
      <c r="Q263" s="1"/>
      <c r="R263" s="1"/>
    </row>
    <row r="264" spans="2:18">
      <c r="B264" s="1"/>
      <c r="C264" s="1"/>
      <c r="D264" s="1"/>
      <c r="E264" s="1"/>
      <c r="F264" s="1"/>
      <c r="G264" s="1"/>
      <c r="H264" s="1"/>
      <c r="I264" s="1"/>
      <c r="J264" s="1"/>
      <c r="K264" s="1"/>
      <c r="L264" s="1"/>
      <c r="M264" s="1"/>
      <c r="N264" s="1"/>
      <c r="O264" s="1"/>
      <c r="P264" s="1"/>
      <c r="Q264" s="1"/>
      <c r="R264" s="1"/>
    </row>
    <row r="265" spans="2:18">
      <c r="B265" s="1"/>
      <c r="C265" s="1"/>
      <c r="D265" s="1"/>
      <c r="E265" s="1"/>
      <c r="F265" s="1"/>
      <c r="G265" s="1"/>
      <c r="H265" s="1"/>
      <c r="I265" s="1"/>
      <c r="J265" s="1"/>
      <c r="K265" s="1"/>
      <c r="L265" s="1"/>
      <c r="M265" s="1"/>
      <c r="N265" s="1"/>
      <c r="O265" s="1"/>
      <c r="P265" s="1"/>
      <c r="Q265" s="1"/>
      <c r="R265" s="1"/>
    </row>
    <row r="266" spans="2:18">
      <c r="B266" s="1"/>
      <c r="C266" s="1"/>
      <c r="D266" s="1"/>
      <c r="E266" s="1"/>
      <c r="F266" s="1"/>
      <c r="G266" s="1"/>
      <c r="H266" s="1"/>
      <c r="I266" s="1"/>
      <c r="J266" s="1"/>
      <c r="K266" s="1"/>
      <c r="L266" s="1"/>
      <c r="M266" s="1"/>
      <c r="N266" s="1"/>
      <c r="O266" s="1"/>
      <c r="P266" s="1"/>
      <c r="Q266" s="1"/>
      <c r="R266" s="1"/>
    </row>
    <row r="267" spans="2:18">
      <c r="B267" s="1"/>
      <c r="C267" s="1"/>
      <c r="D267" s="1"/>
      <c r="E267" s="1"/>
      <c r="F267" s="1"/>
      <c r="G267" s="1"/>
      <c r="H267" s="1"/>
      <c r="I267" s="1"/>
      <c r="J267" s="1"/>
      <c r="K267" s="1"/>
      <c r="L267" s="1"/>
      <c r="M267" s="1"/>
      <c r="N267" s="1"/>
      <c r="O267" s="1"/>
      <c r="P267" s="1"/>
      <c r="Q267" s="1"/>
      <c r="R267" s="1"/>
    </row>
    <row r="268" spans="2:18">
      <c r="B268" s="1"/>
      <c r="C268" s="1"/>
      <c r="D268" s="1"/>
      <c r="E268" s="1"/>
      <c r="F268" s="1"/>
      <c r="G268" s="1"/>
      <c r="H268" s="1"/>
      <c r="I268" s="1"/>
      <c r="J268" s="1"/>
      <c r="K268" s="1"/>
      <c r="L268" s="1"/>
      <c r="M268" s="1"/>
      <c r="N268" s="1"/>
      <c r="O268" s="1"/>
      <c r="P268" s="1"/>
      <c r="Q268" s="1"/>
      <c r="R268" s="1"/>
    </row>
    <row r="269" spans="2:18">
      <c r="B269" s="1"/>
      <c r="C269" s="1"/>
      <c r="D269" s="1"/>
      <c r="E269" s="1"/>
      <c r="F269" s="1"/>
      <c r="G269" s="1"/>
      <c r="H269" s="1"/>
      <c r="I269" s="1"/>
      <c r="J269" s="1"/>
      <c r="K269" s="1"/>
      <c r="L269" s="1"/>
      <c r="M269" s="1"/>
      <c r="N269" s="1"/>
      <c r="O269" s="1"/>
      <c r="P269" s="1"/>
      <c r="Q269" s="1"/>
      <c r="R269" s="1"/>
    </row>
    <row r="270" spans="2:18">
      <c r="D270" s="108"/>
      <c r="E270" s="108"/>
      <c r="F270" s="108"/>
      <c r="G270" s="108"/>
      <c r="H270" s="109"/>
      <c r="I270" s="1"/>
      <c r="J270" s="1"/>
      <c r="K270" s="1"/>
      <c r="L270" s="1"/>
      <c r="M270" s="1"/>
      <c r="N270" s="1"/>
      <c r="O270" s="1"/>
      <c r="P270" s="1"/>
      <c r="Q270" s="1"/>
      <c r="R270" s="1"/>
    </row>
    <row r="271" spans="2:18">
      <c r="D271" s="108"/>
      <c r="E271" s="108"/>
      <c r="F271" s="108"/>
      <c r="G271" s="108"/>
      <c r="H271" s="109"/>
      <c r="I271" s="1"/>
      <c r="J271" s="1"/>
      <c r="K271" s="1"/>
      <c r="L271" s="1"/>
      <c r="M271" s="1"/>
      <c r="N271" s="1"/>
      <c r="O271" s="1"/>
      <c r="P271" s="1"/>
      <c r="Q271" s="1"/>
      <c r="R271" s="1"/>
    </row>
    <row r="272" spans="2:18">
      <c r="D272" s="108"/>
      <c r="E272" s="108"/>
      <c r="F272" s="108"/>
      <c r="G272" s="108"/>
      <c r="H272" s="109"/>
      <c r="I272" s="1"/>
      <c r="J272" s="1"/>
      <c r="K272" s="1"/>
      <c r="L272" s="1"/>
      <c r="M272" s="1"/>
      <c r="N272" s="1"/>
      <c r="O272" s="1"/>
      <c r="P272" s="1"/>
      <c r="Q272" s="1"/>
      <c r="R272" s="1"/>
    </row>
    <row r="273" spans="2:18">
      <c r="D273" s="108"/>
      <c r="E273" s="108"/>
      <c r="F273" s="108"/>
      <c r="G273" s="108"/>
      <c r="H273" s="109"/>
      <c r="I273" s="1"/>
      <c r="J273" s="1"/>
      <c r="K273" s="1"/>
      <c r="L273" s="1"/>
      <c r="M273" s="1"/>
      <c r="N273" s="1"/>
      <c r="O273" s="1"/>
      <c r="P273" s="1"/>
      <c r="Q273" s="1"/>
      <c r="R273" s="1"/>
    </row>
    <row r="274" spans="2:18">
      <c r="B274" s="1"/>
      <c r="C274" s="1"/>
      <c r="D274" s="108"/>
      <c r="E274" s="108"/>
      <c r="F274" s="108"/>
      <c r="G274" s="108"/>
      <c r="H274" s="109"/>
      <c r="I274" s="1"/>
      <c r="J274" s="1"/>
      <c r="K274" s="1"/>
      <c r="L274" s="1"/>
      <c r="M274" s="1"/>
      <c r="N274" s="1"/>
      <c r="O274" s="1"/>
      <c r="P274" s="1"/>
      <c r="Q274" s="1"/>
      <c r="R274" s="1"/>
    </row>
    <row r="275" spans="2:18">
      <c r="B275" s="1"/>
      <c r="C275" s="1"/>
      <c r="D275" s="108"/>
      <c r="E275" s="108"/>
      <c r="F275" s="108"/>
      <c r="G275" s="108"/>
      <c r="H275" s="109"/>
      <c r="I275" s="1"/>
      <c r="J275" s="1"/>
      <c r="K275" s="1"/>
      <c r="L275" s="1"/>
      <c r="M275" s="1"/>
      <c r="N275" s="1"/>
      <c r="O275" s="1"/>
      <c r="P275" s="1"/>
      <c r="Q275" s="1"/>
      <c r="R275" s="1"/>
    </row>
    <row r="276" spans="2:18">
      <c r="B276" s="1"/>
      <c r="C276" s="1"/>
      <c r="D276" s="108"/>
      <c r="E276" s="108"/>
      <c r="F276" s="108"/>
      <c r="G276" s="108"/>
      <c r="H276" s="109"/>
      <c r="I276" s="1"/>
      <c r="J276" s="1"/>
      <c r="K276" s="1"/>
      <c r="L276" s="1"/>
      <c r="M276" s="1"/>
      <c r="N276" s="1"/>
      <c r="O276" s="1"/>
      <c r="P276" s="1"/>
      <c r="Q276" s="1"/>
      <c r="R276" s="1"/>
    </row>
    <row r="277" spans="2:18">
      <c r="B277" s="1"/>
      <c r="C277" s="1"/>
      <c r="D277" s="108"/>
      <c r="E277" s="108"/>
      <c r="F277" s="108"/>
      <c r="G277" s="108"/>
      <c r="H277" s="109"/>
      <c r="I277" s="1"/>
      <c r="J277" s="1"/>
      <c r="K277" s="1"/>
      <c r="L277" s="1"/>
      <c r="M277" s="1"/>
      <c r="N277" s="1"/>
      <c r="O277" s="1"/>
      <c r="P277" s="1"/>
      <c r="Q277" s="1"/>
      <c r="R277" s="1"/>
    </row>
    <row r="278" spans="2:18">
      <c r="B278" s="1"/>
      <c r="C278" s="1"/>
      <c r="D278" s="108"/>
      <c r="E278" s="108"/>
      <c r="F278" s="108"/>
      <c r="G278" s="108"/>
      <c r="H278" s="109"/>
      <c r="I278" s="1"/>
      <c r="J278" s="1"/>
      <c r="K278" s="1"/>
      <c r="L278" s="1"/>
      <c r="M278" s="1"/>
      <c r="N278" s="1"/>
      <c r="O278" s="1"/>
      <c r="P278" s="1"/>
      <c r="Q278" s="1"/>
      <c r="R278" s="1"/>
    </row>
    <row r="279" spans="2:18">
      <c r="B279" s="1"/>
      <c r="C279" s="1"/>
      <c r="D279" s="108"/>
      <c r="E279" s="108"/>
      <c r="F279" s="108"/>
      <c r="G279" s="108"/>
      <c r="H279" s="109"/>
      <c r="I279" s="1"/>
      <c r="J279" s="1"/>
      <c r="K279" s="1"/>
      <c r="L279" s="1"/>
      <c r="M279" s="1"/>
      <c r="N279" s="1"/>
      <c r="O279" s="1"/>
      <c r="P279" s="1"/>
      <c r="Q279" s="1"/>
      <c r="R279" s="1"/>
    </row>
    <row r="280" spans="2:18">
      <c r="B280" s="1"/>
      <c r="C280" s="1"/>
      <c r="D280" s="108"/>
      <c r="E280" s="108"/>
      <c r="F280" s="108"/>
      <c r="G280" s="108"/>
      <c r="H280" s="109"/>
      <c r="I280" s="1"/>
      <c r="J280" s="1"/>
      <c r="K280" s="1"/>
      <c r="L280" s="1"/>
      <c r="M280" s="1"/>
      <c r="N280" s="1"/>
      <c r="O280" s="1"/>
      <c r="P280" s="1"/>
      <c r="Q280" s="1"/>
      <c r="R280" s="1"/>
    </row>
    <row r="281" spans="2:18">
      <c r="B281" s="1"/>
      <c r="C281" s="1"/>
      <c r="D281" s="108"/>
      <c r="E281" s="108"/>
      <c r="F281" s="108"/>
      <c r="G281" s="108"/>
      <c r="H281" s="109"/>
      <c r="I281" s="1"/>
      <c r="J281" s="1"/>
      <c r="K281" s="1"/>
      <c r="L281" s="1"/>
      <c r="M281" s="1"/>
      <c r="N281" s="1"/>
      <c r="O281" s="1"/>
      <c r="P281" s="1"/>
      <c r="Q281" s="1"/>
      <c r="R281" s="1"/>
    </row>
    <row r="282" spans="2:18">
      <c r="B282" s="1"/>
      <c r="C282" s="1"/>
      <c r="D282" s="108"/>
      <c r="E282" s="108"/>
      <c r="F282" s="108"/>
      <c r="G282" s="108"/>
      <c r="H282" s="109"/>
      <c r="I282" s="1"/>
      <c r="J282" s="1"/>
      <c r="K282" s="1"/>
      <c r="L282" s="1"/>
      <c r="M282" s="1"/>
      <c r="N282" s="1"/>
      <c r="O282" s="1"/>
      <c r="P282" s="1"/>
      <c r="Q282" s="1"/>
      <c r="R282" s="1"/>
    </row>
    <row r="283" spans="2:18">
      <c r="B283" s="1"/>
      <c r="C283" s="1"/>
      <c r="D283" s="108"/>
      <c r="E283" s="108"/>
      <c r="F283" s="108"/>
      <c r="G283" s="108"/>
      <c r="H283" s="109"/>
      <c r="I283" s="1"/>
      <c r="J283" s="1"/>
      <c r="K283" s="1"/>
      <c r="L283" s="1"/>
      <c r="M283" s="1"/>
      <c r="N283" s="1"/>
      <c r="O283" s="1"/>
      <c r="P283" s="1"/>
      <c r="Q283" s="1"/>
      <c r="R283" s="1"/>
    </row>
    <row r="284" spans="2:18">
      <c r="B284" s="1"/>
      <c r="C284" s="1"/>
      <c r="D284" s="108"/>
      <c r="E284" s="108"/>
      <c r="F284" s="108"/>
      <c r="G284" s="108"/>
      <c r="H284" s="109"/>
      <c r="I284" s="1"/>
      <c r="J284" s="1"/>
      <c r="K284" s="1"/>
      <c r="L284" s="1"/>
      <c r="M284" s="1"/>
      <c r="N284" s="1"/>
      <c r="O284" s="1"/>
      <c r="P284" s="1"/>
      <c r="Q284" s="1"/>
      <c r="R284" s="1"/>
    </row>
    <row r="285" spans="2:18">
      <c r="B285" s="1"/>
      <c r="C285" s="1"/>
      <c r="D285" s="108"/>
      <c r="E285" s="108"/>
      <c r="F285" s="108"/>
      <c r="G285" s="108"/>
      <c r="H285" s="109"/>
      <c r="I285" s="1"/>
      <c r="J285" s="1"/>
      <c r="K285" s="1"/>
      <c r="L285" s="1"/>
      <c r="M285" s="1"/>
      <c r="N285" s="1"/>
      <c r="O285" s="1"/>
      <c r="P285" s="1"/>
      <c r="Q285" s="1"/>
      <c r="R285" s="1"/>
    </row>
    <row r="286" spans="2:18">
      <c r="B286" s="1"/>
      <c r="C286" s="1"/>
      <c r="D286" s="108"/>
      <c r="E286" s="108"/>
      <c r="F286" s="108"/>
      <c r="G286" s="108"/>
      <c r="H286" s="109"/>
      <c r="I286" s="1"/>
      <c r="J286" s="1"/>
      <c r="K286" s="1"/>
      <c r="L286" s="1"/>
      <c r="M286" s="1"/>
      <c r="N286" s="1"/>
      <c r="O286" s="1"/>
      <c r="P286" s="1"/>
      <c r="Q286" s="1"/>
      <c r="R286" s="1"/>
    </row>
    <row r="287" spans="2:18">
      <c r="B287" s="1"/>
      <c r="C287" s="1"/>
      <c r="D287" s="108"/>
      <c r="E287" s="108"/>
      <c r="F287" s="108"/>
      <c r="G287" s="108"/>
      <c r="H287" s="109"/>
      <c r="I287" s="1"/>
      <c r="J287" s="1"/>
      <c r="K287" s="1"/>
      <c r="L287" s="1"/>
      <c r="M287" s="1"/>
      <c r="N287" s="1"/>
      <c r="O287" s="1"/>
      <c r="P287" s="1"/>
      <c r="Q287" s="1"/>
      <c r="R287" s="1"/>
    </row>
    <row r="288" spans="2:18">
      <c r="B288" s="1"/>
      <c r="C288" s="1"/>
      <c r="D288" s="108"/>
      <c r="E288" s="108"/>
      <c r="F288" s="108"/>
      <c r="G288" s="108"/>
      <c r="H288" s="109"/>
      <c r="I288" s="1"/>
      <c r="J288" s="1"/>
      <c r="K288" s="1"/>
      <c r="L288" s="1"/>
      <c r="M288" s="1"/>
      <c r="N288" s="1"/>
      <c r="O288" s="1"/>
      <c r="P288" s="1"/>
      <c r="Q288" s="1"/>
      <c r="R288" s="1"/>
    </row>
    <row r="289" spans="2:18">
      <c r="B289" s="1"/>
      <c r="C289" s="1"/>
      <c r="D289" s="108"/>
      <c r="E289" s="108"/>
      <c r="F289" s="108"/>
      <c r="G289" s="108"/>
      <c r="H289" s="109"/>
      <c r="I289" s="1"/>
      <c r="J289" s="1"/>
      <c r="K289" s="1"/>
      <c r="L289" s="1"/>
      <c r="M289" s="1"/>
      <c r="N289" s="1"/>
      <c r="O289" s="1"/>
      <c r="P289" s="1"/>
      <c r="Q289" s="1"/>
      <c r="R289" s="1"/>
    </row>
    <row r="290" spans="2:18">
      <c r="B290" s="1"/>
      <c r="C290" s="1"/>
      <c r="D290" s="108"/>
      <c r="E290" s="108"/>
      <c r="F290" s="108"/>
      <c r="G290" s="108"/>
      <c r="H290" s="109"/>
      <c r="I290" s="1"/>
      <c r="J290" s="1"/>
      <c r="K290" s="1"/>
      <c r="L290" s="1"/>
      <c r="M290" s="1"/>
      <c r="N290" s="1"/>
      <c r="O290" s="1"/>
      <c r="P290" s="1"/>
      <c r="Q290" s="1"/>
      <c r="R290" s="1"/>
    </row>
    <row r="291" spans="2:18">
      <c r="B291" s="1"/>
      <c r="C291" s="1"/>
      <c r="D291" s="108"/>
      <c r="E291" s="108"/>
      <c r="F291" s="108"/>
      <c r="G291" s="108"/>
      <c r="H291" s="109"/>
      <c r="I291" s="1"/>
      <c r="J291" s="1"/>
      <c r="K291" s="1"/>
      <c r="L291" s="1"/>
      <c r="M291" s="1"/>
      <c r="N291" s="1"/>
      <c r="O291" s="1"/>
      <c r="P291" s="1"/>
      <c r="Q291" s="1"/>
      <c r="R291" s="1"/>
    </row>
    <row r="292" spans="2:18">
      <c r="B292" s="1"/>
      <c r="C292" s="1"/>
      <c r="D292" s="108"/>
      <c r="E292" s="108"/>
      <c r="F292" s="108"/>
      <c r="G292" s="108"/>
      <c r="H292" s="109"/>
      <c r="I292" s="1"/>
      <c r="J292" s="1"/>
      <c r="K292" s="1"/>
      <c r="L292" s="1"/>
      <c r="M292" s="1"/>
      <c r="N292" s="1"/>
      <c r="O292" s="1"/>
      <c r="P292" s="1"/>
      <c r="Q292" s="1"/>
      <c r="R292" s="1"/>
    </row>
    <row r="293" spans="2:18">
      <c r="B293" s="1"/>
      <c r="C293" s="1"/>
      <c r="D293" s="108"/>
      <c r="E293" s="108"/>
      <c r="F293" s="108"/>
      <c r="G293" s="108"/>
      <c r="H293" s="109"/>
      <c r="I293" s="1"/>
      <c r="J293" s="1"/>
      <c r="K293" s="1"/>
      <c r="L293" s="1"/>
      <c r="M293" s="1"/>
      <c r="N293" s="1"/>
      <c r="O293" s="1"/>
      <c r="P293" s="1"/>
      <c r="Q293" s="1"/>
      <c r="R293" s="1"/>
    </row>
    <row r="294" spans="2:18">
      <c r="B294" s="1"/>
      <c r="C294" s="1"/>
      <c r="D294" s="108"/>
      <c r="E294" s="108"/>
      <c r="F294" s="108"/>
      <c r="G294" s="108"/>
      <c r="H294" s="109"/>
      <c r="I294" s="1"/>
      <c r="J294" s="1"/>
      <c r="K294" s="1"/>
      <c r="L294" s="1"/>
      <c r="M294" s="1"/>
      <c r="N294" s="1"/>
      <c r="O294" s="1"/>
      <c r="P294" s="1"/>
      <c r="Q294" s="1"/>
      <c r="R294" s="1"/>
    </row>
    <row r="295" spans="2:18">
      <c r="B295" s="1"/>
      <c r="C295" s="1"/>
      <c r="D295" s="108"/>
      <c r="E295" s="108"/>
      <c r="F295" s="108"/>
      <c r="G295" s="108"/>
      <c r="H295" s="109"/>
      <c r="I295" s="1"/>
      <c r="J295" s="1"/>
      <c r="K295" s="1"/>
      <c r="L295" s="1"/>
      <c r="M295" s="1"/>
      <c r="N295" s="1"/>
      <c r="O295" s="1"/>
      <c r="P295" s="1"/>
      <c r="Q295" s="1"/>
      <c r="R295" s="1"/>
    </row>
    <row r="296" spans="2:18">
      <c r="B296" s="1"/>
      <c r="C296" s="1"/>
      <c r="D296" s="108"/>
      <c r="E296" s="108"/>
      <c r="F296" s="108"/>
      <c r="G296" s="108"/>
      <c r="H296" s="109"/>
      <c r="I296" s="1"/>
      <c r="J296" s="1"/>
      <c r="K296" s="1"/>
      <c r="L296" s="1"/>
      <c r="M296" s="1"/>
      <c r="N296" s="1"/>
      <c r="O296" s="1"/>
      <c r="P296" s="1"/>
      <c r="Q296" s="1"/>
      <c r="R296" s="1"/>
    </row>
    <row r="297" spans="2:18">
      <c r="B297" s="1"/>
      <c r="C297" s="1"/>
      <c r="D297" s="108"/>
      <c r="E297" s="108"/>
      <c r="F297" s="108"/>
      <c r="G297" s="108"/>
      <c r="H297" s="109"/>
      <c r="I297" s="1"/>
      <c r="J297" s="1"/>
      <c r="K297" s="1"/>
      <c r="L297" s="1"/>
      <c r="M297" s="1"/>
      <c r="N297" s="1"/>
      <c r="O297" s="1"/>
      <c r="P297" s="1"/>
      <c r="Q297" s="1"/>
      <c r="R297" s="1"/>
    </row>
    <row r="298" spans="2:18">
      <c r="B298" s="1"/>
      <c r="C298" s="1"/>
      <c r="D298" s="108"/>
      <c r="E298" s="108"/>
      <c r="F298" s="108"/>
      <c r="G298" s="108"/>
      <c r="H298" s="109"/>
      <c r="I298" s="1"/>
      <c r="J298" s="1"/>
      <c r="K298" s="1"/>
      <c r="L298" s="1"/>
      <c r="M298" s="1"/>
      <c r="N298" s="1"/>
      <c r="O298" s="1"/>
      <c r="P298" s="1"/>
      <c r="Q298" s="1"/>
      <c r="R298" s="1"/>
    </row>
    <row r="299" spans="2:18">
      <c r="B299" s="1"/>
      <c r="C299" s="1"/>
      <c r="D299" s="108"/>
      <c r="E299" s="108"/>
      <c r="F299" s="108"/>
      <c r="G299" s="108"/>
      <c r="H299" s="109"/>
      <c r="I299" s="1"/>
      <c r="J299" s="1"/>
      <c r="K299" s="1"/>
      <c r="L299" s="1"/>
      <c r="M299" s="1"/>
      <c r="N299" s="1"/>
      <c r="O299" s="1"/>
      <c r="P299" s="1"/>
      <c r="Q299" s="1"/>
      <c r="R299" s="1"/>
    </row>
    <row r="300" spans="2:18">
      <c r="B300" s="1"/>
      <c r="C300" s="1"/>
      <c r="D300" s="108"/>
      <c r="E300" s="108"/>
      <c r="F300" s="108"/>
      <c r="G300" s="108"/>
      <c r="H300" s="109"/>
      <c r="I300" s="1"/>
      <c r="J300" s="1"/>
      <c r="K300" s="1"/>
      <c r="L300" s="1"/>
      <c r="M300" s="1"/>
      <c r="N300" s="1"/>
      <c r="O300" s="1"/>
      <c r="P300" s="1"/>
      <c r="Q300" s="1"/>
      <c r="R300" s="1"/>
    </row>
    <row r="301" spans="2:18">
      <c r="B301" s="1"/>
      <c r="C301" s="1"/>
      <c r="D301" s="108"/>
      <c r="E301" s="108"/>
      <c r="F301" s="108"/>
      <c r="G301" s="108"/>
      <c r="H301" s="109"/>
      <c r="I301" s="1"/>
      <c r="J301" s="1"/>
      <c r="K301" s="1"/>
      <c r="L301" s="1"/>
      <c r="M301" s="1"/>
      <c r="N301" s="1"/>
      <c r="O301" s="1"/>
      <c r="P301" s="1"/>
      <c r="Q301" s="1"/>
      <c r="R301" s="1"/>
    </row>
    <row r="302" spans="2:18">
      <c r="B302" s="1"/>
      <c r="C302" s="1"/>
      <c r="D302" s="108"/>
      <c r="E302" s="108"/>
      <c r="F302" s="108"/>
      <c r="G302" s="108"/>
      <c r="H302" s="109"/>
      <c r="I302" s="1"/>
      <c r="J302" s="1"/>
      <c r="K302" s="1"/>
      <c r="L302" s="1"/>
      <c r="M302" s="1"/>
      <c r="N302" s="1"/>
      <c r="O302" s="1"/>
      <c r="P302" s="1"/>
      <c r="Q302" s="1"/>
      <c r="R302" s="1"/>
    </row>
    <row r="303" spans="2:18">
      <c r="B303" s="1"/>
      <c r="C303" s="1"/>
      <c r="D303" s="108"/>
      <c r="E303" s="108"/>
      <c r="F303" s="108"/>
      <c r="G303" s="108"/>
      <c r="H303" s="109"/>
      <c r="I303" s="1"/>
      <c r="J303" s="1"/>
      <c r="K303" s="1"/>
      <c r="L303" s="1"/>
      <c r="M303" s="1"/>
      <c r="N303" s="1"/>
      <c r="O303" s="1"/>
      <c r="P303" s="1"/>
      <c r="Q303" s="1"/>
      <c r="R303" s="1"/>
    </row>
    <row r="304" spans="2:18">
      <c r="B304" s="1"/>
      <c r="C304" s="1"/>
      <c r="D304" s="108"/>
      <c r="E304" s="108"/>
      <c r="F304" s="108"/>
      <c r="G304" s="108"/>
      <c r="H304" s="109"/>
      <c r="I304" s="1"/>
      <c r="J304" s="1"/>
      <c r="K304" s="1"/>
      <c r="L304" s="1"/>
      <c r="M304" s="1"/>
      <c r="N304" s="1"/>
      <c r="O304" s="1"/>
      <c r="P304" s="1"/>
      <c r="Q304" s="1"/>
      <c r="R304" s="1"/>
    </row>
    <row r="305" spans="2:18">
      <c r="B305" s="1"/>
      <c r="C305" s="1"/>
      <c r="D305" s="108"/>
      <c r="E305" s="108"/>
      <c r="F305" s="108"/>
      <c r="G305" s="108"/>
      <c r="H305" s="109"/>
      <c r="I305" s="1"/>
      <c r="J305" s="1"/>
      <c r="K305" s="1"/>
      <c r="L305" s="1"/>
      <c r="M305" s="1"/>
      <c r="N305" s="1"/>
      <c r="O305" s="1"/>
      <c r="P305" s="1"/>
      <c r="Q305" s="1"/>
      <c r="R305" s="1"/>
    </row>
    <row r="306" spans="2:18">
      <c r="B306" s="1"/>
      <c r="C306" s="1"/>
      <c r="D306" s="108"/>
      <c r="E306" s="108"/>
      <c r="F306" s="108"/>
      <c r="G306" s="108"/>
      <c r="H306" s="109"/>
      <c r="I306" s="1"/>
      <c r="J306" s="1"/>
      <c r="K306" s="1"/>
      <c r="L306" s="1"/>
      <c r="M306" s="1"/>
      <c r="N306" s="1"/>
      <c r="O306" s="1"/>
      <c r="P306" s="1"/>
      <c r="Q306" s="1"/>
      <c r="R306" s="1"/>
    </row>
    <row r="307" spans="2:18">
      <c r="B307" s="1"/>
      <c r="C307" s="1"/>
      <c r="D307" s="108"/>
      <c r="E307" s="108"/>
      <c r="F307" s="108"/>
      <c r="G307" s="108"/>
      <c r="H307" s="109"/>
      <c r="I307" s="1"/>
      <c r="J307" s="1"/>
      <c r="K307" s="1"/>
      <c r="L307" s="1"/>
      <c r="M307" s="1"/>
      <c r="N307" s="1"/>
      <c r="O307" s="1"/>
      <c r="P307" s="1"/>
      <c r="Q307" s="1"/>
      <c r="R307" s="1"/>
    </row>
    <row r="308" spans="2:18">
      <c r="B308" s="1"/>
      <c r="C308" s="1"/>
      <c r="D308" s="108"/>
      <c r="E308" s="108"/>
      <c r="F308" s="108"/>
      <c r="G308" s="108"/>
      <c r="H308" s="109"/>
      <c r="I308" s="1"/>
      <c r="J308" s="1"/>
      <c r="K308" s="1"/>
      <c r="L308" s="1"/>
      <c r="M308" s="1"/>
      <c r="N308" s="1"/>
      <c r="O308" s="1"/>
      <c r="P308" s="1"/>
      <c r="Q308" s="1"/>
      <c r="R308" s="1"/>
    </row>
    <row r="309" spans="2:18">
      <c r="B309" s="1"/>
      <c r="C309" s="1"/>
      <c r="D309" s="108"/>
      <c r="E309" s="108"/>
      <c r="F309" s="108"/>
      <c r="G309" s="108"/>
      <c r="H309" s="109"/>
      <c r="I309" s="1"/>
      <c r="J309" s="1"/>
      <c r="K309" s="1"/>
      <c r="L309" s="1"/>
      <c r="M309" s="1"/>
      <c r="N309" s="1"/>
      <c r="O309" s="1"/>
      <c r="P309" s="1"/>
      <c r="Q309" s="1"/>
      <c r="R309" s="1"/>
    </row>
    <row r="1048571" spans="9:9">
      <c r="I1048571" s="1"/>
    </row>
  </sheetData>
  <mergeCells count="6">
    <mergeCell ref="B30:H30"/>
    <mergeCell ref="B6:H6"/>
    <mergeCell ref="B8:H8"/>
    <mergeCell ref="B9:H9"/>
    <mergeCell ref="B11:H11"/>
    <mergeCell ref="D13:H13"/>
  </mergeCells>
  <pageMargins left="0.7" right="0.7" top="0.75" bottom="0.75" header="0.3" footer="0.3"/>
  <pageSetup paperSize="9" scale="43" fitToHeight="0" orientation="portrait" r:id="rId1"/>
  <rowBreaks count="1" manualBreakCount="1">
    <brk id="86"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270"/>
  <sheetViews>
    <sheetView showGridLines="0" workbookViewId="0">
      <selection activeCell="J257" sqref="J257"/>
    </sheetView>
  </sheetViews>
  <sheetFormatPr defaultRowHeight="12.75"/>
  <cols>
    <col min="1" max="1" width="2.85546875" style="160" customWidth="1"/>
    <col min="2" max="2" width="63.7109375" style="10" customWidth="1"/>
    <col min="3" max="3" width="11.28515625" style="10" customWidth="1"/>
    <col min="4" max="14" width="12.28515625" style="10" customWidth="1"/>
    <col min="15" max="16384" width="9.140625" style="10"/>
  </cols>
  <sheetData>
    <row r="2" spans="1:19" ht="15.75">
      <c r="A2" s="254" t="s">
        <v>503</v>
      </c>
      <c r="J2" s="19"/>
      <c r="K2" s="19"/>
      <c r="L2" s="19"/>
      <c r="M2" s="19"/>
      <c r="N2" s="19"/>
    </row>
    <row r="3" spans="1:19" ht="15.75">
      <c r="A3" s="254" t="s">
        <v>721</v>
      </c>
      <c r="J3" s="96"/>
      <c r="K3" s="96"/>
      <c r="L3" s="96"/>
      <c r="M3" s="96"/>
      <c r="N3" s="96"/>
    </row>
    <row r="4" spans="1:19" ht="15.75">
      <c r="A4" s="255" t="s">
        <v>499</v>
      </c>
      <c r="J4" s="96"/>
      <c r="K4" s="96"/>
      <c r="L4" s="96"/>
      <c r="M4" s="96"/>
      <c r="N4" s="96"/>
    </row>
    <row r="5" spans="1:19">
      <c r="B5" s="24"/>
      <c r="C5" s="24"/>
    </row>
    <row r="6" spans="1:19" s="1" customFormat="1">
      <c r="B6" s="445" t="s">
        <v>181</v>
      </c>
      <c r="C6" s="446"/>
      <c r="D6" s="446"/>
      <c r="E6" s="446"/>
      <c r="F6" s="446"/>
      <c r="G6" s="446"/>
      <c r="H6" s="446"/>
      <c r="I6" s="446"/>
      <c r="J6" s="446"/>
      <c r="K6" s="446"/>
      <c r="L6" s="446"/>
      <c r="M6" s="446"/>
      <c r="N6" s="447"/>
    </row>
    <row r="7" spans="1:19">
      <c r="B7" s="24"/>
      <c r="C7" s="24"/>
    </row>
    <row r="8" spans="1:19" s="1" customFormat="1">
      <c r="B8" s="445" t="s">
        <v>20</v>
      </c>
      <c r="C8" s="446"/>
      <c r="D8" s="446"/>
      <c r="E8" s="446"/>
      <c r="F8" s="446"/>
      <c r="G8" s="446"/>
      <c r="H8" s="446"/>
      <c r="I8" s="446"/>
      <c r="J8" s="446"/>
      <c r="K8" s="446"/>
      <c r="L8" s="446"/>
      <c r="M8" s="446"/>
      <c r="N8" s="447"/>
    </row>
    <row r="9" spans="1:19" s="1" customFormat="1">
      <c r="B9" s="489" t="s">
        <v>587</v>
      </c>
      <c r="C9" s="490"/>
      <c r="D9" s="490"/>
      <c r="E9" s="490"/>
      <c r="F9" s="490"/>
      <c r="G9" s="490"/>
      <c r="H9" s="490"/>
      <c r="I9" s="490"/>
      <c r="J9" s="490"/>
      <c r="K9" s="490"/>
      <c r="L9" s="490"/>
      <c r="M9" s="490"/>
      <c r="N9" s="491"/>
    </row>
    <row r="10" spans="1:19" s="1" customFormat="1" ht="14.25" customHeight="1">
      <c r="B10" s="489" t="s">
        <v>590</v>
      </c>
      <c r="C10" s="490"/>
      <c r="D10" s="490"/>
      <c r="E10" s="490"/>
      <c r="F10" s="490"/>
      <c r="G10" s="490"/>
      <c r="H10" s="490"/>
      <c r="I10" s="490"/>
      <c r="J10" s="490"/>
      <c r="K10" s="490"/>
      <c r="L10" s="490"/>
      <c r="M10" s="490"/>
      <c r="N10" s="491"/>
    </row>
    <row r="11" spans="1:19" s="1" customFormat="1" ht="28.5" customHeight="1">
      <c r="B11" s="489" t="s">
        <v>592</v>
      </c>
      <c r="C11" s="490"/>
      <c r="D11" s="490"/>
      <c r="E11" s="490"/>
      <c r="F11" s="490"/>
      <c r="G11" s="490"/>
      <c r="H11" s="490"/>
      <c r="I11" s="490"/>
      <c r="J11" s="490"/>
      <c r="K11" s="490"/>
      <c r="L11" s="490"/>
      <c r="M11" s="490"/>
      <c r="N11" s="491"/>
    </row>
    <row r="12" spans="1:19" s="1" customFormat="1" ht="29.25" customHeight="1">
      <c r="B12" s="489" t="s">
        <v>593</v>
      </c>
      <c r="C12" s="490"/>
      <c r="D12" s="490"/>
      <c r="E12" s="490"/>
      <c r="F12" s="490"/>
      <c r="G12" s="490"/>
      <c r="H12" s="490"/>
      <c r="I12" s="490"/>
      <c r="J12" s="490"/>
      <c r="K12" s="490"/>
      <c r="L12" s="490"/>
      <c r="M12" s="490"/>
      <c r="N12" s="491"/>
    </row>
    <row r="13" spans="1:19" s="1" customFormat="1" ht="29.25" customHeight="1">
      <c r="B13" s="489" t="s">
        <v>736</v>
      </c>
      <c r="C13" s="490"/>
      <c r="D13" s="490"/>
      <c r="E13" s="490"/>
      <c r="F13" s="490"/>
      <c r="G13" s="490"/>
      <c r="H13" s="490"/>
      <c r="I13" s="490"/>
      <c r="J13" s="490"/>
      <c r="K13" s="490"/>
      <c r="L13" s="490"/>
      <c r="M13" s="490"/>
      <c r="N13" s="491"/>
    </row>
    <row r="14" spans="1:19" s="1" customFormat="1">
      <c r="B14" s="10"/>
      <c r="C14" s="10"/>
      <c r="D14" s="10"/>
      <c r="E14" s="10"/>
      <c r="F14" s="10"/>
      <c r="G14" s="10"/>
      <c r="H14" s="225"/>
      <c r="I14" s="10"/>
      <c r="J14" s="10"/>
      <c r="K14" s="10"/>
      <c r="L14" s="10"/>
      <c r="M14" s="10"/>
      <c r="N14" s="10"/>
      <c r="O14" s="10"/>
      <c r="P14" s="10"/>
      <c r="Q14" s="10"/>
      <c r="R14" s="10"/>
      <c r="S14" s="10"/>
    </row>
    <row r="15" spans="1:19" s="1" customFormat="1">
      <c r="B15" s="445" t="s">
        <v>53</v>
      </c>
      <c r="C15" s="446"/>
      <c r="D15" s="446"/>
      <c r="E15" s="446"/>
      <c r="F15" s="446"/>
      <c r="G15" s="446"/>
      <c r="H15" s="446"/>
      <c r="I15" s="446"/>
      <c r="J15" s="446"/>
      <c r="K15" s="446"/>
      <c r="L15" s="446"/>
      <c r="M15" s="446"/>
      <c r="N15" s="447"/>
    </row>
    <row r="16" spans="1:19">
      <c r="B16" s="24"/>
      <c r="C16" s="24"/>
    </row>
    <row r="17" spans="2:14">
      <c r="B17" s="494" t="s">
        <v>588</v>
      </c>
      <c r="C17" s="494"/>
      <c r="D17" s="494"/>
      <c r="E17" s="494"/>
      <c r="F17" s="494"/>
      <c r="G17" s="494"/>
      <c r="H17" s="494"/>
      <c r="I17" s="494"/>
      <c r="J17" s="494"/>
      <c r="K17" s="494"/>
      <c r="L17" s="494"/>
      <c r="M17" s="494"/>
      <c r="N17" s="494"/>
    </row>
    <row r="18" spans="2:14">
      <c r="B18" s="24"/>
      <c r="C18" s="24"/>
    </row>
    <row r="19" spans="2:14">
      <c r="D19" s="256" t="s">
        <v>7</v>
      </c>
      <c r="E19" s="256" t="s">
        <v>8</v>
      </c>
      <c r="F19" s="256" t="s">
        <v>9</v>
      </c>
      <c r="G19" s="256" t="s">
        <v>10</v>
      </c>
      <c r="H19" s="256" t="s">
        <v>11</v>
      </c>
      <c r="I19" s="257" t="s">
        <v>529</v>
      </c>
      <c r="J19" s="257" t="s">
        <v>42</v>
      </c>
      <c r="K19" s="257" t="s">
        <v>43</v>
      </c>
      <c r="L19" s="257" t="s">
        <v>44</v>
      </c>
      <c r="M19" s="257" t="s">
        <v>45</v>
      </c>
      <c r="N19" s="257" t="s">
        <v>46</v>
      </c>
    </row>
    <row r="21" spans="2:14">
      <c r="B21" s="103" t="s">
        <v>182</v>
      </c>
      <c r="C21" s="103"/>
      <c r="D21" s="258"/>
      <c r="E21" s="258"/>
      <c r="F21" s="258"/>
      <c r="G21" s="258"/>
      <c r="H21" s="258"/>
      <c r="I21" s="258"/>
      <c r="J21" s="258"/>
      <c r="K21" s="258"/>
      <c r="L21" s="258"/>
      <c r="M21" s="258"/>
      <c r="N21" s="258"/>
    </row>
    <row r="22" spans="2:14">
      <c r="D22" s="19"/>
      <c r="E22" s="19"/>
      <c r="F22" s="19"/>
      <c r="G22" s="19"/>
      <c r="H22" s="19"/>
      <c r="I22" s="19"/>
    </row>
    <row r="23" spans="2:14">
      <c r="D23" s="486" t="s">
        <v>530</v>
      </c>
      <c r="E23" s="487"/>
      <c r="F23" s="487"/>
      <c r="G23" s="487"/>
      <c r="H23" s="487"/>
      <c r="I23" s="488"/>
      <c r="J23" s="486" t="s">
        <v>531</v>
      </c>
      <c r="K23" s="487"/>
      <c r="L23" s="487"/>
      <c r="M23" s="487"/>
      <c r="N23" s="488"/>
    </row>
    <row r="25" spans="2:14">
      <c r="B25" s="10" t="s">
        <v>583</v>
      </c>
      <c r="D25" s="20">
        <v>3113726.3742860709</v>
      </c>
      <c r="E25" s="20">
        <v>3122073.5473999921</v>
      </c>
      <c r="F25" s="20">
        <v>3019607.74915253</v>
      </c>
      <c r="G25" s="20">
        <v>3973648.9054581197</v>
      </c>
      <c r="H25" s="20">
        <v>4584195.2209007777</v>
      </c>
      <c r="I25" s="20">
        <v>5315321.443835903</v>
      </c>
      <c r="J25" s="20">
        <v>5667247.8771414459</v>
      </c>
      <c r="K25" s="20">
        <v>5805970.8991101757</v>
      </c>
      <c r="L25" s="20">
        <v>6122425.8101557028</v>
      </c>
      <c r="M25" s="20">
        <v>6474865.4103855919</v>
      </c>
      <c r="N25" s="20">
        <v>6853434.1274006562</v>
      </c>
    </row>
    <row r="26" spans="2:14">
      <c r="B26" s="10" t="s">
        <v>532</v>
      </c>
      <c r="D26" s="20">
        <v>2619723.7502251733</v>
      </c>
      <c r="E26" s="20">
        <v>2626746.617691746</v>
      </c>
      <c r="F26" s="20">
        <v>2540537.3452677326</v>
      </c>
      <c r="G26" s="20">
        <v>3343216.8281234158</v>
      </c>
      <c r="H26" s="20">
        <v>3856898.0225875047</v>
      </c>
      <c r="I26" s="20">
        <v>4472028.737493284</v>
      </c>
      <c r="J26" s="20">
        <v>4807026.510711953</v>
      </c>
      <c r="K26" s="20">
        <v>4919520.333974421</v>
      </c>
      <c r="L26" s="20">
        <v>5320791.2214324279</v>
      </c>
      <c r="M26" s="20">
        <v>5342962.5459258407</v>
      </c>
      <c r="N26" s="20">
        <v>5598915.8018709049</v>
      </c>
    </row>
    <row r="27" spans="2:14">
      <c r="B27" s="259" t="s">
        <v>533</v>
      </c>
      <c r="C27" s="259"/>
      <c r="D27" s="260">
        <f>D26/D25</f>
        <v>0.84134680935984152</v>
      </c>
      <c r="E27" s="260">
        <f t="shared" ref="E27:N27" si="0">E26/E25</f>
        <v>0.84134680935984174</v>
      </c>
      <c r="F27" s="260">
        <f t="shared" si="0"/>
        <v>0.84134680935984119</v>
      </c>
      <c r="G27" s="260">
        <f t="shared" si="0"/>
        <v>0.84134680935984163</v>
      </c>
      <c r="H27" s="260">
        <f t="shared" si="0"/>
        <v>0.84134680935984185</v>
      </c>
      <c r="I27" s="260">
        <f t="shared" si="0"/>
        <v>0.84134680935984174</v>
      </c>
      <c r="J27" s="260">
        <f t="shared" si="0"/>
        <v>0.84821179784650824</v>
      </c>
      <c r="K27" s="260">
        <f t="shared" si="0"/>
        <v>0.84732087353871988</v>
      </c>
      <c r="L27" s="260">
        <f t="shared" si="0"/>
        <v>0.86906585500904776</v>
      </c>
      <c r="M27" s="260">
        <f t="shared" si="0"/>
        <v>0.82518511309220499</v>
      </c>
      <c r="N27" s="260">
        <f t="shared" si="0"/>
        <v>0.81695040731272628</v>
      </c>
    </row>
    <row r="28" spans="2:14">
      <c r="D28" s="20"/>
      <c r="E28" s="20"/>
      <c r="F28" s="20"/>
      <c r="G28" s="20"/>
      <c r="H28" s="20"/>
      <c r="I28" s="20"/>
    </row>
    <row r="29" spans="2:14">
      <c r="B29" s="22" t="s">
        <v>534</v>
      </c>
      <c r="C29" s="22"/>
      <c r="D29" s="35">
        <f t="shared" ref="D29:N29" si="1">SUM(D25:D26)</f>
        <v>5733450.1245112438</v>
      </c>
      <c r="E29" s="35">
        <f t="shared" si="1"/>
        <v>5748820.1650917381</v>
      </c>
      <c r="F29" s="35">
        <f t="shared" si="1"/>
        <v>5560145.0944202626</v>
      </c>
      <c r="G29" s="35">
        <f t="shared" si="1"/>
        <v>7316865.7335815355</v>
      </c>
      <c r="H29" s="35">
        <f t="shared" si="1"/>
        <v>8441093.243488282</v>
      </c>
      <c r="I29" s="35">
        <f t="shared" si="1"/>
        <v>9787350.181329187</v>
      </c>
      <c r="J29" s="35">
        <f t="shared" si="1"/>
        <v>10474274.387853399</v>
      </c>
      <c r="K29" s="35">
        <f t="shared" si="1"/>
        <v>10725491.233084597</v>
      </c>
      <c r="L29" s="35">
        <f t="shared" si="1"/>
        <v>11443217.03158813</v>
      </c>
      <c r="M29" s="35">
        <f t="shared" si="1"/>
        <v>11817827.956311433</v>
      </c>
      <c r="N29" s="35">
        <f t="shared" si="1"/>
        <v>12452349.92927156</v>
      </c>
    </row>
    <row r="30" spans="2:14">
      <c r="D30" s="20"/>
      <c r="E30" s="20"/>
      <c r="F30" s="20"/>
      <c r="G30" s="20"/>
      <c r="H30" s="20"/>
      <c r="I30" s="20"/>
    </row>
    <row r="31" spans="2:14">
      <c r="B31" s="10" t="s">
        <v>584</v>
      </c>
      <c r="D31" s="20">
        <v>5852055.0068521639</v>
      </c>
      <c r="E31" s="20">
        <v>5693567.1841553245</v>
      </c>
      <c r="F31" s="20">
        <v>4438270.1383612733</v>
      </c>
      <c r="G31" s="20">
        <v>4158005.3382539237</v>
      </c>
      <c r="H31" s="20">
        <v>4167757.386289882</v>
      </c>
      <c r="I31" s="20">
        <v>4815776.5055015879</v>
      </c>
      <c r="J31" s="20">
        <v>5108935.8743479513</v>
      </c>
      <c r="K31" s="20">
        <v>5371804.7668327456</v>
      </c>
      <c r="L31" s="20">
        <v>5627572.4744609902</v>
      </c>
      <c r="M31" s="20">
        <v>5893285.5616689287</v>
      </c>
      <c r="N31" s="20">
        <v>6176093.9979547709</v>
      </c>
    </row>
    <row r="32" spans="2:14">
      <c r="B32" s="10" t="s">
        <v>535</v>
      </c>
      <c r="D32" s="20">
        <v>4923607.8082133541</v>
      </c>
      <c r="E32" s="20">
        <v>4790264.5842649788</v>
      </c>
      <c r="F32" s="20">
        <v>3734124.41998732</v>
      </c>
      <c r="G32" s="20">
        <v>3498324.5246411273</v>
      </c>
      <c r="H32" s="20">
        <v>3506529.3791409046</v>
      </c>
      <c r="I32" s="20">
        <v>4051738.1974938479</v>
      </c>
      <c r="J32" s="20">
        <v>4333459.6830631979</v>
      </c>
      <c r="K32" s="20">
        <v>4551642.3075121818</v>
      </c>
      <c r="L32" s="20">
        <v>4890731.0841428228</v>
      </c>
      <c r="M32" s="20">
        <v>4863051.5126904333</v>
      </c>
      <c r="N32" s="20">
        <v>5045562.5072308341</v>
      </c>
    </row>
    <row r="33" spans="2:14">
      <c r="B33" s="259" t="s">
        <v>533</v>
      </c>
      <c r="C33" s="259"/>
      <c r="D33" s="260">
        <f>D32/D31</f>
        <v>0.84134680935984163</v>
      </c>
      <c r="E33" s="260">
        <f t="shared" ref="E33:N33" si="2">E32/E31</f>
        <v>0.84134680935984141</v>
      </c>
      <c r="F33" s="260">
        <f t="shared" si="2"/>
        <v>0.84134680935984163</v>
      </c>
      <c r="G33" s="260">
        <f t="shared" si="2"/>
        <v>0.84134680935984152</v>
      </c>
      <c r="H33" s="260">
        <f t="shared" si="2"/>
        <v>0.84134680935984152</v>
      </c>
      <c r="I33" s="260">
        <f t="shared" si="2"/>
        <v>0.84134680935984141</v>
      </c>
      <c r="J33" s="260">
        <f t="shared" si="2"/>
        <v>0.84821179784650813</v>
      </c>
      <c r="K33" s="260">
        <f t="shared" si="2"/>
        <v>0.84732087353871999</v>
      </c>
      <c r="L33" s="260">
        <f t="shared" si="2"/>
        <v>0.86906585500904776</v>
      </c>
      <c r="M33" s="260">
        <f t="shared" si="2"/>
        <v>0.82518511309220488</v>
      </c>
      <c r="N33" s="260">
        <f t="shared" si="2"/>
        <v>0.81695040731272628</v>
      </c>
    </row>
    <row r="35" spans="2:14">
      <c r="B35" s="22" t="s">
        <v>300</v>
      </c>
      <c r="C35" s="22"/>
      <c r="D35" s="35">
        <f>SUM(D31:D32)</f>
        <v>10775662.815065518</v>
      </c>
      <c r="E35" s="35">
        <f t="shared" ref="E35:N35" si="3">SUM(E31:E32)</f>
        <v>10483831.768420303</v>
      </c>
      <c r="F35" s="35">
        <f t="shared" si="3"/>
        <v>8172394.5583485933</v>
      </c>
      <c r="G35" s="35">
        <f t="shared" si="3"/>
        <v>7656329.862895051</v>
      </c>
      <c r="H35" s="35">
        <f t="shared" si="3"/>
        <v>7674286.7654307866</v>
      </c>
      <c r="I35" s="35">
        <f t="shared" si="3"/>
        <v>8867514.7029954363</v>
      </c>
      <c r="J35" s="35">
        <f t="shared" si="3"/>
        <v>9442395.5574111491</v>
      </c>
      <c r="K35" s="35">
        <f t="shared" si="3"/>
        <v>9923447.0743449274</v>
      </c>
      <c r="L35" s="35">
        <f t="shared" si="3"/>
        <v>10518303.558603812</v>
      </c>
      <c r="M35" s="35">
        <f t="shared" si="3"/>
        <v>10756337.074359361</v>
      </c>
      <c r="N35" s="35">
        <f t="shared" si="3"/>
        <v>11221656.505185604</v>
      </c>
    </row>
    <row r="37" spans="2:14">
      <c r="B37" s="10" t="s">
        <v>585</v>
      </c>
      <c r="D37" s="19">
        <f>SUM(D25,D31)</f>
        <v>8965781.3811382353</v>
      </c>
      <c r="E37" s="19">
        <f t="shared" ref="E37:N38" si="4">SUM(E25,E31)</f>
        <v>8815640.7315553166</v>
      </c>
      <c r="F37" s="19">
        <f t="shared" si="4"/>
        <v>7457877.8875138033</v>
      </c>
      <c r="G37" s="19">
        <f t="shared" si="4"/>
        <v>8131654.2437120434</v>
      </c>
      <c r="H37" s="19">
        <f t="shared" si="4"/>
        <v>8751952.6071906593</v>
      </c>
      <c r="I37" s="19">
        <f t="shared" si="4"/>
        <v>10131097.94933749</v>
      </c>
      <c r="J37" s="19">
        <f t="shared" si="4"/>
        <v>10776183.751489397</v>
      </c>
      <c r="K37" s="19">
        <f t="shared" si="4"/>
        <v>11177775.665942922</v>
      </c>
      <c r="L37" s="19">
        <f t="shared" si="4"/>
        <v>11749998.284616694</v>
      </c>
      <c r="M37" s="19">
        <f t="shared" si="4"/>
        <v>12368150.972054521</v>
      </c>
      <c r="N37" s="19">
        <f t="shared" si="4"/>
        <v>13029528.125355426</v>
      </c>
    </row>
    <row r="38" spans="2:14">
      <c r="B38" s="10" t="s">
        <v>536</v>
      </c>
      <c r="D38" s="19">
        <f>SUM(D26,D32)</f>
        <v>7543331.5584385274</v>
      </c>
      <c r="E38" s="19">
        <f t="shared" si="4"/>
        <v>7417011.2019567247</v>
      </c>
      <c r="F38" s="19">
        <f t="shared" si="4"/>
        <v>6274661.7652550526</v>
      </c>
      <c r="G38" s="19">
        <f t="shared" si="4"/>
        <v>6841541.3527645431</v>
      </c>
      <c r="H38" s="19">
        <f t="shared" si="4"/>
        <v>7363427.4017284093</v>
      </c>
      <c r="I38" s="19">
        <f t="shared" si="4"/>
        <v>8523766.9349871315</v>
      </c>
      <c r="J38" s="19">
        <f t="shared" si="4"/>
        <v>9140486.1937751509</v>
      </c>
      <c r="K38" s="19">
        <f t="shared" si="4"/>
        <v>9471162.6414866038</v>
      </c>
      <c r="L38" s="19">
        <f t="shared" si="4"/>
        <v>10211522.305575252</v>
      </c>
      <c r="M38" s="19">
        <f t="shared" si="4"/>
        <v>10206014.058616273</v>
      </c>
      <c r="N38" s="19">
        <f t="shared" si="4"/>
        <v>10644478.309101738</v>
      </c>
    </row>
    <row r="39" spans="2:14">
      <c r="B39" s="259" t="s">
        <v>533</v>
      </c>
      <c r="C39" s="259"/>
      <c r="D39" s="260">
        <f>D38/D37</f>
        <v>0.84134680935984152</v>
      </c>
      <c r="E39" s="260">
        <f t="shared" ref="E39:N39" si="5">E38/E37</f>
        <v>0.84134680935984152</v>
      </c>
      <c r="F39" s="260">
        <f t="shared" si="5"/>
        <v>0.84134680935984141</v>
      </c>
      <c r="G39" s="260">
        <f t="shared" si="5"/>
        <v>0.84134680935984152</v>
      </c>
      <c r="H39" s="260">
        <f t="shared" si="5"/>
        <v>0.84134680935984174</v>
      </c>
      <c r="I39" s="260">
        <f t="shared" si="5"/>
        <v>0.84134680935984163</v>
      </c>
      <c r="J39" s="260">
        <f t="shared" si="5"/>
        <v>0.84821179784650824</v>
      </c>
      <c r="K39" s="260">
        <f t="shared" si="5"/>
        <v>0.84732087353871988</v>
      </c>
      <c r="L39" s="260">
        <f t="shared" si="5"/>
        <v>0.86906585500904776</v>
      </c>
      <c r="M39" s="260">
        <f t="shared" si="5"/>
        <v>0.82518511309220488</v>
      </c>
      <c r="N39" s="260">
        <f t="shared" si="5"/>
        <v>0.81695040731272628</v>
      </c>
    </row>
    <row r="41" spans="2:14" ht="13.5" thickBot="1">
      <c r="B41" s="27" t="s">
        <v>274</v>
      </c>
      <c r="C41" s="27"/>
      <c r="D41" s="261">
        <f>SUM(D37:D38)</f>
        <v>16509112.939576764</v>
      </c>
      <c r="E41" s="261">
        <f t="shared" ref="E41:N41" si="6">SUM(E37:E38)</f>
        <v>16232651.933512041</v>
      </c>
      <c r="F41" s="261">
        <f t="shared" si="6"/>
        <v>13732539.652768856</v>
      </c>
      <c r="G41" s="261">
        <f t="shared" si="6"/>
        <v>14973195.596476587</v>
      </c>
      <c r="H41" s="261">
        <f t="shared" si="6"/>
        <v>16115380.008919068</v>
      </c>
      <c r="I41" s="261">
        <f t="shared" si="6"/>
        <v>18654864.884324621</v>
      </c>
      <c r="J41" s="261">
        <f t="shared" si="6"/>
        <v>19916669.945264548</v>
      </c>
      <c r="K41" s="261">
        <f t="shared" si="6"/>
        <v>20648938.307429526</v>
      </c>
      <c r="L41" s="261">
        <f t="shared" si="6"/>
        <v>21961520.590191945</v>
      </c>
      <c r="M41" s="261">
        <f t="shared" si="6"/>
        <v>22574165.030670792</v>
      </c>
      <c r="N41" s="261">
        <f t="shared" si="6"/>
        <v>23674006.434457164</v>
      </c>
    </row>
    <row r="43" spans="2:14">
      <c r="D43" s="256" t="s">
        <v>7</v>
      </c>
      <c r="E43" s="256" t="s">
        <v>8</v>
      </c>
      <c r="F43" s="256" t="s">
        <v>9</v>
      </c>
      <c r="G43" s="256" t="s">
        <v>10</v>
      </c>
      <c r="H43" s="256" t="s">
        <v>11</v>
      </c>
      <c r="I43" s="257" t="s">
        <v>529</v>
      </c>
      <c r="J43" s="257" t="s">
        <v>42</v>
      </c>
      <c r="K43" s="257" t="s">
        <v>43</v>
      </c>
      <c r="L43" s="257" t="s">
        <v>44</v>
      </c>
      <c r="M43" s="257" t="s">
        <v>45</v>
      </c>
      <c r="N43" s="257" t="s">
        <v>46</v>
      </c>
    </row>
    <row r="45" spans="2:14">
      <c r="B45" s="103" t="s">
        <v>537</v>
      </c>
      <c r="C45" s="103"/>
      <c r="D45" s="258"/>
      <c r="E45" s="258"/>
      <c r="F45" s="258"/>
      <c r="G45" s="258"/>
      <c r="H45" s="258"/>
      <c r="I45" s="258"/>
      <c r="J45" s="258"/>
      <c r="K45" s="258"/>
      <c r="L45" s="258"/>
      <c r="M45" s="258"/>
      <c r="N45" s="258"/>
    </row>
    <row r="46" spans="2:14">
      <c r="D46" s="19"/>
      <c r="E46" s="19"/>
      <c r="F46" s="19"/>
      <c r="G46" s="19"/>
      <c r="H46" s="19"/>
      <c r="I46" s="19"/>
    </row>
    <row r="47" spans="2:14">
      <c r="B47" s="262" t="s">
        <v>513</v>
      </c>
      <c r="C47" s="262"/>
      <c r="D47" s="263" t="s">
        <v>100</v>
      </c>
      <c r="E47" s="264">
        <v>4.3499999999999997E-2</v>
      </c>
      <c r="F47" s="264">
        <v>1.8200000000000001E-2</v>
      </c>
      <c r="G47" s="264">
        <v>2.8500000000000001E-2</v>
      </c>
      <c r="H47" s="264">
        <v>3.39E-2</v>
      </c>
      <c r="I47" s="264">
        <v>1.7600000000000001E-2</v>
      </c>
      <c r="J47" s="264">
        <v>2.5000000000000001E-2</v>
      </c>
      <c r="K47" s="264">
        <v>2.5000000000000001E-2</v>
      </c>
      <c r="L47" s="264">
        <v>2.5000000000000001E-2</v>
      </c>
      <c r="M47" s="264">
        <v>2.5000000000000001E-2</v>
      </c>
      <c r="N47" s="264">
        <v>2.5000000000000001E-2</v>
      </c>
    </row>
    <row r="48" spans="2:14">
      <c r="B48" s="265" t="s">
        <v>538</v>
      </c>
      <c r="C48" s="265"/>
      <c r="D48" s="266">
        <f t="shared" ref="D48:H48" si="7">E48/(1+E47)</f>
        <v>0.84857583245139145</v>
      </c>
      <c r="E48" s="266">
        <f t="shared" si="7"/>
        <v>0.88548888116302704</v>
      </c>
      <c r="F48" s="266">
        <f t="shared" si="7"/>
        <v>0.90160477880019418</v>
      </c>
      <c r="G48" s="266">
        <f t="shared" si="7"/>
        <v>0.92730051499599975</v>
      </c>
      <c r="H48" s="266">
        <f t="shared" si="7"/>
        <v>0.95873600245436419</v>
      </c>
      <c r="I48" s="266">
        <f>J48/(1+J47)</f>
        <v>0.97560975609756106</v>
      </c>
      <c r="J48" s="266">
        <v>1</v>
      </c>
      <c r="K48" s="266">
        <f>J48*(1+K47)</f>
        <v>1.0249999999999999</v>
      </c>
      <c r="L48" s="266">
        <f t="shared" ref="L48:N48" si="8">K48*(1+L47)</f>
        <v>1.0506249999999999</v>
      </c>
      <c r="M48" s="266">
        <f t="shared" si="8"/>
        <v>1.0768906249999999</v>
      </c>
      <c r="N48" s="266">
        <f t="shared" si="8"/>
        <v>1.1038128906249998</v>
      </c>
    </row>
    <row r="50" spans="2:14">
      <c r="B50" s="10" t="s">
        <v>583</v>
      </c>
      <c r="D50" s="20">
        <f t="shared" ref="D50:N51" si="9">D25/D$48</f>
        <v>3669355.4720867365</v>
      </c>
      <c r="E50" s="20">
        <f t="shared" si="9"/>
        <v>3525819.0292568882</v>
      </c>
      <c r="F50" s="20">
        <f t="shared" si="9"/>
        <v>3349147.8973424002</v>
      </c>
      <c r="G50" s="20">
        <f t="shared" si="9"/>
        <v>4285179.22852147</v>
      </c>
      <c r="H50" s="20">
        <f t="shared" si="9"/>
        <v>4781498.9832083471</v>
      </c>
      <c r="I50" s="20">
        <f t="shared" si="9"/>
        <v>5448204.4799317997</v>
      </c>
      <c r="J50" s="20">
        <f t="shared" si="9"/>
        <v>5667247.8771414459</v>
      </c>
      <c r="K50" s="20">
        <f t="shared" si="9"/>
        <v>5664361.8527904162</v>
      </c>
      <c r="L50" s="20">
        <f t="shared" si="9"/>
        <v>5827413.0257282127</v>
      </c>
      <c r="M50" s="20">
        <f t="shared" si="9"/>
        <v>6012556.2058687182</v>
      </c>
      <c r="N50" s="20">
        <f t="shared" si="9"/>
        <v>6208873.066811271</v>
      </c>
    </row>
    <row r="51" spans="2:14">
      <c r="B51" s="10" t="s">
        <v>532</v>
      </c>
      <c r="D51" s="20">
        <f t="shared" si="9"/>
        <v>3087200.5188472508</v>
      </c>
      <c r="E51" s="20">
        <f t="shared" si="9"/>
        <v>2966436.5906454977</v>
      </c>
      <c r="F51" s="20">
        <f t="shared" si="9"/>
        <v>2817794.8975032489</v>
      </c>
      <c r="G51" s="20">
        <f t="shared" si="9"/>
        <v>3605321.871451606</v>
      </c>
      <c r="H51" s="20">
        <f t="shared" si="9"/>
        <v>4022898.9134796709</v>
      </c>
      <c r="I51" s="20">
        <f t="shared" si="9"/>
        <v>4583829.4559306158</v>
      </c>
      <c r="J51" s="20">
        <f t="shared" si="9"/>
        <v>4807026.510711953</v>
      </c>
      <c r="K51" s="20">
        <f t="shared" si="9"/>
        <v>4799532.0331457769</v>
      </c>
      <c r="L51" s="20">
        <f t="shared" si="9"/>
        <v>5064405.6836953508</v>
      </c>
      <c r="M51" s="20">
        <f t="shared" si="9"/>
        <v>4961471.8727130173</v>
      </c>
      <c r="N51" s="20">
        <f t="shared" si="9"/>
        <v>5072341.3808844835</v>
      </c>
    </row>
    <row r="52" spans="2:14">
      <c r="D52" s="20"/>
      <c r="E52" s="20"/>
      <c r="F52" s="20"/>
      <c r="G52" s="20"/>
      <c r="H52" s="20"/>
      <c r="I52" s="20"/>
    </row>
    <row r="53" spans="2:14">
      <c r="B53" s="22" t="s">
        <v>534</v>
      </c>
      <c r="C53" s="22"/>
      <c r="D53" s="35">
        <f t="shared" ref="D53:N53" si="10">SUM(D50:D51)</f>
        <v>6756555.9909339873</v>
      </c>
      <c r="E53" s="35">
        <f t="shared" si="10"/>
        <v>6492255.6199023854</v>
      </c>
      <c r="F53" s="35">
        <f t="shared" si="10"/>
        <v>6166942.794845649</v>
      </c>
      <c r="G53" s="35">
        <f t="shared" si="10"/>
        <v>7890501.099973076</v>
      </c>
      <c r="H53" s="35">
        <f t="shared" si="10"/>
        <v>8804397.896688018</v>
      </c>
      <c r="I53" s="35">
        <f t="shared" si="10"/>
        <v>10032033.935862415</v>
      </c>
      <c r="J53" s="35">
        <f t="shared" si="10"/>
        <v>10474274.387853399</v>
      </c>
      <c r="K53" s="35">
        <f t="shared" si="10"/>
        <v>10463893.885936193</v>
      </c>
      <c r="L53" s="35">
        <f t="shared" si="10"/>
        <v>10891818.709423564</v>
      </c>
      <c r="M53" s="35">
        <f t="shared" si="10"/>
        <v>10974028.078581735</v>
      </c>
      <c r="N53" s="35">
        <f t="shared" si="10"/>
        <v>11281214.447695754</v>
      </c>
    </row>
    <row r="54" spans="2:14">
      <c r="D54" s="20"/>
      <c r="E54" s="20"/>
      <c r="F54" s="20"/>
      <c r="G54" s="20"/>
      <c r="H54" s="20"/>
      <c r="I54" s="20"/>
    </row>
    <row r="55" spans="2:14">
      <c r="B55" s="10" t="s">
        <v>584</v>
      </c>
      <c r="D55" s="20">
        <f t="shared" ref="D55:N56" si="11">D31/D$48</f>
        <v>6896325.3289297326</v>
      </c>
      <c r="E55" s="20">
        <f t="shared" si="11"/>
        <v>6429857.3423951147</v>
      </c>
      <c r="F55" s="17">
        <f t="shared" si="11"/>
        <v>4922633.7778150178</v>
      </c>
      <c r="G55" s="17">
        <f t="shared" si="11"/>
        <v>4483989.0316159921</v>
      </c>
      <c r="H55" s="17">
        <f t="shared" si="11"/>
        <v>4347137.6641957983</v>
      </c>
      <c r="I55" s="20">
        <f t="shared" si="11"/>
        <v>4936170.9181391271</v>
      </c>
      <c r="J55" s="20">
        <f t="shared" si="11"/>
        <v>5108935.8743479513</v>
      </c>
      <c r="K55" s="20">
        <f t="shared" si="11"/>
        <v>5240785.1383734113</v>
      </c>
      <c r="L55" s="20">
        <f t="shared" si="11"/>
        <v>5356404.4968099855</v>
      </c>
      <c r="M55" s="20">
        <f t="shared" si="11"/>
        <v>5472501.5009476282</v>
      </c>
      <c r="N55" s="20">
        <f t="shared" si="11"/>
        <v>5595236.3397910213</v>
      </c>
    </row>
    <row r="56" spans="2:14">
      <c r="B56" s="10" t="s">
        <v>535</v>
      </c>
      <c r="D56" s="20">
        <f t="shared" si="11"/>
        <v>5802201.3118024906</v>
      </c>
      <c r="E56" s="20">
        <f t="shared" si="11"/>
        <v>5409739.9596630791</v>
      </c>
      <c r="F56" s="20">
        <f t="shared" si="11"/>
        <v>4141642.2226116485</v>
      </c>
      <c r="G56" s="20">
        <f t="shared" si="11"/>
        <v>3772589.8649546406</v>
      </c>
      <c r="H56" s="20">
        <f t="shared" si="11"/>
        <v>3657450.4036191292</v>
      </c>
      <c r="I56" s="20">
        <f t="shared" si="11"/>
        <v>4153031.6524311937</v>
      </c>
      <c r="J56" s="20">
        <f t="shared" si="11"/>
        <v>4333459.6830631979</v>
      </c>
      <c r="K56" s="20">
        <f t="shared" si="11"/>
        <v>4440626.6414752994</v>
      </c>
      <c r="L56" s="20">
        <f t="shared" si="11"/>
        <v>4655068.2537944773</v>
      </c>
      <c r="M56" s="20">
        <f t="shared" si="11"/>
        <v>4515826.7699567294</v>
      </c>
      <c r="N56" s="20">
        <f t="shared" si="11"/>
        <v>4571030.606803243</v>
      </c>
    </row>
    <row r="58" spans="2:14">
      <c r="B58" s="22" t="s">
        <v>300</v>
      </c>
      <c r="C58" s="22"/>
      <c r="D58" s="35">
        <f>SUM(D55:D56)</f>
        <v>12698526.640732223</v>
      </c>
      <c r="E58" s="35">
        <f t="shared" ref="E58:N58" si="12">SUM(E55:E56)</f>
        <v>11839597.302058194</v>
      </c>
      <c r="F58" s="35">
        <f t="shared" si="12"/>
        <v>9064276.0004266668</v>
      </c>
      <c r="G58" s="35">
        <f t="shared" si="12"/>
        <v>8256578.8965706322</v>
      </c>
      <c r="H58" s="35">
        <f t="shared" si="12"/>
        <v>8004588.0678149275</v>
      </c>
      <c r="I58" s="35">
        <f t="shared" si="12"/>
        <v>9089202.5705703199</v>
      </c>
      <c r="J58" s="35">
        <f t="shared" si="12"/>
        <v>9442395.5574111491</v>
      </c>
      <c r="K58" s="35">
        <f t="shared" si="12"/>
        <v>9681411.7798487097</v>
      </c>
      <c r="L58" s="35">
        <f t="shared" si="12"/>
        <v>10011472.750604462</v>
      </c>
      <c r="M58" s="35">
        <f t="shared" si="12"/>
        <v>9988328.2709043585</v>
      </c>
      <c r="N58" s="35">
        <f t="shared" si="12"/>
        <v>10166266.946594264</v>
      </c>
    </row>
    <row r="60" spans="2:14">
      <c r="B60" s="10" t="s">
        <v>585</v>
      </c>
      <c r="D60" s="19">
        <f>SUM(D50,D55)</f>
        <v>10565680.801016469</v>
      </c>
      <c r="E60" s="19">
        <f t="shared" ref="E60:N61" si="13">SUM(E50,E55)</f>
        <v>9955676.3716520034</v>
      </c>
      <c r="F60" s="19">
        <f t="shared" si="13"/>
        <v>8271781.6751574185</v>
      </c>
      <c r="G60" s="19">
        <f t="shared" si="13"/>
        <v>8769168.2601374611</v>
      </c>
      <c r="H60" s="19">
        <f t="shared" si="13"/>
        <v>9128636.6474041454</v>
      </c>
      <c r="I60" s="19">
        <f t="shared" si="13"/>
        <v>10384375.398070928</v>
      </c>
      <c r="J60" s="19">
        <f t="shared" si="13"/>
        <v>10776183.751489397</v>
      </c>
      <c r="K60" s="19">
        <f t="shared" si="13"/>
        <v>10905146.991163827</v>
      </c>
      <c r="L60" s="19">
        <f t="shared" si="13"/>
        <v>11183817.522538198</v>
      </c>
      <c r="M60" s="19">
        <f t="shared" si="13"/>
        <v>11485057.706816345</v>
      </c>
      <c r="N60" s="19">
        <f t="shared" si="13"/>
        <v>11804109.406602293</v>
      </c>
    </row>
    <row r="61" spans="2:14">
      <c r="B61" s="10" t="s">
        <v>536</v>
      </c>
      <c r="D61" s="19">
        <f>SUM(D51,D56)</f>
        <v>8889401.830649741</v>
      </c>
      <c r="E61" s="19">
        <f t="shared" si="13"/>
        <v>8376176.5503085768</v>
      </c>
      <c r="F61" s="19">
        <f t="shared" si="13"/>
        <v>6959437.1201148974</v>
      </c>
      <c r="G61" s="19">
        <f t="shared" si="13"/>
        <v>7377911.7364062462</v>
      </c>
      <c r="H61" s="19">
        <f t="shared" si="13"/>
        <v>7680349.3170988001</v>
      </c>
      <c r="I61" s="19">
        <f t="shared" si="13"/>
        <v>8736861.1083618104</v>
      </c>
      <c r="J61" s="19">
        <f t="shared" si="13"/>
        <v>9140486.1937751509</v>
      </c>
      <c r="K61" s="19">
        <f t="shared" si="13"/>
        <v>9240158.6746210754</v>
      </c>
      <c r="L61" s="19">
        <f t="shared" si="13"/>
        <v>9719473.9374898281</v>
      </c>
      <c r="M61" s="19">
        <f t="shared" si="13"/>
        <v>9477298.6426697467</v>
      </c>
      <c r="N61" s="19">
        <f t="shared" si="13"/>
        <v>9643371.9876877256</v>
      </c>
    </row>
    <row r="63" spans="2:14" ht="13.5" thickBot="1">
      <c r="B63" s="27" t="s">
        <v>539</v>
      </c>
      <c r="C63" s="27"/>
      <c r="D63" s="261">
        <f>SUM(D60:D61)</f>
        <v>19455082.63166621</v>
      </c>
      <c r="E63" s="261">
        <f t="shared" ref="E63:N63" si="14">SUM(E60:E61)</f>
        <v>18331852.921960581</v>
      </c>
      <c r="F63" s="261">
        <f t="shared" si="14"/>
        <v>15231218.795272317</v>
      </c>
      <c r="G63" s="261">
        <f t="shared" si="14"/>
        <v>16147079.996543707</v>
      </c>
      <c r="H63" s="261">
        <f t="shared" si="14"/>
        <v>16808985.964502946</v>
      </c>
      <c r="I63" s="261">
        <f t="shared" si="14"/>
        <v>19121236.506432738</v>
      </c>
      <c r="J63" s="261">
        <f t="shared" si="14"/>
        <v>19916669.945264548</v>
      </c>
      <c r="K63" s="261">
        <f t="shared" si="14"/>
        <v>20145305.665784903</v>
      </c>
      <c r="L63" s="261">
        <f t="shared" si="14"/>
        <v>20903291.460028026</v>
      </c>
      <c r="M63" s="261">
        <f t="shared" si="14"/>
        <v>20962356.34948609</v>
      </c>
      <c r="N63" s="261">
        <f t="shared" si="14"/>
        <v>21447481.394290019</v>
      </c>
    </row>
    <row r="64" spans="2:14">
      <c r="D64" s="267">
        <f>D63/1000000</f>
        <v>19.455082631666208</v>
      </c>
      <c r="E64" s="267">
        <f t="shared" ref="E64:N64" si="15">E63/1000000</f>
        <v>18.331852921960582</v>
      </c>
      <c r="F64" s="267">
        <f t="shared" si="15"/>
        <v>15.231218795272317</v>
      </c>
      <c r="G64" s="267">
        <f t="shared" si="15"/>
        <v>16.147079996543706</v>
      </c>
      <c r="H64" s="267">
        <f t="shared" si="15"/>
        <v>16.808985964502945</v>
      </c>
      <c r="I64" s="267">
        <f t="shared" si="15"/>
        <v>19.121236506432737</v>
      </c>
      <c r="J64" s="267">
        <f t="shared" si="15"/>
        <v>19.916669945264548</v>
      </c>
      <c r="K64" s="267">
        <f t="shared" si="15"/>
        <v>20.145305665784903</v>
      </c>
      <c r="L64" s="267">
        <f t="shared" si="15"/>
        <v>20.903291460028026</v>
      </c>
      <c r="M64" s="267">
        <f t="shared" si="15"/>
        <v>20.96235634948609</v>
      </c>
      <c r="N64" s="267">
        <f t="shared" si="15"/>
        <v>21.447481394290019</v>
      </c>
    </row>
    <row r="87" spans="2:14">
      <c r="B87" s="494" t="s">
        <v>589</v>
      </c>
      <c r="C87" s="494"/>
      <c r="D87" s="494"/>
      <c r="E87" s="494"/>
      <c r="F87" s="494"/>
      <c r="G87" s="494"/>
      <c r="H87" s="494"/>
      <c r="I87" s="494"/>
      <c r="J87" s="494"/>
      <c r="K87" s="494"/>
      <c r="L87" s="494"/>
      <c r="M87" s="494"/>
      <c r="N87" s="494"/>
    </row>
    <row r="88" spans="2:14">
      <c r="B88" s="24"/>
      <c r="C88" s="24"/>
    </row>
    <row r="89" spans="2:14">
      <c r="D89" s="256" t="s">
        <v>7</v>
      </c>
      <c r="E89" s="256" t="s">
        <v>8</v>
      </c>
      <c r="F89" s="256" t="s">
        <v>9</v>
      </c>
      <c r="G89" s="256" t="s">
        <v>10</v>
      </c>
      <c r="H89" s="256" t="s">
        <v>11</v>
      </c>
      <c r="I89" s="257" t="s">
        <v>529</v>
      </c>
      <c r="J89" s="257" t="s">
        <v>42</v>
      </c>
      <c r="K89" s="257" t="s">
        <v>43</v>
      </c>
      <c r="L89" s="257" t="s">
        <v>44</v>
      </c>
      <c r="M89" s="257" t="s">
        <v>45</v>
      </c>
      <c r="N89" s="257" t="s">
        <v>46</v>
      </c>
    </row>
    <row r="91" spans="2:14">
      <c r="B91" s="103" t="s">
        <v>540</v>
      </c>
      <c r="C91" s="103"/>
      <c r="D91" s="258"/>
      <c r="E91" s="258"/>
      <c r="F91" s="258"/>
      <c r="G91" s="258"/>
      <c r="H91" s="258"/>
      <c r="I91" s="258"/>
      <c r="J91" s="258"/>
      <c r="K91" s="258"/>
      <c r="L91" s="258"/>
      <c r="M91" s="258"/>
      <c r="N91" s="258"/>
    </row>
    <row r="93" spans="2:14" ht="13.5" thickBot="1">
      <c r="B93" s="27" t="str">
        <f>B63</f>
        <v>Total Recoverable Opex (Real 2014-15 $)</v>
      </c>
      <c r="C93" s="27"/>
      <c r="D93" s="261">
        <f>D63</f>
        <v>19455082.63166621</v>
      </c>
      <c r="E93" s="261">
        <f t="shared" ref="E93:N93" si="16">E63</f>
        <v>18331852.921960581</v>
      </c>
      <c r="F93" s="261">
        <f t="shared" si="16"/>
        <v>15231218.795272317</v>
      </c>
      <c r="G93" s="261">
        <f t="shared" si="16"/>
        <v>16147079.996543707</v>
      </c>
      <c r="H93" s="261">
        <f t="shared" si="16"/>
        <v>16808985.964502946</v>
      </c>
      <c r="I93" s="261">
        <f t="shared" si="16"/>
        <v>19121236.506432738</v>
      </c>
      <c r="J93" s="261">
        <f t="shared" si="16"/>
        <v>19916669.945264548</v>
      </c>
      <c r="K93" s="261">
        <f t="shared" si="16"/>
        <v>20145305.665784903</v>
      </c>
      <c r="L93" s="261">
        <f t="shared" si="16"/>
        <v>20903291.460028026</v>
      </c>
      <c r="M93" s="261">
        <f t="shared" si="16"/>
        <v>20962356.34948609</v>
      </c>
      <c r="N93" s="261">
        <f t="shared" si="16"/>
        <v>21447481.394290019</v>
      </c>
    </row>
    <row r="95" spans="2:14">
      <c r="B95" s="10" t="s">
        <v>541</v>
      </c>
      <c r="D95" s="20">
        <f>'Service Volumes'!E70</f>
        <v>852447</v>
      </c>
      <c r="E95" s="20">
        <f>'Service Volumes'!F70</f>
        <v>858751</v>
      </c>
      <c r="F95" s="20">
        <f>'Service Volumes'!G70</f>
        <v>867306.5</v>
      </c>
      <c r="G95" s="20">
        <f>'Service Volumes'!H70</f>
        <v>875859.5</v>
      </c>
      <c r="H95" s="20">
        <f>'Service Volumes'!I70</f>
        <v>891081.5</v>
      </c>
      <c r="I95" s="20">
        <f>'Service Volumes'!J70</f>
        <v>910093.5</v>
      </c>
      <c r="J95" s="20">
        <f>'Service Volumes'!K70</f>
        <v>922513.67230975768</v>
      </c>
      <c r="K95" s="20">
        <f>'Service Volumes'!L70</f>
        <v>933784.78425467107</v>
      </c>
      <c r="L95" s="20">
        <f>'Service Volumes'!M70</f>
        <v>945359.43245648441</v>
      </c>
      <c r="M95" s="20">
        <f>'Service Volumes'!N70</f>
        <v>957561.87859127391</v>
      </c>
      <c r="N95" s="20">
        <f>'Service Volumes'!O70</f>
        <v>971461.31626329268</v>
      </c>
    </row>
    <row r="96" spans="2:14">
      <c r="B96" s="10" t="s">
        <v>542</v>
      </c>
      <c r="D96" s="20">
        <f>'Service Volumes'!E207</f>
        <v>1209355.5</v>
      </c>
      <c r="E96" s="20">
        <f>'Service Volumes'!F207</f>
        <v>1218696</v>
      </c>
      <c r="F96" s="20">
        <f>'Service Volumes'!G207</f>
        <v>1244571</v>
      </c>
      <c r="G96" s="20">
        <f>'Service Volumes'!H207</f>
        <v>1276550.5</v>
      </c>
      <c r="H96" s="20">
        <f>'Service Volumes'!I207</f>
        <v>1311237.5</v>
      </c>
      <c r="I96" s="20">
        <f>'Service Volumes'!J207</f>
        <v>1344493.5</v>
      </c>
      <c r="J96" s="20">
        <f>'Service Volumes'!K207</f>
        <v>1355751.5698910393</v>
      </c>
      <c r="K96" s="20">
        <f>'Service Volumes'!L207</f>
        <v>1361163.0366077744</v>
      </c>
      <c r="L96" s="20">
        <f>'Service Volumes'!M207</f>
        <v>1371012.195120919</v>
      </c>
      <c r="M96" s="20">
        <f>'Service Volumes'!N207</f>
        <v>1380983.9205667074</v>
      </c>
      <c r="N96" s="20">
        <f>'Service Volumes'!O207</f>
        <v>1392057.3199882766</v>
      </c>
    </row>
    <row r="98" spans="2:14">
      <c r="B98" s="22" t="s">
        <v>543</v>
      </c>
      <c r="C98" s="22"/>
      <c r="D98" s="127">
        <f t="shared" ref="D98:N98" si="17">D93/D95</f>
        <v>22.822630183068519</v>
      </c>
      <c r="E98" s="127">
        <f t="shared" si="17"/>
        <v>21.347111004191646</v>
      </c>
      <c r="F98" s="268">
        <f t="shared" si="17"/>
        <v>17.561518096857704</v>
      </c>
      <c r="G98" s="268">
        <f t="shared" si="17"/>
        <v>18.43569658894344</v>
      </c>
      <c r="H98" s="268">
        <f t="shared" si="17"/>
        <v>18.863578656388832</v>
      </c>
      <c r="I98" s="127">
        <f t="shared" si="17"/>
        <v>21.010189070060097</v>
      </c>
      <c r="J98" s="127">
        <f t="shared" si="17"/>
        <v>21.589566142036553</v>
      </c>
      <c r="K98" s="127">
        <f t="shared" si="17"/>
        <v>21.573820869082265</v>
      </c>
      <c r="L98" s="127">
        <f t="shared" si="17"/>
        <v>22.111475003440262</v>
      </c>
      <c r="M98" s="127">
        <f t="shared" si="17"/>
        <v>21.891385630686401</v>
      </c>
      <c r="N98" s="127">
        <f t="shared" si="17"/>
        <v>22.077545482497793</v>
      </c>
    </row>
    <row r="99" spans="2:14">
      <c r="B99" s="22" t="s">
        <v>544</v>
      </c>
      <c r="C99" s="22"/>
      <c r="D99" s="127">
        <f t="shared" ref="D99:N99" si="18">D93/D96</f>
        <v>16.087149421047997</v>
      </c>
      <c r="E99" s="127">
        <f t="shared" si="18"/>
        <v>15.042186830809801</v>
      </c>
      <c r="F99" s="268">
        <f t="shared" si="18"/>
        <v>12.238127672324293</v>
      </c>
      <c r="G99" s="268">
        <f t="shared" si="18"/>
        <v>12.648994298732175</v>
      </c>
      <c r="H99" s="268">
        <f t="shared" si="18"/>
        <v>12.819177276811368</v>
      </c>
      <c r="I99" s="127">
        <f t="shared" si="18"/>
        <v>14.221888396212208</v>
      </c>
      <c r="J99" s="127">
        <f t="shared" si="18"/>
        <v>14.690501112136079</v>
      </c>
      <c r="K99" s="127">
        <f t="shared" si="18"/>
        <v>14.800068121148861</v>
      </c>
      <c r="L99" s="127">
        <f t="shared" si="18"/>
        <v>15.246612345548408</v>
      </c>
      <c r="M99" s="127">
        <f t="shared" si="18"/>
        <v>15.179290676233126</v>
      </c>
      <c r="N99" s="127">
        <f t="shared" si="18"/>
        <v>15.407038982037495</v>
      </c>
    </row>
    <row r="100" spans="2:14" ht="13.5" thickBot="1"/>
    <row r="101" spans="2:14">
      <c r="B101" s="269" t="s">
        <v>545</v>
      </c>
      <c r="C101" s="270">
        <f>AVERAGE(D98:I98)</f>
        <v>20.006787266585039</v>
      </c>
      <c r="D101" s="271"/>
      <c r="E101" s="272"/>
    </row>
    <row r="102" spans="2:14">
      <c r="B102" s="273" t="s">
        <v>546</v>
      </c>
      <c r="C102" s="274">
        <f>AVERAGE(J98:N98)</f>
        <v>21.848758625548655</v>
      </c>
      <c r="D102" s="275">
        <f>(C102-C101)/C101</f>
        <v>9.2067323674703203E-2</v>
      </c>
      <c r="E102" s="276" t="s">
        <v>547</v>
      </c>
    </row>
    <row r="103" spans="2:14">
      <c r="B103" s="273"/>
      <c r="C103" s="277"/>
      <c r="D103" s="278"/>
      <c r="E103" s="276"/>
    </row>
    <row r="104" spans="2:14">
      <c r="B104" s="273" t="s">
        <v>548</v>
      </c>
      <c r="C104" s="274">
        <f>AVERAGE(D99:I99)</f>
        <v>13.842920649322975</v>
      </c>
      <c r="D104" s="278"/>
      <c r="E104" s="276"/>
    </row>
    <row r="105" spans="2:14" ht="13.5" thickBot="1">
      <c r="B105" s="279" t="s">
        <v>549</v>
      </c>
      <c r="C105" s="280">
        <f>AVERAGE(J99:N99)</f>
        <v>15.064702247420794</v>
      </c>
      <c r="D105" s="281">
        <f>(C105-C104)/C104</f>
        <v>8.8260391650628503E-2</v>
      </c>
      <c r="E105" s="282" t="s">
        <v>547</v>
      </c>
      <c r="J105" s="19"/>
      <c r="K105" s="19"/>
      <c r="L105" s="19"/>
      <c r="M105" s="19"/>
      <c r="N105" s="19"/>
    </row>
    <row r="106" spans="2:14">
      <c r="J106" s="19"/>
      <c r="K106" s="19"/>
      <c r="L106" s="19"/>
      <c r="M106" s="19"/>
      <c r="N106" s="19"/>
    </row>
    <row r="107" spans="2:14">
      <c r="B107" s="10" t="s">
        <v>550</v>
      </c>
      <c r="J107" s="19">
        <f>J93</f>
        <v>19916669.945264548</v>
      </c>
      <c r="K107" s="19">
        <f>K93</f>
        <v>20145305.665784903</v>
      </c>
      <c r="L107" s="19">
        <f>L93</f>
        <v>20903291.460028026</v>
      </c>
      <c r="M107" s="19">
        <f>M93</f>
        <v>20962356.34948609</v>
      </c>
      <c r="N107" s="19">
        <f>N93</f>
        <v>21447481.394290019</v>
      </c>
    </row>
    <row r="108" spans="2:14">
      <c r="B108" s="160" t="s">
        <v>551</v>
      </c>
      <c r="J108" s="20">
        <f>J95*14.35</f>
        <v>13238071.197645022</v>
      </c>
      <c r="K108" s="20">
        <f>K95*14.35</f>
        <v>13399811.65405453</v>
      </c>
      <c r="L108" s="20">
        <f>L95*14.35</f>
        <v>13565907.855750551</v>
      </c>
      <c r="M108" s="20">
        <f>M95*14.35</f>
        <v>13741012.957784779</v>
      </c>
      <c r="N108" s="20">
        <f>N95*14.35</f>
        <v>13940469.888378249</v>
      </c>
    </row>
    <row r="109" spans="2:14">
      <c r="J109" s="20"/>
      <c r="K109" s="20"/>
      <c r="L109" s="20"/>
      <c r="M109" s="20"/>
      <c r="N109" s="20"/>
    </row>
    <row r="110" spans="2:14">
      <c r="B110" s="158" t="s">
        <v>552</v>
      </c>
      <c r="C110" s="158"/>
      <c r="D110" s="158"/>
      <c r="E110" s="158"/>
      <c r="F110" s="158"/>
      <c r="G110" s="158"/>
      <c r="H110" s="158"/>
      <c r="I110" s="158"/>
      <c r="J110" s="283">
        <f>J108-J107</f>
        <v>-6678598.7476195265</v>
      </c>
      <c r="K110" s="283">
        <f t="shared" ref="K110:N110" si="19">K108-K107</f>
        <v>-6745494.0117303729</v>
      </c>
      <c r="L110" s="283">
        <f t="shared" si="19"/>
        <v>-7337383.6042774748</v>
      </c>
      <c r="M110" s="283">
        <f t="shared" si="19"/>
        <v>-7221343.3917013109</v>
      </c>
      <c r="N110" s="283">
        <f t="shared" si="19"/>
        <v>-7507011.5059117693</v>
      </c>
    </row>
    <row r="111" spans="2:14">
      <c r="B111" s="284" t="s">
        <v>553</v>
      </c>
      <c r="C111" s="284"/>
      <c r="D111" s="284"/>
      <c r="E111" s="284"/>
      <c r="F111" s="284"/>
      <c r="G111" s="284"/>
      <c r="H111" s="284"/>
      <c r="I111" s="284"/>
      <c r="J111" s="285">
        <f>J110/J107</f>
        <v>-0.33532707857155869</v>
      </c>
      <c r="K111" s="285">
        <f t="shared" ref="K111:N111" si="20">K110/K107</f>
        <v>-0.33484197875374133</v>
      </c>
      <c r="L111" s="285">
        <f t="shared" si="20"/>
        <v>-0.3510157057470239</v>
      </c>
      <c r="M111" s="285">
        <f t="shared" si="20"/>
        <v>-0.3444910138586757</v>
      </c>
      <c r="N111" s="285">
        <f t="shared" si="20"/>
        <v>-0.3500183246649356</v>
      </c>
    </row>
    <row r="113" spans="2:14">
      <c r="B113" s="286" t="s">
        <v>582</v>
      </c>
    </row>
    <row r="115" spans="2:14">
      <c r="B115" s="494" t="s">
        <v>591</v>
      </c>
      <c r="C115" s="494"/>
      <c r="D115" s="494"/>
      <c r="E115" s="494"/>
      <c r="F115" s="494"/>
      <c r="G115" s="494"/>
      <c r="H115" s="494"/>
      <c r="I115" s="494"/>
      <c r="J115" s="494"/>
      <c r="K115" s="494"/>
      <c r="L115" s="494"/>
      <c r="M115" s="494"/>
      <c r="N115" s="494"/>
    </row>
    <row r="116" spans="2:14">
      <c r="B116" s="24"/>
      <c r="C116" s="24"/>
    </row>
    <row r="117" spans="2:14">
      <c r="D117" s="256" t="s">
        <v>7</v>
      </c>
      <c r="E117" s="256" t="s">
        <v>8</v>
      </c>
      <c r="F117" s="256" t="s">
        <v>9</v>
      </c>
      <c r="G117" s="256" t="s">
        <v>10</v>
      </c>
      <c r="H117" s="256" t="s">
        <v>11</v>
      </c>
      <c r="I117" s="257" t="s">
        <v>529</v>
      </c>
      <c r="J117" s="257" t="s">
        <v>42</v>
      </c>
      <c r="K117" s="257" t="s">
        <v>43</v>
      </c>
      <c r="L117" s="257" t="s">
        <v>44</v>
      </c>
      <c r="M117" s="257" t="s">
        <v>45</v>
      </c>
      <c r="N117" s="257" t="s">
        <v>46</v>
      </c>
    </row>
    <row r="119" spans="2:14">
      <c r="B119" s="287" t="s">
        <v>554</v>
      </c>
      <c r="C119" s="287"/>
      <c r="D119" s="258"/>
      <c r="E119" s="258"/>
      <c r="F119" s="258"/>
      <c r="G119" s="258"/>
      <c r="H119" s="258"/>
      <c r="I119" s="258"/>
      <c r="J119" s="258"/>
      <c r="K119" s="258"/>
      <c r="L119" s="258"/>
      <c r="M119" s="258"/>
      <c r="N119" s="258"/>
    </row>
    <row r="121" spans="2:14" ht="27.75" customHeight="1">
      <c r="B121" s="492" t="s">
        <v>555</v>
      </c>
      <c r="C121" s="492"/>
      <c r="D121" s="492"/>
      <c r="E121" s="492"/>
      <c r="F121" s="492"/>
      <c r="G121" s="492"/>
      <c r="H121" s="492"/>
      <c r="I121" s="492"/>
      <c r="J121" s="492"/>
      <c r="K121" s="492"/>
      <c r="L121" s="492"/>
      <c r="M121" s="492"/>
      <c r="N121" s="492"/>
    </row>
    <row r="122" spans="2:14" ht="40.5" customHeight="1">
      <c r="B122" s="493" t="s">
        <v>556</v>
      </c>
      <c r="C122" s="492"/>
      <c r="D122" s="492"/>
      <c r="E122" s="492"/>
      <c r="F122" s="492"/>
      <c r="G122" s="492"/>
      <c r="H122" s="492"/>
      <c r="I122" s="492"/>
      <c r="J122" s="492"/>
      <c r="K122" s="492"/>
      <c r="L122" s="492"/>
      <c r="M122" s="492"/>
      <c r="N122" s="492"/>
    </row>
    <row r="123" spans="2:14">
      <c r="B123" s="493" t="s">
        <v>557</v>
      </c>
      <c r="C123" s="492"/>
      <c r="D123" s="492"/>
      <c r="E123" s="492"/>
      <c r="F123" s="492"/>
      <c r="G123" s="492"/>
      <c r="H123" s="492"/>
      <c r="I123" s="492"/>
      <c r="J123" s="492"/>
      <c r="K123" s="492"/>
      <c r="L123" s="492"/>
      <c r="M123" s="492"/>
      <c r="N123" s="492"/>
    </row>
    <row r="124" spans="2:14" ht="41.25" customHeight="1">
      <c r="B124" s="493" t="s">
        <v>558</v>
      </c>
      <c r="C124" s="492"/>
      <c r="D124" s="492"/>
      <c r="E124" s="492"/>
      <c r="F124" s="492"/>
      <c r="G124" s="492"/>
      <c r="H124" s="492"/>
      <c r="I124" s="492"/>
      <c r="J124" s="492"/>
      <c r="K124" s="492"/>
      <c r="L124" s="492"/>
      <c r="M124" s="492"/>
      <c r="N124" s="492"/>
    </row>
    <row r="126" spans="2:14">
      <c r="B126" s="164" t="s">
        <v>559</v>
      </c>
      <c r="C126" s="164"/>
      <c r="D126" s="28">
        <f t="shared" ref="D126:I126" si="21">D60</f>
        <v>10565680.801016469</v>
      </c>
      <c r="E126" s="28">
        <f t="shared" si="21"/>
        <v>9955676.3716520034</v>
      </c>
      <c r="F126" s="28">
        <f t="shared" si="21"/>
        <v>8271781.6751574185</v>
      </c>
      <c r="G126" s="28">
        <f t="shared" si="21"/>
        <v>8769168.2601374611</v>
      </c>
      <c r="H126" s="28">
        <f t="shared" si="21"/>
        <v>9128636.6474041454</v>
      </c>
      <c r="I126" s="28">
        <f t="shared" si="21"/>
        <v>10384375.398070928</v>
      </c>
    </row>
    <row r="127" spans="2:14">
      <c r="B127" s="288" t="s">
        <v>586</v>
      </c>
      <c r="C127" s="164"/>
      <c r="D127" s="289">
        <v>-1344096.2342860701</v>
      </c>
      <c r="E127" s="289">
        <v>-1092798.79739999</v>
      </c>
      <c r="F127" s="289">
        <v>-972975.52915253001</v>
      </c>
      <c r="G127" s="289">
        <v>-948889.05545811902</v>
      </c>
      <c r="H127" s="289">
        <v>-560925.41090077895</v>
      </c>
      <c r="I127" s="289">
        <v>-672430.10383590299</v>
      </c>
    </row>
    <row r="128" spans="2:14">
      <c r="B128" s="288" t="s">
        <v>560</v>
      </c>
      <c r="C128" s="290"/>
      <c r="D128" s="289">
        <f t="shared" ref="D128:H128" si="22">-D168</f>
        <v>0</v>
      </c>
      <c r="E128" s="289">
        <f t="shared" si="22"/>
        <v>0</v>
      </c>
      <c r="F128" s="289">
        <f t="shared" si="22"/>
        <v>0</v>
      </c>
      <c r="G128" s="289">
        <f t="shared" si="22"/>
        <v>0</v>
      </c>
      <c r="H128" s="289">
        <f t="shared" si="22"/>
        <v>0</v>
      </c>
      <c r="I128" s="289">
        <f>-I168</f>
        <v>-571099.53700000001</v>
      </c>
    </row>
    <row r="129" spans="2:14">
      <c r="B129" s="288" t="s">
        <v>561</v>
      </c>
      <c r="C129" s="290"/>
      <c r="D129" s="289">
        <f t="shared" ref="D129:G129" si="23">-D178</f>
        <v>0</v>
      </c>
      <c r="E129" s="289">
        <f t="shared" si="23"/>
        <v>0</v>
      </c>
      <c r="F129" s="289">
        <f t="shared" si="23"/>
        <v>0</v>
      </c>
      <c r="G129" s="289">
        <f t="shared" si="23"/>
        <v>0</v>
      </c>
      <c r="H129" s="289">
        <f>-H178</f>
        <v>-189997.2771792</v>
      </c>
      <c r="I129" s="289">
        <f>-I178</f>
        <v>-224067.05</v>
      </c>
    </row>
    <row r="130" spans="2:14">
      <c r="B130" s="288" t="s">
        <v>794</v>
      </c>
      <c r="C130" s="290"/>
      <c r="D130" s="354">
        <f>-D198</f>
        <v>-69472.930698125885</v>
      </c>
      <c r="E130" s="354">
        <f t="shared" ref="E130:I130" si="24">-E198</f>
        <v>-13614.174335160875</v>
      </c>
      <c r="F130" s="354">
        <f t="shared" si="24"/>
        <v>-15393.485401074729</v>
      </c>
      <c r="G130" s="354">
        <f t="shared" si="24"/>
        <v>-2364.7350179779201</v>
      </c>
      <c r="H130" s="354">
        <f t="shared" si="24"/>
        <v>0</v>
      </c>
      <c r="I130" s="354">
        <f t="shared" si="24"/>
        <v>0</v>
      </c>
    </row>
    <row r="131" spans="2:14">
      <c r="B131" s="288" t="s">
        <v>795</v>
      </c>
      <c r="C131" s="290"/>
      <c r="D131" s="354">
        <f>-D217</f>
        <v>-90317.596930136715</v>
      </c>
      <c r="E131" s="354">
        <f t="shared" ref="E131:I131" si="25">-E217</f>
        <v>-119013.54409056388</v>
      </c>
      <c r="F131" s="354">
        <f t="shared" si="25"/>
        <v>-114478.59686075764</v>
      </c>
      <c r="G131" s="354">
        <f t="shared" si="25"/>
        <v>-92572.97781223632</v>
      </c>
      <c r="H131" s="354">
        <f t="shared" si="25"/>
        <v>-132595.38566880001</v>
      </c>
      <c r="I131" s="354">
        <f t="shared" si="25"/>
        <v>-123005.18649999998</v>
      </c>
    </row>
    <row r="132" spans="2:14">
      <c r="B132" s="22" t="s">
        <v>562</v>
      </c>
      <c r="C132" s="22"/>
      <c r="D132" s="23">
        <f>SUM(D126:D131)</f>
        <v>9061794.0391021352</v>
      </c>
      <c r="E132" s="23">
        <f t="shared" ref="E132:I132" si="26">SUM(E126:E131)</f>
        <v>8730249.8558262885</v>
      </c>
      <c r="F132" s="23">
        <f t="shared" si="26"/>
        <v>7168934.0637430558</v>
      </c>
      <c r="G132" s="23">
        <f t="shared" si="26"/>
        <v>7725341.4918491282</v>
      </c>
      <c r="H132" s="23">
        <f t="shared" si="26"/>
        <v>8245118.573655366</v>
      </c>
      <c r="I132" s="23">
        <f t="shared" si="26"/>
        <v>8793773.5207350235</v>
      </c>
    </row>
    <row r="134" spans="2:14">
      <c r="B134" s="10" t="s">
        <v>563</v>
      </c>
      <c r="D134" s="97">
        <f t="shared" ref="D134:I134" si="27">D132/D96</f>
        <v>7.4930771300102705</v>
      </c>
      <c r="E134" s="97">
        <f t="shared" si="27"/>
        <v>7.1635993355408472</v>
      </c>
      <c r="F134" s="97">
        <f t="shared" si="27"/>
        <v>5.7601647987483684</v>
      </c>
      <c r="G134" s="97">
        <f t="shared" si="27"/>
        <v>6.051731985416267</v>
      </c>
      <c r="H134" s="97">
        <f t="shared" si="27"/>
        <v>6.2880436028220412</v>
      </c>
      <c r="I134" s="97">
        <f t="shared" si="27"/>
        <v>6.5405846296282011</v>
      </c>
    </row>
    <row r="135" spans="2:14">
      <c r="B135" s="24" t="s">
        <v>564</v>
      </c>
      <c r="C135" s="291">
        <f>AVERAGE(D134:I134)</f>
        <v>6.5495335803609995</v>
      </c>
    </row>
    <row r="137" spans="2:14">
      <c r="B137" s="160" t="s">
        <v>564</v>
      </c>
      <c r="C137" s="225"/>
      <c r="J137" s="98">
        <f>$C$135</f>
        <v>6.5495335803609995</v>
      </c>
      <c r="K137" s="98">
        <f t="shared" ref="K137:N137" si="28">$C$135</f>
        <v>6.5495335803609995</v>
      </c>
      <c r="L137" s="98">
        <f t="shared" si="28"/>
        <v>6.5495335803609995</v>
      </c>
      <c r="M137" s="98">
        <f t="shared" si="28"/>
        <v>6.5495335803609995</v>
      </c>
      <c r="N137" s="98">
        <f t="shared" si="28"/>
        <v>6.5495335803609995</v>
      </c>
    </row>
    <row r="138" spans="2:14">
      <c r="B138" s="225" t="s">
        <v>565</v>
      </c>
      <c r="C138" s="225"/>
      <c r="J138" s="19">
        <f>J96</f>
        <v>1355751.5698910393</v>
      </c>
      <c r="K138" s="19">
        <f>K96</f>
        <v>1361163.0366077744</v>
      </c>
      <c r="L138" s="19">
        <f>L96</f>
        <v>1371012.195120919</v>
      </c>
      <c r="M138" s="19">
        <f>M96</f>
        <v>1380983.9205667074</v>
      </c>
      <c r="N138" s="19">
        <f>N96</f>
        <v>1392057.3199882766</v>
      </c>
    </row>
    <row r="139" spans="2:14">
      <c r="B139" s="159" t="s">
        <v>566</v>
      </c>
      <c r="C139" s="22"/>
      <c r="D139" s="125"/>
      <c r="E139" s="125"/>
      <c r="F139" s="125"/>
      <c r="G139" s="125"/>
      <c r="H139" s="125"/>
      <c r="I139" s="125"/>
      <c r="J139" s="35">
        <f>J137*J138</f>
        <v>8879540.4336285051</v>
      </c>
      <c r="K139" s="35">
        <f t="shared" ref="K139:N139" si="29">K137*K138</f>
        <v>8914983.0166087672</v>
      </c>
      <c r="L139" s="35">
        <f t="shared" si="29"/>
        <v>8979490.4110289067</v>
      </c>
      <c r="M139" s="35">
        <f t="shared" si="29"/>
        <v>9044800.5616902374</v>
      </c>
      <c r="N139" s="35">
        <f t="shared" si="29"/>
        <v>9117326.1630505547</v>
      </c>
    </row>
    <row r="141" spans="2:14">
      <c r="B141" s="10" t="s">
        <v>567</v>
      </c>
      <c r="C141" s="97"/>
      <c r="J141" s="97">
        <f>-$I$128/$I$96</f>
        <v>0.42476928077376352</v>
      </c>
      <c r="K141" s="97">
        <f>-$I$128/$I$96</f>
        <v>0.42476928077376352</v>
      </c>
      <c r="L141" s="97">
        <f>-$I$128/$I$96</f>
        <v>0.42476928077376352</v>
      </c>
      <c r="M141" s="97">
        <f>-$I$128/$I$96</f>
        <v>0.42476928077376352</v>
      </c>
      <c r="N141" s="97">
        <f>-$I$128/$I$96</f>
        <v>0.42476928077376352</v>
      </c>
    </row>
    <row r="142" spans="2:14">
      <c r="B142" s="225" t="s">
        <v>565</v>
      </c>
      <c r="J142" s="19">
        <f>J96</f>
        <v>1355751.5698910393</v>
      </c>
      <c r="K142" s="19">
        <f>K96</f>
        <v>1361163.0366077744</v>
      </c>
      <c r="L142" s="19">
        <f>L96</f>
        <v>1371012.195120919</v>
      </c>
      <c r="M142" s="19">
        <f>M96</f>
        <v>1380983.9205667074</v>
      </c>
      <c r="N142" s="19">
        <f>N96</f>
        <v>1392057.3199882766</v>
      </c>
    </row>
    <row r="143" spans="2:14">
      <c r="B143" s="22" t="s">
        <v>568</v>
      </c>
      <c r="C143" s="22"/>
      <c r="D143" s="125"/>
      <c r="E143" s="125"/>
      <c r="F143" s="125"/>
      <c r="G143" s="125"/>
      <c r="H143" s="125"/>
      <c r="I143" s="125"/>
      <c r="J143" s="35">
        <f>J141*J142</f>
        <v>575881.61925051757</v>
      </c>
      <c r="K143" s="35">
        <f>K141*K142</f>
        <v>578180.24407571636</v>
      </c>
      <c r="L143" s="35">
        <f>L141*L142</f>
        <v>582363.86405357148</v>
      </c>
      <c r="M143" s="35">
        <f>M141*M142</f>
        <v>586599.54669925245</v>
      </c>
      <c r="N143" s="35">
        <f>N141*N142</f>
        <v>591303.18660727306</v>
      </c>
    </row>
    <row r="145" spans="2:14">
      <c r="B145" s="10" t="s">
        <v>569</v>
      </c>
      <c r="C145" s="97"/>
      <c r="J145" s="97">
        <f>-AVERAGE($H$129:$I$129)/AVERAGE($H$96:$I$96)</f>
        <v>0.15591350448490454</v>
      </c>
      <c r="K145" s="97">
        <f>-AVERAGE($H$129:$I$129)/AVERAGE($H$96:$I$96)</f>
        <v>0.15591350448490454</v>
      </c>
      <c r="L145" s="97">
        <f>-AVERAGE($H$129:$I$129)/AVERAGE($H$96:$I$96)</f>
        <v>0.15591350448490454</v>
      </c>
      <c r="M145" s="97">
        <f>-AVERAGE($H$129:$I$129)/AVERAGE($H$96:$I$96)</f>
        <v>0.15591350448490454</v>
      </c>
      <c r="N145" s="97">
        <f>-AVERAGE($H$129:$I$129)/AVERAGE($H$96:$I$96)</f>
        <v>0.15591350448490454</v>
      </c>
    </row>
    <row r="146" spans="2:14">
      <c r="B146" s="225" t="s">
        <v>565</v>
      </c>
      <c r="J146" s="19">
        <f>J96</f>
        <v>1355751.5698910393</v>
      </c>
      <c r="K146" s="19">
        <f>K96</f>
        <v>1361163.0366077744</v>
      </c>
      <c r="L146" s="19">
        <f>L96</f>
        <v>1371012.195120919</v>
      </c>
      <c r="M146" s="19">
        <f>M96</f>
        <v>1380983.9205667074</v>
      </c>
      <c r="N146" s="19">
        <f>N96</f>
        <v>1392057.3199882766</v>
      </c>
    </row>
    <row r="147" spans="2:14">
      <c r="B147" s="22" t="s">
        <v>568</v>
      </c>
      <c r="C147" s="22"/>
      <c r="D147" s="125"/>
      <c r="E147" s="125"/>
      <c r="F147" s="125"/>
      <c r="G147" s="125"/>
      <c r="H147" s="125"/>
      <c r="I147" s="125"/>
      <c r="J147" s="35">
        <f>J145*J146</f>
        <v>211379.97847262293</v>
      </c>
      <c r="K147" s="35">
        <f>K145*K146</f>
        <v>212223.69921283252</v>
      </c>
      <c r="L147" s="35">
        <f>L145*L146</f>
        <v>213759.31603284422</v>
      </c>
      <c r="M147" s="35">
        <f>M145*M146</f>
        <v>215314.04269285838</v>
      </c>
      <c r="N147" s="35">
        <f>N145*N146</f>
        <v>217040.53520323636</v>
      </c>
    </row>
    <row r="149" spans="2:14" ht="13.5" thickBot="1">
      <c r="B149" s="292" t="s">
        <v>570</v>
      </c>
      <c r="C149" s="27"/>
      <c r="D149" s="27"/>
      <c r="E149" s="27"/>
      <c r="F149" s="27"/>
      <c r="G149" s="27"/>
      <c r="H149" s="27"/>
      <c r="I149" s="27"/>
      <c r="J149" s="261">
        <f>J139+J143+J147</f>
        <v>9666802.0313516445</v>
      </c>
      <c r="K149" s="261">
        <f t="shared" ref="K149:N149" si="30">K139+K143+K147</f>
        <v>9705386.9598973151</v>
      </c>
      <c r="L149" s="261">
        <f t="shared" si="30"/>
        <v>9775613.591115322</v>
      </c>
      <c r="M149" s="261">
        <f t="shared" si="30"/>
        <v>9846714.1510823481</v>
      </c>
      <c r="N149" s="261">
        <f t="shared" si="30"/>
        <v>9925669.8848610651</v>
      </c>
    </row>
    <row r="151" spans="2:14" ht="13.5" thickBot="1">
      <c r="B151" s="27" t="s">
        <v>571</v>
      </c>
      <c r="C151" s="27"/>
      <c r="D151" s="293"/>
      <c r="E151" s="293"/>
      <c r="F151" s="293"/>
      <c r="G151" s="293"/>
      <c r="H151" s="293"/>
      <c r="I151" s="293"/>
      <c r="J151" s="294">
        <f>J149*J48</f>
        <v>9666802.0313516445</v>
      </c>
      <c r="K151" s="294">
        <f>K149*K48</f>
        <v>9948021.6338947471</v>
      </c>
      <c r="L151" s="294">
        <f>L149*L48</f>
        <v>10270504.029165534</v>
      </c>
      <c r="M151" s="294">
        <f>M149*M48</f>
        <v>10603834.156355413</v>
      </c>
      <c r="N151" s="294">
        <f>N149*N48</f>
        <v>10956082.366998</v>
      </c>
    </row>
    <row r="153" spans="2:14" ht="28.5" customHeight="1">
      <c r="B153" s="495" t="s">
        <v>816</v>
      </c>
      <c r="C153" s="495"/>
      <c r="D153" s="495"/>
      <c r="E153" s="495"/>
      <c r="F153" s="495"/>
      <c r="G153" s="495"/>
      <c r="H153" s="495"/>
      <c r="I153" s="495"/>
      <c r="J153" s="495"/>
      <c r="K153" s="495"/>
      <c r="L153" s="495"/>
      <c r="M153" s="495"/>
      <c r="N153" s="495"/>
    </row>
    <row r="154" spans="2:14">
      <c r="B154" s="286" t="s">
        <v>796</v>
      </c>
    </row>
    <row r="156" spans="2:14">
      <c r="B156" s="103" t="s">
        <v>572</v>
      </c>
      <c r="C156" s="258"/>
      <c r="D156" s="258"/>
      <c r="E156" s="258"/>
      <c r="F156" s="258"/>
      <c r="G156" s="258"/>
      <c r="H156" s="258"/>
      <c r="I156" s="258"/>
      <c r="J156" s="258"/>
      <c r="K156" s="258"/>
      <c r="L156" s="258"/>
      <c r="M156" s="258"/>
      <c r="N156" s="258"/>
    </row>
    <row r="158" spans="2:14">
      <c r="D158" s="257" t="s">
        <v>7</v>
      </c>
      <c r="E158" s="257" t="s">
        <v>8</v>
      </c>
      <c r="F158" s="257" t="s">
        <v>9</v>
      </c>
      <c r="G158" s="257" t="s">
        <v>10</v>
      </c>
      <c r="H158" s="257" t="s">
        <v>11</v>
      </c>
      <c r="I158" s="257" t="s">
        <v>529</v>
      </c>
    </row>
    <row r="159" spans="2:14">
      <c r="B159" s="160" t="s">
        <v>573</v>
      </c>
    </row>
    <row r="161" spans="2:14">
      <c r="B161" s="295" t="s">
        <v>574</v>
      </c>
      <c r="C161" s="290"/>
      <c r="D161" s="297">
        <v>0</v>
      </c>
      <c r="E161" s="297">
        <v>0</v>
      </c>
      <c r="F161" s="297">
        <v>0</v>
      </c>
      <c r="G161" s="297">
        <v>0</v>
      </c>
      <c r="H161" s="297">
        <v>0</v>
      </c>
      <c r="I161" s="298">
        <v>344171.13999999996</v>
      </c>
    </row>
    <row r="162" spans="2:14">
      <c r="B162" s="295" t="s">
        <v>575</v>
      </c>
      <c r="C162" s="290"/>
      <c r="D162" s="297">
        <v>0</v>
      </c>
      <c r="E162" s="297">
        <v>0</v>
      </c>
      <c r="F162" s="297">
        <v>0</v>
      </c>
      <c r="G162" s="297">
        <v>0</v>
      </c>
      <c r="H162" s="297">
        <v>0</v>
      </c>
      <c r="I162" s="298">
        <v>1900</v>
      </c>
    </row>
    <row r="163" spans="2:14">
      <c r="B163" s="295" t="s">
        <v>576</v>
      </c>
      <c r="C163" s="290"/>
      <c r="D163" s="297">
        <v>0</v>
      </c>
      <c r="E163" s="297">
        <v>0</v>
      </c>
      <c r="F163" s="297">
        <v>0</v>
      </c>
      <c r="G163" s="297">
        <v>0</v>
      </c>
      <c r="H163" s="297">
        <v>0</v>
      </c>
      <c r="I163" s="298">
        <v>133248.75</v>
      </c>
    </row>
    <row r="164" spans="2:14">
      <c r="B164" s="295" t="s">
        <v>577</v>
      </c>
      <c r="C164" s="290"/>
      <c r="D164" s="297">
        <v>0</v>
      </c>
      <c r="E164" s="297">
        <v>0</v>
      </c>
      <c r="F164" s="297">
        <v>0</v>
      </c>
      <c r="G164" s="297">
        <v>0</v>
      </c>
      <c r="H164" s="297">
        <v>0</v>
      </c>
      <c r="I164" s="298">
        <v>77774.490000000005</v>
      </c>
    </row>
    <row r="165" spans="2:14">
      <c r="B165" s="13" t="s">
        <v>578</v>
      </c>
      <c r="C165" s="11"/>
      <c r="D165" s="297">
        <v>0</v>
      </c>
      <c r="E165" s="297">
        <v>0</v>
      </c>
      <c r="F165" s="297">
        <v>0</v>
      </c>
      <c r="G165" s="297">
        <v>0</v>
      </c>
      <c r="H165" s="297">
        <v>0</v>
      </c>
      <c r="I165" s="299">
        <v>75.900000000000006</v>
      </c>
    </row>
    <row r="166" spans="2:14">
      <c r="B166" s="13"/>
      <c r="C166" s="11"/>
      <c r="D166" s="297"/>
      <c r="E166" s="297"/>
      <c r="F166" s="297"/>
      <c r="G166" s="297"/>
      <c r="H166" s="297"/>
      <c r="I166" s="299"/>
    </row>
    <row r="167" spans="2:14">
      <c r="B167" s="22" t="s">
        <v>812</v>
      </c>
      <c r="C167" s="22"/>
      <c r="D167" s="35">
        <f t="shared" ref="D167:H167" si="31">SUM(D161:D165)</f>
        <v>0</v>
      </c>
      <c r="E167" s="35">
        <f t="shared" si="31"/>
        <v>0</v>
      </c>
      <c r="F167" s="35">
        <f t="shared" si="31"/>
        <v>0</v>
      </c>
      <c r="G167" s="35">
        <f t="shared" si="31"/>
        <v>0</v>
      </c>
      <c r="H167" s="35">
        <f t="shared" si="31"/>
        <v>0</v>
      </c>
      <c r="I167" s="35">
        <f>SUM(I161:I165)</f>
        <v>557170.28</v>
      </c>
    </row>
    <row r="168" spans="2:14">
      <c r="B168" s="22" t="s">
        <v>813</v>
      </c>
      <c r="C168" s="22"/>
      <c r="D168" s="35">
        <f t="shared" ref="D168:H168" si="32">D167/D48</f>
        <v>0</v>
      </c>
      <c r="E168" s="35">
        <f t="shared" si="32"/>
        <v>0</v>
      </c>
      <c r="F168" s="35">
        <f t="shared" si="32"/>
        <v>0</v>
      </c>
      <c r="G168" s="35">
        <f t="shared" si="32"/>
        <v>0</v>
      </c>
      <c r="H168" s="35">
        <f t="shared" si="32"/>
        <v>0</v>
      </c>
      <c r="I168" s="35">
        <f>I167/I48</f>
        <v>571099.53700000001</v>
      </c>
    </row>
    <row r="170" spans="2:14">
      <c r="B170" s="103" t="s">
        <v>579</v>
      </c>
      <c r="C170" s="258"/>
      <c r="D170" s="258"/>
      <c r="E170" s="258"/>
      <c r="F170" s="258"/>
      <c r="G170" s="258"/>
      <c r="H170" s="258"/>
      <c r="I170" s="258"/>
      <c r="J170" s="258"/>
      <c r="K170" s="258"/>
      <c r="L170" s="258"/>
      <c r="M170" s="258"/>
      <c r="N170" s="258"/>
    </row>
    <row r="172" spans="2:14">
      <c r="D172" s="257" t="s">
        <v>7</v>
      </c>
      <c r="E172" s="257" t="s">
        <v>8</v>
      </c>
      <c r="F172" s="257" t="s">
        <v>9</v>
      </c>
      <c r="G172" s="257" t="s">
        <v>10</v>
      </c>
      <c r="H172" s="257" t="s">
        <v>11</v>
      </c>
      <c r="I172" s="257" t="s">
        <v>529</v>
      </c>
    </row>
    <row r="173" spans="2:14">
      <c r="B173" s="160" t="s">
        <v>580</v>
      </c>
    </row>
    <row r="175" spans="2:14">
      <c r="B175" s="295" t="s">
        <v>581</v>
      </c>
      <c r="C175" s="290"/>
      <c r="D175" s="296">
        <v>0</v>
      </c>
      <c r="E175" s="296">
        <v>0</v>
      </c>
      <c r="F175" s="296">
        <v>0</v>
      </c>
      <c r="G175" s="296">
        <v>0</v>
      </c>
      <c r="H175" s="297">
        <v>182157.23</v>
      </c>
      <c r="I175" s="298">
        <v>218602</v>
      </c>
    </row>
    <row r="176" spans="2:14">
      <c r="B176" s="13"/>
      <c r="C176" s="11"/>
      <c r="D176" s="297"/>
      <c r="E176" s="297"/>
      <c r="F176" s="297"/>
      <c r="G176" s="297"/>
      <c r="H176" s="297"/>
      <c r="I176" s="299"/>
    </row>
    <row r="177" spans="2:14">
      <c r="B177" s="22" t="s">
        <v>814</v>
      </c>
      <c r="C177" s="22"/>
      <c r="D177" s="35">
        <f t="shared" ref="D177:G177" si="33">D175</f>
        <v>0</v>
      </c>
      <c r="E177" s="35">
        <f t="shared" si="33"/>
        <v>0</v>
      </c>
      <c r="F177" s="35">
        <f t="shared" si="33"/>
        <v>0</v>
      </c>
      <c r="G177" s="35">
        <f t="shared" si="33"/>
        <v>0</v>
      </c>
      <c r="H177" s="35">
        <f>H175</f>
        <v>182157.23</v>
      </c>
      <c r="I177" s="35">
        <f>I175</f>
        <v>218602</v>
      </c>
    </row>
    <row r="178" spans="2:14">
      <c r="B178" s="22" t="s">
        <v>815</v>
      </c>
      <c r="C178" s="22"/>
      <c r="D178" s="35">
        <f t="shared" ref="D178:G178" si="34">D177/D48</f>
        <v>0</v>
      </c>
      <c r="E178" s="35">
        <f t="shared" si="34"/>
        <v>0</v>
      </c>
      <c r="F178" s="35">
        <f t="shared" si="34"/>
        <v>0</v>
      </c>
      <c r="G178" s="35">
        <f t="shared" si="34"/>
        <v>0</v>
      </c>
      <c r="H178" s="35">
        <f>H177/H48</f>
        <v>189997.2771792</v>
      </c>
      <c r="I178" s="35">
        <f>I177/I48</f>
        <v>224067.05</v>
      </c>
    </row>
    <row r="180" spans="2:14">
      <c r="B180" s="103" t="s">
        <v>797</v>
      </c>
      <c r="C180" s="258"/>
      <c r="D180" s="258"/>
      <c r="E180" s="258"/>
      <c r="F180" s="258"/>
      <c r="G180" s="258"/>
      <c r="H180" s="258"/>
      <c r="I180" s="258"/>
      <c r="J180" s="258"/>
      <c r="K180" s="258"/>
      <c r="L180" s="258"/>
      <c r="M180" s="258"/>
      <c r="N180" s="258"/>
    </row>
    <row r="182" spans="2:14">
      <c r="D182" s="257" t="s">
        <v>7</v>
      </c>
      <c r="E182" s="257" t="s">
        <v>8</v>
      </c>
      <c r="F182" s="257" t="s">
        <v>9</v>
      </c>
      <c r="G182" s="257" t="s">
        <v>10</v>
      </c>
      <c r="H182" s="257" t="s">
        <v>11</v>
      </c>
      <c r="I182" s="257" t="s">
        <v>529</v>
      </c>
    </row>
    <row r="183" spans="2:14">
      <c r="B183" s="160" t="s">
        <v>810</v>
      </c>
    </row>
    <row r="185" spans="2:14">
      <c r="B185" s="295" t="s">
        <v>798</v>
      </c>
      <c r="C185" s="290"/>
      <c r="D185" s="296">
        <v>23828.38</v>
      </c>
      <c r="E185" s="296">
        <v>0</v>
      </c>
      <c r="F185" s="296">
        <v>0</v>
      </c>
      <c r="G185" s="296">
        <v>0</v>
      </c>
      <c r="H185" s="297">
        <v>0</v>
      </c>
      <c r="I185" s="298">
        <v>0</v>
      </c>
    </row>
    <row r="186" spans="2:14">
      <c r="B186" s="295" t="s">
        <v>798</v>
      </c>
      <c r="C186" s="290"/>
      <c r="D186" s="296">
        <v>0</v>
      </c>
      <c r="E186" s="296">
        <v>2311.2199999999998</v>
      </c>
      <c r="F186" s="296">
        <v>119.58</v>
      </c>
      <c r="G186" s="296">
        <v>0</v>
      </c>
      <c r="H186" s="297">
        <v>0</v>
      </c>
      <c r="I186" s="298">
        <v>0</v>
      </c>
    </row>
    <row r="187" spans="2:14">
      <c r="B187" s="295" t="s">
        <v>798</v>
      </c>
      <c r="C187" s="290"/>
      <c r="D187" s="296">
        <v>0</v>
      </c>
      <c r="E187" s="296">
        <v>0</v>
      </c>
      <c r="F187" s="296">
        <v>5667.21</v>
      </c>
      <c r="G187" s="296">
        <v>0</v>
      </c>
      <c r="H187" s="297">
        <v>0</v>
      </c>
      <c r="I187" s="298">
        <v>0</v>
      </c>
    </row>
    <row r="188" spans="2:14">
      <c r="B188" s="295" t="s">
        <v>799</v>
      </c>
      <c r="C188" s="290"/>
      <c r="D188" s="296">
        <v>17496.41</v>
      </c>
      <c r="E188" s="296">
        <v>0</v>
      </c>
      <c r="F188" s="296">
        <v>0</v>
      </c>
      <c r="G188" s="296">
        <v>0</v>
      </c>
      <c r="H188" s="297">
        <v>0</v>
      </c>
      <c r="I188" s="298">
        <v>0</v>
      </c>
    </row>
    <row r="189" spans="2:14">
      <c r="B189" s="295" t="s">
        <v>799</v>
      </c>
      <c r="C189" s="290"/>
      <c r="D189" s="296">
        <v>0</v>
      </c>
      <c r="E189" s="296">
        <v>3926.93</v>
      </c>
      <c r="F189" s="296">
        <v>58.55</v>
      </c>
      <c r="G189" s="296">
        <v>0</v>
      </c>
      <c r="H189" s="297">
        <v>0</v>
      </c>
      <c r="I189" s="298">
        <v>0</v>
      </c>
    </row>
    <row r="190" spans="2:14">
      <c r="B190" s="295" t="s">
        <v>799</v>
      </c>
      <c r="C190" s="290"/>
      <c r="D190" s="296">
        <v>0</v>
      </c>
      <c r="E190" s="296">
        <v>0</v>
      </c>
      <c r="F190" s="296">
        <v>1106.72</v>
      </c>
      <c r="G190" s="296">
        <v>0</v>
      </c>
      <c r="H190" s="297">
        <v>0</v>
      </c>
      <c r="I190" s="298">
        <v>0</v>
      </c>
    </row>
    <row r="191" spans="2:14">
      <c r="B191" s="295" t="s">
        <v>800</v>
      </c>
      <c r="C191" s="290"/>
      <c r="D191" s="296">
        <v>0</v>
      </c>
      <c r="E191" s="296">
        <v>0</v>
      </c>
      <c r="F191" s="296">
        <v>4711.82</v>
      </c>
      <c r="G191" s="296">
        <v>0</v>
      </c>
      <c r="H191" s="297">
        <v>0</v>
      </c>
      <c r="I191" s="298">
        <v>0</v>
      </c>
    </row>
    <row r="192" spans="2:14">
      <c r="B192" s="295" t="s">
        <v>801</v>
      </c>
      <c r="C192" s="290"/>
      <c r="D192" s="296">
        <v>17628.259999999998</v>
      </c>
      <c r="E192" s="296">
        <v>0</v>
      </c>
      <c r="F192" s="296">
        <v>0</v>
      </c>
      <c r="G192" s="296">
        <v>0</v>
      </c>
      <c r="H192" s="297">
        <v>0</v>
      </c>
      <c r="I192" s="298">
        <v>0</v>
      </c>
    </row>
    <row r="193" spans="2:14">
      <c r="B193" s="295" t="s">
        <v>801</v>
      </c>
      <c r="C193" s="290"/>
      <c r="D193" s="296">
        <v>0</v>
      </c>
      <c r="E193" s="296">
        <v>5817.05</v>
      </c>
      <c r="F193" s="296">
        <v>0</v>
      </c>
      <c r="G193" s="296">
        <v>0</v>
      </c>
      <c r="H193" s="297">
        <v>0</v>
      </c>
      <c r="I193" s="298">
        <v>0</v>
      </c>
    </row>
    <row r="194" spans="2:14">
      <c r="B194" s="295" t="s">
        <v>801</v>
      </c>
      <c r="C194" s="290"/>
      <c r="D194" s="296">
        <v>0</v>
      </c>
      <c r="E194" s="296">
        <v>0</v>
      </c>
      <c r="F194" s="296">
        <v>2214.96</v>
      </c>
      <c r="G194" s="296">
        <v>0</v>
      </c>
      <c r="H194" s="297">
        <v>0</v>
      </c>
      <c r="I194" s="298">
        <v>0</v>
      </c>
    </row>
    <row r="195" spans="2:14">
      <c r="B195" s="295" t="s">
        <v>801</v>
      </c>
      <c r="C195" s="290"/>
      <c r="D195" s="296">
        <v>0</v>
      </c>
      <c r="E195" s="296">
        <v>0</v>
      </c>
      <c r="F195" s="296">
        <v>0</v>
      </c>
      <c r="G195" s="296">
        <v>2192.8200000000002</v>
      </c>
      <c r="H195" s="297">
        <v>0</v>
      </c>
      <c r="I195" s="298">
        <v>0</v>
      </c>
    </row>
    <row r="196" spans="2:14">
      <c r="B196" s="13"/>
      <c r="C196" s="11"/>
      <c r="D196" s="297"/>
      <c r="E196" s="297"/>
      <c r="F196" s="297"/>
      <c r="G196" s="297"/>
      <c r="H196" s="297"/>
      <c r="I196" s="299"/>
    </row>
    <row r="197" spans="2:14">
      <c r="B197" s="22" t="s">
        <v>802</v>
      </c>
      <c r="C197" s="22"/>
      <c r="D197" s="353">
        <f t="shared" ref="D197:I197" si="35">SUM(D185:D195)</f>
        <v>58953.05</v>
      </c>
      <c r="E197" s="353">
        <f t="shared" si="35"/>
        <v>12055.2</v>
      </c>
      <c r="F197" s="353">
        <f t="shared" si="35"/>
        <v>13878.84</v>
      </c>
      <c r="G197" s="353">
        <f t="shared" si="35"/>
        <v>2192.8200000000002</v>
      </c>
      <c r="H197" s="353">
        <f t="shared" si="35"/>
        <v>0</v>
      </c>
      <c r="I197" s="353">
        <f t="shared" si="35"/>
        <v>0</v>
      </c>
    </row>
    <row r="198" spans="2:14">
      <c r="B198" s="22" t="s">
        <v>808</v>
      </c>
      <c r="C198" s="22"/>
      <c r="D198" s="353">
        <f>D197/D48</f>
        <v>69472.930698125885</v>
      </c>
      <c r="E198" s="353">
        <f t="shared" ref="E198:I198" si="36">E197/E48</f>
        <v>13614.174335160875</v>
      </c>
      <c r="F198" s="353">
        <f t="shared" si="36"/>
        <v>15393.485401074729</v>
      </c>
      <c r="G198" s="353">
        <f t="shared" si="36"/>
        <v>2364.7350179779201</v>
      </c>
      <c r="H198" s="353">
        <f t="shared" si="36"/>
        <v>0</v>
      </c>
      <c r="I198" s="353">
        <f t="shared" si="36"/>
        <v>0</v>
      </c>
    </row>
    <row r="200" spans="2:14">
      <c r="B200" s="103" t="s">
        <v>803</v>
      </c>
      <c r="C200" s="258"/>
      <c r="D200" s="258"/>
      <c r="E200" s="258"/>
      <c r="F200" s="258"/>
      <c r="G200" s="258"/>
      <c r="H200" s="258"/>
      <c r="I200" s="258"/>
      <c r="J200" s="258"/>
      <c r="K200" s="258"/>
      <c r="L200" s="258"/>
      <c r="M200" s="258"/>
      <c r="N200" s="258"/>
    </row>
    <row r="202" spans="2:14">
      <c r="D202" s="257" t="s">
        <v>7</v>
      </c>
      <c r="E202" s="257" t="s">
        <v>8</v>
      </c>
      <c r="F202" s="257" t="s">
        <v>9</v>
      </c>
      <c r="G202" s="257" t="s">
        <v>10</v>
      </c>
      <c r="H202" s="257" t="s">
        <v>11</v>
      </c>
      <c r="I202" s="257" t="s">
        <v>529</v>
      </c>
    </row>
    <row r="203" spans="2:14">
      <c r="B203" s="160" t="s">
        <v>811</v>
      </c>
    </row>
    <row r="205" spans="2:14">
      <c r="B205" s="355" t="s">
        <v>804</v>
      </c>
      <c r="C205" s="290"/>
      <c r="D205" s="296">
        <v>0</v>
      </c>
      <c r="E205" s="296">
        <v>0</v>
      </c>
      <c r="F205" s="296">
        <v>0</v>
      </c>
      <c r="G205" s="296">
        <v>0</v>
      </c>
      <c r="H205" s="296">
        <v>0</v>
      </c>
      <c r="I205" s="298">
        <v>120005.06</v>
      </c>
    </row>
    <row r="206" spans="2:14">
      <c r="B206" s="355" t="s">
        <v>804</v>
      </c>
      <c r="C206" s="290"/>
      <c r="D206" s="296">
        <v>0</v>
      </c>
      <c r="E206" s="296">
        <v>0</v>
      </c>
      <c r="F206" s="296">
        <v>0</v>
      </c>
      <c r="G206" s="296">
        <v>0</v>
      </c>
      <c r="H206" s="297">
        <v>127123.97</v>
      </c>
      <c r="I206" s="296">
        <v>0</v>
      </c>
    </row>
    <row r="207" spans="2:14">
      <c r="B207" s="355" t="s">
        <v>805</v>
      </c>
      <c r="C207" s="290"/>
      <c r="D207" s="296">
        <v>65874.25</v>
      </c>
      <c r="E207" s="296">
        <v>0</v>
      </c>
      <c r="F207" s="296">
        <v>0</v>
      </c>
      <c r="G207" s="296">
        <v>0</v>
      </c>
      <c r="H207" s="296">
        <v>0</v>
      </c>
      <c r="I207" s="296">
        <v>0</v>
      </c>
    </row>
    <row r="208" spans="2:14">
      <c r="B208" s="355" t="s">
        <v>805</v>
      </c>
      <c r="C208" s="290"/>
      <c r="D208" s="296">
        <v>0</v>
      </c>
      <c r="E208" s="296">
        <v>89719.92</v>
      </c>
      <c r="F208" s="296">
        <v>0</v>
      </c>
      <c r="G208" s="296">
        <v>0</v>
      </c>
      <c r="H208" s="296">
        <v>0</v>
      </c>
      <c r="I208" s="296">
        <v>0</v>
      </c>
    </row>
    <row r="209" spans="2:14">
      <c r="B209" s="355" t="s">
        <v>805</v>
      </c>
      <c r="C209" s="290"/>
      <c r="D209" s="296">
        <v>0</v>
      </c>
      <c r="E209" s="296">
        <v>0</v>
      </c>
      <c r="F209" s="296">
        <v>89229.95</v>
      </c>
      <c r="G209" s="296"/>
      <c r="H209" s="296">
        <v>0</v>
      </c>
      <c r="I209" s="296">
        <v>0</v>
      </c>
    </row>
    <row r="210" spans="2:14">
      <c r="B210" s="355" t="s">
        <v>805</v>
      </c>
      <c r="C210" s="290"/>
      <c r="D210" s="296">
        <v>0</v>
      </c>
      <c r="E210" s="296">
        <v>0</v>
      </c>
      <c r="F210" s="296">
        <v>0</v>
      </c>
      <c r="G210" s="296">
        <v>72488.08</v>
      </c>
      <c r="H210" s="296">
        <v>0</v>
      </c>
      <c r="I210" s="296">
        <v>0</v>
      </c>
    </row>
    <row r="211" spans="2:14">
      <c r="B211" s="355" t="s">
        <v>806</v>
      </c>
      <c r="C211" s="290"/>
      <c r="D211" s="296">
        <v>10767.08</v>
      </c>
      <c r="E211" s="296">
        <v>0</v>
      </c>
      <c r="F211" s="296">
        <v>0</v>
      </c>
      <c r="G211" s="296">
        <v>0</v>
      </c>
      <c r="H211" s="296">
        <v>0</v>
      </c>
      <c r="I211" s="296">
        <v>0</v>
      </c>
    </row>
    <row r="212" spans="2:14">
      <c r="B212" s="355" t="s">
        <v>806</v>
      </c>
      <c r="C212" s="290"/>
      <c r="D212" s="296">
        <v>0</v>
      </c>
      <c r="E212" s="296">
        <v>15665.25</v>
      </c>
      <c r="F212" s="296">
        <v>0</v>
      </c>
      <c r="G212" s="296">
        <v>0</v>
      </c>
      <c r="H212" s="296">
        <v>0</v>
      </c>
      <c r="I212" s="296">
        <v>0</v>
      </c>
    </row>
    <row r="213" spans="2:14">
      <c r="B213" s="355" t="s">
        <v>806</v>
      </c>
      <c r="C213" s="290"/>
      <c r="D213" s="296">
        <v>0</v>
      </c>
      <c r="E213" s="296">
        <v>0</v>
      </c>
      <c r="F213" s="296">
        <v>13984.5</v>
      </c>
      <c r="G213" s="296">
        <v>0</v>
      </c>
      <c r="H213" s="296">
        <v>0</v>
      </c>
      <c r="I213" s="296">
        <v>0</v>
      </c>
    </row>
    <row r="214" spans="2:14">
      <c r="B214" s="355" t="s">
        <v>806</v>
      </c>
      <c r="C214" s="290"/>
      <c r="D214" s="296">
        <v>0</v>
      </c>
      <c r="E214" s="296">
        <v>0</v>
      </c>
      <c r="F214" s="296">
        <v>0</v>
      </c>
      <c r="G214" s="296">
        <v>13354.89</v>
      </c>
      <c r="H214" s="296">
        <v>0</v>
      </c>
      <c r="I214" s="296">
        <v>0</v>
      </c>
    </row>
    <row r="215" spans="2:14">
      <c r="B215" s="13"/>
      <c r="C215" s="11"/>
      <c r="D215" s="297"/>
      <c r="E215" s="297"/>
      <c r="F215" s="297"/>
      <c r="G215" s="297"/>
      <c r="H215" s="297"/>
      <c r="I215" s="299"/>
    </row>
    <row r="216" spans="2:14">
      <c r="B216" s="22" t="s">
        <v>807</v>
      </c>
      <c r="C216" s="22"/>
      <c r="D216" s="353">
        <f t="shared" ref="D216:I216" si="37">SUM(D205:D214)</f>
        <v>76641.33</v>
      </c>
      <c r="E216" s="353">
        <f t="shared" si="37"/>
        <v>105385.17</v>
      </c>
      <c r="F216" s="353">
        <f t="shared" si="37"/>
        <v>103214.45</v>
      </c>
      <c r="G216" s="353">
        <f t="shared" si="37"/>
        <v>85842.97</v>
      </c>
      <c r="H216" s="353">
        <f t="shared" si="37"/>
        <v>127123.97</v>
      </c>
      <c r="I216" s="353">
        <f t="shared" si="37"/>
        <v>120005.06</v>
      </c>
    </row>
    <row r="217" spans="2:14">
      <c r="B217" s="22" t="s">
        <v>809</v>
      </c>
      <c r="C217" s="22"/>
      <c r="D217" s="353">
        <f t="shared" ref="D217:I217" si="38">D216/D48</f>
        <v>90317.596930136715</v>
      </c>
      <c r="E217" s="353">
        <f t="shared" si="38"/>
        <v>119013.54409056388</v>
      </c>
      <c r="F217" s="353">
        <f t="shared" si="38"/>
        <v>114478.59686075764</v>
      </c>
      <c r="G217" s="353">
        <f t="shared" si="38"/>
        <v>92572.97781223632</v>
      </c>
      <c r="H217" s="353">
        <f t="shared" si="38"/>
        <v>132595.38566880001</v>
      </c>
      <c r="I217" s="353">
        <f t="shared" si="38"/>
        <v>123005.18649999998</v>
      </c>
    </row>
    <row r="219" spans="2:14">
      <c r="B219" s="494" t="s">
        <v>596</v>
      </c>
      <c r="C219" s="494"/>
      <c r="D219" s="494"/>
      <c r="E219" s="494"/>
      <c r="F219" s="494"/>
      <c r="G219" s="494"/>
      <c r="H219" s="494"/>
      <c r="I219" s="494"/>
      <c r="J219" s="494"/>
      <c r="K219" s="494"/>
      <c r="L219" s="494"/>
      <c r="M219" s="494"/>
      <c r="N219" s="494"/>
    </row>
    <row r="220" spans="2:14">
      <c r="B220" s="24"/>
      <c r="C220" s="24"/>
    </row>
    <row r="221" spans="2:14">
      <c r="B221" s="24"/>
      <c r="C221" s="24"/>
      <c r="J221" s="257" t="s">
        <v>42</v>
      </c>
      <c r="K221" s="257" t="s">
        <v>43</v>
      </c>
      <c r="L221" s="257" t="s">
        <v>44</v>
      </c>
      <c r="M221" s="257" t="s">
        <v>45</v>
      </c>
      <c r="N221" s="257" t="s">
        <v>46</v>
      </c>
    </row>
    <row r="222" spans="2:14">
      <c r="B222" s="24"/>
      <c r="C222" s="24"/>
    </row>
    <row r="223" spans="2:14">
      <c r="B223" s="10" t="s">
        <v>597</v>
      </c>
      <c r="J223" s="214">
        <f>J151</f>
        <v>9666802.0313516445</v>
      </c>
      <c r="K223" s="214">
        <f>K151</f>
        <v>9948021.6338947471</v>
      </c>
      <c r="L223" s="214">
        <f>L151</f>
        <v>10270504.029165534</v>
      </c>
      <c r="M223" s="214">
        <f>M151</f>
        <v>10603834.156355413</v>
      </c>
      <c r="N223" s="214">
        <f>N151</f>
        <v>10956082.366998</v>
      </c>
    </row>
    <row r="224" spans="2:14">
      <c r="B224" s="1" t="s">
        <v>598</v>
      </c>
      <c r="J224" s="214">
        <f>'PNL (before escalators)'!D27</f>
        <v>0</v>
      </c>
      <c r="K224" s="214">
        <f>'PNL (before escalators)'!E27</f>
        <v>0</v>
      </c>
      <c r="L224" s="214">
        <f>'PNL (before escalators)'!F27</f>
        <v>0</v>
      </c>
      <c r="M224" s="214">
        <f>'PNL (before escalators)'!G27</f>
        <v>0</v>
      </c>
      <c r="N224" s="214">
        <f>'PNL (before escalators)'!H27</f>
        <v>0</v>
      </c>
    </row>
    <row r="225" spans="2:14">
      <c r="B225" s="1" t="s">
        <v>599</v>
      </c>
      <c r="J225" s="214">
        <f>'PNL (after escalators)'!D24-'PNL (before escalators)'!D24</f>
        <v>3.9339065551757813E-5</v>
      </c>
      <c r="K225" s="214">
        <f>'PNL (after escalators)'!E24-'PNL (before escalators)'!E24</f>
        <v>49271.489135114476</v>
      </c>
      <c r="L225" s="214">
        <f>'PNL (after escalators)'!F24-'PNL (before escalators)'!F24</f>
        <v>117645.07434333488</v>
      </c>
      <c r="M225" s="214">
        <f>'PNL (after escalators)'!G24-'PNL (before escalators)'!G24</f>
        <v>204182.27175818384</v>
      </c>
      <c r="N225" s="214">
        <f>'PNL (after escalators)'!H24-'PNL (before escalators)'!H24</f>
        <v>292979.31964076869</v>
      </c>
    </row>
    <row r="227" spans="2:14">
      <c r="B227" s="206" t="s">
        <v>731</v>
      </c>
      <c r="C227" s="22"/>
      <c r="D227" s="22"/>
      <c r="E227" s="22"/>
      <c r="F227" s="22"/>
      <c r="G227" s="22"/>
      <c r="H227" s="22"/>
      <c r="I227" s="22"/>
      <c r="J227" s="215">
        <f>SUM(J223:J225)</f>
        <v>9666802.0313909836</v>
      </c>
      <c r="K227" s="215">
        <f>SUM(K223:K225)</f>
        <v>9997293.1230298616</v>
      </c>
      <c r="L227" s="215">
        <f>SUM(L223:L225)</f>
        <v>10388149.103508869</v>
      </c>
      <c r="M227" s="215">
        <f>SUM(M223:M225)</f>
        <v>10808016.428113597</v>
      </c>
      <c r="N227" s="215">
        <f>SUM(N223:N225)</f>
        <v>11249061.686638769</v>
      </c>
    </row>
    <row r="228" spans="2:14">
      <c r="B228" s="30" t="s">
        <v>37</v>
      </c>
      <c r="J228" s="323">
        <f>J227-'PNL (after escalators)'!D24</f>
        <v>-0.21753059513866901</v>
      </c>
      <c r="K228" s="323">
        <f>K227-'PNL (after escalators)'!E24</f>
        <v>0.22039389051496983</v>
      </c>
      <c r="L228" s="323">
        <f>L227-'PNL (after escalators)'!F24</f>
        <v>0.180327158421278</v>
      </c>
      <c r="M228" s="323">
        <f>M227-'PNL (after escalators)'!G24</f>
        <v>0.21129607781767845</v>
      </c>
      <c r="N228" s="323">
        <f>N227-'PNL (after escalators)'!H24</f>
        <v>-0.4266878180205822</v>
      </c>
    </row>
    <row r="229" spans="2:14">
      <c r="B229" s="1"/>
    </row>
    <row r="230" spans="2:14">
      <c r="B230" s="1" t="s">
        <v>600</v>
      </c>
      <c r="J230" s="214">
        <f>SUM('Forecast Opex CAM Output'!F33,'Forecast Opex CAM Output'!F92)-'Forecast Opex Analysis'!J227</f>
        <v>877651.39831632748</v>
      </c>
      <c r="K230" s="214">
        <f>SUM('Forecast Opex CAM Output'!G33,'Forecast Opex CAM Output'!G92)-'Forecast Opex Analysis'!K227</f>
        <v>2875434.5251757912</v>
      </c>
      <c r="L230" s="214">
        <f>SUM('Forecast Opex CAM Output'!H33,'Forecast Opex CAM Output'!H92)-'Forecast Opex Analysis'!L227</f>
        <v>3005152.7298839968</v>
      </c>
      <c r="M230" s="214">
        <f>SUM('Forecast Opex CAM Output'!I33,'Forecast Opex CAM Output'!I92)-'Forecast Opex Analysis'!M227</f>
        <v>3147142.1703378353</v>
      </c>
      <c r="N230" s="214">
        <f>SUM('Forecast Opex CAM Output'!J33,'Forecast Opex CAM Output'!J92)-'Forecast Opex Analysis'!N227</f>
        <v>3294205.2227477394</v>
      </c>
    </row>
    <row r="231" spans="2:14">
      <c r="B231" s="1" t="s">
        <v>601</v>
      </c>
      <c r="J231" s="214">
        <f>'Forecast Opex CAM Output'!F571</f>
        <v>-430195.99176997755</v>
      </c>
      <c r="K231" s="214">
        <f>'Forecast Opex CAM Output'!G571</f>
        <v>-555354.76643873507</v>
      </c>
      <c r="L231" s="214">
        <f>'Forecast Opex CAM Output'!H571</f>
        <v>-702475.36557088001</v>
      </c>
      <c r="M231" s="214">
        <f>'Forecast Opex CAM Output'!I571</f>
        <v>-576203.58316405676</v>
      </c>
      <c r="N231" s="214">
        <f>'Forecast Opex CAM Output'!J571</f>
        <v>-860704.67163707025</v>
      </c>
    </row>
    <row r="232" spans="2:14">
      <c r="B232" s="1" t="s">
        <v>602</v>
      </c>
      <c r="J232" s="214">
        <f>'Forecast Opex CAM Output'!F709</f>
        <v>9522785.2905452754</v>
      </c>
      <c r="K232" s="214">
        <f>'Forecast Opex CAM Output'!G709</f>
        <v>10098007.267036978</v>
      </c>
      <c r="L232" s="214">
        <f>'Forecast Opex CAM Output'!H709</f>
        <v>10311935.959065692</v>
      </c>
      <c r="M232" s="214">
        <f>'Forecast Opex CAM Output'!I709</f>
        <v>11015166.536082298</v>
      </c>
      <c r="N232" s="214">
        <f>'Forecast Opex CAM Output'!J709</f>
        <v>11337904.49671164</v>
      </c>
    </row>
    <row r="233" spans="2:14">
      <c r="B233" s="1"/>
    </row>
    <row r="234" spans="2:14">
      <c r="B234" s="206" t="s">
        <v>730</v>
      </c>
      <c r="C234" s="22"/>
      <c r="D234" s="22"/>
      <c r="E234" s="22"/>
      <c r="F234" s="22"/>
      <c r="G234" s="22"/>
      <c r="H234" s="22"/>
      <c r="I234" s="22"/>
      <c r="J234" s="215">
        <f>SUM(J227,J230:J232)</f>
        <v>19637042.728482611</v>
      </c>
      <c r="K234" s="215">
        <f t="shared" ref="K234:N234" si="39">SUM(K227,K230:K232)</f>
        <v>22415380.148803897</v>
      </c>
      <c r="L234" s="215">
        <f t="shared" si="39"/>
        <v>23002762.426887676</v>
      </c>
      <c r="M234" s="215">
        <f t="shared" si="39"/>
        <v>24394121.551369675</v>
      </c>
      <c r="N234" s="215">
        <f t="shared" si="39"/>
        <v>25020466.734461077</v>
      </c>
    </row>
    <row r="235" spans="2:14">
      <c r="B235" s="30" t="s">
        <v>37</v>
      </c>
      <c r="C235" s="31"/>
      <c r="D235" s="31"/>
      <c r="E235" s="31"/>
      <c r="F235" s="31"/>
      <c r="G235" s="31"/>
      <c r="H235" s="31"/>
      <c r="I235" s="31"/>
      <c r="J235" s="323">
        <f>J234-SUM('Forecast Opex CAM Output'!F709,'Forecast Opex CAM Output'!F571,'Forecast Opex CAM Output'!F92,'Forecast Opex CAM Output'!F33)</f>
        <v>0</v>
      </c>
      <c r="K235" s="323">
        <f>K234-SUM('Forecast Opex CAM Output'!G709,'Forecast Opex CAM Output'!G571,'Forecast Opex CAM Output'!G92,'Forecast Opex CAM Output'!G33)</f>
        <v>0</v>
      </c>
      <c r="L235" s="323">
        <f>L234-SUM('Forecast Opex CAM Output'!H709,'Forecast Opex CAM Output'!H571,'Forecast Opex CAM Output'!H92,'Forecast Opex CAM Output'!H33)</f>
        <v>0</v>
      </c>
      <c r="M235" s="323">
        <f>M234-SUM('Forecast Opex CAM Output'!I709,'Forecast Opex CAM Output'!I571,'Forecast Opex CAM Output'!I92,'Forecast Opex CAM Output'!I33)</f>
        <v>0</v>
      </c>
      <c r="N235" s="323">
        <f>N234-SUM('Forecast Opex CAM Output'!J709,'Forecast Opex CAM Output'!J571,'Forecast Opex CAM Output'!J92,'Forecast Opex CAM Output'!J33)</f>
        <v>0</v>
      </c>
    </row>
    <row r="237" spans="2:14">
      <c r="B237" s="10" t="s">
        <v>732</v>
      </c>
      <c r="J237" s="214">
        <f>J41</f>
        <v>19916669.945264548</v>
      </c>
      <c r="K237" s="214">
        <f>K41</f>
        <v>20648938.307429526</v>
      </c>
      <c r="L237" s="214">
        <f>L41</f>
        <v>21961520.590191945</v>
      </c>
      <c r="M237" s="214">
        <f>M41</f>
        <v>22574165.030670792</v>
      </c>
      <c r="N237" s="214">
        <f>N41</f>
        <v>23674006.434457164</v>
      </c>
    </row>
    <row r="238" spans="2:14">
      <c r="B238" s="158" t="s">
        <v>552</v>
      </c>
      <c r="C238" s="158"/>
      <c r="D238" s="158"/>
      <c r="E238" s="158"/>
      <c r="F238" s="158"/>
      <c r="G238" s="158"/>
      <c r="H238" s="158"/>
      <c r="I238" s="158"/>
      <c r="J238" s="324">
        <f>J234-J237</f>
        <v>-279627.21678193659</v>
      </c>
      <c r="K238" s="324">
        <f t="shared" ref="K238:N238" si="40">K234-K237</f>
        <v>1766441.8413743712</v>
      </c>
      <c r="L238" s="324">
        <f t="shared" si="40"/>
        <v>1041241.8366957307</v>
      </c>
      <c r="M238" s="324">
        <f t="shared" si="40"/>
        <v>1819956.5206988826</v>
      </c>
      <c r="N238" s="324">
        <f t="shared" si="40"/>
        <v>1346460.3000039123</v>
      </c>
    </row>
    <row r="239" spans="2:14">
      <c r="B239" s="284" t="s">
        <v>553</v>
      </c>
      <c r="C239" s="284"/>
      <c r="D239" s="284"/>
      <c r="E239" s="284"/>
      <c r="F239" s="284"/>
      <c r="G239" s="284"/>
      <c r="H239" s="284"/>
      <c r="I239" s="284"/>
      <c r="J239" s="325">
        <f>J238/J237</f>
        <v>-1.4039857945651284E-2</v>
      </c>
      <c r="K239" s="325">
        <f t="shared" ref="K239:N239" si="41">K238/K237</f>
        <v>8.5546376044854669E-2</v>
      </c>
      <c r="L239" s="325">
        <f t="shared" si="41"/>
        <v>4.741210119852772E-2</v>
      </c>
      <c r="M239" s="325">
        <f t="shared" si="41"/>
        <v>8.062121093852935E-2</v>
      </c>
      <c r="N239" s="325">
        <f t="shared" si="41"/>
        <v>5.687505001452392E-2</v>
      </c>
    </row>
    <row r="241" spans="2:14">
      <c r="B241" s="22" t="s">
        <v>758</v>
      </c>
      <c r="C241" s="22"/>
      <c r="D241" s="22"/>
      <c r="E241" s="22"/>
      <c r="F241" s="22"/>
      <c r="G241" s="22"/>
      <c r="H241" s="22"/>
      <c r="I241" s="22"/>
      <c r="J241" s="165">
        <f>SUM(J230:J232)/J227</f>
        <v>1.0313897672379435</v>
      </c>
      <c r="K241" s="165">
        <f t="shared" ref="K241:N241" si="42">SUM(K230:K232)/K227</f>
        <v>1.2421449359294676</v>
      </c>
      <c r="L241" s="165">
        <f t="shared" si="42"/>
        <v>1.2143273260409684</v>
      </c>
      <c r="M241" s="165">
        <f t="shared" si="42"/>
        <v>1.2570396440105487</v>
      </c>
      <c r="N241" s="165">
        <f t="shared" si="42"/>
        <v>1.2242270005665885</v>
      </c>
    </row>
    <row r="243" spans="2:14">
      <c r="B243" s="494" t="s">
        <v>737</v>
      </c>
      <c r="C243" s="494"/>
      <c r="D243" s="494"/>
      <c r="E243" s="494"/>
      <c r="F243" s="494"/>
      <c r="G243" s="494"/>
      <c r="H243" s="494"/>
      <c r="I243" s="494"/>
      <c r="J243" s="494"/>
      <c r="K243" s="494"/>
      <c r="L243" s="494"/>
      <c r="M243" s="494"/>
      <c r="N243" s="494"/>
    </row>
    <row r="244" spans="2:14">
      <c r="B244" s="24"/>
      <c r="C244" s="24"/>
    </row>
    <row r="245" spans="2:14">
      <c r="B245" s="24"/>
      <c r="C245" s="24"/>
      <c r="J245" s="257" t="s">
        <v>42</v>
      </c>
      <c r="K245" s="257" t="s">
        <v>43</v>
      </c>
      <c r="L245" s="257" t="s">
        <v>44</v>
      </c>
      <c r="M245" s="257" t="s">
        <v>45</v>
      </c>
      <c r="N245" s="257" t="s">
        <v>46</v>
      </c>
    </row>
    <row r="247" spans="2:14">
      <c r="B247" s="85" t="s">
        <v>219</v>
      </c>
      <c r="J247" s="162">
        <v>7375297.7941528428</v>
      </c>
      <c r="K247" s="162">
        <v>7579398.489902474</v>
      </c>
      <c r="L247" s="162">
        <v>8015889.4447510662</v>
      </c>
      <c r="M247" s="162">
        <v>8191726.5182193266</v>
      </c>
      <c r="N247" s="163">
        <v>8539666.2819348145</v>
      </c>
    </row>
    <row r="248" spans="2:14">
      <c r="B248" s="85" t="s">
        <v>220</v>
      </c>
      <c r="J248" s="162">
        <v>5995340.7304564724</v>
      </c>
      <c r="K248" s="162">
        <v>6211212.3658973221</v>
      </c>
      <c r="L248" s="162">
        <v>6602959.559570916</v>
      </c>
      <c r="M248" s="162">
        <v>6783911.2951228451</v>
      </c>
      <c r="N248" s="163">
        <v>7110955.0294078141</v>
      </c>
    </row>
    <row r="249" spans="2:14">
      <c r="B249" s="85" t="s">
        <v>221</v>
      </c>
      <c r="J249" s="162">
        <v>6546031.4206552338</v>
      </c>
      <c r="K249" s="162">
        <v>6858327.4516297299</v>
      </c>
      <c r="L249" s="162">
        <v>7342671.5858699633</v>
      </c>
      <c r="M249" s="162">
        <v>7598527.2173286248</v>
      </c>
      <c r="N249" s="163">
        <v>8023385.1231145337</v>
      </c>
    </row>
    <row r="250" spans="2:14">
      <c r="B250" s="22" t="s">
        <v>733</v>
      </c>
      <c r="C250" s="125"/>
      <c r="D250" s="125"/>
      <c r="E250" s="125"/>
      <c r="F250" s="125"/>
      <c r="G250" s="125"/>
      <c r="H250" s="125"/>
      <c r="I250" s="125"/>
      <c r="J250" s="157">
        <f>SUM(J247:J249)</f>
        <v>19916669.945264548</v>
      </c>
      <c r="K250" s="157">
        <f>SUM(K247:K249)</f>
        <v>20648938.307429526</v>
      </c>
      <c r="L250" s="157">
        <f>SUM(L247:L249)</f>
        <v>21961520.590191945</v>
      </c>
      <c r="M250" s="157">
        <f>SUM(M247:M249)</f>
        <v>22574165.030670799</v>
      </c>
      <c r="N250" s="157">
        <f>SUM(N247:N249)</f>
        <v>23674006.434457161</v>
      </c>
    </row>
    <row r="251" spans="2:14">
      <c r="B251" s="30" t="s">
        <v>37</v>
      </c>
      <c r="J251" s="161">
        <f>J250-J41</f>
        <v>0</v>
      </c>
      <c r="K251" s="161">
        <f>K250-K41</f>
        <v>0</v>
      </c>
      <c r="L251" s="161">
        <f>L250-L41</f>
        <v>0</v>
      </c>
      <c r="M251" s="161">
        <f>M250-M41</f>
        <v>0</v>
      </c>
      <c r="N251" s="161">
        <f>N250-N41</f>
        <v>0</v>
      </c>
    </row>
    <row r="253" spans="2:14">
      <c r="B253" s="85" t="s">
        <v>219</v>
      </c>
      <c r="J253" s="223">
        <f>J247/J$250</f>
        <v>0.37030777807845422</v>
      </c>
      <c r="K253" s="223">
        <f t="shared" ref="K253:N253" si="43">K247/K$250</f>
        <v>0.36705996100416421</v>
      </c>
      <c r="L253" s="223">
        <f t="shared" si="43"/>
        <v>0.36499701429285258</v>
      </c>
      <c r="M253" s="223">
        <f t="shared" si="43"/>
        <v>0.36288059855544996</v>
      </c>
      <c r="N253" s="223">
        <f t="shared" si="43"/>
        <v>0.36071909947213071</v>
      </c>
    </row>
    <row r="254" spans="2:14">
      <c r="B254" s="85" t="s">
        <v>220</v>
      </c>
      <c r="J254" s="223">
        <f t="shared" ref="J254:N254" si="44">J248/J$250</f>
        <v>0.30102124235291372</v>
      </c>
      <c r="K254" s="223">
        <f t="shared" si="44"/>
        <v>0.30080056773003755</v>
      </c>
      <c r="L254" s="223">
        <f t="shared" si="44"/>
        <v>0.3006603997411641</v>
      </c>
      <c r="M254" s="223">
        <f t="shared" si="44"/>
        <v>0.30051659877146114</v>
      </c>
      <c r="N254" s="223">
        <f t="shared" si="44"/>
        <v>0.30036973459033645</v>
      </c>
    </row>
    <row r="255" spans="2:14">
      <c r="B255" s="85" t="s">
        <v>221</v>
      </c>
      <c r="J255" s="223">
        <f t="shared" ref="J255:N255" si="45">J249/J$250</f>
        <v>0.32867097956863212</v>
      </c>
      <c r="K255" s="223">
        <f t="shared" si="45"/>
        <v>0.33213947126579824</v>
      </c>
      <c r="L255" s="223">
        <f t="shared" si="45"/>
        <v>0.33434258596598332</v>
      </c>
      <c r="M255" s="223">
        <f t="shared" si="45"/>
        <v>0.33660280267308879</v>
      </c>
      <c r="N255" s="223">
        <f t="shared" si="45"/>
        <v>0.33891116593753295</v>
      </c>
    </row>
    <row r="257" spans="2:14">
      <c r="B257" s="85" t="s">
        <v>219</v>
      </c>
      <c r="J257" s="162">
        <f>J$234*J253</f>
        <v>7271749.6608160622</v>
      </c>
      <c r="K257" s="162">
        <f t="shared" ref="K257:N257" si="46">K$234*K253</f>
        <v>8227788.5633134749</v>
      </c>
      <c r="L257" s="162">
        <f t="shared" si="46"/>
        <v>8395939.6063018143</v>
      </c>
      <c r="M257" s="162">
        <f t="shared" si="46"/>
        <v>8852153.4297954291</v>
      </c>
      <c r="N257" s="162">
        <f t="shared" si="46"/>
        <v>9025360.2288272027</v>
      </c>
    </row>
    <row r="258" spans="2:14">
      <c r="B258" s="85" t="s">
        <v>220</v>
      </c>
      <c r="J258" s="162">
        <f t="shared" ref="J258:N258" si="47">J$234*J254</f>
        <v>5911166.9982650867</v>
      </c>
      <c r="K258" s="162">
        <f t="shared" si="47"/>
        <v>6742559.0746448254</v>
      </c>
      <c r="L258" s="162">
        <f t="shared" si="47"/>
        <v>6916019.7464190787</v>
      </c>
      <c r="M258" s="162">
        <f t="shared" si="47"/>
        <v>7330838.4386352133</v>
      </c>
      <c r="N258" s="162">
        <f t="shared" si="47"/>
        <v>7515390.9523564158</v>
      </c>
    </row>
    <row r="259" spans="2:14">
      <c r="B259" s="85" t="s">
        <v>221</v>
      </c>
      <c r="J259" s="162">
        <f t="shared" ref="J259:N259" si="48">J$234*J255</f>
        <v>6454126.0694014644</v>
      </c>
      <c r="K259" s="162">
        <f t="shared" si="48"/>
        <v>7445032.510845596</v>
      </c>
      <c r="L259" s="162">
        <f t="shared" si="48"/>
        <v>7690803.0741667841</v>
      </c>
      <c r="M259" s="162">
        <f t="shared" si="48"/>
        <v>8211129.6829390293</v>
      </c>
      <c r="N259" s="162">
        <f t="shared" si="48"/>
        <v>8479715.5532774609</v>
      </c>
    </row>
    <row r="260" spans="2:14">
      <c r="B260" s="22" t="s">
        <v>734</v>
      </c>
      <c r="C260" s="125"/>
      <c r="D260" s="125"/>
      <c r="E260" s="125"/>
      <c r="F260" s="125"/>
      <c r="G260" s="125"/>
      <c r="H260" s="125"/>
      <c r="I260" s="125"/>
      <c r="J260" s="157">
        <f>SUM(J257:J259)</f>
        <v>19637042.728482615</v>
      </c>
      <c r="K260" s="157">
        <f>SUM(K257:K259)</f>
        <v>22415380.148803897</v>
      </c>
      <c r="L260" s="157">
        <f>SUM(L257:L259)</f>
        <v>23002762.426887676</v>
      </c>
      <c r="M260" s="157">
        <f>SUM(M257:M259)</f>
        <v>24394121.551369671</v>
      </c>
      <c r="N260" s="157">
        <f>SUM(N257:N259)</f>
        <v>25020466.734461077</v>
      </c>
    </row>
    <row r="261" spans="2:14">
      <c r="B261" s="30" t="s">
        <v>37</v>
      </c>
      <c r="J261" s="161">
        <f>J260-J234</f>
        <v>0</v>
      </c>
      <c r="K261" s="161">
        <f t="shared" ref="K261:N261" si="49">K260-K234</f>
        <v>0</v>
      </c>
      <c r="L261" s="161">
        <f t="shared" si="49"/>
        <v>0</v>
      </c>
      <c r="M261" s="161">
        <f t="shared" si="49"/>
        <v>0</v>
      </c>
      <c r="N261" s="161">
        <f t="shared" si="49"/>
        <v>0</v>
      </c>
    </row>
    <row r="263" spans="2:14">
      <c r="B263" s="29" t="s">
        <v>333</v>
      </c>
    </row>
    <row r="266" spans="2:14">
      <c r="I266" s="352"/>
      <c r="J266" s="83"/>
      <c r="K266" s="83"/>
      <c r="L266" s="83"/>
      <c r="M266" s="83"/>
      <c r="N266" s="83"/>
    </row>
    <row r="267" spans="2:14">
      <c r="I267" s="352"/>
      <c r="J267" s="83"/>
      <c r="K267" s="83"/>
      <c r="L267" s="83"/>
      <c r="M267" s="83"/>
      <c r="N267" s="83"/>
    </row>
    <row r="269" spans="2:14">
      <c r="I269" s="351"/>
      <c r="J269" s="351"/>
      <c r="K269" s="351"/>
      <c r="L269" s="351"/>
      <c r="M269" s="351"/>
      <c r="N269" s="351"/>
    </row>
    <row r="270" spans="2:14">
      <c r="I270" s="46"/>
    </row>
  </sheetData>
  <mergeCells count="20">
    <mergeCell ref="B219:N219"/>
    <mergeCell ref="B13:N13"/>
    <mergeCell ref="B243:N243"/>
    <mergeCell ref="B8:N8"/>
    <mergeCell ref="B9:N9"/>
    <mergeCell ref="B10:N10"/>
    <mergeCell ref="B17:N17"/>
    <mergeCell ref="B11:N11"/>
    <mergeCell ref="B12:N12"/>
    <mergeCell ref="B15:N15"/>
    <mergeCell ref="B123:N123"/>
    <mergeCell ref="B124:N124"/>
    <mergeCell ref="B153:N153"/>
    <mergeCell ref="B6:N6"/>
    <mergeCell ref="D23:I23"/>
    <mergeCell ref="J23:N23"/>
    <mergeCell ref="B121:N121"/>
    <mergeCell ref="B122:N122"/>
    <mergeCell ref="B87:N87"/>
    <mergeCell ref="B115:N115"/>
  </mergeCells>
  <pageMargins left="0.7" right="0.7" top="0.75" bottom="0.75" header="0.3" footer="0.3"/>
  <pageSetup paperSize="8" scale="2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3"/>
  <sheetViews>
    <sheetView showGridLines="0" topLeftCell="A163" workbookViewId="0"/>
  </sheetViews>
  <sheetFormatPr defaultRowHeight="12.75"/>
  <cols>
    <col min="1" max="1" width="3" style="1" customWidth="1"/>
    <col min="2" max="2" width="24" style="1" bestFit="1" customWidth="1"/>
    <col min="3" max="3" width="45.42578125" style="1" bestFit="1" customWidth="1"/>
    <col min="4" max="4" width="35.5703125" style="1" bestFit="1" customWidth="1"/>
    <col min="5" max="5" width="38.140625" style="1" bestFit="1" customWidth="1"/>
    <col min="6" max="10" width="12.7109375" style="314" bestFit="1" customWidth="1"/>
    <col min="11" max="16384" width="9.140625" style="1"/>
  </cols>
  <sheetData>
    <row r="1" spans="1:10">
      <c r="F1" s="1"/>
      <c r="G1" s="1"/>
      <c r="H1" s="1"/>
      <c r="I1" s="1"/>
      <c r="J1" s="1"/>
    </row>
    <row r="2" spans="1:10" ht="15.75">
      <c r="A2" s="254" t="s">
        <v>503</v>
      </c>
      <c r="F2" s="1"/>
      <c r="G2" s="1"/>
      <c r="H2" s="1"/>
      <c r="I2" s="1"/>
      <c r="J2" s="1"/>
    </row>
    <row r="3" spans="1:10" ht="15.75">
      <c r="A3" s="254" t="s">
        <v>720</v>
      </c>
      <c r="F3" s="1"/>
      <c r="G3" s="1"/>
      <c r="H3" s="1"/>
      <c r="I3" s="1"/>
      <c r="J3" s="1"/>
    </row>
    <row r="4" spans="1:10" ht="15.75">
      <c r="A4" s="255" t="s">
        <v>499</v>
      </c>
      <c r="F4" s="1"/>
      <c r="G4" s="1"/>
      <c r="H4" s="1"/>
      <c r="I4" s="1"/>
      <c r="J4" s="1"/>
    </row>
    <row r="5" spans="1:10">
      <c r="A5" s="2"/>
      <c r="F5" s="1"/>
      <c r="G5" s="1"/>
      <c r="H5" s="1"/>
      <c r="I5" s="1"/>
      <c r="J5" s="1"/>
    </row>
    <row r="6" spans="1:10">
      <c r="A6" s="2"/>
      <c r="B6" s="445" t="s">
        <v>714</v>
      </c>
      <c r="C6" s="446"/>
      <c r="D6" s="446"/>
      <c r="E6" s="446"/>
      <c r="F6" s="446"/>
      <c r="G6" s="446"/>
      <c r="H6" s="446"/>
      <c r="I6" s="446"/>
      <c r="J6" s="447"/>
    </row>
    <row r="7" spans="1:10">
      <c r="F7" s="1"/>
      <c r="G7" s="1"/>
      <c r="H7" s="1"/>
      <c r="I7" s="1"/>
      <c r="J7" s="1"/>
    </row>
    <row r="8" spans="1:10">
      <c r="B8" s="445" t="s">
        <v>20</v>
      </c>
      <c r="C8" s="446"/>
      <c r="D8" s="446"/>
      <c r="E8" s="446"/>
      <c r="F8" s="446"/>
      <c r="G8" s="446"/>
      <c r="H8" s="446"/>
      <c r="I8" s="446"/>
      <c r="J8" s="447"/>
    </row>
    <row r="9" spans="1:10">
      <c r="B9" s="477" t="s">
        <v>728</v>
      </c>
      <c r="C9" s="478"/>
      <c r="D9" s="478"/>
      <c r="E9" s="478"/>
      <c r="F9" s="478"/>
      <c r="G9" s="478"/>
      <c r="H9" s="478"/>
      <c r="I9" s="478"/>
      <c r="J9" s="479"/>
    </row>
    <row r="10" spans="1:10">
      <c r="F10" s="1"/>
      <c r="G10" s="1"/>
      <c r="H10" s="1"/>
      <c r="I10" s="1"/>
      <c r="J10" s="1"/>
    </row>
    <row r="11" spans="1:10">
      <c r="B11" s="445" t="s">
        <v>21</v>
      </c>
      <c r="C11" s="446"/>
      <c r="D11" s="446"/>
      <c r="E11" s="446"/>
      <c r="F11" s="446"/>
      <c r="G11" s="446"/>
      <c r="H11" s="446"/>
      <c r="I11" s="446"/>
      <c r="J11" s="447"/>
    </row>
    <row r="12" spans="1:10">
      <c r="F12" s="1"/>
      <c r="G12" s="1"/>
      <c r="H12" s="1"/>
      <c r="I12" s="1"/>
      <c r="J12" s="1"/>
    </row>
    <row r="13" spans="1:10">
      <c r="B13" s="496" t="s">
        <v>350</v>
      </c>
      <c r="C13" s="497"/>
      <c r="F13" s="1"/>
      <c r="G13" s="1"/>
      <c r="H13" s="1"/>
      <c r="I13" s="1"/>
      <c r="J13" s="1"/>
    </row>
    <row r="14" spans="1:10">
      <c r="B14" s="138" t="s">
        <v>0</v>
      </c>
      <c r="C14" s="137" t="s">
        <v>823</v>
      </c>
      <c r="F14" s="1"/>
      <c r="G14" s="1"/>
      <c r="H14" s="1"/>
      <c r="I14" s="1"/>
      <c r="J14" s="1"/>
    </row>
    <row r="15" spans="1:10">
      <c r="B15" s="138" t="s">
        <v>30</v>
      </c>
      <c r="C15" s="137" t="s">
        <v>824</v>
      </c>
      <c r="F15" s="1"/>
      <c r="G15" s="1"/>
      <c r="H15" s="1"/>
      <c r="I15" s="1"/>
      <c r="J15" s="1"/>
    </row>
    <row r="16" spans="1:10">
      <c r="B16" s="138" t="s">
        <v>32</v>
      </c>
      <c r="C16" s="137" t="s">
        <v>825</v>
      </c>
      <c r="F16" s="1"/>
      <c r="G16" s="1"/>
      <c r="H16" s="1"/>
      <c r="I16" s="1"/>
      <c r="J16" s="1"/>
    </row>
    <row r="17" spans="2:10">
      <c r="B17" s="138" t="s">
        <v>351</v>
      </c>
      <c r="C17" s="137" t="s">
        <v>51</v>
      </c>
      <c r="F17" s="1"/>
      <c r="G17" s="1"/>
      <c r="H17" s="1"/>
      <c r="I17" s="1"/>
      <c r="J17" s="1"/>
    </row>
    <row r="18" spans="2:10">
      <c r="F18" s="1"/>
      <c r="G18" s="1"/>
      <c r="H18" s="1"/>
      <c r="I18" s="1"/>
      <c r="J18" s="1"/>
    </row>
    <row r="19" spans="2:10">
      <c r="F19" s="1"/>
      <c r="G19" s="1"/>
      <c r="H19" s="1"/>
      <c r="I19" s="1"/>
      <c r="J19" s="1"/>
    </row>
    <row r="20" spans="2:10">
      <c r="F20" s="224" t="s">
        <v>42</v>
      </c>
      <c r="G20" s="224" t="s">
        <v>43</v>
      </c>
      <c r="H20" s="224" t="s">
        <v>44</v>
      </c>
      <c r="I20" s="224" t="s">
        <v>45</v>
      </c>
      <c r="J20" s="224" t="s">
        <v>46</v>
      </c>
    </row>
    <row r="21" spans="2:10">
      <c r="B21" s="3" t="s">
        <v>603</v>
      </c>
      <c r="C21" s="3" t="s">
        <v>36</v>
      </c>
      <c r="D21" s="3" t="s">
        <v>34</v>
      </c>
      <c r="E21" s="3" t="s">
        <v>35</v>
      </c>
      <c r="F21" s="224" t="s">
        <v>604</v>
      </c>
      <c r="G21" s="224" t="s">
        <v>604</v>
      </c>
      <c r="H21" s="224" t="s">
        <v>604</v>
      </c>
      <c r="I21" s="224" t="s">
        <v>604</v>
      </c>
      <c r="J21" s="224" t="s">
        <v>604</v>
      </c>
    </row>
    <row r="22" spans="2:10" s="7" customFormat="1">
      <c r="F22" s="139"/>
      <c r="G22" s="139"/>
      <c r="H22" s="139"/>
      <c r="I22" s="139"/>
      <c r="J22" s="139"/>
    </row>
    <row r="23" spans="2:10" s="7" customFormat="1">
      <c r="B23" s="203" t="s">
        <v>605</v>
      </c>
      <c r="C23" s="202"/>
      <c r="D23" s="202"/>
      <c r="E23" s="202"/>
      <c r="F23" s="313"/>
      <c r="G23" s="313"/>
      <c r="H23" s="313"/>
      <c r="I23" s="313"/>
      <c r="J23" s="313"/>
    </row>
    <row r="24" spans="2:10" s="7" customFormat="1">
      <c r="F24" s="139"/>
      <c r="G24" s="139"/>
      <c r="H24" s="139"/>
      <c r="I24" s="139"/>
      <c r="J24" s="139"/>
    </row>
    <row r="25" spans="2:10">
      <c r="B25" s="140" t="s">
        <v>307</v>
      </c>
      <c r="C25" s="140" t="s">
        <v>606</v>
      </c>
      <c r="D25" s="140" t="s">
        <v>353</v>
      </c>
      <c r="E25" s="140" t="s">
        <v>607</v>
      </c>
      <c r="F25" s="314">
        <v>0</v>
      </c>
      <c r="G25" s="314">
        <v>0</v>
      </c>
      <c r="H25" s="314">
        <v>0</v>
      </c>
      <c r="I25" s="314">
        <v>0</v>
      </c>
      <c r="J25" s="314">
        <v>0</v>
      </c>
    </row>
    <row r="26" spans="2:10">
      <c r="B26" s="140" t="s">
        <v>307</v>
      </c>
      <c r="C26" s="140" t="s">
        <v>608</v>
      </c>
      <c r="D26" s="140" t="s">
        <v>353</v>
      </c>
      <c r="E26" s="140" t="s">
        <v>607</v>
      </c>
      <c r="F26" s="314">
        <v>0</v>
      </c>
      <c r="G26" s="314">
        <v>0</v>
      </c>
      <c r="H26" s="314">
        <v>0</v>
      </c>
      <c r="I26" s="314">
        <v>0</v>
      </c>
      <c r="J26" s="314">
        <v>0</v>
      </c>
    </row>
    <row r="27" spans="2:10">
      <c r="B27" s="140" t="s">
        <v>307</v>
      </c>
      <c r="C27" s="140" t="s">
        <v>609</v>
      </c>
      <c r="D27" s="140" t="s">
        <v>353</v>
      </c>
      <c r="E27" s="140" t="s">
        <v>607</v>
      </c>
      <c r="F27" s="314">
        <v>0</v>
      </c>
      <c r="G27" s="314">
        <v>0</v>
      </c>
      <c r="H27" s="314">
        <v>0</v>
      </c>
      <c r="I27" s="314">
        <v>0</v>
      </c>
      <c r="J27" s="314">
        <v>0</v>
      </c>
    </row>
    <row r="28" spans="2:10">
      <c r="B28" s="140" t="s">
        <v>307</v>
      </c>
      <c r="C28" s="140" t="s">
        <v>610</v>
      </c>
      <c r="D28" s="140" t="s">
        <v>353</v>
      </c>
      <c r="E28" s="140" t="s">
        <v>607</v>
      </c>
      <c r="F28" s="314">
        <v>0</v>
      </c>
      <c r="G28" s="314">
        <v>0</v>
      </c>
      <c r="H28" s="314">
        <v>0</v>
      </c>
      <c r="I28" s="314">
        <v>0</v>
      </c>
      <c r="J28" s="314">
        <v>0</v>
      </c>
    </row>
    <row r="29" spans="2:10">
      <c r="B29" s="140" t="s">
        <v>307</v>
      </c>
      <c r="C29" s="140" t="s">
        <v>611</v>
      </c>
      <c r="D29" s="140" t="s">
        <v>353</v>
      </c>
      <c r="E29" s="140" t="s">
        <v>607</v>
      </c>
      <c r="F29" s="314">
        <v>0</v>
      </c>
      <c r="G29" s="314">
        <v>0</v>
      </c>
      <c r="H29" s="314">
        <v>0</v>
      </c>
      <c r="I29" s="314">
        <v>0</v>
      </c>
      <c r="J29" s="314">
        <v>0</v>
      </c>
    </row>
    <row r="30" spans="2:10">
      <c r="B30" s="140" t="s">
        <v>307</v>
      </c>
      <c r="C30" s="140" t="s">
        <v>389</v>
      </c>
      <c r="D30" s="140" t="s">
        <v>353</v>
      </c>
      <c r="E30" s="140" t="s">
        <v>354</v>
      </c>
      <c r="F30" s="314">
        <v>3078.8400035719405</v>
      </c>
      <c r="G30" s="314">
        <v>0</v>
      </c>
      <c r="H30" s="314">
        <v>0</v>
      </c>
      <c r="I30" s="314">
        <v>0</v>
      </c>
      <c r="J30" s="314">
        <v>0</v>
      </c>
    </row>
    <row r="31" spans="2:10">
      <c r="B31" s="140"/>
      <c r="C31" s="140"/>
      <c r="D31" s="140"/>
      <c r="E31" s="140"/>
    </row>
    <row r="32" spans="2:10">
      <c r="B32" s="315" t="str">
        <f>B30</f>
        <v>Metering 5-6 - Direct</v>
      </c>
      <c r="C32" s="315"/>
      <c r="D32" s="315"/>
      <c r="E32" s="315"/>
      <c r="F32" s="316">
        <f>SUM(F25:F30)</f>
        <v>3078.8400035719405</v>
      </c>
      <c r="G32" s="316">
        <f t="shared" ref="G32:J32" si="0">SUM(G25:G30)</f>
        <v>0</v>
      </c>
      <c r="H32" s="316">
        <f t="shared" si="0"/>
        <v>0</v>
      </c>
      <c r="I32" s="316">
        <f t="shared" si="0"/>
        <v>0</v>
      </c>
      <c r="J32" s="316">
        <f t="shared" si="0"/>
        <v>0</v>
      </c>
    </row>
    <row r="33" spans="2:10" s="2" customFormat="1">
      <c r="B33" s="315" t="str">
        <f>B30</f>
        <v>Metering 5-6 - Direct</v>
      </c>
      <c r="C33" s="315" t="s">
        <v>4</v>
      </c>
      <c r="D33" s="315" t="s">
        <v>352</v>
      </c>
      <c r="E33" s="315" t="s">
        <v>3</v>
      </c>
      <c r="F33" s="316">
        <v>3078.8400035719405</v>
      </c>
      <c r="G33" s="316">
        <v>0</v>
      </c>
      <c r="H33" s="316">
        <v>0</v>
      </c>
      <c r="I33" s="316">
        <v>0</v>
      </c>
      <c r="J33" s="316">
        <v>0</v>
      </c>
    </row>
    <row r="34" spans="2:10">
      <c r="B34" s="317"/>
      <c r="C34" s="317"/>
      <c r="D34" s="317"/>
      <c r="E34" s="317"/>
      <c r="F34" s="318">
        <f>F32-F33</f>
        <v>0</v>
      </c>
      <c r="G34" s="318">
        <f>G32-G33</f>
        <v>0</v>
      </c>
      <c r="H34" s="318">
        <f>H32-H33</f>
        <v>0</v>
      </c>
      <c r="I34" s="318">
        <f>I32-I33</f>
        <v>0</v>
      </c>
      <c r="J34" s="318">
        <f>J32-J33</f>
        <v>0</v>
      </c>
    </row>
    <row r="35" spans="2:10">
      <c r="B35" s="317"/>
      <c r="C35" s="317"/>
      <c r="D35" s="317"/>
      <c r="E35" s="317"/>
      <c r="F35" s="318"/>
      <c r="G35" s="318"/>
      <c r="H35" s="318"/>
      <c r="I35" s="318"/>
      <c r="J35" s="318"/>
    </row>
    <row r="36" spans="2:10" s="7" customFormat="1">
      <c r="B36" s="203" t="s">
        <v>612</v>
      </c>
      <c r="C36" s="202"/>
      <c r="D36" s="202"/>
      <c r="E36" s="202"/>
      <c r="F36" s="313"/>
      <c r="G36" s="313"/>
      <c r="H36" s="313"/>
      <c r="I36" s="313"/>
      <c r="J36" s="313"/>
    </row>
    <row r="37" spans="2:10">
      <c r="B37" s="140"/>
      <c r="C37" s="140"/>
      <c r="D37" s="140"/>
      <c r="E37" s="140"/>
    </row>
    <row r="38" spans="2:10">
      <c r="B38" s="140" t="s">
        <v>308</v>
      </c>
      <c r="C38" s="140" t="s">
        <v>298</v>
      </c>
      <c r="D38" s="140" t="s">
        <v>355</v>
      </c>
      <c r="E38" s="140" t="s">
        <v>356</v>
      </c>
      <c r="F38" s="319">
        <v>-314136.81111600029</v>
      </c>
      <c r="G38" s="314">
        <v>0</v>
      </c>
      <c r="H38" s="314">
        <v>0</v>
      </c>
      <c r="I38" s="314">
        <v>0</v>
      </c>
      <c r="J38" s="314">
        <v>0</v>
      </c>
    </row>
    <row r="39" spans="2:10">
      <c r="B39" s="140" t="s">
        <v>308</v>
      </c>
      <c r="C39" s="140" t="s">
        <v>298</v>
      </c>
      <c r="D39" s="140" t="s">
        <v>358</v>
      </c>
      <c r="E39" s="140" t="s">
        <v>356</v>
      </c>
      <c r="F39" s="319">
        <v>-930.37040348937683</v>
      </c>
      <c r="G39" s="314">
        <v>0</v>
      </c>
      <c r="H39" s="314">
        <v>0</v>
      </c>
      <c r="I39" s="314">
        <v>0</v>
      </c>
      <c r="J39" s="314">
        <v>0</v>
      </c>
    </row>
    <row r="40" spans="2:10">
      <c r="B40" s="140" t="s">
        <v>308</v>
      </c>
      <c r="C40" s="140" t="s">
        <v>298</v>
      </c>
      <c r="D40" s="140" t="s">
        <v>353</v>
      </c>
      <c r="E40" s="140" t="s">
        <v>356</v>
      </c>
      <c r="F40" s="319">
        <v>-4435178.5518728979</v>
      </c>
      <c r="G40" s="314">
        <v>0</v>
      </c>
      <c r="H40" s="314">
        <v>0</v>
      </c>
      <c r="I40" s="314">
        <v>0</v>
      </c>
      <c r="J40" s="314">
        <v>0</v>
      </c>
    </row>
    <row r="41" spans="2:10">
      <c r="B41" s="140" t="s">
        <v>308</v>
      </c>
      <c r="C41" s="140" t="s">
        <v>298</v>
      </c>
      <c r="D41" s="140" t="s">
        <v>353</v>
      </c>
      <c r="E41" s="140" t="s">
        <v>354</v>
      </c>
      <c r="F41" s="319">
        <v>236079.80225075898</v>
      </c>
      <c r="G41" s="314">
        <v>0</v>
      </c>
      <c r="H41" s="314">
        <v>0</v>
      </c>
      <c r="I41" s="314">
        <v>0</v>
      </c>
      <c r="J41" s="314">
        <v>0</v>
      </c>
    </row>
    <row r="42" spans="2:10">
      <c r="B42" s="140" t="s">
        <v>308</v>
      </c>
      <c r="C42" s="140" t="s">
        <v>298</v>
      </c>
      <c r="D42" s="140" t="s">
        <v>613</v>
      </c>
      <c r="E42" s="140" t="s">
        <v>356</v>
      </c>
      <c r="F42" s="319">
        <v>4934785.4692146303</v>
      </c>
      <c r="G42" s="314">
        <v>0</v>
      </c>
      <c r="H42" s="314">
        <v>0</v>
      </c>
      <c r="I42" s="314">
        <v>0</v>
      </c>
      <c r="J42" s="314">
        <v>0</v>
      </c>
    </row>
    <row r="43" spans="2:10">
      <c r="B43" s="140" t="s">
        <v>308</v>
      </c>
      <c r="C43" s="140" t="s">
        <v>299</v>
      </c>
      <c r="D43" s="140" t="s">
        <v>355</v>
      </c>
      <c r="E43" s="140" t="s">
        <v>356</v>
      </c>
      <c r="F43" s="319">
        <v>314136.25700081768</v>
      </c>
      <c r="G43" s="314">
        <v>0</v>
      </c>
      <c r="H43" s="314">
        <v>0</v>
      </c>
      <c r="I43" s="314">
        <v>0</v>
      </c>
      <c r="J43" s="314">
        <v>0</v>
      </c>
    </row>
    <row r="44" spans="2:10">
      <c r="B44" s="140" t="s">
        <v>308</v>
      </c>
      <c r="C44" s="140" t="s">
        <v>299</v>
      </c>
      <c r="D44" s="140" t="s">
        <v>358</v>
      </c>
      <c r="E44" s="140" t="s">
        <v>364</v>
      </c>
      <c r="F44" s="319">
        <v>930.37040348937671</v>
      </c>
      <c r="G44" s="314">
        <v>0</v>
      </c>
      <c r="H44" s="314">
        <v>0</v>
      </c>
      <c r="I44" s="314">
        <v>0</v>
      </c>
      <c r="J44" s="314">
        <v>0</v>
      </c>
    </row>
    <row r="45" spans="2:10">
      <c r="B45" s="140" t="s">
        <v>308</v>
      </c>
      <c r="C45" s="140" t="s">
        <v>299</v>
      </c>
      <c r="D45" s="140" t="s">
        <v>353</v>
      </c>
      <c r="E45" s="140" t="s">
        <v>354</v>
      </c>
      <c r="F45" s="319">
        <v>4199098.7496221364</v>
      </c>
      <c r="G45" s="314">
        <v>0</v>
      </c>
      <c r="H45" s="314">
        <v>0</v>
      </c>
      <c r="I45" s="314">
        <v>0</v>
      </c>
      <c r="J45" s="314">
        <v>0</v>
      </c>
    </row>
    <row r="46" spans="2:10">
      <c r="B46" s="140" t="s">
        <v>308</v>
      </c>
      <c r="C46" s="140" t="s">
        <v>299</v>
      </c>
      <c r="D46" s="140" t="s">
        <v>613</v>
      </c>
      <c r="E46" s="140" t="s">
        <v>356</v>
      </c>
      <c r="F46" s="319">
        <v>0</v>
      </c>
      <c r="G46" s="314">
        <v>4389845.7689499389</v>
      </c>
      <c r="H46" s="314">
        <v>4512901.7748458143</v>
      </c>
      <c r="I46" s="314">
        <v>4642295.9954144228</v>
      </c>
      <c r="J46" s="314">
        <v>4774944.1854320327</v>
      </c>
    </row>
    <row r="47" spans="2:10">
      <c r="B47" s="140" t="s">
        <v>308</v>
      </c>
      <c r="C47" s="140" t="s">
        <v>301</v>
      </c>
      <c r="D47" s="140" t="s">
        <v>355</v>
      </c>
      <c r="E47" s="140" t="s">
        <v>356</v>
      </c>
      <c r="F47" s="314">
        <v>-41727.061886443233</v>
      </c>
      <c r="G47" s="314">
        <v>275214.23709492374</v>
      </c>
      <c r="H47" s="314">
        <v>286047.45696382038</v>
      </c>
      <c r="I47" s="314">
        <v>297840.86375495588</v>
      </c>
      <c r="J47" s="314">
        <v>310107.79133546044</v>
      </c>
    </row>
    <row r="48" spans="2:10">
      <c r="B48" s="140" t="s">
        <v>308</v>
      </c>
      <c r="C48" s="140" t="s">
        <v>301</v>
      </c>
      <c r="D48" s="140" t="s">
        <v>355</v>
      </c>
      <c r="E48" s="140" t="s">
        <v>361</v>
      </c>
      <c r="F48" s="314">
        <v>4357.3431068924092</v>
      </c>
      <c r="G48" s="314">
        <v>0</v>
      </c>
      <c r="H48" s="314">
        <v>0</v>
      </c>
      <c r="I48" s="314">
        <v>0</v>
      </c>
      <c r="J48" s="314">
        <v>0</v>
      </c>
    </row>
    <row r="49" spans="2:10">
      <c r="B49" s="140" t="s">
        <v>308</v>
      </c>
      <c r="C49" s="140" t="s">
        <v>301</v>
      </c>
      <c r="D49" s="140" t="s">
        <v>355</v>
      </c>
      <c r="E49" s="140" t="s">
        <v>357</v>
      </c>
      <c r="F49" s="314">
        <v>1272.747709715436</v>
      </c>
      <c r="G49" s="314">
        <v>0</v>
      </c>
      <c r="H49" s="314">
        <v>0</v>
      </c>
      <c r="I49" s="314">
        <v>0</v>
      </c>
      <c r="J49" s="314">
        <v>0</v>
      </c>
    </row>
    <row r="50" spans="2:10">
      <c r="B50" s="140" t="s">
        <v>308</v>
      </c>
      <c r="C50" s="140" t="s">
        <v>301</v>
      </c>
      <c r="D50" s="140" t="s">
        <v>358</v>
      </c>
      <c r="E50" s="140" t="s">
        <v>359</v>
      </c>
      <c r="F50" s="314">
        <v>6172.5055846404312</v>
      </c>
      <c r="G50" s="314">
        <v>0</v>
      </c>
      <c r="H50" s="314">
        <v>0</v>
      </c>
      <c r="I50" s="314">
        <v>0</v>
      </c>
      <c r="J50" s="314">
        <v>0</v>
      </c>
    </row>
    <row r="51" spans="2:10">
      <c r="B51" s="140" t="s">
        <v>308</v>
      </c>
      <c r="C51" s="140" t="s">
        <v>301</v>
      </c>
      <c r="D51" s="140" t="s">
        <v>360</v>
      </c>
      <c r="E51" s="140" t="s">
        <v>356</v>
      </c>
      <c r="F51" s="314">
        <v>829.92533488545223</v>
      </c>
      <c r="G51" s="314">
        <v>0</v>
      </c>
      <c r="H51" s="314">
        <v>0</v>
      </c>
      <c r="I51" s="314">
        <v>0</v>
      </c>
      <c r="J51" s="314">
        <v>0</v>
      </c>
    </row>
    <row r="52" spans="2:10">
      <c r="B52" s="140" t="s">
        <v>308</v>
      </c>
      <c r="C52" s="140" t="s">
        <v>301</v>
      </c>
      <c r="D52" s="140" t="s">
        <v>613</v>
      </c>
      <c r="E52" s="140" t="s">
        <v>356</v>
      </c>
      <c r="F52" s="314">
        <v>409312</v>
      </c>
      <c r="G52" s="314">
        <v>790164</v>
      </c>
      <c r="H52" s="314">
        <v>883700</v>
      </c>
      <c r="I52" s="314">
        <v>982360</v>
      </c>
      <c r="J52" s="314">
        <v>1094072</v>
      </c>
    </row>
    <row r="53" spans="2:10">
      <c r="B53" s="140" t="s">
        <v>308</v>
      </c>
      <c r="C53" s="140" t="s">
        <v>302</v>
      </c>
      <c r="D53" s="140" t="s">
        <v>355</v>
      </c>
      <c r="E53" s="140" t="s">
        <v>356</v>
      </c>
      <c r="F53" s="314">
        <v>92542.799951456225</v>
      </c>
      <c r="G53" s="314">
        <v>188884.3874421599</v>
      </c>
      <c r="H53" s="314">
        <v>195529.53084754248</v>
      </c>
      <c r="I53" s="314">
        <v>202942.59019727347</v>
      </c>
      <c r="J53" s="314">
        <v>210485.62640570535</v>
      </c>
    </row>
    <row r="54" spans="2:10">
      <c r="B54" s="140" t="s">
        <v>308</v>
      </c>
      <c r="C54" s="140" t="s">
        <v>302</v>
      </c>
      <c r="D54" s="140" t="s">
        <v>355</v>
      </c>
      <c r="E54" s="140" t="s">
        <v>357</v>
      </c>
      <c r="F54" s="314">
        <v>10756.110047372886</v>
      </c>
      <c r="G54" s="314">
        <v>0</v>
      </c>
      <c r="H54" s="314">
        <v>0</v>
      </c>
      <c r="I54" s="314">
        <v>0</v>
      </c>
      <c r="J54" s="314">
        <v>0</v>
      </c>
    </row>
    <row r="55" spans="2:10">
      <c r="B55" s="140" t="s">
        <v>308</v>
      </c>
      <c r="C55" s="140" t="s">
        <v>302</v>
      </c>
      <c r="D55" s="140" t="s">
        <v>613</v>
      </c>
      <c r="E55" s="140" t="s">
        <v>356</v>
      </c>
      <c r="F55" s="314">
        <v>-48619.620056406442</v>
      </c>
      <c r="G55" s="314">
        <v>21000</v>
      </c>
      <c r="H55" s="314">
        <v>21524.999999999996</v>
      </c>
      <c r="I55" s="314">
        <v>22063.124999999993</v>
      </c>
      <c r="J55" s="314">
        <v>22614.703124999989</v>
      </c>
    </row>
    <row r="56" spans="2:10">
      <c r="B56" s="140" t="s">
        <v>308</v>
      </c>
      <c r="C56" s="140" t="s">
        <v>302</v>
      </c>
      <c r="D56" s="140" t="s">
        <v>613</v>
      </c>
      <c r="E56" s="140" t="s">
        <v>362</v>
      </c>
      <c r="F56" s="314">
        <v>788.60525117200996</v>
      </c>
      <c r="G56" s="314">
        <v>0</v>
      </c>
      <c r="H56" s="314">
        <v>0</v>
      </c>
      <c r="I56" s="314">
        <v>0</v>
      </c>
      <c r="J56" s="314">
        <v>0</v>
      </c>
    </row>
    <row r="57" spans="2:10">
      <c r="B57" s="140" t="s">
        <v>308</v>
      </c>
      <c r="C57" s="140" t="s">
        <v>302</v>
      </c>
      <c r="D57" s="140" t="s">
        <v>613</v>
      </c>
      <c r="E57" s="140" t="s">
        <v>354</v>
      </c>
      <c r="F57" s="314">
        <v>440747.96249764017</v>
      </c>
      <c r="G57" s="314">
        <v>0</v>
      </c>
      <c r="H57" s="314">
        <v>0</v>
      </c>
      <c r="I57" s="314">
        <v>0</v>
      </c>
      <c r="J57" s="314">
        <v>0</v>
      </c>
    </row>
    <row r="58" spans="2:10">
      <c r="B58" s="140" t="s">
        <v>308</v>
      </c>
      <c r="C58" s="140" t="s">
        <v>302</v>
      </c>
      <c r="D58" s="140" t="s">
        <v>613</v>
      </c>
      <c r="E58" s="140" t="s">
        <v>614</v>
      </c>
      <c r="F58" s="314">
        <v>194458.99022560316</v>
      </c>
      <c r="G58" s="314">
        <v>578228.05008536472</v>
      </c>
      <c r="H58" s="314">
        <v>599718.11479138315</v>
      </c>
      <c r="I58" s="314">
        <v>623469.32498078677</v>
      </c>
      <c r="J58" s="314">
        <v>647824.41728530906</v>
      </c>
    </row>
    <row r="59" spans="2:10">
      <c r="B59" s="140" t="s">
        <v>308</v>
      </c>
      <c r="C59" s="140" t="s">
        <v>302</v>
      </c>
      <c r="D59" s="140" t="s">
        <v>613</v>
      </c>
      <c r="E59" s="140" t="s">
        <v>615</v>
      </c>
      <c r="F59" s="314">
        <v>68268.630079202398</v>
      </c>
      <c r="G59" s="314">
        <v>0</v>
      </c>
      <c r="H59" s="314">
        <v>0</v>
      </c>
      <c r="I59" s="314">
        <v>0</v>
      </c>
      <c r="J59" s="314">
        <v>0</v>
      </c>
    </row>
    <row r="60" spans="2:10">
      <c r="B60" s="140" t="s">
        <v>308</v>
      </c>
      <c r="C60" s="140" t="s">
        <v>303</v>
      </c>
      <c r="D60" s="140" t="s">
        <v>355</v>
      </c>
      <c r="E60" s="140" t="s">
        <v>356</v>
      </c>
      <c r="F60" s="314">
        <v>191875.9430038275</v>
      </c>
      <c r="G60" s="314">
        <v>256071.68892192314</v>
      </c>
      <c r="H60" s="314">
        <v>265300.31583730574</v>
      </c>
      <c r="I60" s="314">
        <v>275458.67949285731</v>
      </c>
      <c r="J60" s="314">
        <v>285890.04118146066</v>
      </c>
    </row>
    <row r="61" spans="2:10">
      <c r="B61" s="140" t="s">
        <v>308</v>
      </c>
      <c r="C61" s="140" t="s">
        <v>303</v>
      </c>
      <c r="D61" s="140" t="s">
        <v>355</v>
      </c>
      <c r="E61" s="140" t="s">
        <v>363</v>
      </c>
      <c r="F61" s="314">
        <v>110011.64856848758</v>
      </c>
      <c r="G61" s="314">
        <v>0</v>
      </c>
      <c r="H61" s="314">
        <v>0</v>
      </c>
      <c r="I61" s="314">
        <v>0</v>
      </c>
      <c r="J61" s="314">
        <v>0</v>
      </c>
    </row>
    <row r="62" spans="2:10">
      <c r="B62" s="140" t="s">
        <v>308</v>
      </c>
      <c r="C62" s="140" t="s">
        <v>303</v>
      </c>
      <c r="D62" s="140" t="s">
        <v>355</v>
      </c>
      <c r="E62" s="140" t="s">
        <v>357</v>
      </c>
      <c r="F62" s="314">
        <v>56156.274453629594</v>
      </c>
      <c r="G62" s="314">
        <v>0</v>
      </c>
      <c r="H62" s="314">
        <v>0</v>
      </c>
      <c r="I62" s="314">
        <v>0</v>
      </c>
      <c r="J62" s="314">
        <v>0</v>
      </c>
    </row>
    <row r="63" spans="2:10">
      <c r="B63" s="140" t="s">
        <v>308</v>
      </c>
      <c r="C63" s="140" t="s">
        <v>303</v>
      </c>
      <c r="D63" s="140" t="s">
        <v>355</v>
      </c>
      <c r="E63" s="140" t="s">
        <v>440</v>
      </c>
      <c r="F63" s="314">
        <v>1146.1985834480236</v>
      </c>
      <c r="G63" s="314">
        <v>0</v>
      </c>
      <c r="H63" s="314">
        <v>0</v>
      </c>
      <c r="I63" s="314">
        <v>0</v>
      </c>
      <c r="J63" s="314">
        <v>0</v>
      </c>
    </row>
    <row r="64" spans="2:10">
      <c r="B64" s="140" t="s">
        <v>308</v>
      </c>
      <c r="C64" s="140" t="s">
        <v>303</v>
      </c>
      <c r="D64" s="140" t="s">
        <v>358</v>
      </c>
      <c r="E64" s="140" t="s">
        <v>364</v>
      </c>
      <c r="F64" s="314">
        <v>191.41975540389134</v>
      </c>
      <c r="G64" s="314">
        <v>0</v>
      </c>
      <c r="H64" s="314">
        <v>0</v>
      </c>
      <c r="I64" s="314">
        <v>0</v>
      </c>
      <c r="J64" s="314">
        <v>0</v>
      </c>
    </row>
    <row r="65" spans="2:10">
      <c r="B65" s="140" t="s">
        <v>308</v>
      </c>
      <c r="C65" s="140" t="s">
        <v>303</v>
      </c>
      <c r="D65" s="140" t="s">
        <v>360</v>
      </c>
      <c r="E65" s="140" t="s">
        <v>356</v>
      </c>
      <c r="F65" s="314">
        <v>698.5772839414999</v>
      </c>
      <c r="G65" s="314">
        <v>0</v>
      </c>
      <c r="H65" s="314">
        <v>0</v>
      </c>
      <c r="I65" s="314">
        <v>0</v>
      </c>
      <c r="J65" s="314">
        <v>0</v>
      </c>
    </row>
    <row r="66" spans="2:10">
      <c r="B66" s="140" t="s">
        <v>308</v>
      </c>
      <c r="C66" s="140" t="s">
        <v>303</v>
      </c>
      <c r="D66" s="140" t="s">
        <v>613</v>
      </c>
      <c r="E66" s="140" t="s">
        <v>356</v>
      </c>
      <c r="F66" s="314">
        <v>478150.47404327604</v>
      </c>
      <c r="G66" s="314">
        <v>873959.66841767845</v>
      </c>
      <c r="H66" s="314">
        <v>905181.92170218984</v>
      </c>
      <c r="I66" s="314">
        <v>939481.81309961737</v>
      </c>
      <c r="J66" s="314">
        <v>974652.66247112153</v>
      </c>
    </row>
    <row r="67" spans="2:10">
      <c r="B67" s="140" t="s">
        <v>308</v>
      </c>
      <c r="C67" s="140" t="s">
        <v>303</v>
      </c>
      <c r="D67" s="140" t="s">
        <v>613</v>
      </c>
      <c r="E67" s="140" t="s">
        <v>361</v>
      </c>
      <c r="F67" s="314">
        <v>13895.463079690289</v>
      </c>
      <c r="G67" s="314">
        <v>0</v>
      </c>
      <c r="H67" s="314">
        <v>0</v>
      </c>
      <c r="I67" s="314">
        <v>0</v>
      </c>
      <c r="J67" s="314">
        <v>0</v>
      </c>
    </row>
    <row r="68" spans="2:10">
      <c r="B68" s="140" t="s">
        <v>308</v>
      </c>
      <c r="C68" s="140" t="s">
        <v>303</v>
      </c>
      <c r="D68" s="140" t="s">
        <v>613</v>
      </c>
      <c r="E68" s="140" t="s">
        <v>354</v>
      </c>
      <c r="F68" s="314">
        <v>1100089.7682067479</v>
      </c>
      <c r="G68" s="314">
        <v>0</v>
      </c>
      <c r="H68" s="314">
        <v>0</v>
      </c>
      <c r="I68" s="314">
        <v>0</v>
      </c>
      <c r="J68" s="314">
        <v>0</v>
      </c>
    </row>
    <row r="69" spans="2:10">
      <c r="B69" s="140" t="s">
        <v>308</v>
      </c>
      <c r="C69" s="140" t="s">
        <v>303</v>
      </c>
      <c r="D69" s="140" t="s">
        <v>613</v>
      </c>
      <c r="E69" s="140" t="s">
        <v>363</v>
      </c>
      <c r="F69" s="314">
        <v>187.71469720660338</v>
      </c>
      <c r="G69" s="314">
        <v>0</v>
      </c>
      <c r="H69" s="314">
        <v>0</v>
      </c>
      <c r="I69" s="314">
        <v>0</v>
      </c>
      <c r="J69" s="314">
        <v>0</v>
      </c>
    </row>
    <row r="70" spans="2:10">
      <c r="B70" s="140" t="s">
        <v>308</v>
      </c>
      <c r="C70" s="140" t="s">
        <v>303</v>
      </c>
      <c r="D70" s="140" t="s">
        <v>613</v>
      </c>
      <c r="E70" s="140" t="s">
        <v>614</v>
      </c>
      <c r="F70" s="314">
        <v>9846.3700114233434</v>
      </c>
      <c r="G70" s="314">
        <v>32109.56464606485</v>
      </c>
      <c r="H70" s="314">
        <v>33315.479483303621</v>
      </c>
      <c r="I70" s="314">
        <v>34650.347457500888</v>
      </c>
      <c r="J70" s="314">
        <v>36019.166120875132</v>
      </c>
    </row>
    <row r="71" spans="2:10">
      <c r="B71" s="140" t="s">
        <v>308</v>
      </c>
      <c r="C71" s="140" t="s">
        <v>303</v>
      </c>
      <c r="D71" s="140" t="s">
        <v>613</v>
      </c>
      <c r="E71" s="140" t="s">
        <v>615</v>
      </c>
      <c r="F71" s="314">
        <v>100392.57011647124</v>
      </c>
      <c r="G71" s="314">
        <v>480809.14668745711</v>
      </c>
      <c r="H71" s="314">
        <v>498176.78575932042</v>
      </c>
      <c r="I71" s="314">
        <v>517289.09230732854</v>
      </c>
      <c r="J71" s="314">
        <v>536886.88579146494</v>
      </c>
    </row>
    <row r="72" spans="2:10">
      <c r="B72" s="140" t="s">
        <v>308</v>
      </c>
      <c r="C72" s="140" t="s">
        <v>303</v>
      </c>
      <c r="D72" s="140" t="s">
        <v>613</v>
      </c>
      <c r="E72" s="140" t="s">
        <v>616</v>
      </c>
      <c r="F72" s="314">
        <v>348960.07040484878</v>
      </c>
      <c r="G72" s="314">
        <v>907672.2935504677</v>
      </c>
      <c r="H72" s="314">
        <v>940088.56862512243</v>
      </c>
      <c r="I72" s="314">
        <v>975698.40157350944</v>
      </c>
      <c r="J72" s="314">
        <v>1012212.4453924814</v>
      </c>
    </row>
    <row r="73" spans="2:10">
      <c r="B73" s="140" t="s">
        <v>308</v>
      </c>
      <c r="C73" s="140" t="s">
        <v>303</v>
      </c>
      <c r="D73" s="140" t="s">
        <v>613</v>
      </c>
      <c r="E73" s="140" t="s">
        <v>617</v>
      </c>
      <c r="F73" s="314">
        <v>45313.620052570957</v>
      </c>
      <c r="G73" s="314">
        <v>130132.86209188642</v>
      </c>
      <c r="H73" s="314">
        <v>134701.68577260911</v>
      </c>
      <c r="I73" s="314">
        <v>139707.11686320783</v>
      </c>
      <c r="J73" s="314">
        <v>144839.57288833815</v>
      </c>
    </row>
    <row r="74" spans="2:10">
      <c r="B74" s="140" t="s">
        <v>308</v>
      </c>
      <c r="C74" s="140" t="s">
        <v>304</v>
      </c>
      <c r="D74" s="140" t="s">
        <v>613</v>
      </c>
      <c r="E74" s="140" t="s">
        <v>356</v>
      </c>
      <c r="F74" s="314">
        <v>-3017.0200035002204</v>
      </c>
      <c r="G74" s="314">
        <v>0</v>
      </c>
      <c r="H74" s="314">
        <v>0</v>
      </c>
      <c r="I74" s="314">
        <v>0</v>
      </c>
      <c r="J74" s="314">
        <v>0</v>
      </c>
    </row>
    <row r="75" spans="2:10">
      <c r="B75" s="140" t="s">
        <v>308</v>
      </c>
      <c r="C75" s="140" t="s">
        <v>305</v>
      </c>
      <c r="D75" s="140" t="s">
        <v>355</v>
      </c>
      <c r="E75" s="140" t="s">
        <v>356</v>
      </c>
      <c r="F75" s="314">
        <v>314140.23827962833</v>
      </c>
      <c r="G75" s="314">
        <v>405969.87036002055</v>
      </c>
      <c r="H75" s="314">
        <v>420256.63336376759</v>
      </c>
      <c r="I75" s="314">
        <v>436103.32310916041</v>
      </c>
      <c r="J75" s="314">
        <v>452262.09158560378</v>
      </c>
    </row>
    <row r="76" spans="2:10">
      <c r="B76" s="140" t="s">
        <v>308</v>
      </c>
      <c r="C76" s="140" t="s">
        <v>305</v>
      </c>
      <c r="D76" s="140" t="s">
        <v>355</v>
      </c>
      <c r="E76" s="140" t="s">
        <v>357</v>
      </c>
      <c r="F76" s="314">
        <v>34143.571997325394</v>
      </c>
      <c r="G76" s="314">
        <v>0</v>
      </c>
      <c r="H76" s="314">
        <v>0</v>
      </c>
      <c r="I76" s="314">
        <v>0</v>
      </c>
      <c r="J76" s="314">
        <v>0</v>
      </c>
    </row>
    <row r="77" spans="2:10">
      <c r="B77" s="140" t="s">
        <v>308</v>
      </c>
      <c r="C77" s="140" t="s">
        <v>305</v>
      </c>
      <c r="D77" s="140" t="s">
        <v>355</v>
      </c>
      <c r="E77" s="140" t="s">
        <v>440</v>
      </c>
      <c r="F77" s="314">
        <v>1073.3853165060018</v>
      </c>
      <c r="G77" s="314">
        <v>0</v>
      </c>
      <c r="H77" s="314">
        <v>0</v>
      </c>
      <c r="I77" s="314">
        <v>0</v>
      </c>
      <c r="J77" s="314">
        <v>0</v>
      </c>
    </row>
    <row r="78" spans="2:10">
      <c r="B78" s="140" t="s">
        <v>308</v>
      </c>
      <c r="C78" s="140" t="s">
        <v>305</v>
      </c>
      <c r="D78" s="140" t="s">
        <v>360</v>
      </c>
      <c r="E78" s="140" t="s">
        <v>356</v>
      </c>
      <c r="F78" s="314">
        <v>308.44026413338702</v>
      </c>
      <c r="G78" s="314">
        <v>0</v>
      </c>
      <c r="H78" s="314">
        <v>0</v>
      </c>
      <c r="I78" s="314">
        <v>0</v>
      </c>
      <c r="J78" s="314">
        <v>0</v>
      </c>
    </row>
    <row r="79" spans="2:10">
      <c r="B79" s="140" t="s">
        <v>308</v>
      </c>
      <c r="C79" s="140" t="s">
        <v>305</v>
      </c>
      <c r="D79" s="140" t="s">
        <v>613</v>
      </c>
      <c r="E79" s="140" t="s">
        <v>356</v>
      </c>
      <c r="F79" s="314">
        <v>311406.15840624977</v>
      </c>
      <c r="G79" s="314">
        <v>562457.79764290911</v>
      </c>
      <c r="H79" s="314">
        <v>582074.02459313569</v>
      </c>
      <c r="I79" s="314">
        <v>603541.95375714602</v>
      </c>
      <c r="J79" s="314">
        <v>625554.55822347524</v>
      </c>
    </row>
    <row r="80" spans="2:10">
      <c r="B80" s="140" t="s">
        <v>308</v>
      </c>
      <c r="C80" s="140" t="s">
        <v>305</v>
      </c>
      <c r="D80" s="140" t="s">
        <v>613</v>
      </c>
      <c r="E80" s="140" t="s">
        <v>361</v>
      </c>
      <c r="F80" s="314">
        <v>3207.3694020718603</v>
      </c>
      <c r="G80" s="314">
        <v>0</v>
      </c>
      <c r="H80" s="314">
        <v>0</v>
      </c>
      <c r="I80" s="314">
        <v>0</v>
      </c>
      <c r="J80" s="314">
        <v>0</v>
      </c>
    </row>
    <row r="81" spans="2:10">
      <c r="B81" s="140" t="s">
        <v>308</v>
      </c>
      <c r="C81" s="140" t="s">
        <v>305</v>
      </c>
      <c r="D81" s="140" t="s">
        <v>613</v>
      </c>
      <c r="E81" s="140" t="s">
        <v>354</v>
      </c>
      <c r="F81" s="314">
        <v>620131.30349536217</v>
      </c>
      <c r="G81" s="314">
        <v>0</v>
      </c>
      <c r="H81" s="314">
        <v>0</v>
      </c>
      <c r="I81" s="314">
        <v>0</v>
      </c>
      <c r="J81" s="314">
        <v>0</v>
      </c>
    </row>
    <row r="82" spans="2:10">
      <c r="B82" s="140" t="s">
        <v>308</v>
      </c>
      <c r="C82" s="140" t="s">
        <v>305</v>
      </c>
      <c r="D82" s="140" t="s">
        <v>613</v>
      </c>
      <c r="E82" s="140" t="s">
        <v>615</v>
      </c>
      <c r="F82" s="314">
        <v>18144.370021050338</v>
      </c>
      <c r="G82" s="314">
        <v>53610.478944949646</v>
      </c>
      <c r="H82" s="314">
        <v>55623.887494825904</v>
      </c>
      <c r="I82" s="314">
        <v>57852.597607024843</v>
      </c>
      <c r="J82" s="314">
        <v>60137.992159743342</v>
      </c>
    </row>
    <row r="83" spans="2:10">
      <c r="B83" s="140" t="s">
        <v>308</v>
      </c>
      <c r="C83" s="140" t="s">
        <v>305</v>
      </c>
      <c r="D83" s="140" t="s">
        <v>613</v>
      </c>
      <c r="E83" s="140" t="s">
        <v>616</v>
      </c>
      <c r="F83" s="314">
        <v>151310.94017554459</v>
      </c>
      <c r="G83" s="314">
        <v>454521.63799459254</v>
      </c>
      <c r="H83" s="314">
        <v>471215.07876152697</v>
      </c>
      <c r="I83" s="314">
        <v>489632.16330480442</v>
      </c>
      <c r="J83" s="314">
        <v>508517.32980564405</v>
      </c>
    </row>
    <row r="84" spans="2:10">
      <c r="B84" s="140" t="s">
        <v>308</v>
      </c>
      <c r="C84" s="140" t="s">
        <v>306</v>
      </c>
      <c r="D84" s="140" t="s">
        <v>355</v>
      </c>
      <c r="E84" s="140" t="s">
        <v>356</v>
      </c>
      <c r="F84" s="314">
        <v>27825.488808381822</v>
      </c>
      <c r="G84" s="314">
        <v>170609.69780211104</v>
      </c>
      <c r="H84" s="314">
        <v>177269.13703507662</v>
      </c>
      <c r="I84" s="314">
        <v>184591.58320202318</v>
      </c>
      <c r="J84" s="314">
        <v>192215.28780365389</v>
      </c>
    </row>
    <row r="85" spans="2:10">
      <c r="B85" s="140" t="s">
        <v>308</v>
      </c>
      <c r="C85" s="140" t="s">
        <v>306</v>
      </c>
      <c r="D85" s="140" t="s">
        <v>355</v>
      </c>
      <c r="E85" s="140" t="s">
        <v>354</v>
      </c>
      <c r="F85" s="314">
        <v>19255.545751859016</v>
      </c>
      <c r="G85" s="314">
        <v>0</v>
      </c>
      <c r="H85" s="314">
        <v>0</v>
      </c>
      <c r="I85" s="314">
        <v>0</v>
      </c>
      <c r="J85" s="314">
        <v>0</v>
      </c>
    </row>
    <row r="86" spans="2:10">
      <c r="B86" s="140" t="s">
        <v>308</v>
      </c>
      <c r="C86" s="140" t="s">
        <v>306</v>
      </c>
      <c r="D86" s="140" t="s">
        <v>355</v>
      </c>
      <c r="E86" s="140" t="s">
        <v>357</v>
      </c>
      <c r="F86" s="314">
        <v>7186.3244826780019</v>
      </c>
      <c r="G86" s="314">
        <v>0</v>
      </c>
      <c r="H86" s="314">
        <v>0</v>
      </c>
      <c r="I86" s="314">
        <v>0</v>
      </c>
      <c r="J86" s="314">
        <v>0</v>
      </c>
    </row>
    <row r="87" spans="2:10">
      <c r="B87" s="140" t="s">
        <v>308</v>
      </c>
      <c r="C87" s="140" t="s">
        <v>306</v>
      </c>
      <c r="D87" s="140" t="s">
        <v>358</v>
      </c>
      <c r="E87" s="140" t="s">
        <v>359</v>
      </c>
      <c r="F87" s="314">
        <v>35961.09276367</v>
      </c>
      <c r="G87" s="314">
        <v>0</v>
      </c>
      <c r="H87" s="314">
        <v>0</v>
      </c>
      <c r="I87" s="314">
        <v>0</v>
      </c>
      <c r="J87" s="314">
        <v>0</v>
      </c>
    </row>
    <row r="88" spans="2:10">
      <c r="B88" s="140" t="s">
        <v>308</v>
      </c>
      <c r="C88" s="140" t="s">
        <v>306</v>
      </c>
      <c r="D88" s="140" t="s">
        <v>360</v>
      </c>
      <c r="E88" s="140" t="s">
        <v>356</v>
      </c>
      <c r="F88" s="314">
        <v>394.37573590597668</v>
      </c>
      <c r="G88" s="314">
        <v>0</v>
      </c>
      <c r="H88" s="314">
        <v>0</v>
      </c>
      <c r="I88" s="314">
        <v>0</v>
      </c>
      <c r="J88" s="314">
        <v>0</v>
      </c>
    </row>
    <row r="89" spans="2:10">
      <c r="B89" s="140" t="s">
        <v>308</v>
      </c>
      <c r="C89" s="140" t="s">
        <v>306</v>
      </c>
      <c r="D89" s="140" t="s">
        <v>613</v>
      </c>
      <c r="E89" s="140" t="s">
        <v>356</v>
      </c>
      <c r="F89" s="314">
        <v>469041.03960072435</v>
      </c>
      <c r="G89" s="314">
        <v>722781.63362466241</v>
      </c>
      <c r="H89" s="314">
        <v>749926.60135247861</v>
      </c>
      <c r="I89" s="314">
        <v>779974.2854521689</v>
      </c>
      <c r="J89" s="314">
        <v>810786.19463110005</v>
      </c>
    </row>
    <row r="90" spans="2:10">
      <c r="B90" s="140"/>
      <c r="C90" s="140"/>
      <c r="D90" s="140"/>
      <c r="E90" s="140"/>
    </row>
    <row r="91" spans="2:10">
      <c r="B91" s="315" t="str">
        <f>B88</f>
        <v>Metering 5-6 - Specific</v>
      </c>
      <c r="C91" s="315"/>
      <c r="D91" s="315"/>
      <c r="E91" s="315"/>
      <c r="F91" s="316">
        <f>SUM(F38:F89)</f>
        <v>10541374.589703742</v>
      </c>
      <c r="G91" s="316">
        <f>SUM(G38:G89)</f>
        <v>11294042.78425711</v>
      </c>
      <c r="H91" s="316">
        <f>SUM(H38:H89)</f>
        <v>11732551.997229228</v>
      </c>
      <c r="I91" s="316">
        <f>SUM(I38:I89)</f>
        <v>12204953.256573787</v>
      </c>
      <c r="J91" s="316">
        <f>SUM(J38:J89)</f>
        <v>12700022.951638471</v>
      </c>
    </row>
    <row r="92" spans="2:10" s="2" customFormat="1">
      <c r="B92" s="315" t="str">
        <f>B88</f>
        <v>Metering 5-6 - Specific</v>
      </c>
      <c r="C92" s="315" t="s">
        <v>4</v>
      </c>
      <c r="D92" s="315" t="s">
        <v>352</v>
      </c>
      <c r="E92" s="315" t="s">
        <v>3</v>
      </c>
      <c r="F92" s="316">
        <v>10541374.589703739</v>
      </c>
      <c r="G92" s="316">
        <v>12872727.648205653</v>
      </c>
      <c r="H92" s="316">
        <v>13393301.833392866</v>
      </c>
      <c r="I92" s="316">
        <v>13955158.598451432</v>
      </c>
      <c r="J92" s="316">
        <v>14543266.909386508</v>
      </c>
    </row>
    <row r="93" spans="2:10">
      <c r="B93" s="317"/>
      <c r="C93" s="317"/>
      <c r="D93" s="317"/>
      <c r="E93" s="317"/>
      <c r="F93" s="318">
        <f>F91-F92</f>
        <v>0</v>
      </c>
      <c r="G93" s="318">
        <f>G91-G92</f>
        <v>-1578684.8639485426</v>
      </c>
      <c r="H93" s="318">
        <f>H91-H92</f>
        <v>-1660749.8361636382</v>
      </c>
      <c r="I93" s="318">
        <f>I91-I92</f>
        <v>-1750205.3418776449</v>
      </c>
      <c r="J93" s="318">
        <f>J91-J92</f>
        <v>-1843243.9577480368</v>
      </c>
    </row>
    <row r="94" spans="2:10">
      <c r="B94" s="317"/>
      <c r="C94" s="317"/>
      <c r="D94" s="317"/>
      <c r="E94" s="317"/>
      <c r="F94" s="318"/>
      <c r="G94" s="318"/>
      <c r="H94" s="318"/>
      <c r="I94" s="318"/>
      <c r="J94" s="318"/>
    </row>
    <row r="95" spans="2:10" s="7" customFormat="1">
      <c r="B95" s="203" t="s">
        <v>618</v>
      </c>
      <c r="C95" s="202"/>
      <c r="D95" s="202"/>
      <c r="E95" s="202"/>
      <c r="F95" s="313"/>
      <c r="G95" s="313"/>
      <c r="H95" s="313"/>
      <c r="I95" s="313"/>
      <c r="J95" s="313"/>
    </row>
    <row r="96" spans="2:10">
      <c r="B96" s="140"/>
      <c r="C96" s="140"/>
      <c r="D96" s="140"/>
      <c r="E96" s="140"/>
    </row>
    <row r="97" spans="2:10">
      <c r="B97" s="140" t="s">
        <v>309</v>
      </c>
      <c r="C97" s="140" t="s">
        <v>365</v>
      </c>
      <c r="D97" s="140" t="s">
        <v>355</v>
      </c>
      <c r="E97" s="140" t="s">
        <v>356</v>
      </c>
      <c r="F97" s="314">
        <v>-543.68583153757447</v>
      </c>
      <c r="G97" s="314">
        <v>-2551.560647585994</v>
      </c>
      <c r="H97" s="314">
        <v>-2963.58045901892</v>
      </c>
      <c r="I97" s="314">
        <v>-2333.8092483291634</v>
      </c>
      <c r="J97" s="314">
        <v>-3311.1524521578203</v>
      </c>
    </row>
    <row r="98" spans="2:10">
      <c r="B98" s="140" t="s">
        <v>309</v>
      </c>
      <c r="C98" s="140" t="s">
        <v>365</v>
      </c>
      <c r="D98" s="140" t="s">
        <v>358</v>
      </c>
      <c r="E98" s="140" t="s">
        <v>619</v>
      </c>
      <c r="F98" s="314">
        <v>0.36075155014588878</v>
      </c>
      <c r="G98" s="314">
        <v>0</v>
      </c>
      <c r="H98" s="314">
        <v>0</v>
      </c>
      <c r="I98" s="314">
        <v>0</v>
      </c>
      <c r="J98" s="314">
        <v>0</v>
      </c>
    </row>
    <row r="99" spans="2:10">
      <c r="B99" s="140" t="s">
        <v>309</v>
      </c>
      <c r="C99" s="140" t="s">
        <v>365</v>
      </c>
      <c r="D99" s="140" t="s">
        <v>358</v>
      </c>
      <c r="E99" s="140" t="s">
        <v>364</v>
      </c>
      <c r="F99" s="314">
        <v>1.7421796858301943E-2</v>
      </c>
      <c r="G99" s="314">
        <v>0</v>
      </c>
      <c r="H99" s="314">
        <v>0</v>
      </c>
      <c r="I99" s="314">
        <v>0</v>
      </c>
      <c r="J99" s="314">
        <v>0</v>
      </c>
    </row>
    <row r="100" spans="2:10">
      <c r="B100" s="140" t="s">
        <v>309</v>
      </c>
      <c r="C100" s="140" t="s">
        <v>365</v>
      </c>
      <c r="D100" s="140" t="s">
        <v>358</v>
      </c>
      <c r="E100" s="140" t="s">
        <v>359</v>
      </c>
      <c r="F100" s="314">
        <v>0.32983084574120647</v>
      </c>
      <c r="G100" s="314">
        <v>0</v>
      </c>
      <c r="H100" s="314">
        <v>0</v>
      </c>
      <c r="I100" s="314">
        <v>0</v>
      </c>
      <c r="J100" s="314">
        <v>0</v>
      </c>
    </row>
    <row r="101" spans="2:10">
      <c r="B101" s="140" t="s">
        <v>309</v>
      </c>
      <c r="C101" s="140" t="s">
        <v>365</v>
      </c>
      <c r="D101" s="140" t="s">
        <v>358</v>
      </c>
      <c r="E101" s="140" t="s">
        <v>357</v>
      </c>
      <c r="F101" s="314">
        <v>0.19336708333695796</v>
      </c>
      <c r="G101" s="314">
        <v>0</v>
      </c>
      <c r="H101" s="314">
        <v>0</v>
      </c>
      <c r="I101" s="314">
        <v>0</v>
      </c>
      <c r="J101" s="314">
        <v>0</v>
      </c>
    </row>
    <row r="102" spans="2:10">
      <c r="B102" s="140" t="s">
        <v>309</v>
      </c>
      <c r="C102" s="140" t="s">
        <v>365</v>
      </c>
      <c r="D102" s="140" t="s">
        <v>428</v>
      </c>
      <c r="E102" s="140" t="s">
        <v>620</v>
      </c>
      <c r="F102" s="314">
        <v>3.6291687207309029</v>
      </c>
      <c r="G102" s="314">
        <v>0</v>
      </c>
      <c r="H102" s="314">
        <v>0</v>
      </c>
      <c r="I102" s="314">
        <v>0</v>
      </c>
      <c r="J102" s="314">
        <v>0</v>
      </c>
    </row>
    <row r="103" spans="2:10">
      <c r="B103" s="140" t="s">
        <v>309</v>
      </c>
      <c r="C103" s="140" t="s">
        <v>621</v>
      </c>
      <c r="D103" s="140" t="s">
        <v>355</v>
      </c>
      <c r="E103" s="140" t="s">
        <v>356</v>
      </c>
      <c r="F103" s="314">
        <v>33.295382051233489</v>
      </c>
      <c r="G103" s="314">
        <v>0</v>
      </c>
      <c r="H103" s="314">
        <v>0</v>
      </c>
      <c r="I103" s="314">
        <v>0</v>
      </c>
      <c r="J103" s="314">
        <v>0</v>
      </c>
    </row>
    <row r="104" spans="2:10">
      <c r="B104" s="140" t="s">
        <v>309</v>
      </c>
      <c r="C104" s="140" t="s">
        <v>621</v>
      </c>
      <c r="D104" s="140" t="s">
        <v>358</v>
      </c>
      <c r="E104" s="140" t="s">
        <v>364</v>
      </c>
      <c r="F104" s="314">
        <v>0</v>
      </c>
      <c r="G104" s="314">
        <v>0</v>
      </c>
      <c r="H104" s="314">
        <v>0</v>
      </c>
      <c r="I104" s="314">
        <v>0</v>
      </c>
      <c r="J104" s="314">
        <v>0</v>
      </c>
    </row>
    <row r="105" spans="2:10">
      <c r="B105" s="140" t="s">
        <v>309</v>
      </c>
      <c r="C105" s="140" t="s">
        <v>366</v>
      </c>
      <c r="D105" s="140" t="s">
        <v>355</v>
      </c>
      <c r="E105" s="140" t="s">
        <v>356</v>
      </c>
      <c r="F105" s="314">
        <v>-14300.412404587998</v>
      </c>
      <c r="G105" s="314">
        <v>-18023.678188824662</v>
      </c>
      <c r="H105" s="314">
        <v>-21981.576474226324</v>
      </c>
      <c r="I105" s="314">
        <v>-17634.204244254975</v>
      </c>
      <c r="J105" s="314">
        <v>-25478.520344479177</v>
      </c>
    </row>
    <row r="106" spans="2:10">
      <c r="B106" s="140" t="s">
        <v>309</v>
      </c>
      <c r="C106" s="140" t="s">
        <v>622</v>
      </c>
      <c r="D106" s="140" t="s">
        <v>355</v>
      </c>
      <c r="E106" s="140" t="s">
        <v>356</v>
      </c>
      <c r="F106" s="314">
        <v>4.6683671315424515</v>
      </c>
      <c r="G106" s="314">
        <v>0</v>
      </c>
      <c r="H106" s="314">
        <v>0</v>
      </c>
      <c r="I106" s="314">
        <v>0</v>
      </c>
      <c r="J106" s="314">
        <v>0</v>
      </c>
    </row>
    <row r="107" spans="2:10">
      <c r="B107" s="140" t="s">
        <v>309</v>
      </c>
      <c r="C107" s="140" t="s">
        <v>622</v>
      </c>
      <c r="D107" s="140" t="s">
        <v>358</v>
      </c>
      <c r="E107" s="140" t="s">
        <v>359</v>
      </c>
      <c r="F107" s="314">
        <v>13.201131624926262</v>
      </c>
      <c r="G107" s="314">
        <v>0</v>
      </c>
      <c r="H107" s="314">
        <v>0</v>
      </c>
      <c r="I107" s="314">
        <v>0</v>
      </c>
      <c r="J107" s="314">
        <v>0</v>
      </c>
    </row>
    <row r="108" spans="2:10">
      <c r="B108" s="140" t="s">
        <v>309</v>
      </c>
      <c r="C108" s="140" t="s">
        <v>623</v>
      </c>
      <c r="D108" s="140" t="s">
        <v>355</v>
      </c>
      <c r="E108" s="140" t="s">
        <v>356</v>
      </c>
      <c r="F108" s="314">
        <v>19.125712052380283</v>
      </c>
      <c r="G108" s="314">
        <v>0</v>
      </c>
      <c r="H108" s="314">
        <v>0</v>
      </c>
      <c r="I108" s="314">
        <v>0</v>
      </c>
      <c r="J108" s="314">
        <v>0</v>
      </c>
    </row>
    <row r="109" spans="2:10">
      <c r="B109" s="140" t="s">
        <v>309</v>
      </c>
      <c r="C109" s="140" t="s">
        <v>623</v>
      </c>
      <c r="D109" s="140" t="s">
        <v>355</v>
      </c>
      <c r="E109" s="140" t="s">
        <v>624</v>
      </c>
      <c r="F109" s="314">
        <v>2.3205055656644524E-3</v>
      </c>
      <c r="G109" s="314">
        <v>0</v>
      </c>
      <c r="H109" s="314">
        <v>0</v>
      </c>
      <c r="I109" s="314">
        <v>0</v>
      </c>
      <c r="J109" s="314">
        <v>0</v>
      </c>
    </row>
    <row r="110" spans="2:10">
      <c r="B110" s="140" t="s">
        <v>309</v>
      </c>
      <c r="C110" s="140" t="s">
        <v>623</v>
      </c>
      <c r="D110" s="140" t="s">
        <v>358</v>
      </c>
      <c r="E110" s="140" t="s">
        <v>359</v>
      </c>
      <c r="F110" s="314">
        <v>2.2974244785618612</v>
      </c>
      <c r="G110" s="314">
        <v>0</v>
      </c>
      <c r="H110" s="314">
        <v>0</v>
      </c>
      <c r="I110" s="314">
        <v>0</v>
      </c>
      <c r="J110" s="314">
        <v>0</v>
      </c>
    </row>
    <row r="111" spans="2:10">
      <c r="B111" s="140" t="s">
        <v>309</v>
      </c>
      <c r="C111" s="140" t="s">
        <v>623</v>
      </c>
      <c r="D111" s="140" t="s">
        <v>358</v>
      </c>
      <c r="E111" s="140" t="s">
        <v>357</v>
      </c>
      <c r="F111" s="314">
        <v>1.5730203086436481</v>
      </c>
      <c r="G111" s="314">
        <v>0</v>
      </c>
      <c r="H111" s="314">
        <v>0</v>
      </c>
      <c r="I111" s="314">
        <v>0</v>
      </c>
      <c r="J111" s="314">
        <v>0</v>
      </c>
    </row>
    <row r="112" spans="2:10">
      <c r="B112" s="140" t="s">
        <v>309</v>
      </c>
      <c r="C112" s="140" t="s">
        <v>625</v>
      </c>
      <c r="D112" s="140" t="s">
        <v>355</v>
      </c>
      <c r="E112" s="140" t="s">
        <v>356</v>
      </c>
      <c r="F112" s="314">
        <v>8.8498368650107135</v>
      </c>
      <c r="G112" s="314">
        <v>0</v>
      </c>
      <c r="H112" s="314">
        <v>0</v>
      </c>
      <c r="I112" s="314">
        <v>0</v>
      </c>
      <c r="J112" s="314">
        <v>0</v>
      </c>
    </row>
    <row r="113" spans="2:10">
      <c r="B113" s="140" t="s">
        <v>309</v>
      </c>
      <c r="C113" s="140" t="s">
        <v>625</v>
      </c>
      <c r="D113" s="140" t="s">
        <v>358</v>
      </c>
      <c r="E113" s="140" t="s">
        <v>364</v>
      </c>
      <c r="F113" s="314">
        <v>3.5441843815769989E-3</v>
      </c>
      <c r="G113" s="314">
        <v>0</v>
      </c>
      <c r="H113" s="314">
        <v>0</v>
      </c>
      <c r="I113" s="314">
        <v>0</v>
      </c>
      <c r="J113" s="314">
        <v>0</v>
      </c>
    </row>
    <row r="114" spans="2:10">
      <c r="B114" s="140" t="s">
        <v>309</v>
      </c>
      <c r="C114" s="140" t="s">
        <v>625</v>
      </c>
      <c r="D114" s="140" t="s">
        <v>358</v>
      </c>
      <c r="E114" s="140" t="s">
        <v>359</v>
      </c>
      <c r="F114" s="314">
        <v>4.7547783801148018</v>
      </c>
      <c r="G114" s="314">
        <v>0</v>
      </c>
      <c r="H114" s="314">
        <v>0</v>
      </c>
      <c r="I114" s="314">
        <v>0</v>
      </c>
      <c r="J114" s="314">
        <v>0</v>
      </c>
    </row>
    <row r="115" spans="2:10">
      <c r="B115" s="140" t="s">
        <v>309</v>
      </c>
      <c r="C115" s="140" t="s">
        <v>625</v>
      </c>
      <c r="D115" s="140" t="s">
        <v>358</v>
      </c>
      <c r="E115" s="140" t="s">
        <v>626</v>
      </c>
      <c r="F115" s="314">
        <v>0.30659892647549103</v>
      </c>
      <c r="G115" s="314">
        <v>0</v>
      </c>
      <c r="H115" s="314">
        <v>0</v>
      </c>
      <c r="I115" s="314">
        <v>0</v>
      </c>
      <c r="J115" s="314">
        <v>0</v>
      </c>
    </row>
    <row r="116" spans="2:10">
      <c r="B116" s="140" t="s">
        <v>309</v>
      </c>
      <c r="C116" s="140" t="s">
        <v>625</v>
      </c>
      <c r="D116" s="140" t="s">
        <v>358</v>
      </c>
      <c r="E116" s="140" t="s">
        <v>357</v>
      </c>
      <c r="F116" s="314">
        <v>1.0403077832639047</v>
      </c>
      <c r="G116" s="314">
        <v>0</v>
      </c>
      <c r="H116" s="314">
        <v>0</v>
      </c>
      <c r="I116" s="314">
        <v>0</v>
      </c>
      <c r="J116" s="314">
        <v>0</v>
      </c>
    </row>
    <row r="117" spans="2:10">
      <c r="B117" s="140" t="s">
        <v>309</v>
      </c>
      <c r="C117" s="140" t="s">
        <v>625</v>
      </c>
      <c r="D117" s="140" t="s">
        <v>627</v>
      </c>
      <c r="E117" s="140" t="s">
        <v>356</v>
      </c>
      <c r="F117" s="314">
        <v>1.7240613521208781</v>
      </c>
      <c r="G117" s="314">
        <v>0</v>
      </c>
      <c r="H117" s="314">
        <v>0</v>
      </c>
      <c r="I117" s="314">
        <v>0</v>
      </c>
      <c r="J117" s="314">
        <v>0</v>
      </c>
    </row>
    <row r="118" spans="2:10">
      <c r="B118" s="140" t="s">
        <v>309</v>
      </c>
      <c r="C118" s="140" t="s">
        <v>628</v>
      </c>
      <c r="D118" s="140" t="s">
        <v>355</v>
      </c>
      <c r="E118" s="140" t="s">
        <v>356</v>
      </c>
      <c r="F118" s="314">
        <v>5.3085590860995762</v>
      </c>
      <c r="G118" s="314">
        <v>0</v>
      </c>
      <c r="H118" s="314">
        <v>0</v>
      </c>
      <c r="I118" s="314">
        <v>0</v>
      </c>
      <c r="J118" s="314">
        <v>0</v>
      </c>
    </row>
    <row r="119" spans="2:10">
      <c r="B119" s="140" t="s">
        <v>309</v>
      </c>
      <c r="C119" s="140" t="s">
        <v>628</v>
      </c>
      <c r="D119" s="140" t="s">
        <v>358</v>
      </c>
      <c r="E119" s="140" t="s">
        <v>364</v>
      </c>
      <c r="F119" s="314">
        <v>1.374965868115589E-2</v>
      </c>
      <c r="G119" s="314">
        <v>0</v>
      </c>
      <c r="H119" s="314">
        <v>0</v>
      </c>
      <c r="I119" s="314">
        <v>0</v>
      </c>
      <c r="J119" s="314">
        <v>0</v>
      </c>
    </row>
    <row r="120" spans="2:10">
      <c r="B120" s="140" t="s">
        <v>309</v>
      </c>
      <c r="C120" s="140" t="s">
        <v>628</v>
      </c>
      <c r="D120" s="140" t="s">
        <v>358</v>
      </c>
      <c r="E120" s="140" t="s">
        <v>359</v>
      </c>
      <c r="F120" s="314">
        <v>0.71086566486681801</v>
      </c>
      <c r="G120" s="314">
        <v>0</v>
      </c>
      <c r="H120" s="314">
        <v>0</v>
      </c>
      <c r="I120" s="314">
        <v>0</v>
      </c>
      <c r="J120" s="314">
        <v>0</v>
      </c>
    </row>
    <row r="121" spans="2:10">
      <c r="B121" s="140" t="s">
        <v>309</v>
      </c>
      <c r="C121" s="140" t="s">
        <v>628</v>
      </c>
      <c r="D121" s="140" t="s">
        <v>358</v>
      </c>
      <c r="E121" s="140" t="s">
        <v>357</v>
      </c>
      <c r="F121" s="314">
        <v>0.83671917746310831</v>
      </c>
      <c r="G121" s="314">
        <v>0</v>
      </c>
      <c r="H121" s="314">
        <v>0</v>
      </c>
      <c r="I121" s="314">
        <v>0</v>
      </c>
      <c r="J121" s="314">
        <v>0</v>
      </c>
    </row>
    <row r="122" spans="2:10">
      <c r="B122" s="140" t="s">
        <v>309</v>
      </c>
      <c r="C122" s="140" t="s">
        <v>628</v>
      </c>
      <c r="D122" s="140" t="s">
        <v>629</v>
      </c>
      <c r="E122" s="140" t="s">
        <v>619</v>
      </c>
      <c r="F122" s="314">
        <v>2.6503229579708401</v>
      </c>
      <c r="G122" s="314">
        <v>0</v>
      </c>
      <c r="H122" s="314">
        <v>0</v>
      </c>
      <c r="I122" s="314">
        <v>0</v>
      </c>
      <c r="J122" s="314">
        <v>0</v>
      </c>
    </row>
    <row r="123" spans="2:10">
      <c r="B123" s="140" t="s">
        <v>309</v>
      </c>
      <c r="C123" s="140" t="s">
        <v>630</v>
      </c>
      <c r="D123" s="140" t="s">
        <v>355</v>
      </c>
      <c r="E123" s="140" t="s">
        <v>356</v>
      </c>
      <c r="F123" s="314">
        <v>9.7434630549447601</v>
      </c>
      <c r="G123" s="314">
        <v>0</v>
      </c>
      <c r="H123" s="314">
        <v>0</v>
      </c>
      <c r="I123" s="314">
        <v>0</v>
      </c>
      <c r="J123" s="314">
        <v>0</v>
      </c>
    </row>
    <row r="124" spans="2:10">
      <c r="B124" s="140" t="s">
        <v>309</v>
      </c>
      <c r="C124" s="140" t="s">
        <v>630</v>
      </c>
      <c r="D124" s="140" t="s">
        <v>358</v>
      </c>
      <c r="E124" s="140" t="s">
        <v>359</v>
      </c>
      <c r="F124" s="314">
        <v>0.72507611784333292</v>
      </c>
      <c r="G124" s="314">
        <v>0</v>
      </c>
      <c r="H124" s="314">
        <v>0</v>
      </c>
      <c r="I124" s="314">
        <v>0</v>
      </c>
      <c r="J124" s="314">
        <v>0</v>
      </c>
    </row>
    <row r="125" spans="2:10">
      <c r="B125" s="140" t="s">
        <v>309</v>
      </c>
      <c r="C125" s="140" t="s">
        <v>630</v>
      </c>
      <c r="D125" s="140" t="s">
        <v>358</v>
      </c>
      <c r="E125" s="140" t="s">
        <v>357</v>
      </c>
      <c r="F125" s="314">
        <v>1.1504751369513722</v>
      </c>
      <c r="G125" s="314">
        <v>0</v>
      </c>
      <c r="H125" s="314">
        <v>0</v>
      </c>
      <c r="I125" s="314">
        <v>0</v>
      </c>
      <c r="J125" s="314">
        <v>0</v>
      </c>
    </row>
    <row r="126" spans="2:10">
      <c r="B126" s="140" t="s">
        <v>309</v>
      </c>
      <c r="C126" s="140" t="s">
        <v>630</v>
      </c>
      <c r="D126" s="140" t="s">
        <v>629</v>
      </c>
      <c r="E126" s="140" t="s">
        <v>619</v>
      </c>
      <c r="F126" s="314">
        <v>5.5333875375131871</v>
      </c>
      <c r="G126" s="314">
        <v>0</v>
      </c>
      <c r="H126" s="314">
        <v>0</v>
      </c>
      <c r="I126" s="314">
        <v>0</v>
      </c>
      <c r="J126" s="314">
        <v>0</v>
      </c>
    </row>
    <row r="127" spans="2:10">
      <c r="B127" s="140" t="s">
        <v>309</v>
      </c>
      <c r="C127" s="140" t="s">
        <v>631</v>
      </c>
      <c r="D127" s="140" t="s">
        <v>355</v>
      </c>
      <c r="E127" s="140" t="s">
        <v>356</v>
      </c>
      <c r="F127" s="314">
        <v>6.9810179923045487E-2</v>
      </c>
      <c r="G127" s="314">
        <v>0</v>
      </c>
      <c r="H127" s="314">
        <v>0</v>
      </c>
      <c r="I127" s="314">
        <v>0</v>
      </c>
      <c r="J127" s="314">
        <v>0</v>
      </c>
    </row>
    <row r="128" spans="2:10">
      <c r="B128" s="140" t="s">
        <v>309</v>
      </c>
      <c r="C128" s="140" t="s">
        <v>631</v>
      </c>
      <c r="D128" s="140" t="s">
        <v>358</v>
      </c>
      <c r="E128" s="140" t="s">
        <v>356</v>
      </c>
      <c r="F128" s="314">
        <v>1.7043337378010802E-2</v>
      </c>
      <c r="G128" s="314">
        <v>0</v>
      </c>
      <c r="H128" s="314">
        <v>0</v>
      </c>
      <c r="I128" s="314">
        <v>0</v>
      </c>
      <c r="J128" s="314">
        <v>0</v>
      </c>
    </row>
    <row r="129" spans="2:10">
      <c r="B129" s="140" t="s">
        <v>309</v>
      </c>
      <c r="C129" s="140" t="s">
        <v>631</v>
      </c>
      <c r="D129" s="140" t="s">
        <v>358</v>
      </c>
      <c r="E129" s="140" t="s">
        <v>632</v>
      </c>
      <c r="F129" s="314">
        <v>0.98319140137583849</v>
      </c>
      <c r="G129" s="314">
        <v>0</v>
      </c>
      <c r="H129" s="314">
        <v>0</v>
      </c>
      <c r="I129" s="314">
        <v>0</v>
      </c>
      <c r="J129" s="314">
        <v>0</v>
      </c>
    </row>
    <row r="130" spans="2:10">
      <c r="B130" s="140" t="s">
        <v>309</v>
      </c>
      <c r="C130" s="140" t="s">
        <v>631</v>
      </c>
      <c r="D130" s="140" t="s">
        <v>358</v>
      </c>
      <c r="E130" s="140" t="s">
        <v>364</v>
      </c>
      <c r="F130" s="314">
        <v>2.7269339804817282E-2</v>
      </c>
      <c r="G130" s="314">
        <v>0</v>
      </c>
      <c r="H130" s="314">
        <v>0</v>
      </c>
      <c r="I130" s="314">
        <v>0</v>
      </c>
      <c r="J130" s="314">
        <v>0</v>
      </c>
    </row>
    <row r="131" spans="2:10">
      <c r="B131" s="140" t="s">
        <v>309</v>
      </c>
      <c r="C131" s="140" t="s">
        <v>631</v>
      </c>
      <c r="D131" s="140" t="s">
        <v>358</v>
      </c>
      <c r="E131" s="140" t="s">
        <v>359</v>
      </c>
      <c r="F131" s="314">
        <v>5.5672643912928645</v>
      </c>
      <c r="G131" s="314">
        <v>0</v>
      </c>
      <c r="H131" s="314">
        <v>0</v>
      </c>
      <c r="I131" s="314">
        <v>0</v>
      </c>
      <c r="J131" s="314">
        <v>0</v>
      </c>
    </row>
    <row r="132" spans="2:10">
      <c r="B132" s="140" t="s">
        <v>309</v>
      </c>
      <c r="C132" s="140" t="s">
        <v>631</v>
      </c>
      <c r="D132" s="140" t="s">
        <v>358</v>
      </c>
      <c r="E132" s="140" t="s">
        <v>626</v>
      </c>
      <c r="F132" s="314">
        <v>0.47819688744378719</v>
      </c>
      <c r="G132" s="314">
        <v>0</v>
      </c>
      <c r="H132" s="314">
        <v>0</v>
      </c>
      <c r="I132" s="314">
        <v>0</v>
      </c>
      <c r="J132" s="314">
        <v>0</v>
      </c>
    </row>
    <row r="133" spans="2:10">
      <c r="B133" s="140" t="s">
        <v>309</v>
      </c>
      <c r="C133" s="140" t="s">
        <v>633</v>
      </c>
      <c r="D133" s="140" t="s">
        <v>355</v>
      </c>
      <c r="E133" s="140" t="s">
        <v>356</v>
      </c>
      <c r="F133" s="314">
        <v>9.8999646873092484</v>
      </c>
      <c r="G133" s="314">
        <v>0</v>
      </c>
      <c r="H133" s="314">
        <v>0</v>
      </c>
      <c r="I133" s="314">
        <v>0</v>
      </c>
      <c r="J133" s="314">
        <v>0</v>
      </c>
    </row>
    <row r="134" spans="2:10">
      <c r="B134" s="140" t="s">
        <v>309</v>
      </c>
      <c r="C134" s="140" t="s">
        <v>633</v>
      </c>
      <c r="D134" s="140" t="s">
        <v>358</v>
      </c>
      <c r="E134" s="140" t="s">
        <v>364</v>
      </c>
      <c r="F134" s="314">
        <v>7.8533178955782581E-4</v>
      </c>
      <c r="G134" s="314">
        <v>0</v>
      </c>
      <c r="H134" s="314">
        <v>0</v>
      </c>
      <c r="I134" s="314">
        <v>0</v>
      </c>
      <c r="J134" s="314">
        <v>0</v>
      </c>
    </row>
    <row r="135" spans="2:10">
      <c r="B135" s="140" t="s">
        <v>309</v>
      </c>
      <c r="C135" s="140" t="s">
        <v>633</v>
      </c>
      <c r="D135" s="140" t="s">
        <v>358</v>
      </c>
      <c r="E135" s="140" t="s">
        <v>359</v>
      </c>
      <c r="F135" s="314">
        <v>3.0663550232361332</v>
      </c>
      <c r="G135" s="314">
        <v>0</v>
      </c>
      <c r="H135" s="314">
        <v>0</v>
      </c>
      <c r="I135" s="314">
        <v>0</v>
      </c>
      <c r="J135" s="314">
        <v>0</v>
      </c>
    </row>
    <row r="136" spans="2:10">
      <c r="B136" s="140" t="s">
        <v>309</v>
      </c>
      <c r="C136" s="140" t="s">
        <v>633</v>
      </c>
      <c r="D136" s="140" t="s">
        <v>358</v>
      </c>
      <c r="E136" s="140" t="s">
        <v>357</v>
      </c>
      <c r="F136" s="314">
        <v>0.34725517475249029</v>
      </c>
      <c r="G136" s="314">
        <v>0</v>
      </c>
      <c r="H136" s="314">
        <v>0</v>
      </c>
      <c r="I136" s="314">
        <v>0</v>
      </c>
      <c r="J136" s="314">
        <v>0</v>
      </c>
    </row>
    <row r="137" spans="2:10">
      <c r="B137" s="140" t="s">
        <v>309</v>
      </c>
      <c r="C137" s="140" t="s">
        <v>633</v>
      </c>
      <c r="D137" s="140" t="s">
        <v>634</v>
      </c>
      <c r="E137" s="140" t="s">
        <v>626</v>
      </c>
      <c r="F137" s="314">
        <v>0.48604462228009249</v>
      </c>
      <c r="G137" s="314">
        <v>0</v>
      </c>
      <c r="H137" s="314">
        <v>0</v>
      </c>
      <c r="I137" s="314">
        <v>0</v>
      </c>
      <c r="J137" s="314">
        <v>0</v>
      </c>
    </row>
    <row r="138" spans="2:10">
      <c r="B138" s="140" t="s">
        <v>309</v>
      </c>
      <c r="C138" s="140" t="s">
        <v>633</v>
      </c>
      <c r="D138" s="140" t="s">
        <v>635</v>
      </c>
      <c r="E138" s="140" t="s">
        <v>626</v>
      </c>
      <c r="F138" s="314">
        <v>0.68205429942513585</v>
      </c>
      <c r="G138" s="314">
        <v>0</v>
      </c>
      <c r="H138" s="314">
        <v>0</v>
      </c>
      <c r="I138" s="314">
        <v>0</v>
      </c>
      <c r="J138" s="314">
        <v>0</v>
      </c>
    </row>
    <row r="139" spans="2:10">
      <c r="B139" s="140" t="s">
        <v>309</v>
      </c>
      <c r="C139" s="140" t="s">
        <v>633</v>
      </c>
      <c r="D139" s="140" t="s">
        <v>636</v>
      </c>
      <c r="E139" s="140" t="s">
        <v>626</v>
      </c>
      <c r="F139" s="314">
        <v>0.65890886292280137</v>
      </c>
      <c r="G139" s="314">
        <v>0</v>
      </c>
      <c r="H139" s="314">
        <v>0</v>
      </c>
      <c r="I139" s="314">
        <v>0</v>
      </c>
      <c r="J139" s="314">
        <v>0</v>
      </c>
    </row>
    <row r="140" spans="2:10">
      <c r="B140" s="140" t="s">
        <v>309</v>
      </c>
      <c r="C140" s="140" t="s">
        <v>633</v>
      </c>
      <c r="D140" s="140" t="s">
        <v>441</v>
      </c>
      <c r="E140" s="140" t="s">
        <v>626</v>
      </c>
      <c r="F140" s="314">
        <v>0.15955952975193852</v>
      </c>
      <c r="G140" s="314">
        <v>0</v>
      </c>
      <c r="H140" s="314">
        <v>0</v>
      </c>
      <c r="I140" s="314">
        <v>0</v>
      </c>
      <c r="J140" s="314">
        <v>0</v>
      </c>
    </row>
    <row r="141" spans="2:10">
      <c r="B141" s="140" t="s">
        <v>309</v>
      </c>
      <c r="C141" s="140" t="s">
        <v>633</v>
      </c>
      <c r="D141" s="140" t="s">
        <v>637</v>
      </c>
      <c r="E141" s="140" t="s">
        <v>626</v>
      </c>
      <c r="F141" s="314">
        <v>0.64560415203203103</v>
      </c>
      <c r="G141" s="314">
        <v>0</v>
      </c>
      <c r="H141" s="314">
        <v>0</v>
      </c>
      <c r="I141" s="314">
        <v>0</v>
      </c>
      <c r="J141" s="314">
        <v>0</v>
      </c>
    </row>
    <row r="142" spans="2:10">
      <c r="B142" s="140" t="s">
        <v>309</v>
      </c>
      <c r="C142" s="140" t="s">
        <v>367</v>
      </c>
      <c r="D142" s="140" t="s">
        <v>355</v>
      </c>
      <c r="E142" s="140" t="s">
        <v>356</v>
      </c>
      <c r="F142" s="314">
        <v>-2520.0280455750881</v>
      </c>
      <c r="G142" s="314">
        <v>-5694.33101966088</v>
      </c>
      <c r="H142" s="314">
        <v>-6828.1606896322428</v>
      </c>
      <c r="I142" s="314">
        <v>-5501.5460795733197</v>
      </c>
      <c r="J142" s="314">
        <v>-7983.62362845196</v>
      </c>
    </row>
    <row r="143" spans="2:10">
      <c r="B143" s="140" t="s">
        <v>309</v>
      </c>
      <c r="C143" s="140" t="s">
        <v>367</v>
      </c>
      <c r="D143" s="140" t="s">
        <v>358</v>
      </c>
      <c r="E143" s="140" t="s">
        <v>364</v>
      </c>
      <c r="F143" s="314">
        <v>7.9820087304729004E-2</v>
      </c>
      <c r="G143" s="314">
        <v>0</v>
      </c>
      <c r="H143" s="314">
        <v>0</v>
      </c>
      <c r="I143" s="314">
        <v>0</v>
      </c>
      <c r="J143" s="314">
        <v>0</v>
      </c>
    </row>
    <row r="144" spans="2:10">
      <c r="B144" s="140" t="s">
        <v>309</v>
      </c>
      <c r="C144" s="140" t="s">
        <v>367</v>
      </c>
      <c r="D144" s="140" t="s">
        <v>358</v>
      </c>
      <c r="E144" s="140" t="s">
        <v>638</v>
      </c>
      <c r="F144" s="314">
        <v>5.8768581709212073E-3</v>
      </c>
      <c r="G144" s="314">
        <v>0</v>
      </c>
      <c r="H144" s="314">
        <v>0</v>
      </c>
      <c r="I144" s="314">
        <v>0</v>
      </c>
      <c r="J144" s="314">
        <v>0</v>
      </c>
    </row>
    <row r="145" spans="2:10">
      <c r="B145" s="140" t="s">
        <v>309</v>
      </c>
      <c r="C145" s="140" t="s">
        <v>367</v>
      </c>
      <c r="D145" s="140" t="s">
        <v>358</v>
      </c>
      <c r="E145" s="140" t="s">
        <v>359</v>
      </c>
      <c r="F145" s="314">
        <v>1.1088795671262948</v>
      </c>
      <c r="G145" s="314">
        <v>0</v>
      </c>
      <c r="H145" s="314">
        <v>0</v>
      </c>
      <c r="I145" s="314">
        <v>0</v>
      </c>
      <c r="J145" s="314">
        <v>0</v>
      </c>
    </row>
    <row r="146" spans="2:10">
      <c r="B146" s="140" t="s">
        <v>309</v>
      </c>
      <c r="C146" s="140" t="s">
        <v>367</v>
      </c>
      <c r="D146" s="140" t="s">
        <v>358</v>
      </c>
      <c r="E146" s="140" t="s">
        <v>357</v>
      </c>
      <c r="F146" s="314">
        <v>9.2640837518853852E-2</v>
      </c>
      <c r="G146" s="314">
        <v>0</v>
      </c>
      <c r="H146" s="314">
        <v>0</v>
      </c>
      <c r="I146" s="314">
        <v>0</v>
      </c>
      <c r="J146" s="314">
        <v>0</v>
      </c>
    </row>
    <row r="147" spans="2:10">
      <c r="B147" s="140" t="s">
        <v>309</v>
      </c>
      <c r="C147" s="140" t="s">
        <v>368</v>
      </c>
      <c r="D147" s="140" t="s">
        <v>355</v>
      </c>
      <c r="E147" s="140" t="s">
        <v>356</v>
      </c>
      <c r="F147" s="314">
        <v>-10366.682171895154</v>
      </c>
      <c r="G147" s="314">
        <v>-10482.655371500894</v>
      </c>
      <c r="H147" s="314">
        <v>-12406.300200299091</v>
      </c>
      <c r="I147" s="314">
        <v>-9900.3331684375044</v>
      </c>
      <c r="J147" s="314">
        <v>-14224.115451082032</v>
      </c>
    </row>
    <row r="148" spans="2:10">
      <c r="B148" s="140" t="s">
        <v>309</v>
      </c>
      <c r="C148" s="140" t="s">
        <v>368</v>
      </c>
      <c r="D148" s="140" t="s">
        <v>358</v>
      </c>
      <c r="E148" s="140" t="s">
        <v>364</v>
      </c>
      <c r="F148" s="314">
        <v>3.8021250927859529E-3</v>
      </c>
      <c r="G148" s="314">
        <v>0</v>
      </c>
      <c r="H148" s="314">
        <v>0</v>
      </c>
      <c r="I148" s="314">
        <v>0</v>
      </c>
      <c r="J148" s="314">
        <v>0</v>
      </c>
    </row>
    <row r="149" spans="2:10">
      <c r="B149" s="140" t="s">
        <v>309</v>
      </c>
      <c r="C149" s="140" t="s">
        <v>368</v>
      </c>
      <c r="D149" s="140" t="s">
        <v>358</v>
      </c>
      <c r="E149" s="140" t="s">
        <v>359</v>
      </c>
      <c r="F149" s="314">
        <v>8.0086070835073304</v>
      </c>
      <c r="G149" s="314">
        <v>0</v>
      </c>
      <c r="H149" s="314">
        <v>0</v>
      </c>
      <c r="I149" s="314">
        <v>0</v>
      </c>
      <c r="J149" s="314">
        <v>0</v>
      </c>
    </row>
    <row r="150" spans="2:10">
      <c r="B150" s="140" t="s">
        <v>309</v>
      </c>
      <c r="C150" s="140" t="s">
        <v>368</v>
      </c>
      <c r="D150" s="140" t="s">
        <v>358</v>
      </c>
      <c r="E150" s="140" t="s">
        <v>357</v>
      </c>
      <c r="F150" s="314">
        <v>0.48699514180288378</v>
      </c>
      <c r="G150" s="314">
        <v>0</v>
      </c>
      <c r="H150" s="314">
        <v>0</v>
      </c>
      <c r="I150" s="314">
        <v>0</v>
      </c>
      <c r="J150" s="314">
        <v>0</v>
      </c>
    </row>
    <row r="151" spans="2:10">
      <c r="B151" s="140" t="s">
        <v>309</v>
      </c>
      <c r="C151" s="140" t="s">
        <v>368</v>
      </c>
      <c r="D151" s="140" t="s">
        <v>639</v>
      </c>
      <c r="E151" s="140" t="s">
        <v>640</v>
      </c>
      <c r="F151" s="314">
        <v>10.916777219194907</v>
      </c>
      <c r="G151" s="314">
        <v>0</v>
      </c>
      <c r="H151" s="314">
        <v>0</v>
      </c>
      <c r="I151" s="314">
        <v>0</v>
      </c>
      <c r="J151" s="314">
        <v>0</v>
      </c>
    </row>
    <row r="152" spans="2:10">
      <c r="B152" s="140" t="s">
        <v>309</v>
      </c>
      <c r="C152" s="140" t="s">
        <v>641</v>
      </c>
      <c r="D152" s="140" t="s">
        <v>355</v>
      </c>
      <c r="E152" s="140" t="s">
        <v>356</v>
      </c>
      <c r="F152" s="314">
        <v>5.8834364038400553</v>
      </c>
      <c r="G152" s="314">
        <v>0</v>
      </c>
      <c r="H152" s="314">
        <v>0</v>
      </c>
      <c r="I152" s="314">
        <v>0</v>
      </c>
      <c r="J152" s="314">
        <v>0</v>
      </c>
    </row>
    <row r="153" spans="2:10">
      <c r="B153" s="140" t="s">
        <v>309</v>
      </c>
      <c r="C153" s="140" t="s">
        <v>641</v>
      </c>
      <c r="D153" s="140" t="s">
        <v>355</v>
      </c>
      <c r="E153" s="140" t="s">
        <v>642</v>
      </c>
      <c r="F153" s="314">
        <v>16.04582255293856</v>
      </c>
      <c r="G153" s="314">
        <v>0</v>
      </c>
      <c r="H153" s="314">
        <v>0</v>
      </c>
      <c r="I153" s="314">
        <v>0</v>
      </c>
      <c r="J153" s="314">
        <v>0</v>
      </c>
    </row>
    <row r="154" spans="2:10">
      <c r="B154" s="140" t="s">
        <v>309</v>
      </c>
      <c r="C154" s="140" t="s">
        <v>641</v>
      </c>
      <c r="D154" s="140" t="s">
        <v>358</v>
      </c>
      <c r="E154" s="140" t="s">
        <v>359</v>
      </c>
      <c r="F154" s="314">
        <v>0.78477949007179426</v>
      </c>
      <c r="G154" s="314">
        <v>0</v>
      </c>
      <c r="H154" s="314">
        <v>0</v>
      </c>
      <c r="I154" s="314">
        <v>0</v>
      </c>
      <c r="J154" s="314">
        <v>0</v>
      </c>
    </row>
    <row r="155" spans="2:10">
      <c r="B155" s="140" t="s">
        <v>309</v>
      </c>
      <c r="C155" s="140" t="s">
        <v>641</v>
      </c>
      <c r="D155" s="140" t="s">
        <v>358</v>
      </c>
      <c r="E155" s="140" t="s">
        <v>357</v>
      </c>
      <c r="F155" s="314">
        <v>0.1025347679980019</v>
      </c>
      <c r="G155" s="314">
        <v>0</v>
      </c>
      <c r="H155" s="314">
        <v>0</v>
      </c>
      <c r="I155" s="314">
        <v>0</v>
      </c>
      <c r="J155" s="314">
        <v>0</v>
      </c>
    </row>
    <row r="156" spans="2:10">
      <c r="B156" s="140" t="s">
        <v>309</v>
      </c>
      <c r="C156" s="140" t="s">
        <v>369</v>
      </c>
      <c r="D156" s="140" t="s">
        <v>355</v>
      </c>
      <c r="E156" s="140" t="s">
        <v>356</v>
      </c>
      <c r="F156" s="314">
        <v>-19286.77036488162</v>
      </c>
      <c r="G156" s="314">
        <v>-84432.988692845</v>
      </c>
      <c r="H156" s="314">
        <v>-102166.66739770303</v>
      </c>
      <c r="I156" s="314">
        <v>-81530.324140884855</v>
      </c>
      <c r="J156" s="314">
        <v>-117163.99722740217</v>
      </c>
    </row>
    <row r="157" spans="2:10">
      <c r="B157" s="140" t="s">
        <v>309</v>
      </c>
      <c r="C157" s="140" t="s">
        <v>369</v>
      </c>
      <c r="D157" s="140" t="s">
        <v>358</v>
      </c>
      <c r="E157" s="140" t="s">
        <v>364</v>
      </c>
      <c r="F157" s="314">
        <v>0.10086471040682719</v>
      </c>
      <c r="G157" s="314">
        <v>0</v>
      </c>
      <c r="H157" s="314">
        <v>0</v>
      </c>
      <c r="I157" s="314">
        <v>0</v>
      </c>
      <c r="J157" s="314">
        <v>0</v>
      </c>
    </row>
    <row r="158" spans="2:10">
      <c r="B158" s="140" t="s">
        <v>309</v>
      </c>
      <c r="C158" s="140" t="s">
        <v>369</v>
      </c>
      <c r="D158" s="140" t="s">
        <v>358</v>
      </c>
      <c r="E158" s="140" t="s">
        <v>359</v>
      </c>
      <c r="F158" s="314">
        <v>1.2748907156263014</v>
      </c>
      <c r="G158" s="314">
        <v>0</v>
      </c>
      <c r="H158" s="314">
        <v>0</v>
      </c>
      <c r="I158" s="314">
        <v>0</v>
      </c>
      <c r="J158" s="314">
        <v>0</v>
      </c>
    </row>
    <row r="159" spans="2:10">
      <c r="B159" s="140" t="s">
        <v>309</v>
      </c>
      <c r="C159" s="140" t="s">
        <v>369</v>
      </c>
      <c r="D159" s="140" t="s">
        <v>358</v>
      </c>
      <c r="E159" s="140" t="s">
        <v>357</v>
      </c>
      <c r="F159" s="314">
        <v>0.3654130259827616</v>
      </c>
      <c r="G159" s="314">
        <v>0</v>
      </c>
      <c r="H159" s="314">
        <v>0</v>
      </c>
      <c r="I159" s="314">
        <v>0</v>
      </c>
      <c r="J159" s="314">
        <v>0</v>
      </c>
    </row>
    <row r="160" spans="2:10">
      <c r="B160" s="140" t="s">
        <v>309</v>
      </c>
      <c r="C160" s="140" t="s">
        <v>643</v>
      </c>
      <c r="D160" s="140" t="s">
        <v>355</v>
      </c>
      <c r="E160" s="140" t="s">
        <v>356</v>
      </c>
      <c r="F160" s="314">
        <v>95.836194460208901</v>
      </c>
      <c r="G160" s="314">
        <v>0</v>
      </c>
      <c r="H160" s="314">
        <v>0</v>
      </c>
      <c r="I160" s="314">
        <v>0</v>
      </c>
      <c r="J160" s="314">
        <v>0</v>
      </c>
    </row>
    <row r="161" spans="2:10">
      <c r="B161" s="140" t="s">
        <v>309</v>
      </c>
      <c r="C161" s="140" t="s">
        <v>643</v>
      </c>
      <c r="D161" s="140" t="s">
        <v>358</v>
      </c>
      <c r="E161" s="140" t="s">
        <v>644</v>
      </c>
      <c r="F161" s="314">
        <v>25.528177193922858</v>
      </c>
      <c r="G161" s="314">
        <v>0</v>
      </c>
      <c r="H161" s="314">
        <v>0</v>
      </c>
      <c r="I161" s="314">
        <v>0</v>
      </c>
      <c r="J161" s="314">
        <v>0</v>
      </c>
    </row>
    <row r="162" spans="2:10">
      <c r="B162" s="140" t="s">
        <v>309</v>
      </c>
      <c r="C162" s="140" t="s">
        <v>643</v>
      </c>
      <c r="D162" s="140" t="s">
        <v>358</v>
      </c>
      <c r="E162" s="140" t="s">
        <v>364</v>
      </c>
      <c r="F162" s="314">
        <v>0.13077554313318404</v>
      </c>
      <c r="G162" s="314">
        <v>0</v>
      </c>
      <c r="H162" s="314">
        <v>0</v>
      </c>
      <c r="I162" s="314">
        <v>0</v>
      </c>
      <c r="J162" s="314">
        <v>0</v>
      </c>
    </row>
    <row r="163" spans="2:10">
      <c r="B163" s="140" t="s">
        <v>309</v>
      </c>
      <c r="C163" s="140" t="s">
        <v>643</v>
      </c>
      <c r="D163" s="140" t="s">
        <v>358</v>
      </c>
      <c r="E163" s="140" t="s">
        <v>624</v>
      </c>
      <c r="F163" s="314">
        <v>8.2494539010713616E-2</v>
      </c>
      <c r="G163" s="314">
        <v>0</v>
      </c>
      <c r="H163" s="314">
        <v>0</v>
      </c>
      <c r="I163" s="314">
        <v>0</v>
      </c>
      <c r="J163" s="314">
        <v>0</v>
      </c>
    </row>
    <row r="164" spans="2:10">
      <c r="B164" s="140" t="s">
        <v>309</v>
      </c>
      <c r="C164" s="140" t="s">
        <v>643</v>
      </c>
      <c r="D164" s="140" t="s">
        <v>358</v>
      </c>
      <c r="E164" s="140" t="s">
        <v>359</v>
      </c>
      <c r="F164" s="314">
        <v>12.449586522935839</v>
      </c>
      <c r="G164" s="314">
        <v>0</v>
      </c>
      <c r="H164" s="314">
        <v>0</v>
      </c>
      <c r="I164" s="314">
        <v>0</v>
      </c>
      <c r="J164" s="314">
        <v>0</v>
      </c>
    </row>
    <row r="165" spans="2:10">
      <c r="B165" s="140" t="s">
        <v>309</v>
      </c>
      <c r="C165" s="140" t="s">
        <v>643</v>
      </c>
      <c r="D165" s="140" t="s">
        <v>358</v>
      </c>
      <c r="E165" s="140" t="s">
        <v>357</v>
      </c>
      <c r="F165" s="314">
        <v>1.8919078394585018E-3</v>
      </c>
      <c r="G165" s="314">
        <v>0</v>
      </c>
      <c r="H165" s="314">
        <v>0</v>
      </c>
      <c r="I165" s="314">
        <v>0</v>
      </c>
      <c r="J165" s="314">
        <v>0</v>
      </c>
    </row>
    <row r="166" spans="2:10">
      <c r="B166" s="140" t="s">
        <v>309</v>
      </c>
      <c r="C166" s="140" t="s">
        <v>645</v>
      </c>
      <c r="D166" s="140" t="s">
        <v>355</v>
      </c>
      <c r="E166" s="140" t="s">
        <v>356</v>
      </c>
      <c r="F166" s="314">
        <v>5.7797365716310226E-3</v>
      </c>
      <c r="G166" s="314">
        <v>0</v>
      </c>
      <c r="H166" s="314">
        <v>0</v>
      </c>
      <c r="I166" s="314">
        <v>0</v>
      </c>
      <c r="J166" s="314">
        <v>0</v>
      </c>
    </row>
    <row r="167" spans="2:10">
      <c r="B167" s="140" t="s">
        <v>309</v>
      </c>
      <c r="C167" s="140" t="s">
        <v>646</v>
      </c>
      <c r="D167" s="140" t="s">
        <v>355</v>
      </c>
      <c r="E167" s="140" t="s">
        <v>356</v>
      </c>
      <c r="F167" s="314">
        <v>8.8553421548942914</v>
      </c>
      <c r="G167" s="314">
        <v>0</v>
      </c>
      <c r="H167" s="314">
        <v>0</v>
      </c>
      <c r="I167" s="314">
        <v>0</v>
      </c>
      <c r="J167" s="314">
        <v>0</v>
      </c>
    </row>
    <row r="168" spans="2:10">
      <c r="B168" s="140" t="s">
        <v>309</v>
      </c>
      <c r="C168" s="140" t="s">
        <v>646</v>
      </c>
      <c r="D168" s="140" t="s">
        <v>358</v>
      </c>
      <c r="E168" s="140" t="s">
        <v>364</v>
      </c>
      <c r="F168" s="314">
        <v>4.2294013552140932E-3</v>
      </c>
      <c r="G168" s="314">
        <v>0</v>
      </c>
      <c r="H168" s="314">
        <v>0</v>
      </c>
      <c r="I168" s="314">
        <v>0</v>
      </c>
      <c r="J168" s="314">
        <v>0</v>
      </c>
    </row>
    <row r="169" spans="2:10">
      <c r="B169" s="140" t="s">
        <v>309</v>
      </c>
      <c r="C169" s="140" t="s">
        <v>646</v>
      </c>
      <c r="D169" s="140" t="s">
        <v>358</v>
      </c>
      <c r="E169" s="140" t="s">
        <v>359</v>
      </c>
      <c r="F169" s="314">
        <v>7.9803604265249621</v>
      </c>
      <c r="G169" s="314">
        <v>0</v>
      </c>
      <c r="H169" s="314">
        <v>0</v>
      </c>
      <c r="I169" s="314">
        <v>0</v>
      </c>
      <c r="J169" s="314">
        <v>0</v>
      </c>
    </row>
    <row r="170" spans="2:10">
      <c r="B170" s="140" t="s">
        <v>309</v>
      </c>
      <c r="C170" s="140" t="s">
        <v>646</v>
      </c>
      <c r="D170" s="140" t="s">
        <v>358</v>
      </c>
      <c r="E170" s="140" t="s">
        <v>357</v>
      </c>
      <c r="F170" s="314">
        <v>8.165130657464327E-2</v>
      </c>
      <c r="G170" s="314">
        <v>0</v>
      </c>
      <c r="H170" s="314">
        <v>0</v>
      </c>
      <c r="I170" s="314">
        <v>0</v>
      </c>
      <c r="J170" s="314">
        <v>0</v>
      </c>
    </row>
    <row r="171" spans="2:10">
      <c r="B171" s="140" t="s">
        <v>309</v>
      </c>
      <c r="C171" s="140" t="s">
        <v>646</v>
      </c>
      <c r="D171" s="140" t="s">
        <v>358</v>
      </c>
      <c r="E171" s="140" t="s">
        <v>440</v>
      </c>
      <c r="F171" s="314">
        <v>2.6231741425243978E-2</v>
      </c>
      <c r="G171" s="314">
        <v>0</v>
      </c>
      <c r="H171" s="314">
        <v>0</v>
      </c>
      <c r="I171" s="314">
        <v>0</v>
      </c>
      <c r="J171" s="314">
        <v>0</v>
      </c>
    </row>
    <row r="172" spans="2:10">
      <c r="B172" s="140" t="s">
        <v>309</v>
      </c>
      <c r="C172" s="140" t="s">
        <v>647</v>
      </c>
      <c r="D172" s="140" t="s">
        <v>355</v>
      </c>
      <c r="E172" s="140" t="s">
        <v>356</v>
      </c>
      <c r="F172" s="314">
        <v>8.1176871916758255</v>
      </c>
      <c r="G172" s="314">
        <v>0</v>
      </c>
      <c r="H172" s="314">
        <v>0</v>
      </c>
      <c r="I172" s="314">
        <v>0</v>
      </c>
      <c r="J172" s="314">
        <v>0</v>
      </c>
    </row>
    <row r="173" spans="2:10">
      <c r="B173" s="140" t="s">
        <v>309</v>
      </c>
      <c r="C173" s="140" t="s">
        <v>647</v>
      </c>
      <c r="D173" s="140" t="s">
        <v>358</v>
      </c>
      <c r="E173" s="140" t="s">
        <v>364</v>
      </c>
      <c r="F173" s="314">
        <v>3.1625607169558465E-2</v>
      </c>
      <c r="G173" s="314">
        <v>0</v>
      </c>
      <c r="H173" s="314">
        <v>0</v>
      </c>
      <c r="I173" s="314">
        <v>0</v>
      </c>
      <c r="J173" s="314">
        <v>0</v>
      </c>
    </row>
    <row r="174" spans="2:10">
      <c r="B174" s="140" t="s">
        <v>309</v>
      </c>
      <c r="C174" s="140" t="s">
        <v>647</v>
      </c>
      <c r="D174" s="140" t="s">
        <v>358</v>
      </c>
      <c r="E174" s="140" t="s">
        <v>359</v>
      </c>
      <c r="F174" s="314">
        <v>3.4023096694451689</v>
      </c>
      <c r="G174" s="314">
        <v>0</v>
      </c>
      <c r="H174" s="314">
        <v>0</v>
      </c>
      <c r="I174" s="314">
        <v>0</v>
      </c>
      <c r="J174" s="314">
        <v>0</v>
      </c>
    </row>
    <row r="175" spans="2:10">
      <c r="B175" s="140" t="s">
        <v>309</v>
      </c>
      <c r="C175" s="140" t="s">
        <v>647</v>
      </c>
      <c r="D175" s="140" t="s">
        <v>358</v>
      </c>
      <c r="E175" s="140" t="s">
        <v>357</v>
      </c>
      <c r="F175" s="314">
        <v>0.13933019301049296</v>
      </c>
      <c r="G175" s="314">
        <v>0</v>
      </c>
      <c r="H175" s="314">
        <v>0</v>
      </c>
      <c r="I175" s="314">
        <v>0</v>
      </c>
      <c r="J175" s="314">
        <v>0</v>
      </c>
    </row>
    <row r="176" spans="2:10">
      <c r="B176" s="140" t="s">
        <v>309</v>
      </c>
      <c r="C176" s="140" t="s">
        <v>648</v>
      </c>
      <c r="D176" s="140" t="s">
        <v>355</v>
      </c>
      <c r="E176" s="140" t="s">
        <v>356</v>
      </c>
      <c r="F176" s="314">
        <v>2.5866395609680598E-2</v>
      </c>
      <c r="G176" s="314">
        <v>0</v>
      </c>
      <c r="H176" s="314">
        <v>0</v>
      </c>
      <c r="I176" s="314">
        <v>0</v>
      </c>
      <c r="J176" s="314">
        <v>0</v>
      </c>
    </row>
    <row r="177" spans="2:10">
      <c r="B177" s="140" t="s">
        <v>309</v>
      </c>
      <c r="C177" s="140" t="s">
        <v>648</v>
      </c>
      <c r="D177" s="140" t="s">
        <v>358</v>
      </c>
      <c r="E177" s="140" t="s">
        <v>364</v>
      </c>
      <c r="F177" s="314">
        <v>1.0161354070996299E-3</v>
      </c>
      <c r="G177" s="314">
        <v>0</v>
      </c>
      <c r="H177" s="314">
        <v>0</v>
      </c>
      <c r="I177" s="314">
        <v>0</v>
      </c>
      <c r="J177" s="314">
        <v>0</v>
      </c>
    </row>
    <row r="178" spans="2:10">
      <c r="B178" s="140" t="s">
        <v>309</v>
      </c>
      <c r="C178" s="140" t="s">
        <v>648</v>
      </c>
      <c r="D178" s="140" t="s">
        <v>358</v>
      </c>
      <c r="E178" s="140" t="s">
        <v>359</v>
      </c>
      <c r="F178" s="314">
        <v>3.3679149361973471</v>
      </c>
      <c r="G178" s="314">
        <v>0</v>
      </c>
      <c r="H178" s="314">
        <v>0</v>
      </c>
      <c r="I178" s="314">
        <v>0</v>
      </c>
      <c r="J178" s="314">
        <v>0</v>
      </c>
    </row>
    <row r="179" spans="2:10">
      <c r="B179" s="140" t="s">
        <v>309</v>
      </c>
      <c r="C179" s="140" t="s">
        <v>648</v>
      </c>
      <c r="D179" s="140" t="s">
        <v>358</v>
      </c>
      <c r="E179" s="140" t="s">
        <v>357</v>
      </c>
      <c r="F179" s="314">
        <v>7.0600821272946507E-2</v>
      </c>
      <c r="G179" s="314">
        <v>0</v>
      </c>
      <c r="H179" s="314">
        <v>0</v>
      </c>
      <c r="I179" s="314">
        <v>0</v>
      </c>
      <c r="J179" s="314">
        <v>0</v>
      </c>
    </row>
    <row r="180" spans="2:10">
      <c r="B180" s="140" t="s">
        <v>309</v>
      </c>
      <c r="C180" s="140" t="s">
        <v>649</v>
      </c>
      <c r="D180" s="140" t="s">
        <v>355</v>
      </c>
      <c r="E180" s="140" t="s">
        <v>356</v>
      </c>
      <c r="F180" s="314">
        <v>-9886.0146352112188</v>
      </c>
      <c r="G180" s="314">
        <v>0</v>
      </c>
      <c r="H180" s="314">
        <v>0</v>
      </c>
      <c r="I180" s="314">
        <v>0</v>
      </c>
      <c r="J180" s="314">
        <v>0</v>
      </c>
    </row>
    <row r="181" spans="2:10">
      <c r="B181" s="140" t="s">
        <v>309</v>
      </c>
      <c r="C181" s="140" t="s">
        <v>650</v>
      </c>
      <c r="D181" s="140" t="s">
        <v>355</v>
      </c>
      <c r="E181" s="140" t="s">
        <v>356</v>
      </c>
      <c r="F181" s="314">
        <v>-789.67909397054291</v>
      </c>
      <c r="G181" s="314">
        <v>0</v>
      </c>
      <c r="H181" s="314">
        <v>0</v>
      </c>
      <c r="I181" s="314">
        <v>0</v>
      </c>
      <c r="J181" s="314">
        <v>0</v>
      </c>
    </row>
    <row r="182" spans="2:10">
      <c r="B182" s="140" t="s">
        <v>309</v>
      </c>
      <c r="C182" s="140" t="s">
        <v>370</v>
      </c>
      <c r="D182" s="140" t="s">
        <v>355</v>
      </c>
      <c r="E182" s="140" t="s">
        <v>356</v>
      </c>
      <c r="F182" s="314">
        <v>-934.46052822361185</v>
      </c>
      <c r="G182" s="314">
        <v>-23598.489665134584</v>
      </c>
      <c r="H182" s="314">
        <v>-28171.646450885364</v>
      </c>
      <c r="I182" s="314">
        <v>-22225.765220334786</v>
      </c>
      <c r="J182" s="314">
        <v>-31588.871508162254</v>
      </c>
    </row>
    <row r="183" spans="2:10">
      <c r="B183" s="140" t="s">
        <v>309</v>
      </c>
      <c r="C183" s="140" t="s">
        <v>370</v>
      </c>
      <c r="D183" s="140" t="s">
        <v>358</v>
      </c>
      <c r="E183" s="140" t="s">
        <v>356</v>
      </c>
      <c r="F183" s="314">
        <v>0</v>
      </c>
      <c r="G183" s="314">
        <v>0</v>
      </c>
      <c r="H183" s="314">
        <v>0</v>
      </c>
      <c r="I183" s="314">
        <v>0</v>
      </c>
      <c r="J183" s="314">
        <v>0</v>
      </c>
    </row>
    <row r="184" spans="2:10">
      <c r="B184" s="140" t="s">
        <v>309</v>
      </c>
      <c r="C184" s="140" t="s">
        <v>370</v>
      </c>
      <c r="D184" s="140" t="s">
        <v>358</v>
      </c>
      <c r="E184" s="140" t="s">
        <v>359</v>
      </c>
      <c r="F184" s="314">
        <v>1.4915655376989525</v>
      </c>
      <c r="G184" s="314">
        <v>0</v>
      </c>
      <c r="H184" s="314">
        <v>0</v>
      </c>
      <c r="I184" s="314">
        <v>0</v>
      </c>
      <c r="J184" s="314">
        <v>0</v>
      </c>
    </row>
    <row r="185" spans="2:10">
      <c r="B185" s="140" t="s">
        <v>309</v>
      </c>
      <c r="C185" s="140" t="s">
        <v>370</v>
      </c>
      <c r="D185" s="140" t="s">
        <v>358</v>
      </c>
      <c r="E185" s="140" t="s">
        <v>440</v>
      </c>
      <c r="F185" s="314">
        <v>3.989005899021202E-4</v>
      </c>
      <c r="G185" s="314">
        <v>0</v>
      </c>
      <c r="H185" s="314">
        <v>0</v>
      </c>
      <c r="I185" s="314">
        <v>0</v>
      </c>
      <c r="J185" s="314">
        <v>0</v>
      </c>
    </row>
    <row r="186" spans="2:10">
      <c r="B186" s="140" t="s">
        <v>309</v>
      </c>
      <c r="C186" s="140" t="s">
        <v>651</v>
      </c>
      <c r="D186" s="140" t="s">
        <v>355</v>
      </c>
      <c r="E186" s="140" t="s">
        <v>356</v>
      </c>
      <c r="F186" s="314">
        <v>-9588.0677853602974</v>
      </c>
      <c r="G186" s="314">
        <v>0</v>
      </c>
      <c r="H186" s="314">
        <v>0</v>
      </c>
      <c r="I186" s="314">
        <v>0</v>
      </c>
      <c r="J186" s="314">
        <v>0</v>
      </c>
    </row>
    <row r="187" spans="2:10">
      <c r="B187" s="140" t="s">
        <v>309</v>
      </c>
      <c r="C187" s="140" t="s">
        <v>652</v>
      </c>
      <c r="D187" s="140" t="s">
        <v>355</v>
      </c>
      <c r="E187" s="140" t="s">
        <v>356</v>
      </c>
      <c r="F187" s="314">
        <v>9.7251211022327233</v>
      </c>
      <c r="G187" s="314">
        <v>0</v>
      </c>
      <c r="H187" s="314">
        <v>0</v>
      </c>
      <c r="I187" s="314">
        <v>0</v>
      </c>
      <c r="J187" s="314">
        <v>0</v>
      </c>
    </row>
    <row r="188" spans="2:10">
      <c r="B188" s="140" t="s">
        <v>309</v>
      </c>
      <c r="C188" s="140" t="s">
        <v>652</v>
      </c>
      <c r="D188" s="140" t="s">
        <v>355</v>
      </c>
      <c r="E188" s="140" t="s">
        <v>642</v>
      </c>
      <c r="F188" s="314">
        <v>12.870941008553098</v>
      </c>
      <c r="G188" s="314">
        <v>0</v>
      </c>
      <c r="H188" s="314">
        <v>0</v>
      </c>
      <c r="I188" s="314">
        <v>0</v>
      </c>
      <c r="J188" s="314">
        <v>0</v>
      </c>
    </row>
    <row r="189" spans="2:10">
      <c r="B189" s="140" t="s">
        <v>309</v>
      </c>
      <c r="C189" s="140" t="s">
        <v>652</v>
      </c>
      <c r="D189" s="140" t="s">
        <v>358</v>
      </c>
      <c r="E189" s="140" t="s">
        <v>364</v>
      </c>
      <c r="F189" s="314">
        <v>3.8998017995660831E-3</v>
      </c>
      <c r="G189" s="314">
        <v>0</v>
      </c>
      <c r="H189" s="314">
        <v>0</v>
      </c>
      <c r="I189" s="314">
        <v>0</v>
      </c>
      <c r="J189" s="314">
        <v>0</v>
      </c>
    </row>
    <row r="190" spans="2:10">
      <c r="B190" s="140" t="s">
        <v>309</v>
      </c>
      <c r="C190" s="140" t="s">
        <v>371</v>
      </c>
      <c r="D190" s="140" t="s">
        <v>355</v>
      </c>
      <c r="E190" s="140" t="s">
        <v>356</v>
      </c>
      <c r="F190" s="314">
        <v>-1673.2222767036417</v>
      </c>
      <c r="G190" s="314">
        <v>0</v>
      </c>
      <c r="H190" s="314">
        <v>0</v>
      </c>
      <c r="I190" s="314">
        <v>0</v>
      </c>
      <c r="J190" s="314">
        <v>0</v>
      </c>
    </row>
    <row r="191" spans="2:10">
      <c r="B191" s="140" t="s">
        <v>309</v>
      </c>
      <c r="C191" s="140" t="s">
        <v>371</v>
      </c>
      <c r="D191" s="140" t="s">
        <v>358</v>
      </c>
      <c r="E191" s="140" t="s">
        <v>364</v>
      </c>
      <c r="F191" s="314">
        <v>1.0185333667624018E-3</v>
      </c>
      <c r="G191" s="314">
        <v>0</v>
      </c>
      <c r="H191" s="314">
        <v>0</v>
      </c>
      <c r="I191" s="314">
        <v>0</v>
      </c>
      <c r="J191" s="314">
        <v>0</v>
      </c>
    </row>
    <row r="192" spans="2:10">
      <c r="B192" s="140" t="s">
        <v>309</v>
      </c>
      <c r="C192" s="140" t="s">
        <v>653</v>
      </c>
      <c r="D192" s="140" t="s">
        <v>355</v>
      </c>
      <c r="E192" s="140" t="s">
        <v>356</v>
      </c>
      <c r="F192" s="314">
        <v>-644.5699432346396</v>
      </c>
      <c r="G192" s="314">
        <v>0</v>
      </c>
      <c r="H192" s="314">
        <v>0</v>
      </c>
      <c r="I192" s="314">
        <v>0</v>
      </c>
      <c r="J192" s="314">
        <v>0</v>
      </c>
    </row>
    <row r="193" spans="2:10">
      <c r="B193" s="140" t="s">
        <v>309</v>
      </c>
      <c r="C193" s="140" t="s">
        <v>653</v>
      </c>
      <c r="D193" s="140" t="s">
        <v>358</v>
      </c>
      <c r="E193" s="140" t="s">
        <v>359</v>
      </c>
      <c r="F193" s="314">
        <v>2.5993882744448346E-4</v>
      </c>
      <c r="G193" s="314">
        <v>0</v>
      </c>
      <c r="H193" s="314">
        <v>0</v>
      </c>
      <c r="I193" s="314">
        <v>0</v>
      </c>
      <c r="J193" s="314">
        <v>0</v>
      </c>
    </row>
    <row r="194" spans="2:10">
      <c r="B194" s="140" t="s">
        <v>309</v>
      </c>
      <c r="C194" s="140" t="s">
        <v>653</v>
      </c>
      <c r="D194" s="140" t="s">
        <v>358</v>
      </c>
      <c r="E194" s="140" t="s">
        <v>440</v>
      </c>
      <c r="F194" s="314">
        <v>-6.2254779852331712E-3</v>
      </c>
      <c r="G194" s="314">
        <v>0</v>
      </c>
      <c r="H194" s="314">
        <v>0</v>
      </c>
      <c r="I194" s="314">
        <v>0</v>
      </c>
      <c r="J194" s="314">
        <v>0</v>
      </c>
    </row>
    <row r="195" spans="2:10">
      <c r="B195" s="140" t="s">
        <v>309</v>
      </c>
      <c r="C195" s="140" t="s">
        <v>372</v>
      </c>
      <c r="D195" s="140" t="s">
        <v>355</v>
      </c>
      <c r="E195" s="140" t="s">
        <v>356</v>
      </c>
      <c r="F195" s="314">
        <v>-260.20175967147867</v>
      </c>
      <c r="G195" s="314">
        <v>0</v>
      </c>
      <c r="H195" s="314">
        <v>0</v>
      </c>
      <c r="I195" s="314">
        <v>0</v>
      </c>
      <c r="J195" s="314">
        <v>0</v>
      </c>
    </row>
    <row r="196" spans="2:10">
      <c r="B196" s="140" t="s">
        <v>309</v>
      </c>
      <c r="C196" s="140" t="s">
        <v>654</v>
      </c>
      <c r="D196" s="140" t="s">
        <v>355</v>
      </c>
      <c r="E196" s="140" t="s">
        <v>356</v>
      </c>
      <c r="F196" s="314">
        <v>3.3221807846952647</v>
      </c>
      <c r="G196" s="314">
        <v>0</v>
      </c>
      <c r="H196" s="314">
        <v>0</v>
      </c>
      <c r="I196" s="314">
        <v>0</v>
      </c>
      <c r="J196" s="314">
        <v>0</v>
      </c>
    </row>
    <row r="197" spans="2:10">
      <c r="B197" s="140" t="s">
        <v>309</v>
      </c>
      <c r="C197" s="140" t="s">
        <v>654</v>
      </c>
      <c r="D197" s="140" t="s">
        <v>358</v>
      </c>
      <c r="E197" s="140" t="s">
        <v>655</v>
      </c>
      <c r="F197" s="314">
        <v>7.1184079407493641</v>
      </c>
      <c r="G197" s="314">
        <v>0</v>
      </c>
      <c r="H197" s="314">
        <v>0</v>
      </c>
      <c r="I197" s="314">
        <v>0</v>
      </c>
      <c r="J197" s="314">
        <v>0</v>
      </c>
    </row>
    <row r="198" spans="2:10">
      <c r="B198" s="140" t="s">
        <v>309</v>
      </c>
      <c r="C198" s="140" t="s">
        <v>654</v>
      </c>
      <c r="D198" s="140" t="s">
        <v>358</v>
      </c>
      <c r="E198" s="140" t="s">
        <v>364</v>
      </c>
      <c r="F198" s="314">
        <v>1.5516798392455731E-2</v>
      </c>
      <c r="G198" s="314">
        <v>0</v>
      </c>
      <c r="H198" s="314">
        <v>0</v>
      </c>
      <c r="I198" s="314">
        <v>0</v>
      </c>
      <c r="J198" s="314">
        <v>0</v>
      </c>
    </row>
    <row r="199" spans="2:10">
      <c r="B199" s="140" t="s">
        <v>309</v>
      </c>
      <c r="C199" s="140" t="s">
        <v>654</v>
      </c>
      <c r="D199" s="140" t="s">
        <v>358</v>
      </c>
      <c r="E199" s="140" t="s">
        <v>624</v>
      </c>
      <c r="F199" s="314">
        <v>8.8529930507298057E-3</v>
      </c>
      <c r="G199" s="314">
        <v>0</v>
      </c>
      <c r="H199" s="314">
        <v>0</v>
      </c>
      <c r="I199" s="314">
        <v>0</v>
      </c>
      <c r="J199" s="314">
        <v>0</v>
      </c>
    </row>
    <row r="200" spans="2:10">
      <c r="B200" s="140" t="s">
        <v>309</v>
      </c>
      <c r="C200" s="140" t="s">
        <v>654</v>
      </c>
      <c r="D200" s="140" t="s">
        <v>358</v>
      </c>
      <c r="E200" s="140" t="s">
        <v>359</v>
      </c>
      <c r="F200" s="314">
        <v>8.2628879894958249</v>
      </c>
      <c r="G200" s="314">
        <v>0</v>
      </c>
      <c r="H200" s="314">
        <v>0</v>
      </c>
      <c r="I200" s="314">
        <v>0</v>
      </c>
      <c r="J200" s="314">
        <v>0</v>
      </c>
    </row>
    <row r="201" spans="2:10">
      <c r="B201" s="140" t="s">
        <v>309</v>
      </c>
      <c r="C201" s="140" t="s">
        <v>654</v>
      </c>
      <c r="D201" s="140" t="s">
        <v>358</v>
      </c>
      <c r="E201" s="140" t="s">
        <v>357</v>
      </c>
      <c r="F201" s="314">
        <v>0.48950355627870901</v>
      </c>
      <c r="G201" s="314">
        <v>0</v>
      </c>
      <c r="H201" s="314">
        <v>0</v>
      </c>
      <c r="I201" s="314">
        <v>0</v>
      </c>
      <c r="J201" s="314">
        <v>0</v>
      </c>
    </row>
    <row r="202" spans="2:10">
      <c r="B202" s="140" t="s">
        <v>309</v>
      </c>
      <c r="C202" s="140" t="s">
        <v>654</v>
      </c>
      <c r="D202" s="140" t="s">
        <v>358</v>
      </c>
      <c r="E202" s="140" t="s">
        <v>440</v>
      </c>
      <c r="F202" s="314">
        <v>8.9923487353949547E-2</v>
      </c>
      <c r="G202" s="314">
        <v>0</v>
      </c>
      <c r="H202" s="314">
        <v>0</v>
      </c>
      <c r="I202" s="314">
        <v>0</v>
      </c>
      <c r="J202" s="314">
        <v>0</v>
      </c>
    </row>
    <row r="203" spans="2:10">
      <c r="B203" s="140" t="s">
        <v>309</v>
      </c>
      <c r="C203" s="140" t="s">
        <v>654</v>
      </c>
      <c r="D203" s="140" t="s">
        <v>656</v>
      </c>
      <c r="E203" s="140" t="s">
        <v>619</v>
      </c>
      <c r="F203" s="314">
        <v>0.17481125941607792</v>
      </c>
      <c r="G203" s="314">
        <v>0</v>
      </c>
      <c r="H203" s="314">
        <v>0</v>
      </c>
      <c r="I203" s="314">
        <v>0</v>
      </c>
      <c r="J203" s="314">
        <v>0</v>
      </c>
    </row>
    <row r="204" spans="2:10">
      <c r="B204" s="140" t="s">
        <v>309</v>
      </c>
      <c r="C204" s="140" t="s">
        <v>654</v>
      </c>
      <c r="D204" s="140" t="s">
        <v>657</v>
      </c>
      <c r="E204" s="140" t="s">
        <v>658</v>
      </c>
      <c r="F204" s="314">
        <v>2.8955362927971747E-3</v>
      </c>
      <c r="G204" s="314">
        <v>0</v>
      </c>
      <c r="H204" s="314">
        <v>0</v>
      </c>
      <c r="I204" s="314">
        <v>0</v>
      </c>
      <c r="J204" s="314">
        <v>0</v>
      </c>
    </row>
    <row r="205" spans="2:10">
      <c r="B205" s="140" t="s">
        <v>309</v>
      </c>
      <c r="C205" s="140" t="s">
        <v>659</v>
      </c>
      <c r="D205" s="140" t="s">
        <v>358</v>
      </c>
      <c r="E205" s="140" t="s">
        <v>655</v>
      </c>
      <c r="F205" s="314">
        <v>13.144362866747786</v>
      </c>
      <c r="G205" s="314">
        <v>0</v>
      </c>
      <c r="H205" s="314">
        <v>0</v>
      </c>
      <c r="I205" s="314">
        <v>0</v>
      </c>
      <c r="J205" s="314">
        <v>0</v>
      </c>
    </row>
    <row r="206" spans="2:10">
      <c r="B206" s="140" t="s">
        <v>309</v>
      </c>
      <c r="C206" s="140" t="s">
        <v>660</v>
      </c>
      <c r="D206" s="140" t="s">
        <v>355</v>
      </c>
      <c r="E206" s="140" t="s">
        <v>356</v>
      </c>
      <c r="F206" s="314">
        <v>4.6748306334373106</v>
      </c>
      <c r="G206" s="314">
        <v>0</v>
      </c>
      <c r="H206" s="314">
        <v>0</v>
      </c>
      <c r="I206" s="314">
        <v>0</v>
      </c>
      <c r="J206" s="314">
        <v>0</v>
      </c>
    </row>
    <row r="207" spans="2:10">
      <c r="B207" s="140" t="s">
        <v>309</v>
      </c>
      <c r="C207" s="140" t="s">
        <v>660</v>
      </c>
      <c r="D207" s="140" t="s">
        <v>358</v>
      </c>
      <c r="E207" s="140" t="s">
        <v>364</v>
      </c>
      <c r="F207" s="314">
        <v>0.14683849816739034</v>
      </c>
      <c r="G207" s="314">
        <v>0</v>
      </c>
      <c r="H207" s="314">
        <v>0</v>
      </c>
      <c r="I207" s="314">
        <v>0</v>
      </c>
      <c r="J207" s="314">
        <v>0</v>
      </c>
    </row>
    <row r="208" spans="2:10">
      <c r="B208" s="140" t="s">
        <v>309</v>
      </c>
      <c r="C208" s="140" t="s">
        <v>660</v>
      </c>
      <c r="D208" s="140" t="s">
        <v>358</v>
      </c>
      <c r="E208" s="140" t="s">
        <v>359</v>
      </c>
      <c r="F208" s="314">
        <v>38.1724869926758</v>
      </c>
      <c r="G208" s="314">
        <v>0</v>
      </c>
      <c r="H208" s="314">
        <v>0</v>
      </c>
      <c r="I208" s="314">
        <v>0</v>
      </c>
      <c r="J208" s="314">
        <v>0</v>
      </c>
    </row>
    <row r="209" spans="2:10">
      <c r="B209" s="140" t="s">
        <v>309</v>
      </c>
      <c r="C209" s="140" t="s">
        <v>660</v>
      </c>
      <c r="D209" s="140" t="s">
        <v>358</v>
      </c>
      <c r="E209" s="140" t="s">
        <v>357</v>
      </c>
      <c r="F209" s="314">
        <v>2.4406433447693291E-3</v>
      </c>
      <c r="G209" s="314">
        <v>0</v>
      </c>
      <c r="H209" s="314">
        <v>0</v>
      </c>
      <c r="I209" s="314">
        <v>0</v>
      </c>
      <c r="J209" s="314">
        <v>0</v>
      </c>
    </row>
    <row r="210" spans="2:10">
      <c r="B210" s="140" t="s">
        <v>309</v>
      </c>
      <c r="C210" s="140" t="s">
        <v>373</v>
      </c>
      <c r="D210" s="140" t="s">
        <v>355</v>
      </c>
      <c r="E210" s="140" t="s">
        <v>356</v>
      </c>
      <c r="F210" s="314">
        <v>-1409.8648839771708</v>
      </c>
      <c r="G210" s="314">
        <v>-2648.4033111804902</v>
      </c>
      <c r="H210" s="314">
        <v>-3081.3625045161293</v>
      </c>
      <c r="I210" s="314">
        <v>-2433.8189995316698</v>
      </c>
      <c r="J210" s="314">
        <v>-3463.1702354086369</v>
      </c>
    </row>
    <row r="211" spans="2:10">
      <c r="B211" s="140" t="s">
        <v>309</v>
      </c>
      <c r="C211" s="140" t="s">
        <v>373</v>
      </c>
      <c r="D211" s="140" t="s">
        <v>358</v>
      </c>
      <c r="E211" s="140" t="s">
        <v>356</v>
      </c>
      <c r="F211" s="314">
        <v>0.24733609349968452</v>
      </c>
      <c r="G211" s="314">
        <v>0</v>
      </c>
      <c r="H211" s="314">
        <v>0</v>
      </c>
      <c r="I211" s="314">
        <v>0</v>
      </c>
      <c r="J211" s="314">
        <v>0</v>
      </c>
    </row>
    <row r="212" spans="2:10">
      <c r="B212" s="140" t="s">
        <v>309</v>
      </c>
      <c r="C212" s="140" t="s">
        <v>373</v>
      </c>
      <c r="D212" s="140" t="s">
        <v>358</v>
      </c>
      <c r="E212" s="140" t="s">
        <v>364</v>
      </c>
      <c r="F212" s="314">
        <v>1.3806151256873002E-3</v>
      </c>
      <c r="G212" s="314">
        <v>0</v>
      </c>
      <c r="H212" s="314">
        <v>0</v>
      </c>
      <c r="I212" s="314">
        <v>0</v>
      </c>
      <c r="J212" s="314">
        <v>0</v>
      </c>
    </row>
    <row r="213" spans="2:10">
      <c r="B213" s="140" t="s">
        <v>309</v>
      </c>
      <c r="C213" s="140" t="s">
        <v>373</v>
      </c>
      <c r="D213" s="140" t="s">
        <v>358</v>
      </c>
      <c r="E213" s="140" t="s">
        <v>357</v>
      </c>
      <c r="F213" s="314">
        <v>8.6886855578632044E-2</v>
      </c>
      <c r="G213" s="314">
        <v>0</v>
      </c>
      <c r="H213" s="314">
        <v>0</v>
      </c>
      <c r="I213" s="314">
        <v>0</v>
      </c>
      <c r="J213" s="314">
        <v>0</v>
      </c>
    </row>
    <row r="214" spans="2:10">
      <c r="B214" s="140" t="s">
        <v>309</v>
      </c>
      <c r="C214" s="140" t="s">
        <v>373</v>
      </c>
      <c r="D214" s="140" t="s">
        <v>358</v>
      </c>
      <c r="E214" s="140" t="s">
        <v>440</v>
      </c>
      <c r="F214" s="314">
        <v>1.1152910391552515E-3</v>
      </c>
      <c r="G214" s="314">
        <v>0</v>
      </c>
      <c r="H214" s="314">
        <v>0</v>
      </c>
      <c r="I214" s="314">
        <v>0</v>
      </c>
      <c r="J214" s="314">
        <v>0</v>
      </c>
    </row>
    <row r="215" spans="2:10">
      <c r="B215" s="140" t="s">
        <v>309</v>
      </c>
      <c r="C215" s="140" t="s">
        <v>374</v>
      </c>
      <c r="D215" s="140" t="s">
        <v>355</v>
      </c>
      <c r="E215" s="140" t="s">
        <v>356</v>
      </c>
      <c r="F215" s="314">
        <v>-804.25029698954029</v>
      </c>
      <c r="G215" s="314">
        <v>-1370.4770045957127</v>
      </c>
      <c r="H215" s="314">
        <v>-2080.2051189373046</v>
      </c>
      <c r="I215" s="314">
        <v>-1639.5692483048949</v>
      </c>
      <c r="J215" s="314">
        <v>-2325.4203190434559</v>
      </c>
    </row>
    <row r="216" spans="2:10">
      <c r="B216" s="140" t="s">
        <v>309</v>
      </c>
      <c r="C216" s="140" t="s">
        <v>374</v>
      </c>
      <c r="D216" s="140" t="s">
        <v>358</v>
      </c>
      <c r="E216" s="140" t="s">
        <v>364</v>
      </c>
      <c r="F216" s="314">
        <v>0.13903322113975281</v>
      </c>
      <c r="G216" s="314">
        <v>0</v>
      </c>
      <c r="H216" s="314">
        <v>0</v>
      </c>
      <c r="I216" s="314">
        <v>0</v>
      </c>
      <c r="J216" s="314">
        <v>0</v>
      </c>
    </row>
    <row r="217" spans="2:10">
      <c r="B217" s="140" t="s">
        <v>309</v>
      </c>
      <c r="C217" s="140" t="s">
        <v>374</v>
      </c>
      <c r="D217" s="140" t="s">
        <v>358</v>
      </c>
      <c r="E217" s="140" t="s">
        <v>359</v>
      </c>
      <c r="F217" s="314">
        <v>0.15567150623876741</v>
      </c>
      <c r="G217" s="314">
        <v>0</v>
      </c>
      <c r="H217" s="314">
        <v>0</v>
      </c>
      <c r="I217" s="314">
        <v>0</v>
      </c>
      <c r="J217" s="314">
        <v>0</v>
      </c>
    </row>
    <row r="218" spans="2:10">
      <c r="B218" s="140" t="s">
        <v>309</v>
      </c>
      <c r="C218" s="140" t="s">
        <v>374</v>
      </c>
      <c r="D218" s="140" t="s">
        <v>358</v>
      </c>
      <c r="E218" s="140" t="s">
        <v>357</v>
      </c>
      <c r="F218" s="314">
        <v>1.1664788079293447</v>
      </c>
      <c r="G218" s="314">
        <v>0</v>
      </c>
      <c r="H218" s="314">
        <v>0</v>
      </c>
      <c r="I218" s="314">
        <v>0</v>
      </c>
      <c r="J218" s="314">
        <v>0</v>
      </c>
    </row>
    <row r="219" spans="2:10">
      <c r="B219" s="140" t="s">
        <v>309</v>
      </c>
      <c r="C219" s="140" t="s">
        <v>375</v>
      </c>
      <c r="D219" s="140" t="s">
        <v>355</v>
      </c>
      <c r="E219" s="140" t="s">
        <v>356</v>
      </c>
      <c r="F219" s="314">
        <v>-1521.7172694622454</v>
      </c>
      <c r="G219" s="314">
        <v>-3477.4519901455724</v>
      </c>
      <c r="H219" s="314">
        <v>-4159.9266658429096</v>
      </c>
      <c r="I219" s="314">
        <v>-3276.9166732799122</v>
      </c>
      <c r="J219" s="314">
        <v>-4650.2418495360171</v>
      </c>
    </row>
    <row r="220" spans="2:10">
      <c r="B220" s="140" t="s">
        <v>309</v>
      </c>
      <c r="C220" s="140" t="s">
        <v>375</v>
      </c>
      <c r="D220" s="140" t="s">
        <v>358</v>
      </c>
      <c r="E220" s="140" t="s">
        <v>356</v>
      </c>
      <c r="F220" s="314">
        <v>3.864309999704487E-2</v>
      </c>
      <c r="G220" s="314">
        <v>0</v>
      </c>
      <c r="H220" s="314">
        <v>0</v>
      </c>
      <c r="I220" s="314">
        <v>0</v>
      </c>
      <c r="J220" s="314">
        <v>0</v>
      </c>
    </row>
    <row r="221" spans="2:10">
      <c r="B221" s="140" t="s">
        <v>309</v>
      </c>
      <c r="C221" s="140" t="s">
        <v>375</v>
      </c>
      <c r="D221" s="140" t="s">
        <v>358</v>
      </c>
      <c r="E221" s="140" t="s">
        <v>364</v>
      </c>
      <c r="F221" s="314">
        <v>0.65435451551839985</v>
      </c>
      <c r="G221" s="314">
        <v>0</v>
      </c>
      <c r="H221" s="314">
        <v>0</v>
      </c>
      <c r="I221" s="314">
        <v>0</v>
      </c>
      <c r="J221" s="314">
        <v>0</v>
      </c>
    </row>
    <row r="222" spans="2:10">
      <c r="B222" s="140" t="s">
        <v>309</v>
      </c>
      <c r="C222" s="140" t="s">
        <v>375</v>
      </c>
      <c r="D222" s="140" t="s">
        <v>358</v>
      </c>
      <c r="E222" s="140" t="s">
        <v>359</v>
      </c>
      <c r="F222" s="314">
        <v>0.23046078714945648</v>
      </c>
      <c r="G222" s="314">
        <v>0</v>
      </c>
      <c r="H222" s="314">
        <v>0</v>
      </c>
      <c r="I222" s="314">
        <v>0</v>
      </c>
      <c r="J222" s="314">
        <v>0</v>
      </c>
    </row>
    <row r="223" spans="2:10">
      <c r="B223" s="140" t="s">
        <v>309</v>
      </c>
      <c r="C223" s="140" t="s">
        <v>375</v>
      </c>
      <c r="D223" s="140" t="s">
        <v>358</v>
      </c>
      <c r="E223" s="140" t="s">
        <v>357</v>
      </c>
      <c r="F223" s="314">
        <v>2.1456168116412542</v>
      </c>
      <c r="G223" s="314">
        <v>0</v>
      </c>
      <c r="H223" s="314">
        <v>0</v>
      </c>
      <c r="I223" s="314">
        <v>0</v>
      </c>
      <c r="J223" s="314">
        <v>0</v>
      </c>
    </row>
    <row r="224" spans="2:10">
      <c r="B224" s="140" t="s">
        <v>309</v>
      </c>
      <c r="C224" s="140" t="s">
        <v>375</v>
      </c>
      <c r="D224" s="140" t="s">
        <v>358</v>
      </c>
      <c r="E224" s="140" t="s">
        <v>440</v>
      </c>
      <c r="F224" s="314">
        <v>0.35900973900115091</v>
      </c>
      <c r="G224" s="314">
        <v>0</v>
      </c>
      <c r="H224" s="314">
        <v>0</v>
      </c>
      <c r="I224" s="314">
        <v>0</v>
      </c>
      <c r="J224" s="314">
        <v>0</v>
      </c>
    </row>
    <row r="225" spans="2:10">
      <c r="B225" s="140" t="s">
        <v>309</v>
      </c>
      <c r="C225" s="140" t="s">
        <v>376</v>
      </c>
      <c r="D225" s="140" t="s">
        <v>355</v>
      </c>
      <c r="E225" s="140" t="s">
        <v>356</v>
      </c>
      <c r="F225" s="314">
        <v>57.902553897227733</v>
      </c>
      <c r="G225" s="314">
        <v>-836.25129310962768</v>
      </c>
      <c r="H225" s="314">
        <v>-1194.0533583286715</v>
      </c>
      <c r="I225" s="314">
        <v>-933.93979981429379</v>
      </c>
      <c r="J225" s="314">
        <v>-1314.778501551915</v>
      </c>
    </row>
    <row r="226" spans="2:10">
      <c r="B226" s="140" t="s">
        <v>309</v>
      </c>
      <c r="C226" s="140" t="s">
        <v>376</v>
      </c>
      <c r="D226" s="140" t="s">
        <v>358</v>
      </c>
      <c r="E226" s="140" t="s">
        <v>364</v>
      </c>
      <c r="F226" s="314">
        <v>4.3745494220964375E-2</v>
      </c>
      <c r="G226" s="314">
        <v>0</v>
      </c>
      <c r="H226" s="314">
        <v>0</v>
      </c>
      <c r="I226" s="314">
        <v>0</v>
      </c>
      <c r="J226" s="314">
        <v>0</v>
      </c>
    </row>
    <row r="227" spans="2:10">
      <c r="B227" s="140" t="s">
        <v>309</v>
      </c>
      <c r="C227" s="140" t="s">
        <v>376</v>
      </c>
      <c r="D227" s="140" t="s">
        <v>358</v>
      </c>
      <c r="E227" s="140" t="s">
        <v>359</v>
      </c>
      <c r="F227" s="314">
        <v>3.8536251888173362E-2</v>
      </c>
      <c r="G227" s="314">
        <v>0</v>
      </c>
      <c r="H227" s="314">
        <v>0</v>
      </c>
      <c r="I227" s="314">
        <v>0</v>
      </c>
      <c r="J227" s="314">
        <v>0</v>
      </c>
    </row>
    <row r="228" spans="2:10">
      <c r="B228" s="140" t="s">
        <v>309</v>
      </c>
      <c r="C228" s="140" t="s">
        <v>376</v>
      </c>
      <c r="D228" s="140" t="s">
        <v>358</v>
      </c>
      <c r="E228" s="140" t="s">
        <v>357</v>
      </c>
      <c r="F228" s="314">
        <v>1.0922911886465769</v>
      </c>
      <c r="G228" s="314">
        <v>0</v>
      </c>
      <c r="H228" s="314">
        <v>0</v>
      </c>
      <c r="I228" s="314">
        <v>0</v>
      </c>
      <c r="J228" s="314">
        <v>0</v>
      </c>
    </row>
    <row r="229" spans="2:10">
      <c r="B229" s="140" t="s">
        <v>309</v>
      </c>
      <c r="C229" s="140" t="s">
        <v>661</v>
      </c>
      <c r="D229" s="140" t="s">
        <v>355</v>
      </c>
      <c r="E229" s="140" t="s">
        <v>356</v>
      </c>
      <c r="F229" s="314">
        <v>8.182158029973845</v>
      </c>
      <c r="G229" s="314">
        <v>0</v>
      </c>
      <c r="H229" s="314">
        <v>0</v>
      </c>
      <c r="I229" s="314">
        <v>0</v>
      </c>
      <c r="J229" s="314">
        <v>0</v>
      </c>
    </row>
    <row r="230" spans="2:10">
      <c r="B230" s="140" t="s">
        <v>309</v>
      </c>
      <c r="C230" s="140" t="s">
        <v>661</v>
      </c>
      <c r="D230" s="140" t="s">
        <v>358</v>
      </c>
      <c r="E230" s="140" t="s">
        <v>364</v>
      </c>
      <c r="F230" s="314">
        <v>1.3525091987949704E-2</v>
      </c>
      <c r="G230" s="314">
        <v>0</v>
      </c>
      <c r="H230" s="314">
        <v>0</v>
      </c>
      <c r="I230" s="314">
        <v>0</v>
      </c>
      <c r="J230" s="314">
        <v>0</v>
      </c>
    </row>
    <row r="231" spans="2:10">
      <c r="B231" s="140" t="s">
        <v>309</v>
      </c>
      <c r="C231" s="140" t="s">
        <v>661</v>
      </c>
      <c r="D231" s="140" t="s">
        <v>358</v>
      </c>
      <c r="E231" s="140" t="s">
        <v>357</v>
      </c>
      <c r="F231" s="314">
        <v>8.8372292897599999E-2</v>
      </c>
      <c r="G231" s="314">
        <v>0</v>
      </c>
      <c r="H231" s="314">
        <v>0</v>
      </c>
      <c r="I231" s="314">
        <v>0</v>
      </c>
      <c r="J231" s="314">
        <v>0</v>
      </c>
    </row>
    <row r="232" spans="2:10">
      <c r="B232" s="140" t="s">
        <v>309</v>
      </c>
      <c r="C232" s="140" t="s">
        <v>662</v>
      </c>
      <c r="D232" s="140" t="s">
        <v>355</v>
      </c>
      <c r="E232" s="140" t="s">
        <v>356</v>
      </c>
      <c r="F232" s="314">
        <v>10.685646849289634</v>
      </c>
      <c r="G232" s="314">
        <v>0</v>
      </c>
      <c r="H232" s="314">
        <v>0</v>
      </c>
      <c r="I232" s="314">
        <v>0</v>
      </c>
      <c r="J232" s="314">
        <v>0</v>
      </c>
    </row>
    <row r="233" spans="2:10">
      <c r="B233" s="140" t="s">
        <v>309</v>
      </c>
      <c r="C233" s="140" t="s">
        <v>662</v>
      </c>
      <c r="D233" s="140" t="s">
        <v>358</v>
      </c>
      <c r="E233" s="140" t="s">
        <v>356</v>
      </c>
      <c r="F233" s="314">
        <v>0.34107308640443934</v>
      </c>
      <c r="G233" s="314">
        <v>0</v>
      </c>
      <c r="H233" s="314">
        <v>0</v>
      </c>
      <c r="I233" s="314">
        <v>0</v>
      </c>
      <c r="J233" s="314">
        <v>0</v>
      </c>
    </row>
    <row r="234" spans="2:10">
      <c r="B234" s="140" t="s">
        <v>309</v>
      </c>
      <c r="C234" s="140" t="s">
        <v>662</v>
      </c>
      <c r="D234" s="140" t="s">
        <v>358</v>
      </c>
      <c r="E234" s="140" t="s">
        <v>364</v>
      </c>
      <c r="F234" s="314">
        <v>0.82221084841032965</v>
      </c>
      <c r="G234" s="314">
        <v>0</v>
      </c>
      <c r="H234" s="314">
        <v>0</v>
      </c>
      <c r="I234" s="314">
        <v>0</v>
      </c>
      <c r="J234" s="314">
        <v>0</v>
      </c>
    </row>
    <row r="235" spans="2:10">
      <c r="B235" s="140" t="s">
        <v>309</v>
      </c>
      <c r="C235" s="140" t="s">
        <v>662</v>
      </c>
      <c r="D235" s="140" t="s">
        <v>358</v>
      </c>
      <c r="E235" s="140" t="s">
        <v>359</v>
      </c>
      <c r="F235" s="314">
        <v>4.0434131325442397</v>
      </c>
      <c r="G235" s="314">
        <v>0</v>
      </c>
      <c r="H235" s="314">
        <v>0</v>
      </c>
      <c r="I235" s="314">
        <v>0</v>
      </c>
      <c r="J235" s="314">
        <v>0</v>
      </c>
    </row>
    <row r="236" spans="2:10">
      <c r="B236" s="140" t="s">
        <v>309</v>
      </c>
      <c r="C236" s="140" t="s">
        <v>662</v>
      </c>
      <c r="D236" s="140" t="s">
        <v>358</v>
      </c>
      <c r="E236" s="140" t="s">
        <v>357</v>
      </c>
      <c r="F236" s="314">
        <v>3.8380799445094644</v>
      </c>
      <c r="G236" s="314">
        <v>0</v>
      </c>
      <c r="H236" s="314">
        <v>0</v>
      </c>
      <c r="I236" s="314">
        <v>0</v>
      </c>
      <c r="J236" s="314">
        <v>0</v>
      </c>
    </row>
    <row r="237" spans="2:10">
      <c r="B237" s="140" t="s">
        <v>309</v>
      </c>
      <c r="C237" s="140" t="s">
        <v>662</v>
      </c>
      <c r="D237" s="140" t="s">
        <v>358</v>
      </c>
      <c r="E237" s="140" t="s">
        <v>440</v>
      </c>
      <c r="F237" s="314">
        <v>0.54057896543548123</v>
      </c>
      <c r="G237" s="314">
        <v>0</v>
      </c>
      <c r="H237" s="314">
        <v>0</v>
      </c>
      <c r="I237" s="314">
        <v>0</v>
      </c>
      <c r="J237" s="314">
        <v>0</v>
      </c>
    </row>
    <row r="238" spans="2:10">
      <c r="B238" s="140" t="s">
        <v>309</v>
      </c>
      <c r="C238" s="140" t="s">
        <v>663</v>
      </c>
      <c r="D238" s="140" t="s">
        <v>355</v>
      </c>
      <c r="E238" s="140" t="s">
        <v>356</v>
      </c>
      <c r="F238" s="314">
        <v>1.3772240289106497E-3</v>
      </c>
      <c r="G238" s="314">
        <v>0</v>
      </c>
      <c r="H238" s="314">
        <v>0</v>
      </c>
      <c r="I238" s="314">
        <v>0</v>
      </c>
      <c r="J238" s="314">
        <v>0</v>
      </c>
    </row>
    <row r="239" spans="2:10">
      <c r="B239" s="140" t="s">
        <v>309</v>
      </c>
      <c r="C239" s="140" t="s">
        <v>663</v>
      </c>
      <c r="D239" s="140" t="s">
        <v>358</v>
      </c>
      <c r="E239" s="140" t="s">
        <v>364</v>
      </c>
      <c r="F239" s="314">
        <v>0.55229631124165757</v>
      </c>
      <c r="G239" s="314">
        <v>0</v>
      </c>
      <c r="H239" s="314">
        <v>0</v>
      </c>
      <c r="I239" s="314">
        <v>0</v>
      </c>
      <c r="J239" s="314">
        <v>0</v>
      </c>
    </row>
    <row r="240" spans="2:10">
      <c r="B240" s="140" t="s">
        <v>309</v>
      </c>
      <c r="C240" s="140" t="s">
        <v>663</v>
      </c>
      <c r="D240" s="140" t="s">
        <v>358</v>
      </c>
      <c r="E240" s="140" t="s">
        <v>359</v>
      </c>
      <c r="F240" s="314">
        <v>9.6183989688474014</v>
      </c>
      <c r="G240" s="314">
        <v>0</v>
      </c>
      <c r="H240" s="314">
        <v>0</v>
      </c>
      <c r="I240" s="314">
        <v>0</v>
      </c>
      <c r="J240" s="314">
        <v>0</v>
      </c>
    </row>
    <row r="241" spans="2:10">
      <c r="B241" s="140" t="s">
        <v>309</v>
      </c>
      <c r="C241" s="140" t="s">
        <v>663</v>
      </c>
      <c r="D241" s="140" t="s">
        <v>358</v>
      </c>
      <c r="E241" s="140" t="s">
        <v>357</v>
      </c>
      <c r="F241" s="314">
        <v>9.1958462444570194E-3</v>
      </c>
      <c r="G241" s="314">
        <v>0</v>
      </c>
      <c r="H241" s="314">
        <v>0</v>
      </c>
      <c r="I241" s="314">
        <v>0</v>
      </c>
      <c r="J241" s="314">
        <v>0</v>
      </c>
    </row>
    <row r="242" spans="2:10">
      <c r="B242" s="140" t="s">
        <v>309</v>
      </c>
      <c r="C242" s="140" t="s">
        <v>377</v>
      </c>
      <c r="D242" s="140" t="s">
        <v>355</v>
      </c>
      <c r="E242" s="140" t="s">
        <v>356</v>
      </c>
      <c r="F242" s="314">
        <v>-22029.83651572877</v>
      </c>
      <c r="G242" s="314">
        <v>-33829.380287587199</v>
      </c>
      <c r="H242" s="314">
        <v>-40655.794579545858</v>
      </c>
      <c r="I242" s="314">
        <v>-32228.562696418518</v>
      </c>
      <c r="J242" s="314">
        <v>-46014.167736982905</v>
      </c>
    </row>
    <row r="243" spans="2:10">
      <c r="B243" s="140" t="s">
        <v>309</v>
      </c>
      <c r="C243" s="140" t="s">
        <v>377</v>
      </c>
      <c r="D243" s="140" t="s">
        <v>355</v>
      </c>
      <c r="E243" s="140" t="s">
        <v>359</v>
      </c>
      <c r="F243" s="314">
        <v>0.15567618622775267</v>
      </c>
      <c r="G243" s="314">
        <v>0</v>
      </c>
      <c r="H243" s="314">
        <v>0</v>
      </c>
      <c r="I243" s="314">
        <v>0</v>
      </c>
      <c r="J243" s="314">
        <v>0</v>
      </c>
    </row>
    <row r="244" spans="2:10">
      <c r="B244" s="140" t="s">
        <v>309</v>
      </c>
      <c r="C244" s="140" t="s">
        <v>377</v>
      </c>
      <c r="D244" s="140" t="s">
        <v>358</v>
      </c>
      <c r="E244" s="140" t="s">
        <v>364</v>
      </c>
      <c r="F244" s="314">
        <v>1.6245144829963123</v>
      </c>
      <c r="G244" s="314">
        <v>0</v>
      </c>
      <c r="H244" s="314">
        <v>0</v>
      </c>
      <c r="I244" s="314">
        <v>0</v>
      </c>
      <c r="J244" s="314">
        <v>0</v>
      </c>
    </row>
    <row r="245" spans="2:10">
      <c r="B245" s="140" t="s">
        <v>309</v>
      </c>
      <c r="C245" s="140" t="s">
        <v>377</v>
      </c>
      <c r="D245" s="140" t="s">
        <v>358</v>
      </c>
      <c r="E245" s="140" t="s">
        <v>638</v>
      </c>
      <c r="F245" s="314">
        <v>0.31175101389963866</v>
      </c>
      <c r="G245" s="314">
        <v>0</v>
      </c>
      <c r="H245" s="314">
        <v>0</v>
      </c>
      <c r="I245" s="314">
        <v>0</v>
      </c>
      <c r="J245" s="314">
        <v>0</v>
      </c>
    </row>
    <row r="246" spans="2:10">
      <c r="B246" s="140" t="s">
        <v>309</v>
      </c>
      <c r="C246" s="140" t="s">
        <v>377</v>
      </c>
      <c r="D246" s="140" t="s">
        <v>358</v>
      </c>
      <c r="E246" s="140" t="s">
        <v>359</v>
      </c>
      <c r="F246" s="314">
        <v>23.635794615603487</v>
      </c>
      <c r="G246" s="314">
        <v>0</v>
      </c>
      <c r="H246" s="314">
        <v>0</v>
      </c>
      <c r="I246" s="314">
        <v>0</v>
      </c>
      <c r="J246" s="314">
        <v>0</v>
      </c>
    </row>
    <row r="247" spans="2:10">
      <c r="B247" s="140" t="s">
        <v>309</v>
      </c>
      <c r="C247" s="140" t="s">
        <v>377</v>
      </c>
      <c r="D247" s="140" t="s">
        <v>358</v>
      </c>
      <c r="E247" s="140" t="s">
        <v>620</v>
      </c>
      <c r="F247" s="314">
        <v>2.055960433819367E-2</v>
      </c>
      <c r="G247" s="314">
        <v>0</v>
      </c>
      <c r="H247" s="314">
        <v>0</v>
      </c>
      <c r="I247" s="314">
        <v>0</v>
      </c>
      <c r="J247" s="314">
        <v>0</v>
      </c>
    </row>
    <row r="248" spans="2:10">
      <c r="B248" s="140" t="s">
        <v>309</v>
      </c>
      <c r="C248" s="140" t="s">
        <v>377</v>
      </c>
      <c r="D248" s="140" t="s">
        <v>358</v>
      </c>
      <c r="E248" s="140" t="s">
        <v>357</v>
      </c>
      <c r="F248" s="314">
        <v>4.6045382508050734</v>
      </c>
      <c r="G248" s="314">
        <v>0</v>
      </c>
      <c r="H248" s="314">
        <v>0</v>
      </c>
      <c r="I248" s="314">
        <v>0</v>
      </c>
      <c r="J248" s="314">
        <v>0</v>
      </c>
    </row>
    <row r="249" spans="2:10">
      <c r="B249" s="140" t="s">
        <v>309</v>
      </c>
      <c r="C249" s="140" t="s">
        <v>377</v>
      </c>
      <c r="D249" s="140" t="s">
        <v>358</v>
      </c>
      <c r="E249" s="140" t="s">
        <v>607</v>
      </c>
      <c r="F249" s="314">
        <v>3.7828303472603075E-2</v>
      </c>
      <c r="G249" s="314">
        <v>0</v>
      </c>
      <c r="H249" s="314">
        <v>0</v>
      </c>
      <c r="I249" s="314">
        <v>0</v>
      </c>
      <c r="J249" s="314">
        <v>0</v>
      </c>
    </row>
    <row r="250" spans="2:10">
      <c r="B250" s="140" t="s">
        <v>309</v>
      </c>
      <c r="C250" s="140" t="s">
        <v>606</v>
      </c>
      <c r="D250" s="140" t="s">
        <v>355</v>
      </c>
      <c r="E250" s="140" t="s">
        <v>356</v>
      </c>
      <c r="F250" s="314">
        <v>-25844.026829885599</v>
      </c>
      <c r="G250" s="314">
        <v>-29450.838796707805</v>
      </c>
      <c r="H250" s="314">
        <v>-36580.956272451913</v>
      </c>
      <c r="I250" s="314">
        <v>-29436.25122517407</v>
      </c>
      <c r="J250" s="314">
        <v>-42652.679135406768</v>
      </c>
    </row>
    <row r="251" spans="2:10">
      <c r="B251" s="140" t="s">
        <v>309</v>
      </c>
      <c r="C251" s="140" t="s">
        <v>606</v>
      </c>
      <c r="D251" s="140" t="s">
        <v>355</v>
      </c>
      <c r="E251" s="140" t="s">
        <v>359</v>
      </c>
      <c r="F251" s="314">
        <v>8.1586908217072762E-2</v>
      </c>
      <c r="G251" s="314">
        <v>0</v>
      </c>
      <c r="H251" s="314">
        <v>0</v>
      </c>
      <c r="I251" s="314">
        <v>0</v>
      </c>
      <c r="J251" s="314">
        <v>0</v>
      </c>
    </row>
    <row r="252" spans="2:10">
      <c r="B252" s="140" t="s">
        <v>309</v>
      </c>
      <c r="C252" s="140" t="s">
        <v>606</v>
      </c>
      <c r="D252" s="140" t="s">
        <v>358</v>
      </c>
      <c r="E252" s="140" t="s">
        <v>364</v>
      </c>
      <c r="F252" s="314">
        <v>7.8078446992494186</v>
      </c>
      <c r="G252" s="314">
        <v>0</v>
      </c>
      <c r="H252" s="314">
        <v>0</v>
      </c>
      <c r="I252" s="314">
        <v>0</v>
      </c>
      <c r="J252" s="314">
        <v>0</v>
      </c>
    </row>
    <row r="253" spans="2:10">
      <c r="B253" s="140" t="s">
        <v>309</v>
      </c>
      <c r="C253" s="140" t="s">
        <v>606</v>
      </c>
      <c r="D253" s="140" t="s">
        <v>358</v>
      </c>
      <c r="E253" s="140" t="s">
        <v>638</v>
      </c>
      <c r="F253" s="314">
        <v>0.10554000105246561</v>
      </c>
      <c r="G253" s="314">
        <v>0</v>
      </c>
      <c r="H253" s="314">
        <v>0</v>
      </c>
      <c r="I253" s="314">
        <v>0</v>
      </c>
      <c r="J253" s="314">
        <v>0</v>
      </c>
    </row>
    <row r="254" spans="2:10">
      <c r="B254" s="140" t="s">
        <v>309</v>
      </c>
      <c r="C254" s="140" t="s">
        <v>606</v>
      </c>
      <c r="D254" s="140" t="s">
        <v>358</v>
      </c>
      <c r="E254" s="140" t="s">
        <v>359</v>
      </c>
      <c r="F254" s="314">
        <v>42.990161034287816</v>
      </c>
      <c r="G254" s="314">
        <v>0</v>
      </c>
      <c r="H254" s="314">
        <v>0</v>
      </c>
      <c r="I254" s="314">
        <v>0</v>
      </c>
      <c r="J254" s="314">
        <v>0</v>
      </c>
    </row>
    <row r="255" spans="2:10">
      <c r="B255" s="140" t="s">
        <v>309</v>
      </c>
      <c r="C255" s="140" t="s">
        <v>606</v>
      </c>
      <c r="D255" s="140" t="s">
        <v>358</v>
      </c>
      <c r="E255" s="140" t="s">
        <v>357</v>
      </c>
      <c r="F255" s="314">
        <v>5.6220485767104824</v>
      </c>
      <c r="G255" s="314">
        <v>0</v>
      </c>
      <c r="H255" s="314">
        <v>0</v>
      </c>
      <c r="I255" s="314">
        <v>0</v>
      </c>
      <c r="J255" s="314">
        <v>0</v>
      </c>
    </row>
    <row r="256" spans="2:10">
      <c r="B256" s="140" t="s">
        <v>309</v>
      </c>
      <c r="C256" s="140" t="s">
        <v>606</v>
      </c>
      <c r="D256" s="140" t="s">
        <v>358</v>
      </c>
      <c r="E256" s="140" t="s">
        <v>607</v>
      </c>
      <c r="F256" s="314">
        <v>0.92808135565158256</v>
      </c>
      <c r="G256" s="314">
        <v>0</v>
      </c>
      <c r="H256" s="314">
        <v>0</v>
      </c>
      <c r="I256" s="314">
        <v>0</v>
      </c>
      <c r="J256" s="314">
        <v>0</v>
      </c>
    </row>
    <row r="257" spans="2:10">
      <c r="B257" s="140" t="s">
        <v>309</v>
      </c>
      <c r="C257" s="140" t="s">
        <v>606</v>
      </c>
      <c r="D257" s="140" t="s">
        <v>627</v>
      </c>
      <c r="E257" s="140" t="s">
        <v>423</v>
      </c>
      <c r="F257" s="314">
        <v>-3.4894266742548883E-4</v>
      </c>
      <c r="G257" s="314">
        <v>0</v>
      </c>
      <c r="H257" s="314">
        <v>0</v>
      </c>
      <c r="I257" s="314">
        <v>0</v>
      </c>
      <c r="J257" s="314">
        <v>0</v>
      </c>
    </row>
    <row r="258" spans="2:10">
      <c r="B258" s="140" t="s">
        <v>309</v>
      </c>
      <c r="C258" s="140" t="s">
        <v>608</v>
      </c>
      <c r="D258" s="140" t="s">
        <v>355</v>
      </c>
      <c r="E258" s="140" t="s">
        <v>356</v>
      </c>
      <c r="F258" s="314">
        <v>-29242.75366922118</v>
      </c>
      <c r="G258" s="314">
        <v>-35045.967987537988</v>
      </c>
      <c r="H258" s="314">
        <v>-43197.870374532467</v>
      </c>
      <c r="I258" s="314">
        <v>-34684.74982375429</v>
      </c>
      <c r="J258" s="314">
        <v>-50141.039452133016</v>
      </c>
    </row>
    <row r="259" spans="2:10">
      <c r="B259" s="140" t="s">
        <v>309</v>
      </c>
      <c r="C259" s="140" t="s">
        <v>608</v>
      </c>
      <c r="D259" s="140" t="s">
        <v>355</v>
      </c>
      <c r="E259" s="140" t="s">
        <v>359</v>
      </c>
      <c r="F259" s="314">
        <v>0.44861398013556542</v>
      </c>
      <c r="G259" s="314">
        <v>0</v>
      </c>
      <c r="H259" s="314">
        <v>0</v>
      </c>
      <c r="I259" s="314">
        <v>0</v>
      </c>
      <c r="J259" s="314">
        <v>0</v>
      </c>
    </row>
    <row r="260" spans="2:10">
      <c r="B260" s="140" t="s">
        <v>309</v>
      </c>
      <c r="C260" s="140" t="s">
        <v>608</v>
      </c>
      <c r="D260" s="140" t="s">
        <v>358</v>
      </c>
      <c r="E260" s="140" t="s">
        <v>364</v>
      </c>
      <c r="F260" s="314">
        <v>11.35528310930486</v>
      </c>
      <c r="G260" s="314">
        <v>0</v>
      </c>
      <c r="H260" s="314">
        <v>0</v>
      </c>
      <c r="I260" s="314">
        <v>0</v>
      </c>
      <c r="J260" s="314">
        <v>0</v>
      </c>
    </row>
    <row r="261" spans="2:10">
      <c r="B261" s="140" t="s">
        <v>309</v>
      </c>
      <c r="C261" s="140" t="s">
        <v>608</v>
      </c>
      <c r="D261" s="140" t="s">
        <v>358</v>
      </c>
      <c r="E261" s="140" t="s">
        <v>638</v>
      </c>
      <c r="F261" s="314">
        <v>0.28632669539728056</v>
      </c>
      <c r="G261" s="314">
        <v>0</v>
      </c>
      <c r="H261" s="314">
        <v>0</v>
      </c>
      <c r="I261" s="314">
        <v>0</v>
      </c>
      <c r="J261" s="314">
        <v>0</v>
      </c>
    </row>
    <row r="262" spans="2:10">
      <c r="B262" s="140" t="s">
        <v>309</v>
      </c>
      <c r="C262" s="140" t="s">
        <v>608</v>
      </c>
      <c r="D262" s="140" t="s">
        <v>358</v>
      </c>
      <c r="E262" s="140" t="s">
        <v>359</v>
      </c>
      <c r="F262" s="314">
        <v>30.393199221018541</v>
      </c>
      <c r="G262" s="314">
        <v>0</v>
      </c>
      <c r="H262" s="314">
        <v>0</v>
      </c>
      <c r="I262" s="314">
        <v>0</v>
      </c>
      <c r="J262" s="314">
        <v>0</v>
      </c>
    </row>
    <row r="263" spans="2:10">
      <c r="B263" s="140" t="s">
        <v>309</v>
      </c>
      <c r="C263" s="140" t="s">
        <v>608</v>
      </c>
      <c r="D263" s="140" t="s">
        <v>358</v>
      </c>
      <c r="E263" s="140" t="s">
        <v>357</v>
      </c>
      <c r="F263" s="314">
        <v>5.5964614787162326</v>
      </c>
      <c r="G263" s="314">
        <v>0</v>
      </c>
      <c r="H263" s="314">
        <v>0</v>
      </c>
      <c r="I263" s="314">
        <v>0</v>
      </c>
      <c r="J263" s="314">
        <v>0</v>
      </c>
    </row>
    <row r="264" spans="2:10">
      <c r="B264" s="140" t="s">
        <v>309</v>
      </c>
      <c r="C264" s="140" t="s">
        <v>608</v>
      </c>
      <c r="D264" s="140" t="s">
        <v>358</v>
      </c>
      <c r="E264" s="140" t="s">
        <v>607</v>
      </c>
      <c r="F264" s="314">
        <v>6.9157577897998493E-2</v>
      </c>
      <c r="G264" s="314">
        <v>0</v>
      </c>
      <c r="H264" s="314">
        <v>0</v>
      </c>
      <c r="I264" s="314">
        <v>0</v>
      </c>
      <c r="J264" s="314">
        <v>0</v>
      </c>
    </row>
    <row r="265" spans="2:10">
      <c r="B265" s="140" t="s">
        <v>309</v>
      </c>
      <c r="C265" s="140" t="s">
        <v>608</v>
      </c>
      <c r="D265" s="140" t="s">
        <v>428</v>
      </c>
      <c r="E265" s="140" t="s">
        <v>429</v>
      </c>
      <c r="F265" s="314">
        <v>0.88346667984494154</v>
      </c>
      <c r="G265" s="314">
        <v>0</v>
      </c>
      <c r="H265" s="314">
        <v>0</v>
      </c>
      <c r="I265" s="314">
        <v>0</v>
      </c>
      <c r="J265" s="314">
        <v>0</v>
      </c>
    </row>
    <row r="266" spans="2:10">
      <c r="B266" s="140" t="s">
        <v>309</v>
      </c>
      <c r="C266" s="140" t="s">
        <v>609</v>
      </c>
      <c r="D266" s="140" t="s">
        <v>355</v>
      </c>
      <c r="E266" s="140" t="s">
        <v>356</v>
      </c>
      <c r="F266" s="314">
        <v>-9987.4496543741061</v>
      </c>
      <c r="G266" s="314">
        <v>-12738.988350074231</v>
      </c>
      <c r="H266" s="314">
        <v>-15831.974991406856</v>
      </c>
      <c r="I266" s="314">
        <v>-12813.383307725637</v>
      </c>
      <c r="J266" s="314">
        <v>-18674.338809191398</v>
      </c>
    </row>
    <row r="267" spans="2:10">
      <c r="B267" s="140" t="s">
        <v>309</v>
      </c>
      <c r="C267" s="140" t="s">
        <v>609</v>
      </c>
      <c r="D267" s="140" t="s">
        <v>355</v>
      </c>
      <c r="E267" s="140" t="s">
        <v>359</v>
      </c>
      <c r="F267" s="314">
        <v>7.2702007744647315E-2</v>
      </c>
      <c r="G267" s="314">
        <v>0</v>
      </c>
      <c r="H267" s="314">
        <v>0</v>
      </c>
      <c r="I267" s="314">
        <v>0</v>
      </c>
      <c r="J267" s="314">
        <v>0</v>
      </c>
    </row>
    <row r="268" spans="2:10">
      <c r="B268" s="140" t="s">
        <v>309</v>
      </c>
      <c r="C268" s="140" t="s">
        <v>609</v>
      </c>
      <c r="D268" s="140" t="s">
        <v>358</v>
      </c>
      <c r="E268" s="140" t="s">
        <v>364</v>
      </c>
      <c r="F268" s="314">
        <v>4.178523192516975</v>
      </c>
      <c r="G268" s="314">
        <v>0</v>
      </c>
      <c r="H268" s="314">
        <v>0</v>
      </c>
      <c r="I268" s="314">
        <v>0</v>
      </c>
      <c r="J268" s="314">
        <v>0</v>
      </c>
    </row>
    <row r="269" spans="2:10">
      <c r="B269" s="140" t="s">
        <v>309</v>
      </c>
      <c r="C269" s="140" t="s">
        <v>609</v>
      </c>
      <c r="D269" s="140" t="s">
        <v>358</v>
      </c>
      <c r="E269" s="140" t="s">
        <v>638</v>
      </c>
      <c r="F269" s="314">
        <v>0.41473583235094302</v>
      </c>
      <c r="G269" s="314">
        <v>0</v>
      </c>
      <c r="H269" s="314">
        <v>0</v>
      </c>
      <c r="I269" s="314">
        <v>0</v>
      </c>
      <c r="J269" s="314">
        <v>0</v>
      </c>
    </row>
    <row r="270" spans="2:10">
      <c r="B270" s="140" t="s">
        <v>309</v>
      </c>
      <c r="C270" s="140" t="s">
        <v>609</v>
      </c>
      <c r="D270" s="140" t="s">
        <v>358</v>
      </c>
      <c r="E270" s="140" t="s">
        <v>359</v>
      </c>
      <c r="F270" s="314">
        <v>24.636923713895545</v>
      </c>
      <c r="G270" s="314">
        <v>0</v>
      </c>
      <c r="H270" s="314">
        <v>0</v>
      </c>
      <c r="I270" s="314">
        <v>0</v>
      </c>
      <c r="J270" s="314">
        <v>0</v>
      </c>
    </row>
    <row r="271" spans="2:10">
      <c r="B271" s="140" t="s">
        <v>309</v>
      </c>
      <c r="C271" s="140" t="s">
        <v>609</v>
      </c>
      <c r="D271" s="140" t="s">
        <v>358</v>
      </c>
      <c r="E271" s="140" t="s">
        <v>357</v>
      </c>
      <c r="F271" s="314">
        <v>4.9901084740972665</v>
      </c>
      <c r="G271" s="314">
        <v>0</v>
      </c>
      <c r="H271" s="314">
        <v>0</v>
      </c>
      <c r="I271" s="314">
        <v>0</v>
      </c>
      <c r="J271" s="314">
        <v>0</v>
      </c>
    </row>
    <row r="272" spans="2:10">
      <c r="B272" s="140" t="s">
        <v>309</v>
      </c>
      <c r="C272" s="140" t="s">
        <v>609</v>
      </c>
      <c r="D272" s="140" t="s">
        <v>358</v>
      </c>
      <c r="E272" s="140" t="s">
        <v>607</v>
      </c>
      <c r="F272" s="314">
        <v>0.37081666346784681</v>
      </c>
      <c r="G272" s="314">
        <v>0</v>
      </c>
      <c r="H272" s="314">
        <v>0</v>
      </c>
      <c r="I272" s="314">
        <v>0</v>
      </c>
      <c r="J272" s="314">
        <v>0</v>
      </c>
    </row>
    <row r="273" spans="2:10">
      <c r="B273" s="140" t="s">
        <v>309</v>
      </c>
      <c r="C273" s="140" t="s">
        <v>609</v>
      </c>
      <c r="D273" s="140" t="s">
        <v>428</v>
      </c>
      <c r="E273" s="140" t="s">
        <v>429</v>
      </c>
      <c r="F273" s="314">
        <v>5.0301029141812385E-2</v>
      </c>
      <c r="G273" s="314">
        <v>0</v>
      </c>
      <c r="H273" s="314">
        <v>0</v>
      </c>
      <c r="I273" s="314">
        <v>0</v>
      </c>
      <c r="J273" s="314">
        <v>0</v>
      </c>
    </row>
    <row r="274" spans="2:10">
      <c r="B274" s="140" t="s">
        <v>309</v>
      </c>
      <c r="C274" s="140" t="s">
        <v>378</v>
      </c>
      <c r="D274" s="140" t="s">
        <v>355</v>
      </c>
      <c r="E274" s="140" t="s">
        <v>356</v>
      </c>
      <c r="F274" s="314">
        <v>-5428.3762637797054</v>
      </c>
      <c r="G274" s="314">
        <v>-2839.3703856209081</v>
      </c>
      <c r="H274" s="314">
        <v>-3586.1912048287777</v>
      </c>
      <c r="I274" s="314">
        <v>-2930.3735965707183</v>
      </c>
      <c r="J274" s="314">
        <v>-4314.1032965030909</v>
      </c>
    </row>
    <row r="275" spans="2:10">
      <c r="B275" s="140" t="s">
        <v>309</v>
      </c>
      <c r="C275" s="140" t="s">
        <v>378</v>
      </c>
      <c r="D275" s="140" t="s">
        <v>358</v>
      </c>
      <c r="E275" s="140" t="s">
        <v>364</v>
      </c>
      <c r="F275" s="314">
        <v>0.58794099934627153</v>
      </c>
      <c r="G275" s="314">
        <v>0</v>
      </c>
      <c r="H275" s="314">
        <v>0</v>
      </c>
      <c r="I275" s="314">
        <v>0</v>
      </c>
      <c r="J275" s="314">
        <v>0</v>
      </c>
    </row>
    <row r="276" spans="2:10">
      <c r="B276" s="140" t="s">
        <v>309</v>
      </c>
      <c r="C276" s="140" t="s">
        <v>378</v>
      </c>
      <c r="D276" s="140" t="s">
        <v>358</v>
      </c>
      <c r="E276" s="140" t="s">
        <v>359</v>
      </c>
      <c r="F276" s="314">
        <v>17.86246305713183</v>
      </c>
      <c r="G276" s="314">
        <v>0</v>
      </c>
      <c r="H276" s="314">
        <v>0</v>
      </c>
      <c r="I276" s="314">
        <v>0</v>
      </c>
      <c r="J276" s="314">
        <v>0</v>
      </c>
    </row>
    <row r="277" spans="2:10">
      <c r="B277" s="140" t="s">
        <v>309</v>
      </c>
      <c r="C277" s="140" t="s">
        <v>378</v>
      </c>
      <c r="D277" s="140" t="s">
        <v>358</v>
      </c>
      <c r="E277" s="140" t="s">
        <v>357</v>
      </c>
      <c r="F277" s="314">
        <v>9.4747321151837649E-3</v>
      </c>
      <c r="G277" s="314">
        <v>0</v>
      </c>
      <c r="H277" s="314">
        <v>0</v>
      </c>
      <c r="I277" s="314">
        <v>0</v>
      </c>
      <c r="J277" s="314">
        <v>0</v>
      </c>
    </row>
    <row r="278" spans="2:10">
      <c r="B278" s="140" t="s">
        <v>309</v>
      </c>
      <c r="C278" s="140" t="s">
        <v>378</v>
      </c>
      <c r="D278" s="140" t="s">
        <v>428</v>
      </c>
      <c r="E278" s="140" t="s">
        <v>429</v>
      </c>
      <c r="F278" s="314">
        <v>7.467903486547818E-2</v>
      </c>
      <c r="G278" s="314">
        <v>0</v>
      </c>
      <c r="H278" s="314">
        <v>0</v>
      </c>
      <c r="I278" s="314">
        <v>0</v>
      </c>
      <c r="J278" s="314">
        <v>0</v>
      </c>
    </row>
    <row r="279" spans="2:10">
      <c r="B279" s="140" t="s">
        <v>309</v>
      </c>
      <c r="C279" s="140" t="s">
        <v>379</v>
      </c>
      <c r="D279" s="140" t="s">
        <v>355</v>
      </c>
      <c r="E279" s="140" t="s">
        <v>356</v>
      </c>
      <c r="F279" s="314">
        <v>-17000.583488378568</v>
      </c>
      <c r="G279" s="314">
        <v>-12777.431222333622</v>
      </c>
      <c r="H279" s="314">
        <v>-15594.085884539067</v>
      </c>
      <c r="I279" s="314">
        <v>-12414.692293818209</v>
      </c>
      <c r="J279" s="314">
        <v>-17797.276517541864</v>
      </c>
    </row>
    <row r="280" spans="2:10">
      <c r="B280" s="140" t="s">
        <v>309</v>
      </c>
      <c r="C280" s="140" t="s">
        <v>379</v>
      </c>
      <c r="D280" s="140" t="s">
        <v>355</v>
      </c>
      <c r="E280" s="140" t="s">
        <v>359</v>
      </c>
      <c r="F280" s="314">
        <v>0.34798896278113034</v>
      </c>
      <c r="G280" s="314">
        <v>0</v>
      </c>
      <c r="H280" s="314">
        <v>0</v>
      </c>
      <c r="I280" s="314">
        <v>0</v>
      </c>
      <c r="J280" s="314">
        <v>0</v>
      </c>
    </row>
    <row r="281" spans="2:10">
      <c r="B281" s="140" t="s">
        <v>309</v>
      </c>
      <c r="C281" s="140" t="s">
        <v>379</v>
      </c>
      <c r="D281" s="140" t="s">
        <v>358</v>
      </c>
      <c r="E281" s="140" t="s">
        <v>364</v>
      </c>
      <c r="F281" s="314">
        <v>3.4927802421968428</v>
      </c>
      <c r="G281" s="314">
        <v>0</v>
      </c>
      <c r="H281" s="314">
        <v>0</v>
      </c>
      <c r="I281" s="314">
        <v>0</v>
      </c>
      <c r="J281" s="314">
        <v>0</v>
      </c>
    </row>
    <row r="282" spans="2:10">
      <c r="B282" s="140" t="s">
        <v>309</v>
      </c>
      <c r="C282" s="140" t="s">
        <v>379</v>
      </c>
      <c r="D282" s="140" t="s">
        <v>358</v>
      </c>
      <c r="E282" s="140" t="s">
        <v>638</v>
      </c>
      <c r="F282" s="314">
        <v>4.8076335443549875E-2</v>
      </c>
      <c r="G282" s="314">
        <v>0</v>
      </c>
      <c r="H282" s="314">
        <v>0</v>
      </c>
      <c r="I282" s="314">
        <v>0</v>
      </c>
      <c r="J282" s="314">
        <v>0</v>
      </c>
    </row>
    <row r="283" spans="2:10">
      <c r="B283" s="140" t="s">
        <v>309</v>
      </c>
      <c r="C283" s="140" t="s">
        <v>379</v>
      </c>
      <c r="D283" s="140" t="s">
        <v>358</v>
      </c>
      <c r="E283" s="140" t="s">
        <v>359</v>
      </c>
      <c r="F283" s="314">
        <v>2.1980362375881852</v>
      </c>
      <c r="G283" s="314">
        <v>0</v>
      </c>
      <c r="H283" s="314">
        <v>0</v>
      </c>
      <c r="I283" s="314">
        <v>0</v>
      </c>
      <c r="J283" s="314">
        <v>0</v>
      </c>
    </row>
    <row r="284" spans="2:10">
      <c r="B284" s="140" t="s">
        <v>309</v>
      </c>
      <c r="C284" s="140" t="s">
        <v>379</v>
      </c>
      <c r="D284" s="140" t="s">
        <v>358</v>
      </c>
      <c r="E284" s="140" t="s">
        <v>357</v>
      </c>
      <c r="F284" s="314">
        <v>2.4498687880150762</v>
      </c>
      <c r="G284" s="314">
        <v>0</v>
      </c>
      <c r="H284" s="314">
        <v>0</v>
      </c>
      <c r="I284" s="314">
        <v>0</v>
      </c>
      <c r="J284" s="314">
        <v>0</v>
      </c>
    </row>
    <row r="285" spans="2:10">
      <c r="B285" s="140" t="s">
        <v>309</v>
      </c>
      <c r="C285" s="140" t="s">
        <v>379</v>
      </c>
      <c r="D285" s="140" t="s">
        <v>358</v>
      </c>
      <c r="E285" s="140" t="s">
        <v>607</v>
      </c>
      <c r="F285" s="314">
        <v>1.3210121167518916</v>
      </c>
      <c r="G285" s="314">
        <v>0</v>
      </c>
      <c r="H285" s="314">
        <v>0</v>
      </c>
      <c r="I285" s="314">
        <v>0</v>
      </c>
      <c r="J285" s="314">
        <v>0</v>
      </c>
    </row>
    <row r="286" spans="2:10">
      <c r="B286" s="140" t="s">
        <v>309</v>
      </c>
      <c r="C286" s="140" t="s">
        <v>380</v>
      </c>
      <c r="D286" s="140" t="s">
        <v>355</v>
      </c>
      <c r="E286" s="140" t="s">
        <v>356</v>
      </c>
      <c r="F286" s="314">
        <v>-5648.5819753558562</v>
      </c>
      <c r="G286" s="314">
        <v>0</v>
      </c>
      <c r="H286" s="314">
        <v>0</v>
      </c>
      <c r="I286" s="314">
        <v>0</v>
      </c>
      <c r="J286" s="314">
        <v>0</v>
      </c>
    </row>
    <row r="287" spans="2:10">
      <c r="B287" s="140" t="s">
        <v>309</v>
      </c>
      <c r="C287" s="140" t="s">
        <v>380</v>
      </c>
      <c r="D287" s="140" t="s">
        <v>355</v>
      </c>
      <c r="E287" s="140" t="s">
        <v>359</v>
      </c>
      <c r="F287" s="314">
        <v>0.17698267053786418</v>
      </c>
      <c r="G287" s="314">
        <v>0</v>
      </c>
      <c r="H287" s="314">
        <v>0</v>
      </c>
      <c r="I287" s="314">
        <v>0</v>
      </c>
      <c r="J287" s="314">
        <v>0</v>
      </c>
    </row>
    <row r="288" spans="2:10">
      <c r="B288" s="140" t="s">
        <v>309</v>
      </c>
      <c r="C288" s="140" t="s">
        <v>380</v>
      </c>
      <c r="D288" s="140" t="s">
        <v>358</v>
      </c>
      <c r="E288" s="140" t="s">
        <v>364</v>
      </c>
      <c r="F288" s="314">
        <v>2.054127915783813</v>
      </c>
      <c r="G288" s="314">
        <v>0</v>
      </c>
      <c r="H288" s="314">
        <v>0</v>
      </c>
      <c r="I288" s="314">
        <v>0</v>
      </c>
      <c r="J288" s="314">
        <v>0</v>
      </c>
    </row>
    <row r="289" spans="2:10">
      <c r="B289" s="140" t="s">
        <v>309</v>
      </c>
      <c r="C289" s="140" t="s">
        <v>380</v>
      </c>
      <c r="D289" s="140" t="s">
        <v>358</v>
      </c>
      <c r="E289" s="140" t="s">
        <v>638</v>
      </c>
      <c r="F289" s="314">
        <v>4.5360057813666213E-2</v>
      </c>
      <c r="G289" s="314">
        <v>0</v>
      </c>
      <c r="H289" s="314">
        <v>0</v>
      </c>
      <c r="I289" s="314">
        <v>0</v>
      </c>
      <c r="J289" s="314">
        <v>0</v>
      </c>
    </row>
    <row r="290" spans="2:10">
      <c r="B290" s="140" t="s">
        <v>309</v>
      </c>
      <c r="C290" s="140" t="s">
        <v>380</v>
      </c>
      <c r="D290" s="140" t="s">
        <v>358</v>
      </c>
      <c r="E290" s="140" t="s">
        <v>359</v>
      </c>
      <c r="F290" s="314">
        <v>5.7039479751953595</v>
      </c>
      <c r="G290" s="314">
        <v>0</v>
      </c>
      <c r="H290" s="314">
        <v>0</v>
      </c>
      <c r="I290" s="314">
        <v>0</v>
      </c>
      <c r="J290" s="314">
        <v>0</v>
      </c>
    </row>
    <row r="291" spans="2:10">
      <c r="B291" s="140" t="s">
        <v>309</v>
      </c>
      <c r="C291" s="140" t="s">
        <v>380</v>
      </c>
      <c r="D291" s="140" t="s">
        <v>358</v>
      </c>
      <c r="E291" s="140" t="s">
        <v>357</v>
      </c>
      <c r="F291" s="314">
        <v>1.8076984381498824</v>
      </c>
      <c r="G291" s="314">
        <v>0</v>
      </c>
      <c r="H291" s="314">
        <v>0</v>
      </c>
      <c r="I291" s="314">
        <v>0</v>
      </c>
      <c r="J291" s="314">
        <v>0</v>
      </c>
    </row>
    <row r="292" spans="2:10">
      <c r="B292" s="140" t="s">
        <v>309</v>
      </c>
      <c r="C292" s="140" t="s">
        <v>380</v>
      </c>
      <c r="D292" s="140" t="s">
        <v>428</v>
      </c>
      <c r="E292" s="140" t="s">
        <v>356</v>
      </c>
      <c r="F292" s="314">
        <v>-9.4393868555136747E-6</v>
      </c>
      <c r="G292" s="314">
        <v>0</v>
      </c>
      <c r="H292" s="314">
        <v>0</v>
      </c>
      <c r="I292" s="314">
        <v>0</v>
      </c>
      <c r="J292" s="314">
        <v>0</v>
      </c>
    </row>
    <row r="293" spans="2:10">
      <c r="B293" s="140" t="s">
        <v>309</v>
      </c>
      <c r="C293" s="140" t="s">
        <v>664</v>
      </c>
      <c r="D293" s="140" t="s">
        <v>355</v>
      </c>
      <c r="E293" s="140" t="s">
        <v>356</v>
      </c>
      <c r="F293" s="314">
        <v>-6518.6881526382604</v>
      </c>
      <c r="G293" s="314">
        <v>-6890.8459525758344</v>
      </c>
      <c r="H293" s="314">
        <v>-8253.596028297643</v>
      </c>
      <c r="I293" s="314">
        <v>-6527.1014266674038</v>
      </c>
      <c r="J293" s="314">
        <v>-9298.4093787598613</v>
      </c>
    </row>
    <row r="294" spans="2:10">
      <c r="B294" s="140" t="s">
        <v>309</v>
      </c>
      <c r="C294" s="140" t="s">
        <v>664</v>
      </c>
      <c r="D294" s="140" t="s">
        <v>358</v>
      </c>
      <c r="E294" s="140" t="s">
        <v>364</v>
      </c>
      <c r="F294" s="314">
        <v>1.254609538769021</v>
      </c>
      <c r="G294" s="314">
        <v>0</v>
      </c>
      <c r="H294" s="314">
        <v>0</v>
      </c>
      <c r="I294" s="314">
        <v>0</v>
      </c>
      <c r="J294" s="314">
        <v>0</v>
      </c>
    </row>
    <row r="295" spans="2:10">
      <c r="B295" s="140" t="s">
        <v>309</v>
      </c>
      <c r="C295" s="140" t="s">
        <v>664</v>
      </c>
      <c r="D295" s="140" t="s">
        <v>358</v>
      </c>
      <c r="E295" s="140" t="s">
        <v>638</v>
      </c>
      <c r="F295" s="314">
        <v>5.1646181780337875E-3</v>
      </c>
      <c r="G295" s="314">
        <v>0</v>
      </c>
      <c r="H295" s="314">
        <v>0</v>
      </c>
      <c r="I295" s="314">
        <v>0</v>
      </c>
      <c r="J295" s="314">
        <v>0</v>
      </c>
    </row>
    <row r="296" spans="2:10">
      <c r="B296" s="140" t="s">
        <v>309</v>
      </c>
      <c r="C296" s="140" t="s">
        <v>664</v>
      </c>
      <c r="D296" s="140" t="s">
        <v>358</v>
      </c>
      <c r="E296" s="140" t="s">
        <v>359</v>
      </c>
      <c r="F296" s="314">
        <v>2.5600553599261771</v>
      </c>
      <c r="G296" s="314">
        <v>0</v>
      </c>
      <c r="H296" s="314">
        <v>0</v>
      </c>
      <c r="I296" s="314">
        <v>0</v>
      </c>
      <c r="J296" s="314">
        <v>0</v>
      </c>
    </row>
    <row r="297" spans="2:10">
      <c r="B297" s="140" t="s">
        <v>309</v>
      </c>
      <c r="C297" s="140" t="s">
        <v>664</v>
      </c>
      <c r="D297" s="140" t="s">
        <v>358</v>
      </c>
      <c r="E297" s="140" t="s">
        <v>357</v>
      </c>
      <c r="F297" s="314">
        <v>0.45570456003225424</v>
      </c>
      <c r="G297" s="314">
        <v>0</v>
      </c>
      <c r="H297" s="314">
        <v>0</v>
      </c>
      <c r="I297" s="314">
        <v>0</v>
      </c>
      <c r="J297" s="314">
        <v>0</v>
      </c>
    </row>
    <row r="298" spans="2:10">
      <c r="B298" s="140" t="s">
        <v>309</v>
      </c>
      <c r="C298" s="140" t="s">
        <v>381</v>
      </c>
      <c r="D298" s="140" t="s">
        <v>355</v>
      </c>
      <c r="E298" s="140" t="s">
        <v>356</v>
      </c>
      <c r="F298" s="314">
        <v>-9372.5970246750439</v>
      </c>
      <c r="G298" s="314">
        <v>-5040.7017122283833</v>
      </c>
      <c r="H298" s="314">
        <v>-6198.5700482629345</v>
      </c>
      <c r="I298" s="314">
        <v>-4977.4914885398175</v>
      </c>
      <c r="J298" s="314">
        <v>-7196.8778271200899</v>
      </c>
    </row>
    <row r="299" spans="2:10">
      <c r="B299" s="140" t="s">
        <v>309</v>
      </c>
      <c r="C299" s="140" t="s">
        <v>381</v>
      </c>
      <c r="D299" s="140" t="s">
        <v>355</v>
      </c>
      <c r="E299" s="140" t="s">
        <v>642</v>
      </c>
      <c r="F299" s="314">
        <v>1.1503391198817304E-3</v>
      </c>
      <c r="G299" s="314">
        <v>0</v>
      </c>
      <c r="H299" s="314">
        <v>0</v>
      </c>
      <c r="I299" s="314">
        <v>0</v>
      </c>
      <c r="J299" s="314">
        <v>0</v>
      </c>
    </row>
    <row r="300" spans="2:10">
      <c r="B300" s="140" t="s">
        <v>309</v>
      </c>
      <c r="C300" s="140" t="s">
        <v>381</v>
      </c>
      <c r="D300" s="140" t="s">
        <v>358</v>
      </c>
      <c r="E300" s="140" t="s">
        <v>364</v>
      </c>
      <c r="F300" s="314">
        <v>1.5235434421537259</v>
      </c>
      <c r="G300" s="314">
        <v>0</v>
      </c>
      <c r="H300" s="314">
        <v>0</v>
      </c>
      <c r="I300" s="314">
        <v>0</v>
      </c>
      <c r="J300" s="314">
        <v>0</v>
      </c>
    </row>
    <row r="301" spans="2:10">
      <c r="B301" s="140" t="s">
        <v>309</v>
      </c>
      <c r="C301" s="140" t="s">
        <v>381</v>
      </c>
      <c r="D301" s="140" t="s">
        <v>358</v>
      </c>
      <c r="E301" s="140" t="s">
        <v>638</v>
      </c>
      <c r="F301" s="314">
        <v>6.7636644097578677E-2</v>
      </c>
      <c r="G301" s="314">
        <v>0</v>
      </c>
      <c r="H301" s="314">
        <v>0</v>
      </c>
      <c r="I301" s="314">
        <v>0</v>
      </c>
      <c r="J301" s="314">
        <v>0</v>
      </c>
    </row>
    <row r="302" spans="2:10">
      <c r="B302" s="140" t="s">
        <v>309</v>
      </c>
      <c r="C302" s="140" t="s">
        <v>381</v>
      </c>
      <c r="D302" s="140" t="s">
        <v>358</v>
      </c>
      <c r="E302" s="140" t="s">
        <v>359</v>
      </c>
      <c r="F302" s="314">
        <v>7.218676156920667</v>
      </c>
      <c r="G302" s="314">
        <v>0</v>
      </c>
      <c r="H302" s="314">
        <v>0</v>
      </c>
      <c r="I302" s="314">
        <v>0</v>
      </c>
      <c r="J302" s="314">
        <v>0</v>
      </c>
    </row>
    <row r="303" spans="2:10">
      <c r="B303" s="140" t="s">
        <v>309</v>
      </c>
      <c r="C303" s="140" t="s">
        <v>381</v>
      </c>
      <c r="D303" s="140" t="s">
        <v>358</v>
      </c>
      <c r="E303" s="140" t="s">
        <v>357</v>
      </c>
      <c r="F303" s="314">
        <v>1.9466121245178065</v>
      </c>
      <c r="G303" s="314">
        <v>0</v>
      </c>
      <c r="H303" s="314">
        <v>0</v>
      </c>
      <c r="I303" s="314">
        <v>0</v>
      </c>
      <c r="J303" s="314">
        <v>0</v>
      </c>
    </row>
    <row r="304" spans="2:10">
      <c r="B304" s="140" t="s">
        <v>309</v>
      </c>
      <c r="C304" s="140" t="s">
        <v>381</v>
      </c>
      <c r="D304" s="140" t="s">
        <v>358</v>
      </c>
      <c r="E304" s="140" t="s">
        <v>607</v>
      </c>
      <c r="F304" s="314">
        <v>4.1877914700255112E-4</v>
      </c>
      <c r="G304" s="314">
        <v>0</v>
      </c>
      <c r="H304" s="314">
        <v>0</v>
      </c>
      <c r="I304" s="314">
        <v>0</v>
      </c>
      <c r="J304" s="314">
        <v>0</v>
      </c>
    </row>
    <row r="305" spans="2:10">
      <c r="B305" s="140" t="s">
        <v>309</v>
      </c>
      <c r="C305" s="140" t="s">
        <v>381</v>
      </c>
      <c r="D305" s="140" t="s">
        <v>435</v>
      </c>
      <c r="E305" s="140" t="s">
        <v>615</v>
      </c>
      <c r="F305" s="314">
        <v>1.0952352384007462</v>
      </c>
      <c r="G305" s="314">
        <v>0</v>
      </c>
      <c r="H305" s="314">
        <v>0</v>
      </c>
      <c r="I305" s="314">
        <v>0</v>
      </c>
      <c r="J305" s="314">
        <v>0</v>
      </c>
    </row>
    <row r="306" spans="2:10">
      <c r="B306" s="140" t="s">
        <v>309</v>
      </c>
      <c r="C306" s="140" t="s">
        <v>665</v>
      </c>
      <c r="D306" s="140" t="s">
        <v>355</v>
      </c>
      <c r="E306" s="140" t="s">
        <v>356</v>
      </c>
      <c r="F306" s="314">
        <v>-2290.895837956768</v>
      </c>
      <c r="G306" s="314">
        <v>-5314.645790261884</v>
      </c>
      <c r="H306" s="314">
        <v>-6548.7581560368035</v>
      </c>
      <c r="I306" s="314">
        <v>-5249.2424347849446</v>
      </c>
      <c r="J306" s="314">
        <v>-7572.9304389250838</v>
      </c>
    </row>
    <row r="307" spans="2:10">
      <c r="B307" s="140" t="s">
        <v>309</v>
      </c>
      <c r="C307" s="140" t="s">
        <v>665</v>
      </c>
      <c r="D307" s="140" t="s">
        <v>358</v>
      </c>
      <c r="E307" s="140" t="s">
        <v>364</v>
      </c>
      <c r="F307" s="314">
        <v>0.5746316047890232</v>
      </c>
      <c r="G307" s="314">
        <v>0</v>
      </c>
      <c r="H307" s="314">
        <v>0</v>
      </c>
      <c r="I307" s="314">
        <v>0</v>
      </c>
      <c r="J307" s="314">
        <v>0</v>
      </c>
    </row>
    <row r="308" spans="2:10">
      <c r="B308" s="140" t="s">
        <v>309</v>
      </c>
      <c r="C308" s="140" t="s">
        <v>665</v>
      </c>
      <c r="D308" s="140" t="s">
        <v>358</v>
      </c>
      <c r="E308" s="140" t="s">
        <v>638</v>
      </c>
      <c r="F308" s="314">
        <v>0.11757838112242232</v>
      </c>
      <c r="G308" s="314">
        <v>0</v>
      </c>
      <c r="H308" s="314">
        <v>0</v>
      </c>
      <c r="I308" s="314">
        <v>0</v>
      </c>
      <c r="J308" s="314">
        <v>0</v>
      </c>
    </row>
    <row r="309" spans="2:10">
      <c r="B309" s="140" t="s">
        <v>309</v>
      </c>
      <c r="C309" s="140" t="s">
        <v>665</v>
      </c>
      <c r="D309" s="140" t="s">
        <v>358</v>
      </c>
      <c r="E309" s="140" t="s">
        <v>359</v>
      </c>
      <c r="F309" s="314">
        <v>2.7068791340842724</v>
      </c>
      <c r="G309" s="314">
        <v>0</v>
      </c>
      <c r="H309" s="314">
        <v>0</v>
      </c>
      <c r="I309" s="314">
        <v>0</v>
      </c>
      <c r="J309" s="314">
        <v>0</v>
      </c>
    </row>
    <row r="310" spans="2:10">
      <c r="B310" s="140" t="s">
        <v>309</v>
      </c>
      <c r="C310" s="140" t="s">
        <v>665</v>
      </c>
      <c r="D310" s="140" t="s">
        <v>358</v>
      </c>
      <c r="E310" s="140" t="s">
        <v>357</v>
      </c>
      <c r="F310" s="314">
        <v>0.46476947292637133</v>
      </c>
      <c r="G310" s="314">
        <v>0</v>
      </c>
      <c r="H310" s="314">
        <v>0</v>
      </c>
      <c r="I310" s="314">
        <v>0</v>
      </c>
      <c r="J310" s="314">
        <v>0</v>
      </c>
    </row>
    <row r="311" spans="2:10">
      <c r="B311" s="140" t="s">
        <v>309</v>
      </c>
      <c r="C311" s="140" t="s">
        <v>665</v>
      </c>
      <c r="D311" s="140" t="s">
        <v>358</v>
      </c>
      <c r="E311" s="140" t="s">
        <v>607</v>
      </c>
      <c r="F311" s="314">
        <v>3.1619578627680063E-2</v>
      </c>
      <c r="G311" s="314">
        <v>0</v>
      </c>
      <c r="H311" s="314">
        <v>0</v>
      </c>
      <c r="I311" s="314">
        <v>0</v>
      </c>
      <c r="J311" s="314">
        <v>0</v>
      </c>
    </row>
    <row r="312" spans="2:10">
      <c r="B312" s="140" t="s">
        <v>309</v>
      </c>
      <c r="C312" s="140" t="s">
        <v>665</v>
      </c>
      <c r="D312" s="140" t="s">
        <v>435</v>
      </c>
      <c r="E312" s="140" t="s">
        <v>615</v>
      </c>
      <c r="F312" s="314">
        <v>0.85321985497900332</v>
      </c>
      <c r="G312" s="314">
        <v>0</v>
      </c>
      <c r="H312" s="314">
        <v>0</v>
      </c>
      <c r="I312" s="314">
        <v>0</v>
      </c>
      <c r="J312" s="314">
        <v>0</v>
      </c>
    </row>
    <row r="313" spans="2:10">
      <c r="B313" s="140" t="s">
        <v>309</v>
      </c>
      <c r="C313" s="140" t="s">
        <v>666</v>
      </c>
      <c r="D313" s="140" t="s">
        <v>355</v>
      </c>
      <c r="E313" s="140" t="s">
        <v>356</v>
      </c>
      <c r="F313" s="314">
        <v>-1.7809411045527555E-2</v>
      </c>
      <c r="G313" s="314">
        <v>-12415.306888580579</v>
      </c>
      <c r="H313" s="314">
        <v>-14679.647895930124</v>
      </c>
      <c r="I313" s="314">
        <v>-11463.892294741141</v>
      </c>
      <c r="J313" s="314">
        <v>-16112.019520932403</v>
      </c>
    </row>
    <row r="314" spans="2:10">
      <c r="B314" s="140" t="s">
        <v>309</v>
      </c>
      <c r="C314" s="140" t="s">
        <v>666</v>
      </c>
      <c r="D314" s="140" t="s">
        <v>358</v>
      </c>
      <c r="E314" s="140" t="s">
        <v>364</v>
      </c>
      <c r="F314" s="314">
        <v>9.6237590572170906E-2</v>
      </c>
      <c r="G314" s="314">
        <v>0</v>
      </c>
      <c r="H314" s="314">
        <v>0</v>
      </c>
      <c r="I314" s="314">
        <v>0</v>
      </c>
      <c r="J314" s="314">
        <v>0</v>
      </c>
    </row>
    <row r="315" spans="2:10">
      <c r="B315" s="140" t="s">
        <v>309</v>
      </c>
      <c r="C315" s="140" t="s">
        <v>666</v>
      </c>
      <c r="D315" s="140" t="s">
        <v>358</v>
      </c>
      <c r="E315" s="140" t="s">
        <v>359</v>
      </c>
      <c r="F315" s="314">
        <v>1.3673127462773378</v>
      </c>
      <c r="G315" s="314">
        <v>0</v>
      </c>
      <c r="H315" s="314">
        <v>0</v>
      </c>
      <c r="I315" s="314">
        <v>0</v>
      </c>
      <c r="J315" s="314">
        <v>0</v>
      </c>
    </row>
    <row r="316" spans="2:10">
      <c r="B316" s="140" t="s">
        <v>309</v>
      </c>
      <c r="C316" s="140" t="s">
        <v>666</v>
      </c>
      <c r="D316" s="140" t="s">
        <v>358</v>
      </c>
      <c r="E316" s="140" t="s">
        <v>357</v>
      </c>
      <c r="F316" s="314">
        <v>8.005693823698537E-2</v>
      </c>
      <c r="G316" s="314">
        <v>0</v>
      </c>
      <c r="H316" s="314">
        <v>0</v>
      </c>
      <c r="I316" s="314">
        <v>0</v>
      </c>
      <c r="J316" s="314">
        <v>0</v>
      </c>
    </row>
    <row r="317" spans="2:10">
      <c r="B317" s="140" t="s">
        <v>309</v>
      </c>
      <c r="C317" s="140" t="s">
        <v>667</v>
      </c>
      <c r="D317" s="140" t="s">
        <v>355</v>
      </c>
      <c r="E317" s="140" t="s">
        <v>356</v>
      </c>
      <c r="F317" s="314">
        <v>-2462.6428631777544</v>
      </c>
      <c r="G317" s="314">
        <v>-366.58186328075067</v>
      </c>
      <c r="H317" s="314">
        <v>-469.79775449870999</v>
      </c>
      <c r="I317" s="314">
        <v>-384.88011185991189</v>
      </c>
      <c r="J317" s="314">
        <v>-568.05518221158843</v>
      </c>
    </row>
    <row r="318" spans="2:10">
      <c r="B318" s="140" t="s">
        <v>309</v>
      </c>
      <c r="C318" s="140" t="s">
        <v>667</v>
      </c>
      <c r="D318" s="140" t="s">
        <v>358</v>
      </c>
      <c r="E318" s="140" t="s">
        <v>364</v>
      </c>
      <c r="F318" s="314">
        <v>0.66314866091945457</v>
      </c>
      <c r="G318" s="314">
        <v>0</v>
      </c>
      <c r="H318" s="314">
        <v>0</v>
      </c>
      <c r="I318" s="314">
        <v>0</v>
      </c>
      <c r="J318" s="314">
        <v>0</v>
      </c>
    </row>
    <row r="319" spans="2:10">
      <c r="B319" s="140" t="s">
        <v>309</v>
      </c>
      <c r="C319" s="140" t="s">
        <v>667</v>
      </c>
      <c r="D319" s="140" t="s">
        <v>358</v>
      </c>
      <c r="E319" s="140" t="s">
        <v>359</v>
      </c>
      <c r="F319" s="314">
        <v>8.7555617121312893E-2</v>
      </c>
      <c r="G319" s="314">
        <v>0</v>
      </c>
      <c r="H319" s="314">
        <v>0</v>
      </c>
      <c r="I319" s="314">
        <v>0</v>
      </c>
      <c r="J319" s="314">
        <v>0</v>
      </c>
    </row>
    <row r="320" spans="2:10">
      <c r="B320" s="140" t="s">
        <v>309</v>
      </c>
      <c r="C320" s="140" t="s">
        <v>667</v>
      </c>
      <c r="D320" s="140" t="s">
        <v>358</v>
      </c>
      <c r="E320" s="140" t="s">
        <v>357</v>
      </c>
      <c r="F320" s="314">
        <v>0.35380799710758792</v>
      </c>
      <c r="G320" s="314">
        <v>0</v>
      </c>
      <c r="H320" s="314">
        <v>0</v>
      </c>
      <c r="I320" s="314">
        <v>0</v>
      </c>
      <c r="J320" s="314">
        <v>0</v>
      </c>
    </row>
    <row r="321" spans="2:10">
      <c r="B321" s="140" t="s">
        <v>309</v>
      </c>
      <c r="C321" s="140" t="s">
        <v>667</v>
      </c>
      <c r="D321" s="140" t="s">
        <v>358</v>
      </c>
      <c r="E321" s="140" t="s">
        <v>607</v>
      </c>
      <c r="F321" s="314">
        <v>1.4088120067163031E-2</v>
      </c>
      <c r="G321" s="314">
        <v>0</v>
      </c>
      <c r="H321" s="314">
        <v>0</v>
      </c>
      <c r="I321" s="314">
        <v>0</v>
      </c>
      <c r="J321" s="314">
        <v>0</v>
      </c>
    </row>
    <row r="322" spans="2:10">
      <c r="B322" s="140" t="s">
        <v>309</v>
      </c>
      <c r="C322" s="140" t="s">
        <v>668</v>
      </c>
      <c r="D322" s="140" t="s">
        <v>355</v>
      </c>
      <c r="E322" s="140" t="s">
        <v>356</v>
      </c>
      <c r="F322" s="314">
        <v>6.9649873203745799E-2</v>
      </c>
      <c r="G322" s="314">
        <v>0</v>
      </c>
      <c r="H322" s="314">
        <v>0</v>
      </c>
      <c r="I322" s="314">
        <v>0</v>
      </c>
      <c r="J322" s="314">
        <v>0</v>
      </c>
    </row>
    <row r="323" spans="2:10">
      <c r="B323" s="140" t="s">
        <v>309</v>
      </c>
      <c r="C323" s="140" t="s">
        <v>668</v>
      </c>
      <c r="D323" s="140" t="s">
        <v>358</v>
      </c>
      <c r="E323" s="140" t="s">
        <v>364</v>
      </c>
      <c r="F323" s="314">
        <v>0.34613300793089002</v>
      </c>
      <c r="G323" s="314">
        <v>0</v>
      </c>
      <c r="H323" s="314">
        <v>0</v>
      </c>
      <c r="I323" s="314">
        <v>0</v>
      </c>
      <c r="J323" s="314">
        <v>0</v>
      </c>
    </row>
    <row r="324" spans="2:10">
      <c r="B324" s="140" t="s">
        <v>309</v>
      </c>
      <c r="C324" s="140" t="s">
        <v>668</v>
      </c>
      <c r="D324" s="140" t="s">
        <v>358</v>
      </c>
      <c r="E324" s="140" t="s">
        <v>638</v>
      </c>
      <c r="F324" s="314">
        <v>7.1938789883159646E-3</v>
      </c>
      <c r="G324" s="314">
        <v>0</v>
      </c>
      <c r="H324" s="314">
        <v>0</v>
      </c>
      <c r="I324" s="314">
        <v>0</v>
      </c>
      <c r="J324" s="314">
        <v>0</v>
      </c>
    </row>
    <row r="325" spans="2:10">
      <c r="B325" s="140" t="s">
        <v>309</v>
      </c>
      <c r="C325" s="140" t="s">
        <v>668</v>
      </c>
      <c r="D325" s="140" t="s">
        <v>358</v>
      </c>
      <c r="E325" s="140" t="s">
        <v>359</v>
      </c>
      <c r="F325" s="314">
        <v>9.9674710429160047</v>
      </c>
      <c r="G325" s="314">
        <v>0</v>
      </c>
      <c r="H325" s="314">
        <v>0</v>
      </c>
      <c r="I325" s="314">
        <v>0</v>
      </c>
      <c r="J325" s="314">
        <v>0</v>
      </c>
    </row>
    <row r="326" spans="2:10">
      <c r="B326" s="140" t="s">
        <v>309</v>
      </c>
      <c r="C326" s="140" t="s">
        <v>668</v>
      </c>
      <c r="D326" s="140" t="s">
        <v>358</v>
      </c>
      <c r="E326" s="140" t="s">
        <v>357</v>
      </c>
      <c r="F326" s="314">
        <v>3.0841933822024072E-2</v>
      </c>
      <c r="G326" s="314">
        <v>0</v>
      </c>
      <c r="H326" s="314">
        <v>0</v>
      </c>
      <c r="I326" s="314">
        <v>0</v>
      </c>
      <c r="J326" s="314">
        <v>0</v>
      </c>
    </row>
    <row r="327" spans="2:10">
      <c r="B327" s="140" t="s">
        <v>309</v>
      </c>
      <c r="C327" s="140" t="s">
        <v>382</v>
      </c>
      <c r="D327" s="140" t="s">
        <v>355</v>
      </c>
      <c r="E327" s="140" t="s">
        <v>356</v>
      </c>
      <c r="F327" s="314">
        <v>-14768.872125398259</v>
      </c>
      <c r="G327" s="314">
        <v>-13038.241994338188</v>
      </c>
      <c r="H327" s="314">
        <v>-15580.959248548985</v>
      </c>
      <c r="I327" s="314">
        <v>-12304.313332384812</v>
      </c>
      <c r="J327" s="314">
        <v>-17502.060143901926</v>
      </c>
    </row>
    <row r="328" spans="2:10">
      <c r="B328" s="140" t="s">
        <v>309</v>
      </c>
      <c r="C328" s="140" t="s">
        <v>382</v>
      </c>
      <c r="D328" s="140" t="s">
        <v>358</v>
      </c>
      <c r="E328" s="140" t="s">
        <v>619</v>
      </c>
      <c r="F328" s="314">
        <v>0.18643339825516847</v>
      </c>
      <c r="G328" s="314">
        <v>0</v>
      </c>
      <c r="H328" s="314">
        <v>0</v>
      </c>
      <c r="I328" s="314">
        <v>0</v>
      </c>
      <c r="J328" s="314">
        <v>0</v>
      </c>
    </row>
    <row r="329" spans="2:10">
      <c r="B329" s="140" t="s">
        <v>309</v>
      </c>
      <c r="C329" s="140" t="s">
        <v>382</v>
      </c>
      <c r="D329" s="140" t="s">
        <v>358</v>
      </c>
      <c r="E329" s="140" t="s">
        <v>364</v>
      </c>
      <c r="F329" s="314">
        <v>1.3361853883196868</v>
      </c>
      <c r="G329" s="314">
        <v>0</v>
      </c>
      <c r="H329" s="314">
        <v>0</v>
      </c>
      <c r="I329" s="314">
        <v>0</v>
      </c>
      <c r="J329" s="314">
        <v>0</v>
      </c>
    </row>
    <row r="330" spans="2:10">
      <c r="B330" s="140" t="s">
        <v>309</v>
      </c>
      <c r="C330" s="140" t="s">
        <v>382</v>
      </c>
      <c r="D330" s="140" t="s">
        <v>358</v>
      </c>
      <c r="E330" s="140" t="s">
        <v>638</v>
      </c>
      <c r="F330" s="314">
        <v>3.5636113624490054E-2</v>
      </c>
      <c r="G330" s="314">
        <v>0</v>
      </c>
      <c r="H330" s="314">
        <v>0</v>
      </c>
      <c r="I330" s="314">
        <v>0</v>
      </c>
      <c r="J330" s="314">
        <v>0</v>
      </c>
    </row>
    <row r="331" spans="2:10">
      <c r="B331" s="140" t="s">
        <v>309</v>
      </c>
      <c r="C331" s="140" t="s">
        <v>382</v>
      </c>
      <c r="D331" s="140" t="s">
        <v>358</v>
      </c>
      <c r="E331" s="140" t="s">
        <v>359</v>
      </c>
      <c r="F331" s="314">
        <v>10.636616198065274</v>
      </c>
      <c r="G331" s="314">
        <v>0</v>
      </c>
      <c r="H331" s="314">
        <v>0</v>
      </c>
      <c r="I331" s="314">
        <v>0</v>
      </c>
      <c r="J331" s="314">
        <v>0</v>
      </c>
    </row>
    <row r="332" spans="2:10">
      <c r="B332" s="140" t="s">
        <v>309</v>
      </c>
      <c r="C332" s="140" t="s">
        <v>382</v>
      </c>
      <c r="D332" s="140" t="s">
        <v>358</v>
      </c>
      <c r="E332" s="140" t="s">
        <v>357</v>
      </c>
      <c r="F332" s="314">
        <v>5.6013653471935942</v>
      </c>
      <c r="G332" s="314">
        <v>0</v>
      </c>
      <c r="H332" s="314">
        <v>0</v>
      </c>
      <c r="I332" s="314">
        <v>0</v>
      </c>
      <c r="J332" s="314">
        <v>0</v>
      </c>
    </row>
    <row r="333" spans="2:10">
      <c r="B333" s="140" t="s">
        <v>309</v>
      </c>
      <c r="C333" s="140" t="s">
        <v>382</v>
      </c>
      <c r="D333" s="140" t="s">
        <v>656</v>
      </c>
      <c r="E333" s="140" t="s">
        <v>669</v>
      </c>
      <c r="F333" s="314">
        <v>9.9759036245965854E-2</v>
      </c>
      <c r="G333" s="314">
        <v>0</v>
      </c>
      <c r="H333" s="314">
        <v>0</v>
      </c>
      <c r="I333" s="314">
        <v>0</v>
      </c>
      <c r="J333" s="314">
        <v>0</v>
      </c>
    </row>
    <row r="334" spans="2:10">
      <c r="B334" s="140" t="s">
        <v>309</v>
      </c>
      <c r="C334" s="140" t="s">
        <v>382</v>
      </c>
      <c r="D334" s="140" t="s">
        <v>435</v>
      </c>
      <c r="E334" s="140" t="s">
        <v>436</v>
      </c>
      <c r="F334" s="314">
        <v>2.3169815123586734E-2</v>
      </c>
      <c r="G334" s="314">
        <v>0</v>
      </c>
      <c r="H334" s="314">
        <v>0</v>
      </c>
      <c r="I334" s="314">
        <v>0</v>
      </c>
      <c r="J334" s="314">
        <v>0</v>
      </c>
    </row>
    <row r="335" spans="2:10">
      <c r="B335" s="140" t="s">
        <v>309</v>
      </c>
      <c r="C335" s="140" t="s">
        <v>670</v>
      </c>
      <c r="D335" s="140" t="s">
        <v>355</v>
      </c>
      <c r="E335" s="140" t="s">
        <v>356</v>
      </c>
      <c r="F335" s="314">
        <v>-1599.0878985000325</v>
      </c>
      <c r="G335" s="314">
        <v>-5632.8458617266051</v>
      </c>
      <c r="H335" s="314">
        <v>-6961.8960731315474</v>
      </c>
      <c r="I335" s="314">
        <v>-5619.9477369246006</v>
      </c>
      <c r="J335" s="314">
        <v>-8165.0936317099922</v>
      </c>
    </row>
    <row r="336" spans="2:10">
      <c r="B336" s="140" t="s">
        <v>309</v>
      </c>
      <c r="C336" s="140" t="s">
        <v>670</v>
      </c>
      <c r="D336" s="140" t="s">
        <v>358</v>
      </c>
      <c r="E336" s="140" t="s">
        <v>364</v>
      </c>
      <c r="F336" s="314">
        <v>0.96762739622512106</v>
      </c>
      <c r="G336" s="314">
        <v>0</v>
      </c>
      <c r="H336" s="314">
        <v>0</v>
      </c>
      <c r="I336" s="314">
        <v>0</v>
      </c>
      <c r="J336" s="314">
        <v>0</v>
      </c>
    </row>
    <row r="337" spans="2:10">
      <c r="B337" s="140" t="s">
        <v>309</v>
      </c>
      <c r="C337" s="140" t="s">
        <v>670</v>
      </c>
      <c r="D337" s="140" t="s">
        <v>358</v>
      </c>
      <c r="E337" s="140" t="s">
        <v>624</v>
      </c>
      <c r="F337" s="314">
        <v>0.7464494819072216</v>
      </c>
      <c r="G337" s="314">
        <v>0</v>
      </c>
      <c r="H337" s="314">
        <v>0</v>
      </c>
      <c r="I337" s="314">
        <v>0</v>
      </c>
      <c r="J337" s="314">
        <v>0</v>
      </c>
    </row>
    <row r="338" spans="2:10">
      <c r="B338" s="140" t="s">
        <v>309</v>
      </c>
      <c r="C338" s="140" t="s">
        <v>670</v>
      </c>
      <c r="D338" s="140" t="s">
        <v>358</v>
      </c>
      <c r="E338" s="140" t="s">
        <v>638</v>
      </c>
      <c r="F338" s="314">
        <v>6.5471737061380236E-2</v>
      </c>
      <c r="G338" s="314">
        <v>0</v>
      </c>
      <c r="H338" s="314">
        <v>0</v>
      </c>
      <c r="I338" s="314">
        <v>0</v>
      </c>
      <c r="J338" s="314">
        <v>0</v>
      </c>
    </row>
    <row r="339" spans="2:10">
      <c r="B339" s="140" t="s">
        <v>309</v>
      </c>
      <c r="C339" s="140" t="s">
        <v>670</v>
      </c>
      <c r="D339" s="140" t="s">
        <v>358</v>
      </c>
      <c r="E339" s="140" t="s">
        <v>359</v>
      </c>
      <c r="F339" s="314">
        <v>8.7252454131652826</v>
      </c>
      <c r="G339" s="314">
        <v>0</v>
      </c>
      <c r="H339" s="314">
        <v>0</v>
      </c>
      <c r="I339" s="314">
        <v>0</v>
      </c>
      <c r="J339" s="314">
        <v>0</v>
      </c>
    </row>
    <row r="340" spans="2:10">
      <c r="B340" s="140" t="s">
        <v>309</v>
      </c>
      <c r="C340" s="140" t="s">
        <v>670</v>
      </c>
      <c r="D340" s="140" t="s">
        <v>358</v>
      </c>
      <c r="E340" s="140" t="s">
        <v>357</v>
      </c>
      <c r="F340" s="314">
        <v>0.83996909842484668</v>
      </c>
      <c r="G340" s="314">
        <v>0</v>
      </c>
      <c r="H340" s="314">
        <v>0</v>
      </c>
      <c r="I340" s="314">
        <v>0</v>
      </c>
      <c r="J340" s="314">
        <v>0</v>
      </c>
    </row>
    <row r="341" spans="2:10">
      <c r="B341" s="140" t="s">
        <v>309</v>
      </c>
      <c r="C341" s="140" t="s">
        <v>670</v>
      </c>
      <c r="D341" s="140" t="s">
        <v>358</v>
      </c>
      <c r="E341" s="140" t="s">
        <v>440</v>
      </c>
      <c r="F341" s="314">
        <v>1.4174073026227816</v>
      </c>
      <c r="G341" s="314">
        <v>0</v>
      </c>
      <c r="H341" s="314">
        <v>0</v>
      </c>
      <c r="I341" s="314">
        <v>0</v>
      </c>
      <c r="J341" s="314">
        <v>0</v>
      </c>
    </row>
    <row r="342" spans="2:10">
      <c r="B342" s="140" t="s">
        <v>309</v>
      </c>
      <c r="C342" s="140" t="s">
        <v>670</v>
      </c>
      <c r="D342" s="140" t="s">
        <v>671</v>
      </c>
      <c r="E342" s="140" t="s">
        <v>672</v>
      </c>
      <c r="F342" s="314">
        <v>7.5358820550612557E-3</v>
      </c>
      <c r="G342" s="314">
        <v>0</v>
      </c>
      <c r="H342" s="314">
        <v>0</v>
      </c>
      <c r="I342" s="314">
        <v>0</v>
      </c>
      <c r="J342" s="314">
        <v>0</v>
      </c>
    </row>
    <row r="343" spans="2:10">
      <c r="B343" s="140" t="s">
        <v>309</v>
      </c>
      <c r="C343" s="140" t="s">
        <v>670</v>
      </c>
      <c r="D343" s="140" t="s">
        <v>636</v>
      </c>
      <c r="E343" s="140" t="s">
        <v>617</v>
      </c>
      <c r="F343" s="314">
        <v>2.6743645367679982</v>
      </c>
      <c r="G343" s="314">
        <v>0</v>
      </c>
      <c r="H343" s="314">
        <v>0</v>
      </c>
      <c r="I343" s="314">
        <v>0</v>
      </c>
      <c r="J343" s="314">
        <v>0</v>
      </c>
    </row>
    <row r="344" spans="2:10">
      <c r="B344" s="140" t="s">
        <v>309</v>
      </c>
      <c r="C344" s="140" t="s">
        <v>670</v>
      </c>
      <c r="D344" s="140" t="s">
        <v>636</v>
      </c>
      <c r="E344" s="140" t="s">
        <v>673</v>
      </c>
      <c r="F344" s="314">
        <v>7.1019099901674498E-3</v>
      </c>
      <c r="G344" s="314">
        <v>0</v>
      </c>
      <c r="H344" s="314">
        <v>0</v>
      </c>
      <c r="I344" s="314">
        <v>0</v>
      </c>
      <c r="J344" s="314">
        <v>0</v>
      </c>
    </row>
    <row r="345" spans="2:10">
      <c r="B345" s="140" t="s">
        <v>309</v>
      </c>
      <c r="C345" s="140" t="s">
        <v>670</v>
      </c>
      <c r="D345" s="140" t="s">
        <v>636</v>
      </c>
      <c r="E345" s="140" t="s">
        <v>674</v>
      </c>
      <c r="F345" s="314">
        <v>1.0927214021787498E-3</v>
      </c>
      <c r="G345" s="314">
        <v>0</v>
      </c>
      <c r="H345" s="314">
        <v>0</v>
      </c>
      <c r="I345" s="314">
        <v>0</v>
      </c>
      <c r="J345" s="314">
        <v>0</v>
      </c>
    </row>
    <row r="346" spans="2:10">
      <c r="B346" s="140" t="s">
        <v>309</v>
      </c>
      <c r="C346" s="140" t="s">
        <v>670</v>
      </c>
      <c r="D346" s="140" t="s">
        <v>629</v>
      </c>
      <c r="E346" s="140" t="s">
        <v>616</v>
      </c>
      <c r="F346" s="314">
        <v>-4.3368086899420177E-19</v>
      </c>
      <c r="G346" s="314">
        <v>0</v>
      </c>
      <c r="H346" s="314">
        <v>0</v>
      </c>
      <c r="I346" s="314">
        <v>0</v>
      </c>
      <c r="J346" s="314">
        <v>0</v>
      </c>
    </row>
    <row r="347" spans="2:10">
      <c r="B347" s="140" t="s">
        <v>309</v>
      </c>
      <c r="C347" s="140" t="s">
        <v>670</v>
      </c>
      <c r="D347" s="140" t="s">
        <v>441</v>
      </c>
      <c r="E347" s="140" t="s">
        <v>616</v>
      </c>
      <c r="F347" s="314">
        <v>0.47350169987486962</v>
      </c>
      <c r="G347" s="314">
        <v>0</v>
      </c>
      <c r="H347" s="314">
        <v>0</v>
      </c>
      <c r="I347" s="314">
        <v>0</v>
      </c>
      <c r="J347" s="314">
        <v>0</v>
      </c>
    </row>
    <row r="348" spans="2:10">
      <c r="B348" s="140" t="s">
        <v>309</v>
      </c>
      <c r="C348" s="140" t="s">
        <v>670</v>
      </c>
      <c r="D348" s="140" t="s">
        <v>441</v>
      </c>
      <c r="E348" s="140" t="s">
        <v>423</v>
      </c>
      <c r="F348" s="314">
        <v>0.27073993941315488</v>
      </c>
      <c r="G348" s="314">
        <v>0</v>
      </c>
      <c r="H348" s="314">
        <v>0</v>
      </c>
      <c r="I348" s="314">
        <v>0</v>
      </c>
      <c r="J348" s="314">
        <v>0</v>
      </c>
    </row>
    <row r="349" spans="2:10">
      <c r="B349" s="140" t="s">
        <v>309</v>
      </c>
      <c r="C349" s="140" t="s">
        <v>670</v>
      </c>
      <c r="D349" s="140" t="s">
        <v>441</v>
      </c>
      <c r="E349" s="140" t="s">
        <v>617</v>
      </c>
      <c r="F349" s="314">
        <v>3.2512259944290613E-2</v>
      </c>
      <c r="G349" s="314">
        <v>0</v>
      </c>
      <c r="H349" s="314">
        <v>0</v>
      </c>
      <c r="I349" s="314">
        <v>0</v>
      </c>
      <c r="J349" s="314">
        <v>0</v>
      </c>
    </row>
    <row r="350" spans="2:10">
      <c r="B350" s="140" t="s">
        <v>309</v>
      </c>
      <c r="C350" s="140" t="s">
        <v>670</v>
      </c>
      <c r="D350" s="140" t="s">
        <v>441</v>
      </c>
      <c r="E350" s="140" t="s">
        <v>674</v>
      </c>
      <c r="F350" s="314">
        <v>0.10567122389664883</v>
      </c>
      <c r="G350" s="314">
        <v>0</v>
      </c>
      <c r="H350" s="314">
        <v>0</v>
      </c>
      <c r="I350" s="314">
        <v>0</v>
      </c>
      <c r="J350" s="314">
        <v>0</v>
      </c>
    </row>
    <row r="351" spans="2:10">
      <c r="B351" s="140" t="s">
        <v>309</v>
      </c>
      <c r="C351" s="140" t="s">
        <v>670</v>
      </c>
      <c r="D351" s="140" t="s">
        <v>637</v>
      </c>
      <c r="E351" s="140" t="s">
        <v>616</v>
      </c>
      <c r="F351" s="314">
        <v>1.7040674721759861</v>
      </c>
      <c r="G351" s="314">
        <v>0</v>
      </c>
      <c r="H351" s="314">
        <v>0</v>
      </c>
      <c r="I351" s="314">
        <v>0</v>
      </c>
      <c r="J351" s="314">
        <v>0</v>
      </c>
    </row>
    <row r="352" spans="2:10">
      <c r="B352" s="140" t="s">
        <v>309</v>
      </c>
      <c r="C352" s="140" t="s">
        <v>670</v>
      </c>
      <c r="D352" s="140" t="s">
        <v>675</v>
      </c>
      <c r="E352" s="140" t="s">
        <v>676</v>
      </c>
      <c r="F352" s="314">
        <v>3.8241353456284124E-3</v>
      </c>
      <c r="G352" s="314">
        <v>0</v>
      </c>
      <c r="H352" s="314">
        <v>0</v>
      </c>
      <c r="I352" s="314">
        <v>0</v>
      </c>
      <c r="J352" s="314">
        <v>0</v>
      </c>
    </row>
    <row r="353" spans="2:10">
      <c r="B353" s="140" t="s">
        <v>309</v>
      </c>
      <c r="C353" s="140" t="s">
        <v>670</v>
      </c>
      <c r="D353" s="140" t="s">
        <v>675</v>
      </c>
      <c r="E353" s="140" t="s">
        <v>677</v>
      </c>
      <c r="F353" s="314">
        <v>2.1852480233588937E-3</v>
      </c>
      <c r="G353" s="314">
        <v>0</v>
      </c>
      <c r="H353" s="314">
        <v>0</v>
      </c>
      <c r="I353" s="314">
        <v>0</v>
      </c>
      <c r="J353" s="314">
        <v>0</v>
      </c>
    </row>
    <row r="354" spans="2:10">
      <c r="B354" s="140" t="s">
        <v>309</v>
      </c>
      <c r="C354" s="140" t="s">
        <v>670</v>
      </c>
      <c r="D354" s="140" t="s">
        <v>678</v>
      </c>
      <c r="E354" s="140" t="s">
        <v>616</v>
      </c>
      <c r="F354" s="314">
        <v>1.2425144178795928</v>
      </c>
      <c r="G354" s="314">
        <v>0</v>
      </c>
      <c r="H354" s="314">
        <v>0</v>
      </c>
      <c r="I354" s="314">
        <v>0</v>
      </c>
      <c r="J354" s="314">
        <v>0</v>
      </c>
    </row>
    <row r="355" spans="2:10">
      <c r="B355" s="140" t="s">
        <v>309</v>
      </c>
      <c r="C355" s="140" t="s">
        <v>670</v>
      </c>
      <c r="D355" s="140" t="s">
        <v>678</v>
      </c>
      <c r="E355" s="140" t="s">
        <v>617</v>
      </c>
      <c r="F355" s="314">
        <v>2.4010149215355225</v>
      </c>
      <c r="G355" s="314">
        <v>0</v>
      </c>
      <c r="H355" s="314">
        <v>0</v>
      </c>
      <c r="I355" s="314">
        <v>0</v>
      </c>
      <c r="J355" s="314">
        <v>0</v>
      </c>
    </row>
    <row r="356" spans="2:10">
      <c r="B356" s="140" t="s">
        <v>309</v>
      </c>
      <c r="C356" s="140" t="s">
        <v>670</v>
      </c>
      <c r="D356" s="140" t="s">
        <v>679</v>
      </c>
      <c r="E356" s="140" t="s">
        <v>607</v>
      </c>
      <c r="F356" s="314">
        <v>0.45700472319794821</v>
      </c>
      <c r="G356" s="314">
        <v>0</v>
      </c>
      <c r="H356" s="314">
        <v>0</v>
      </c>
      <c r="I356" s="314">
        <v>0</v>
      </c>
      <c r="J356" s="314">
        <v>0</v>
      </c>
    </row>
    <row r="357" spans="2:10">
      <c r="B357" s="140" t="s">
        <v>309</v>
      </c>
      <c r="C357" s="140" t="s">
        <v>670</v>
      </c>
      <c r="D357" s="140" t="s">
        <v>680</v>
      </c>
      <c r="E357" s="140" t="s">
        <v>617</v>
      </c>
      <c r="F357" s="314">
        <v>2.9568507443020788</v>
      </c>
      <c r="G357" s="314">
        <v>0</v>
      </c>
      <c r="H357" s="314">
        <v>0</v>
      </c>
      <c r="I357" s="314">
        <v>0</v>
      </c>
      <c r="J357" s="314">
        <v>0</v>
      </c>
    </row>
    <row r="358" spans="2:10">
      <c r="B358" s="140" t="s">
        <v>309</v>
      </c>
      <c r="C358" s="140" t="s">
        <v>670</v>
      </c>
      <c r="D358" s="140" t="s">
        <v>657</v>
      </c>
      <c r="E358" s="140" t="s">
        <v>658</v>
      </c>
      <c r="F358" s="314">
        <v>1.0407538317507122E-2</v>
      </c>
      <c r="G358" s="314">
        <v>0</v>
      </c>
      <c r="H358" s="314">
        <v>0</v>
      </c>
      <c r="I358" s="314">
        <v>0</v>
      </c>
      <c r="J358" s="314">
        <v>0</v>
      </c>
    </row>
    <row r="359" spans="2:10">
      <c r="B359" s="140" t="s">
        <v>309</v>
      </c>
      <c r="C359" s="140" t="s">
        <v>670</v>
      </c>
      <c r="D359" s="140" t="s">
        <v>353</v>
      </c>
      <c r="E359" s="140" t="s">
        <v>607</v>
      </c>
      <c r="F359" s="314">
        <v>1.4580388137129581</v>
      </c>
      <c r="G359" s="314">
        <v>0</v>
      </c>
      <c r="H359" s="314">
        <v>0</v>
      </c>
      <c r="I359" s="314">
        <v>0</v>
      </c>
      <c r="J359" s="314">
        <v>0</v>
      </c>
    </row>
    <row r="360" spans="2:10">
      <c r="B360" s="140" t="s">
        <v>309</v>
      </c>
      <c r="C360" s="140" t="s">
        <v>383</v>
      </c>
      <c r="D360" s="140" t="s">
        <v>355</v>
      </c>
      <c r="E360" s="140" t="s">
        <v>356</v>
      </c>
      <c r="F360" s="314">
        <v>-6483.2365344506534</v>
      </c>
      <c r="G360" s="314">
        <v>0</v>
      </c>
      <c r="H360" s="314">
        <v>0</v>
      </c>
      <c r="I360" s="314">
        <v>0</v>
      </c>
      <c r="J360" s="314">
        <v>0</v>
      </c>
    </row>
    <row r="361" spans="2:10">
      <c r="B361" s="140" t="s">
        <v>309</v>
      </c>
      <c r="C361" s="140" t="s">
        <v>383</v>
      </c>
      <c r="D361" s="140" t="s">
        <v>358</v>
      </c>
      <c r="E361" s="140" t="s">
        <v>364</v>
      </c>
      <c r="F361" s="314">
        <v>1.3767658212019438</v>
      </c>
      <c r="G361" s="314">
        <v>0</v>
      </c>
      <c r="H361" s="314">
        <v>0</v>
      </c>
      <c r="I361" s="314">
        <v>0</v>
      </c>
      <c r="J361" s="314">
        <v>0</v>
      </c>
    </row>
    <row r="362" spans="2:10">
      <c r="B362" s="140" t="s">
        <v>309</v>
      </c>
      <c r="C362" s="140" t="s">
        <v>383</v>
      </c>
      <c r="D362" s="140" t="s">
        <v>358</v>
      </c>
      <c r="E362" s="140" t="s">
        <v>638</v>
      </c>
      <c r="F362" s="314">
        <v>7.5442092101430769E-2</v>
      </c>
      <c r="G362" s="314">
        <v>0</v>
      </c>
      <c r="H362" s="314">
        <v>0</v>
      </c>
      <c r="I362" s="314">
        <v>0</v>
      </c>
      <c r="J362" s="314">
        <v>0</v>
      </c>
    </row>
    <row r="363" spans="2:10">
      <c r="B363" s="140" t="s">
        <v>309</v>
      </c>
      <c r="C363" s="140" t="s">
        <v>383</v>
      </c>
      <c r="D363" s="140" t="s">
        <v>358</v>
      </c>
      <c r="E363" s="140" t="s">
        <v>359</v>
      </c>
      <c r="F363" s="314">
        <v>8.1130575877930813</v>
      </c>
      <c r="G363" s="314">
        <v>0</v>
      </c>
      <c r="H363" s="314">
        <v>0</v>
      </c>
      <c r="I363" s="314">
        <v>0</v>
      </c>
      <c r="J363" s="314">
        <v>0</v>
      </c>
    </row>
    <row r="364" spans="2:10">
      <c r="B364" s="140" t="s">
        <v>309</v>
      </c>
      <c r="C364" s="140" t="s">
        <v>383</v>
      </c>
      <c r="D364" s="140" t="s">
        <v>358</v>
      </c>
      <c r="E364" s="140" t="s">
        <v>357</v>
      </c>
      <c r="F364" s="314">
        <v>1.7865688770207018</v>
      </c>
      <c r="G364" s="314">
        <v>0</v>
      </c>
      <c r="H364" s="314">
        <v>0</v>
      </c>
      <c r="I364" s="314">
        <v>0</v>
      </c>
      <c r="J364" s="314">
        <v>0</v>
      </c>
    </row>
    <row r="365" spans="2:10">
      <c r="B365" s="140" t="s">
        <v>309</v>
      </c>
      <c r="C365" s="140" t="s">
        <v>383</v>
      </c>
      <c r="D365" s="140" t="s">
        <v>358</v>
      </c>
      <c r="E365" s="140" t="s">
        <v>440</v>
      </c>
      <c r="F365" s="314">
        <v>4.2082683137134094</v>
      </c>
      <c r="G365" s="314">
        <v>0</v>
      </c>
      <c r="H365" s="314">
        <v>0</v>
      </c>
      <c r="I365" s="314">
        <v>0</v>
      </c>
      <c r="J365" s="314">
        <v>0</v>
      </c>
    </row>
    <row r="366" spans="2:10">
      <c r="B366" s="140" t="s">
        <v>309</v>
      </c>
      <c r="C366" s="140" t="s">
        <v>384</v>
      </c>
      <c r="D366" s="140" t="s">
        <v>355</v>
      </c>
      <c r="E366" s="140" t="s">
        <v>356</v>
      </c>
      <c r="F366" s="314">
        <v>-3789.1330139759048</v>
      </c>
      <c r="G366" s="314">
        <v>-30790.746399724045</v>
      </c>
      <c r="H366" s="314">
        <v>-63814.439291185146</v>
      </c>
      <c r="I366" s="314">
        <v>-65978.023539345551</v>
      </c>
      <c r="J366" s="314">
        <v>-126600.30225575526</v>
      </c>
    </row>
    <row r="367" spans="2:10">
      <c r="B367" s="140" t="s">
        <v>309</v>
      </c>
      <c r="C367" s="140" t="s">
        <v>384</v>
      </c>
      <c r="D367" s="140" t="s">
        <v>358</v>
      </c>
      <c r="E367" s="140" t="s">
        <v>364</v>
      </c>
      <c r="F367" s="314">
        <v>0.44326034296657402</v>
      </c>
      <c r="G367" s="314">
        <v>0</v>
      </c>
      <c r="H367" s="314">
        <v>0</v>
      </c>
      <c r="I367" s="314">
        <v>0</v>
      </c>
      <c r="J367" s="314">
        <v>0</v>
      </c>
    </row>
    <row r="368" spans="2:10">
      <c r="B368" s="140" t="s">
        <v>309</v>
      </c>
      <c r="C368" s="140" t="s">
        <v>384</v>
      </c>
      <c r="D368" s="140" t="s">
        <v>358</v>
      </c>
      <c r="E368" s="140" t="s">
        <v>638</v>
      </c>
      <c r="F368" s="314">
        <v>1.2806531861587603E-2</v>
      </c>
      <c r="G368" s="314">
        <v>0</v>
      </c>
      <c r="H368" s="314">
        <v>0</v>
      </c>
      <c r="I368" s="314">
        <v>0</v>
      </c>
      <c r="J368" s="314">
        <v>0</v>
      </c>
    </row>
    <row r="369" spans="2:10">
      <c r="B369" s="140" t="s">
        <v>309</v>
      </c>
      <c r="C369" s="140" t="s">
        <v>384</v>
      </c>
      <c r="D369" s="140" t="s">
        <v>358</v>
      </c>
      <c r="E369" s="140" t="s">
        <v>359</v>
      </c>
      <c r="F369" s="314">
        <v>5.0069267073521564</v>
      </c>
      <c r="G369" s="314">
        <v>0</v>
      </c>
      <c r="H369" s="314">
        <v>0</v>
      </c>
      <c r="I369" s="314">
        <v>0</v>
      </c>
      <c r="J369" s="314">
        <v>0</v>
      </c>
    </row>
    <row r="370" spans="2:10">
      <c r="B370" s="140" t="s">
        <v>309</v>
      </c>
      <c r="C370" s="140" t="s">
        <v>384</v>
      </c>
      <c r="D370" s="140" t="s">
        <v>358</v>
      </c>
      <c r="E370" s="140" t="s">
        <v>357</v>
      </c>
      <c r="F370" s="314">
        <v>0.14734668930003009</v>
      </c>
      <c r="G370" s="314">
        <v>0</v>
      </c>
      <c r="H370" s="314">
        <v>0</v>
      </c>
      <c r="I370" s="314">
        <v>0</v>
      </c>
      <c r="J370" s="314">
        <v>0</v>
      </c>
    </row>
    <row r="371" spans="2:10">
      <c r="B371" s="140" t="s">
        <v>309</v>
      </c>
      <c r="C371" s="140" t="s">
        <v>610</v>
      </c>
      <c r="D371" s="140" t="s">
        <v>355</v>
      </c>
      <c r="E371" s="140" t="s">
        <v>356</v>
      </c>
      <c r="F371" s="314">
        <v>-26823.204561344286</v>
      </c>
      <c r="G371" s="314">
        <v>-28602.686206914866</v>
      </c>
      <c r="H371" s="314">
        <v>-35483.738575580108</v>
      </c>
      <c r="I371" s="314">
        <v>-28678.630326423256</v>
      </c>
      <c r="J371" s="314">
        <v>-41736.373103496648</v>
      </c>
    </row>
    <row r="372" spans="2:10">
      <c r="B372" s="140" t="s">
        <v>309</v>
      </c>
      <c r="C372" s="140" t="s">
        <v>610</v>
      </c>
      <c r="D372" s="140" t="s">
        <v>358</v>
      </c>
      <c r="E372" s="140" t="s">
        <v>619</v>
      </c>
      <c r="F372" s="314">
        <v>3.0569903826193207E-2</v>
      </c>
      <c r="G372" s="314">
        <v>0</v>
      </c>
      <c r="H372" s="314">
        <v>0</v>
      </c>
      <c r="I372" s="314">
        <v>0</v>
      </c>
      <c r="J372" s="314">
        <v>0</v>
      </c>
    </row>
    <row r="373" spans="2:10">
      <c r="B373" s="140" t="s">
        <v>309</v>
      </c>
      <c r="C373" s="140" t="s">
        <v>610</v>
      </c>
      <c r="D373" s="140" t="s">
        <v>358</v>
      </c>
      <c r="E373" s="140" t="s">
        <v>364</v>
      </c>
      <c r="F373" s="314">
        <v>6.9590081902378067</v>
      </c>
      <c r="G373" s="314">
        <v>0</v>
      </c>
      <c r="H373" s="314">
        <v>0</v>
      </c>
      <c r="I373" s="314">
        <v>0</v>
      </c>
      <c r="J373" s="314">
        <v>0</v>
      </c>
    </row>
    <row r="374" spans="2:10">
      <c r="B374" s="140" t="s">
        <v>309</v>
      </c>
      <c r="C374" s="140" t="s">
        <v>610</v>
      </c>
      <c r="D374" s="140" t="s">
        <v>358</v>
      </c>
      <c r="E374" s="140" t="s">
        <v>638</v>
      </c>
      <c r="F374" s="314">
        <v>0.2324864341849788</v>
      </c>
      <c r="G374" s="314">
        <v>0</v>
      </c>
      <c r="H374" s="314">
        <v>0</v>
      </c>
      <c r="I374" s="314">
        <v>0</v>
      </c>
      <c r="J374" s="314">
        <v>0</v>
      </c>
    </row>
    <row r="375" spans="2:10">
      <c r="B375" s="140" t="s">
        <v>309</v>
      </c>
      <c r="C375" s="140" t="s">
        <v>610</v>
      </c>
      <c r="D375" s="140" t="s">
        <v>358</v>
      </c>
      <c r="E375" s="140" t="s">
        <v>359</v>
      </c>
      <c r="F375" s="314">
        <v>34.891905546111687</v>
      </c>
      <c r="G375" s="314">
        <v>0</v>
      </c>
      <c r="H375" s="314">
        <v>0</v>
      </c>
      <c r="I375" s="314">
        <v>0</v>
      </c>
      <c r="J375" s="314">
        <v>0</v>
      </c>
    </row>
    <row r="376" spans="2:10">
      <c r="B376" s="140" t="s">
        <v>309</v>
      </c>
      <c r="C376" s="140" t="s">
        <v>610</v>
      </c>
      <c r="D376" s="140" t="s">
        <v>358</v>
      </c>
      <c r="E376" s="140" t="s">
        <v>357</v>
      </c>
      <c r="F376" s="314">
        <v>8.5754859711500853</v>
      </c>
      <c r="G376" s="314">
        <v>0</v>
      </c>
      <c r="H376" s="314">
        <v>0</v>
      </c>
      <c r="I376" s="314">
        <v>0</v>
      </c>
      <c r="J376" s="314">
        <v>0</v>
      </c>
    </row>
    <row r="377" spans="2:10">
      <c r="B377" s="140" t="s">
        <v>309</v>
      </c>
      <c r="C377" s="140" t="s">
        <v>611</v>
      </c>
      <c r="D377" s="140" t="s">
        <v>355</v>
      </c>
      <c r="E377" s="140" t="s">
        <v>356</v>
      </c>
      <c r="F377" s="314">
        <v>-31937.162784418997</v>
      </c>
      <c r="G377" s="314">
        <v>-27800.391548265728</v>
      </c>
      <c r="H377" s="314">
        <v>-34396.275569214187</v>
      </c>
      <c r="I377" s="314">
        <v>-27762.840503108964</v>
      </c>
      <c r="J377" s="314">
        <v>-40350.602359152792</v>
      </c>
    </row>
    <row r="378" spans="2:10">
      <c r="B378" s="140" t="s">
        <v>309</v>
      </c>
      <c r="C378" s="140" t="s">
        <v>611</v>
      </c>
      <c r="D378" s="140" t="s">
        <v>358</v>
      </c>
      <c r="E378" s="140" t="s">
        <v>364</v>
      </c>
      <c r="F378" s="314">
        <v>10.592223707705212</v>
      </c>
      <c r="G378" s="314">
        <v>0</v>
      </c>
      <c r="H378" s="314">
        <v>0</v>
      </c>
      <c r="I378" s="314">
        <v>0</v>
      </c>
      <c r="J378" s="314">
        <v>0</v>
      </c>
    </row>
    <row r="379" spans="2:10">
      <c r="B379" s="140" t="s">
        <v>309</v>
      </c>
      <c r="C379" s="140" t="s">
        <v>611</v>
      </c>
      <c r="D379" s="140" t="s">
        <v>358</v>
      </c>
      <c r="E379" s="140" t="s">
        <v>638</v>
      </c>
      <c r="F379" s="314">
        <v>0.47418136704829367</v>
      </c>
      <c r="G379" s="314">
        <v>0</v>
      </c>
      <c r="H379" s="314">
        <v>0</v>
      </c>
      <c r="I379" s="314">
        <v>0</v>
      </c>
      <c r="J379" s="314">
        <v>0</v>
      </c>
    </row>
    <row r="380" spans="2:10">
      <c r="B380" s="140" t="s">
        <v>309</v>
      </c>
      <c r="C380" s="140" t="s">
        <v>611</v>
      </c>
      <c r="D380" s="140" t="s">
        <v>358</v>
      </c>
      <c r="E380" s="140" t="s">
        <v>359</v>
      </c>
      <c r="F380" s="314">
        <v>38.011586540451489</v>
      </c>
      <c r="G380" s="314">
        <v>0</v>
      </c>
      <c r="H380" s="314">
        <v>0</v>
      </c>
      <c r="I380" s="314">
        <v>0</v>
      </c>
      <c r="J380" s="314">
        <v>0</v>
      </c>
    </row>
    <row r="381" spans="2:10">
      <c r="B381" s="140" t="s">
        <v>309</v>
      </c>
      <c r="C381" s="140" t="s">
        <v>611</v>
      </c>
      <c r="D381" s="140" t="s">
        <v>358</v>
      </c>
      <c r="E381" s="140" t="s">
        <v>357</v>
      </c>
      <c r="F381" s="314">
        <v>9.8554156386889957</v>
      </c>
      <c r="G381" s="314">
        <v>0</v>
      </c>
      <c r="H381" s="314">
        <v>0</v>
      </c>
      <c r="I381" s="314">
        <v>0</v>
      </c>
      <c r="J381" s="314">
        <v>0</v>
      </c>
    </row>
    <row r="382" spans="2:10">
      <c r="B382" s="140" t="s">
        <v>309</v>
      </c>
      <c r="C382" s="140" t="s">
        <v>611</v>
      </c>
      <c r="D382" s="140" t="s">
        <v>435</v>
      </c>
      <c r="E382" s="140" t="s">
        <v>443</v>
      </c>
      <c r="F382" s="314">
        <v>5.2776502658559944E-3</v>
      </c>
      <c r="G382" s="314">
        <v>0</v>
      </c>
      <c r="H382" s="314">
        <v>0</v>
      </c>
      <c r="I382" s="314">
        <v>0</v>
      </c>
      <c r="J382" s="314">
        <v>0</v>
      </c>
    </row>
    <row r="383" spans="2:10">
      <c r="B383" s="140" t="s">
        <v>309</v>
      </c>
      <c r="C383" s="140" t="s">
        <v>681</v>
      </c>
      <c r="D383" s="140" t="s">
        <v>355</v>
      </c>
      <c r="E383" s="140" t="s">
        <v>356</v>
      </c>
      <c r="F383" s="314">
        <v>4.7983319966905373</v>
      </c>
      <c r="G383" s="314">
        <v>0</v>
      </c>
      <c r="H383" s="314">
        <v>0</v>
      </c>
      <c r="I383" s="314">
        <v>0</v>
      </c>
      <c r="J383" s="314">
        <v>0</v>
      </c>
    </row>
    <row r="384" spans="2:10">
      <c r="B384" s="140" t="s">
        <v>309</v>
      </c>
      <c r="C384" s="140" t="s">
        <v>681</v>
      </c>
      <c r="D384" s="140" t="s">
        <v>358</v>
      </c>
      <c r="E384" s="140" t="s">
        <v>364</v>
      </c>
      <c r="F384" s="314">
        <v>3.6392937778056529E-2</v>
      </c>
      <c r="G384" s="314">
        <v>0</v>
      </c>
      <c r="H384" s="314">
        <v>0</v>
      </c>
      <c r="I384" s="314">
        <v>0</v>
      </c>
      <c r="J384" s="314">
        <v>0</v>
      </c>
    </row>
    <row r="385" spans="2:10">
      <c r="B385" s="140" t="s">
        <v>309</v>
      </c>
      <c r="C385" s="140" t="s">
        <v>681</v>
      </c>
      <c r="D385" s="140" t="s">
        <v>358</v>
      </c>
      <c r="E385" s="140" t="s">
        <v>638</v>
      </c>
      <c r="F385" s="314">
        <v>0</v>
      </c>
      <c r="G385" s="314">
        <v>0</v>
      </c>
      <c r="H385" s="314">
        <v>0</v>
      </c>
      <c r="I385" s="314">
        <v>0</v>
      </c>
      <c r="J385" s="314">
        <v>0</v>
      </c>
    </row>
    <row r="386" spans="2:10">
      <c r="B386" s="140" t="s">
        <v>309</v>
      </c>
      <c r="C386" s="140" t="s">
        <v>681</v>
      </c>
      <c r="D386" s="140" t="s">
        <v>358</v>
      </c>
      <c r="E386" s="140" t="s">
        <v>359</v>
      </c>
      <c r="F386" s="314">
        <v>30.397547408165224</v>
      </c>
      <c r="G386" s="314">
        <v>0</v>
      </c>
      <c r="H386" s="314">
        <v>0</v>
      </c>
      <c r="I386" s="314">
        <v>0</v>
      </c>
      <c r="J386" s="314">
        <v>0</v>
      </c>
    </row>
    <row r="387" spans="2:10">
      <c r="B387" s="140" t="s">
        <v>309</v>
      </c>
      <c r="C387" s="140" t="s">
        <v>681</v>
      </c>
      <c r="D387" s="140" t="s">
        <v>358</v>
      </c>
      <c r="E387" s="140" t="s">
        <v>357</v>
      </c>
      <c r="F387" s="314">
        <v>1.4131341233325314</v>
      </c>
      <c r="G387" s="314">
        <v>0</v>
      </c>
      <c r="H387" s="314">
        <v>0</v>
      </c>
      <c r="I387" s="314">
        <v>0</v>
      </c>
      <c r="J387" s="314">
        <v>0</v>
      </c>
    </row>
    <row r="388" spans="2:10">
      <c r="B388" s="140" t="s">
        <v>309</v>
      </c>
      <c r="C388" s="140" t="s">
        <v>682</v>
      </c>
      <c r="D388" s="140" t="s">
        <v>355</v>
      </c>
      <c r="E388" s="140" t="s">
        <v>356</v>
      </c>
      <c r="F388" s="314">
        <v>-17.33820430408386</v>
      </c>
      <c r="G388" s="314">
        <v>0</v>
      </c>
      <c r="H388" s="314">
        <v>0</v>
      </c>
      <c r="I388" s="314">
        <v>0</v>
      </c>
      <c r="J388" s="314">
        <v>0</v>
      </c>
    </row>
    <row r="389" spans="2:10">
      <c r="B389" s="140" t="s">
        <v>309</v>
      </c>
      <c r="C389" s="140" t="s">
        <v>682</v>
      </c>
      <c r="D389" s="140" t="s">
        <v>358</v>
      </c>
      <c r="E389" s="140" t="s">
        <v>364</v>
      </c>
      <c r="F389" s="314">
        <v>0.47197484970406073</v>
      </c>
      <c r="G389" s="314">
        <v>0</v>
      </c>
      <c r="H389" s="314">
        <v>0</v>
      </c>
      <c r="I389" s="314">
        <v>0</v>
      </c>
      <c r="J389" s="314">
        <v>0</v>
      </c>
    </row>
    <row r="390" spans="2:10">
      <c r="B390" s="140" t="s">
        <v>309</v>
      </c>
      <c r="C390" s="140" t="s">
        <v>682</v>
      </c>
      <c r="D390" s="140" t="s">
        <v>358</v>
      </c>
      <c r="E390" s="140" t="s">
        <v>624</v>
      </c>
      <c r="F390" s="314">
        <v>1.8871942546015541E-2</v>
      </c>
      <c r="G390" s="314">
        <v>0</v>
      </c>
      <c r="H390" s="314">
        <v>0</v>
      </c>
      <c r="I390" s="314">
        <v>0</v>
      </c>
      <c r="J390" s="314">
        <v>0</v>
      </c>
    </row>
    <row r="391" spans="2:10">
      <c r="B391" s="140" t="s">
        <v>309</v>
      </c>
      <c r="C391" s="140" t="s">
        <v>682</v>
      </c>
      <c r="D391" s="140" t="s">
        <v>358</v>
      </c>
      <c r="E391" s="140" t="s">
        <v>638</v>
      </c>
      <c r="F391" s="314">
        <v>3.196745749119009E-3</v>
      </c>
      <c r="G391" s="314">
        <v>0</v>
      </c>
      <c r="H391" s="314">
        <v>0</v>
      </c>
      <c r="I391" s="314">
        <v>0</v>
      </c>
      <c r="J391" s="314">
        <v>0</v>
      </c>
    </row>
    <row r="392" spans="2:10">
      <c r="B392" s="140" t="s">
        <v>309</v>
      </c>
      <c r="C392" s="140" t="s">
        <v>682</v>
      </c>
      <c r="D392" s="140" t="s">
        <v>358</v>
      </c>
      <c r="E392" s="140" t="s">
        <v>359</v>
      </c>
      <c r="F392" s="314">
        <v>5.126116961432901</v>
      </c>
      <c r="G392" s="314">
        <v>0</v>
      </c>
      <c r="H392" s="314">
        <v>0</v>
      </c>
      <c r="I392" s="314">
        <v>0</v>
      </c>
      <c r="J392" s="314">
        <v>0</v>
      </c>
    </row>
    <row r="393" spans="2:10">
      <c r="B393" s="140" t="s">
        <v>309</v>
      </c>
      <c r="C393" s="140" t="s">
        <v>682</v>
      </c>
      <c r="D393" s="140" t="s">
        <v>358</v>
      </c>
      <c r="E393" s="140" t="s">
        <v>357</v>
      </c>
      <c r="F393" s="314">
        <v>0.41084123696636743</v>
      </c>
      <c r="G393" s="314">
        <v>0</v>
      </c>
      <c r="H393" s="314">
        <v>0</v>
      </c>
      <c r="I393" s="314">
        <v>0</v>
      </c>
      <c r="J393" s="314">
        <v>0</v>
      </c>
    </row>
    <row r="394" spans="2:10">
      <c r="B394" s="140" t="s">
        <v>309</v>
      </c>
      <c r="C394" s="140" t="s">
        <v>385</v>
      </c>
      <c r="D394" s="140" t="s">
        <v>355</v>
      </c>
      <c r="E394" s="140" t="s">
        <v>356</v>
      </c>
      <c r="F394" s="314">
        <v>-9651.6036596481117</v>
      </c>
      <c r="G394" s="314">
        <v>-4913.2757053394316</v>
      </c>
      <c r="H394" s="314">
        <v>-6146.5685175492636</v>
      </c>
      <c r="I394" s="314">
        <v>-4967.4556293731985</v>
      </c>
      <c r="J394" s="314">
        <v>-7228.8221653084956</v>
      </c>
    </row>
    <row r="395" spans="2:10">
      <c r="B395" s="140" t="s">
        <v>309</v>
      </c>
      <c r="C395" s="140" t="s">
        <v>385</v>
      </c>
      <c r="D395" s="140" t="s">
        <v>355</v>
      </c>
      <c r="E395" s="140" t="s">
        <v>359</v>
      </c>
      <c r="F395" s="314">
        <v>0.82280912577843313</v>
      </c>
      <c r="G395" s="314">
        <v>0</v>
      </c>
      <c r="H395" s="314">
        <v>0</v>
      </c>
      <c r="I395" s="314">
        <v>0</v>
      </c>
      <c r="J395" s="314">
        <v>0</v>
      </c>
    </row>
    <row r="396" spans="2:10">
      <c r="B396" s="140" t="s">
        <v>309</v>
      </c>
      <c r="C396" s="140" t="s">
        <v>385</v>
      </c>
      <c r="D396" s="140" t="s">
        <v>358</v>
      </c>
      <c r="E396" s="140" t="s">
        <v>364</v>
      </c>
      <c r="F396" s="314">
        <v>3.3950110872542751</v>
      </c>
      <c r="G396" s="314">
        <v>0</v>
      </c>
      <c r="H396" s="314">
        <v>0</v>
      </c>
      <c r="I396" s="314">
        <v>0</v>
      </c>
      <c r="J396" s="314">
        <v>0</v>
      </c>
    </row>
    <row r="397" spans="2:10">
      <c r="B397" s="140" t="s">
        <v>309</v>
      </c>
      <c r="C397" s="140" t="s">
        <v>385</v>
      </c>
      <c r="D397" s="140" t="s">
        <v>358</v>
      </c>
      <c r="E397" s="140" t="s">
        <v>638</v>
      </c>
      <c r="F397" s="314">
        <v>9.8885369041423019E-2</v>
      </c>
      <c r="G397" s="314">
        <v>0</v>
      </c>
      <c r="H397" s="314">
        <v>0</v>
      </c>
      <c r="I397" s="314">
        <v>0</v>
      </c>
      <c r="J397" s="314">
        <v>0</v>
      </c>
    </row>
    <row r="398" spans="2:10">
      <c r="B398" s="140" t="s">
        <v>309</v>
      </c>
      <c r="C398" s="140" t="s">
        <v>385</v>
      </c>
      <c r="D398" s="140" t="s">
        <v>358</v>
      </c>
      <c r="E398" s="140" t="s">
        <v>359</v>
      </c>
      <c r="F398" s="314">
        <v>1.6537856305059628</v>
      </c>
      <c r="G398" s="314">
        <v>0</v>
      </c>
      <c r="H398" s="314">
        <v>0</v>
      </c>
      <c r="I398" s="314">
        <v>0</v>
      </c>
      <c r="J398" s="314">
        <v>0</v>
      </c>
    </row>
    <row r="399" spans="2:10">
      <c r="B399" s="140" t="s">
        <v>309</v>
      </c>
      <c r="C399" s="140" t="s">
        <v>385</v>
      </c>
      <c r="D399" s="140" t="s">
        <v>358</v>
      </c>
      <c r="E399" s="140" t="s">
        <v>357</v>
      </c>
      <c r="F399" s="314">
        <v>3.5742791174633877</v>
      </c>
      <c r="G399" s="314">
        <v>0</v>
      </c>
      <c r="H399" s="314">
        <v>0</v>
      </c>
      <c r="I399" s="314">
        <v>0</v>
      </c>
      <c r="J399" s="314">
        <v>0</v>
      </c>
    </row>
    <row r="400" spans="2:10">
      <c r="B400" s="140" t="s">
        <v>309</v>
      </c>
      <c r="C400" s="140" t="s">
        <v>386</v>
      </c>
      <c r="D400" s="140" t="s">
        <v>355</v>
      </c>
      <c r="E400" s="140" t="s">
        <v>356</v>
      </c>
      <c r="F400" s="314">
        <v>-4729.3741919385848</v>
      </c>
      <c r="G400" s="314">
        <v>-3303.3389193692792</v>
      </c>
      <c r="H400" s="314">
        <v>-4084.9178109467625</v>
      </c>
      <c r="I400" s="314">
        <v>-3283.4777952133845</v>
      </c>
      <c r="J400" s="314">
        <v>-4752.1734940281613</v>
      </c>
    </row>
    <row r="401" spans="2:10">
      <c r="B401" s="140" t="s">
        <v>309</v>
      </c>
      <c r="C401" s="140" t="s">
        <v>386</v>
      </c>
      <c r="D401" s="140" t="s">
        <v>355</v>
      </c>
      <c r="E401" s="140" t="s">
        <v>359</v>
      </c>
      <c r="F401" s="314">
        <v>0.44673714381963142</v>
      </c>
      <c r="G401" s="314">
        <v>0</v>
      </c>
      <c r="H401" s="314">
        <v>0</v>
      </c>
      <c r="I401" s="314">
        <v>0</v>
      </c>
      <c r="J401" s="314">
        <v>0</v>
      </c>
    </row>
    <row r="402" spans="2:10">
      <c r="B402" s="140" t="s">
        <v>309</v>
      </c>
      <c r="C402" s="140" t="s">
        <v>386</v>
      </c>
      <c r="D402" s="140" t="s">
        <v>358</v>
      </c>
      <c r="E402" s="140" t="s">
        <v>364</v>
      </c>
      <c r="F402" s="314">
        <v>1.6630978596178425</v>
      </c>
      <c r="G402" s="314">
        <v>0</v>
      </c>
      <c r="H402" s="314">
        <v>0</v>
      </c>
      <c r="I402" s="314">
        <v>0</v>
      </c>
      <c r="J402" s="314">
        <v>0</v>
      </c>
    </row>
    <row r="403" spans="2:10">
      <c r="B403" s="140" t="s">
        <v>309</v>
      </c>
      <c r="C403" s="140" t="s">
        <v>386</v>
      </c>
      <c r="D403" s="140" t="s">
        <v>358</v>
      </c>
      <c r="E403" s="140" t="s">
        <v>638</v>
      </c>
      <c r="F403" s="314">
        <v>4.3483106881507035E-2</v>
      </c>
      <c r="G403" s="314">
        <v>0</v>
      </c>
      <c r="H403" s="314">
        <v>0</v>
      </c>
      <c r="I403" s="314">
        <v>0</v>
      </c>
      <c r="J403" s="314">
        <v>0</v>
      </c>
    </row>
    <row r="404" spans="2:10">
      <c r="B404" s="140" t="s">
        <v>309</v>
      </c>
      <c r="C404" s="140" t="s">
        <v>386</v>
      </c>
      <c r="D404" s="140" t="s">
        <v>358</v>
      </c>
      <c r="E404" s="140" t="s">
        <v>359</v>
      </c>
      <c r="F404" s="314">
        <v>1.402210100392083</v>
      </c>
      <c r="G404" s="314">
        <v>0</v>
      </c>
      <c r="H404" s="314">
        <v>0</v>
      </c>
      <c r="I404" s="314">
        <v>0</v>
      </c>
      <c r="J404" s="314">
        <v>0</v>
      </c>
    </row>
    <row r="405" spans="2:10">
      <c r="B405" s="140" t="s">
        <v>309</v>
      </c>
      <c r="C405" s="140" t="s">
        <v>386</v>
      </c>
      <c r="D405" s="140" t="s">
        <v>358</v>
      </c>
      <c r="E405" s="140" t="s">
        <v>357</v>
      </c>
      <c r="F405" s="314">
        <v>2.0211720728099429</v>
      </c>
      <c r="G405" s="314">
        <v>0</v>
      </c>
      <c r="H405" s="314">
        <v>0</v>
      </c>
      <c r="I405" s="314">
        <v>0</v>
      </c>
      <c r="J405" s="314">
        <v>0</v>
      </c>
    </row>
    <row r="406" spans="2:10">
      <c r="B406" s="140" t="s">
        <v>309</v>
      </c>
      <c r="C406" s="140" t="s">
        <v>683</v>
      </c>
      <c r="D406" s="140" t="s">
        <v>355</v>
      </c>
      <c r="E406" s="140" t="s">
        <v>356</v>
      </c>
      <c r="F406" s="314">
        <v>-3.6152682509438032E-2</v>
      </c>
      <c r="G406" s="314">
        <v>0</v>
      </c>
      <c r="H406" s="314">
        <v>0</v>
      </c>
      <c r="I406" s="314">
        <v>0</v>
      </c>
      <c r="J406" s="314">
        <v>0</v>
      </c>
    </row>
    <row r="407" spans="2:10">
      <c r="B407" s="140" t="s">
        <v>309</v>
      </c>
      <c r="C407" s="140" t="s">
        <v>683</v>
      </c>
      <c r="D407" s="140" t="s">
        <v>358</v>
      </c>
      <c r="E407" s="140" t="s">
        <v>364</v>
      </c>
      <c r="F407" s="314">
        <v>2.3167869869349551</v>
      </c>
      <c r="G407" s="314">
        <v>0</v>
      </c>
      <c r="H407" s="314">
        <v>0</v>
      </c>
      <c r="I407" s="314">
        <v>0</v>
      </c>
      <c r="J407" s="314">
        <v>0</v>
      </c>
    </row>
    <row r="408" spans="2:10">
      <c r="B408" s="140" t="s">
        <v>309</v>
      </c>
      <c r="C408" s="140" t="s">
        <v>683</v>
      </c>
      <c r="D408" s="140" t="s">
        <v>358</v>
      </c>
      <c r="E408" s="140" t="s">
        <v>359</v>
      </c>
      <c r="F408" s="314">
        <v>9.4924172238690865</v>
      </c>
      <c r="G408" s="314">
        <v>0</v>
      </c>
      <c r="H408" s="314">
        <v>0</v>
      </c>
      <c r="I408" s="314">
        <v>0</v>
      </c>
      <c r="J408" s="314">
        <v>0</v>
      </c>
    </row>
    <row r="409" spans="2:10">
      <c r="B409" s="140" t="s">
        <v>309</v>
      </c>
      <c r="C409" s="140" t="s">
        <v>683</v>
      </c>
      <c r="D409" s="140" t="s">
        <v>358</v>
      </c>
      <c r="E409" s="140" t="s">
        <v>357</v>
      </c>
      <c r="F409" s="314">
        <v>1.0305897789134329E-2</v>
      </c>
      <c r="G409" s="314">
        <v>0</v>
      </c>
      <c r="H409" s="314">
        <v>0</v>
      </c>
      <c r="I409" s="314">
        <v>0</v>
      </c>
      <c r="J409" s="314">
        <v>0</v>
      </c>
    </row>
    <row r="410" spans="2:10">
      <c r="B410" s="140" t="s">
        <v>309</v>
      </c>
      <c r="C410" s="140" t="s">
        <v>387</v>
      </c>
      <c r="D410" s="140" t="s">
        <v>355</v>
      </c>
      <c r="E410" s="140" t="s">
        <v>356</v>
      </c>
      <c r="F410" s="314">
        <v>-9824.7893061894665</v>
      </c>
      <c r="G410" s="314">
        <v>-9442.0113503410576</v>
      </c>
      <c r="H410" s="314">
        <v>-11334.147908826519</v>
      </c>
      <c r="I410" s="314">
        <v>-8993.7651050928453</v>
      </c>
      <c r="J410" s="314">
        <v>-12853.534251151976</v>
      </c>
    </row>
    <row r="411" spans="2:10">
      <c r="B411" s="140" t="s">
        <v>309</v>
      </c>
      <c r="C411" s="140" t="s">
        <v>387</v>
      </c>
      <c r="D411" s="140" t="s">
        <v>355</v>
      </c>
      <c r="E411" s="140" t="s">
        <v>359</v>
      </c>
      <c r="F411" s="314">
        <v>5.8982350981325649E-2</v>
      </c>
      <c r="G411" s="314">
        <v>0</v>
      </c>
      <c r="H411" s="314">
        <v>0</v>
      </c>
      <c r="I411" s="314">
        <v>0</v>
      </c>
      <c r="J411" s="314">
        <v>0</v>
      </c>
    </row>
    <row r="412" spans="2:10">
      <c r="B412" s="140" t="s">
        <v>309</v>
      </c>
      <c r="C412" s="140" t="s">
        <v>387</v>
      </c>
      <c r="D412" s="140" t="s">
        <v>358</v>
      </c>
      <c r="E412" s="140" t="s">
        <v>364</v>
      </c>
      <c r="F412" s="314">
        <v>0.68104952040774591</v>
      </c>
      <c r="G412" s="314">
        <v>0</v>
      </c>
      <c r="H412" s="314">
        <v>0</v>
      </c>
      <c r="I412" s="314">
        <v>0</v>
      </c>
      <c r="J412" s="314">
        <v>0</v>
      </c>
    </row>
    <row r="413" spans="2:10">
      <c r="B413" s="140" t="s">
        <v>309</v>
      </c>
      <c r="C413" s="140" t="s">
        <v>387</v>
      </c>
      <c r="D413" s="140" t="s">
        <v>358</v>
      </c>
      <c r="E413" s="140" t="s">
        <v>638</v>
      </c>
      <c r="F413" s="314">
        <v>4.0834472890723644E-2</v>
      </c>
      <c r="G413" s="314">
        <v>0</v>
      </c>
      <c r="H413" s="314">
        <v>0</v>
      </c>
      <c r="I413" s="314">
        <v>0</v>
      </c>
      <c r="J413" s="314">
        <v>0</v>
      </c>
    </row>
    <row r="414" spans="2:10">
      <c r="B414" s="140" t="s">
        <v>309</v>
      </c>
      <c r="C414" s="140" t="s">
        <v>387</v>
      </c>
      <c r="D414" s="140" t="s">
        <v>358</v>
      </c>
      <c r="E414" s="140" t="s">
        <v>359</v>
      </c>
      <c r="F414" s="314">
        <v>9.7583911080573564</v>
      </c>
      <c r="G414" s="314">
        <v>0</v>
      </c>
      <c r="H414" s="314">
        <v>0</v>
      </c>
      <c r="I414" s="314">
        <v>0</v>
      </c>
      <c r="J414" s="314">
        <v>0</v>
      </c>
    </row>
    <row r="415" spans="2:10">
      <c r="B415" s="140" t="s">
        <v>309</v>
      </c>
      <c r="C415" s="140" t="s">
        <v>387</v>
      </c>
      <c r="D415" s="140" t="s">
        <v>358</v>
      </c>
      <c r="E415" s="140" t="s">
        <v>357</v>
      </c>
      <c r="F415" s="314">
        <v>2.0292407092739699</v>
      </c>
      <c r="G415" s="314">
        <v>0</v>
      </c>
      <c r="H415" s="314">
        <v>0</v>
      </c>
      <c r="I415" s="314">
        <v>0</v>
      </c>
      <c r="J415" s="314">
        <v>0</v>
      </c>
    </row>
    <row r="416" spans="2:10">
      <c r="B416" s="140" t="s">
        <v>309</v>
      </c>
      <c r="C416" s="140" t="s">
        <v>684</v>
      </c>
      <c r="D416" s="140" t="s">
        <v>355</v>
      </c>
      <c r="E416" s="140" t="s">
        <v>356</v>
      </c>
      <c r="F416" s="314">
        <v>-5.011734572228066E-2</v>
      </c>
      <c r="G416" s="314">
        <v>0</v>
      </c>
      <c r="H416" s="314">
        <v>0</v>
      </c>
      <c r="I416" s="314">
        <v>0</v>
      </c>
      <c r="J416" s="314">
        <v>0</v>
      </c>
    </row>
    <row r="417" spans="2:10">
      <c r="B417" s="140" t="s">
        <v>309</v>
      </c>
      <c r="C417" s="140" t="s">
        <v>684</v>
      </c>
      <c r="D417" s="140" t="s">
        <v>358</v>
      </c>
      <c r="E417" s="140" t="s">
        <v>364</v>
      </c>
      <c r="F417" s="314">
        <v>9.1052325608284908E-3</v>
      </c>
      <c r="G417" s="314">
        <v>0</v>
      </c>
      <c r="H417" s="314">
        <v>0</v>
      </c>
      <c r="I417" s="314">
        <v>0</v>
      </c>
      <c r="J417" s="314">
        <v>0</v>
      </c>
    </row>
    <row r="418" spans="2:10">
      <c r="B418" s="140" t="s">
        <v>309</v>
      </c>
      <c r="C418" s="140" t="s">
        <v>684</v>
      </c>
      <c r="D418" s="140" t="s">
        <v>358</v>
      </c>
      <c r="E418" s="140" t="s">
        <v>359</v>
      </c>
      <c r="F418" s="314">
        <v>-2.3312558599138295E-2</v>
      </c>
      <c r="G418" s="314">
        <v>0</v>
      </c>
      <c r="H418" s="314">
        <v>0</v>
      </c>
      <c r="I418" s="314">
        <v>0</v>
      </c>
      <c r="J418" s="314">
        <v>0</v>
      </c>
    </row>
    <row r="419" spans="2:10">
      <c r="B419" s="140" t="s">
        <v>309</v>
      </c>
      <c r="C419" s="140" t="s">
        <v>388</v>
      </c>
      <c r="D419" s="140" t="s">
        <v>355</v>
      </c>
      <c r="E419" s="140" t="s">
        <v>356</v>
      </c>
      <c r="F419" s="314">
        <v>-31467.611040010266</v>
      </c>
      <c r="G419" s="314">
        <v>-34205.976401164036</v>
      </c>
      <c r="H419" s="314">
        <v>-41954.59752711394</v>
      </c>
      <c r="I419" s="314">
        <v>-33665.60223524725</v>
      </c>
      <c r="J419" s="314">
        <v>-48642.818454893815</v>
      </c>
    </row>
    <row r="420" spans="2:10">
      <c r="B420" s="140" t="s">
        <v>309</v>
      </c>
      <c r="C420" s="140" t="s">
        <v>388</v>
      </c>
      <c r="D420" s="140" t="s">
        <v>355</v>
      </c>
      <c r="E420" s="140" t="s">
        <v>359</v>
      </c>
      <c r="F420" s="314">
        <v>0.20720379499369973</v>
      </c>
      <c r="G420" s="314">
        <v>0</v>
      </c>
      <c r="H420" s="314">
        <v>0</v>
      </c>
      <c r="I420" s="314">
        <v>0</v>
      </c>
      <c r="J420" s="314">
        <v>0</v>
      </c>
    </row>
    <row r="421" spans="2:10">
      <c r="B421" s="140" t="s">
        <v>309</v>
      </c>
      <c r="C421" s="140" t="s">
        <v>388</v>
      </c>
      <c r="D421" s="140" t="s">
        <v>358</v>
      </c>
      <c r="E421" s="140" t="s">
        <v>364</v>
      </c>
      <c r="F421" s="314">
        <v>10.305540680720201</v>
      </c>
      <c r="G421" s="314">
        <v>0</v>
      </c>
      <c r="H421" s="314">
        <v>0</v>
      </c>
      <c r="I421" s="314">
        <v>0</v>
      </c>
      <c r="J421" s="314">
        <v>0</v>
      </c>
    </row>
    <row r="422" spans="2:10">
      <c r="B422" s="140" t="s">
        <v>309</v>
      </c>
      <c r="C422" s="140" t="s">
        <v>388</v>
      </c>
      <c r="D422" s="140" t="s">
        <v>358</v>
      </c>
      <c r="E422" s="140" t="s">
        <v>638</v>
      </c>
      <c r="F422" s="314">
        <v>0.3097703759665994</v>
      </c>
      <c r="G422" s="314">
        <v>0</v>
      </c>
      <c r="H422" s="314">
        <v>0</v>
      </c>
      <c r="I422" s="314">
        <v>0</v>
      </c>
      <c r="J422" s="314">
        <v>0</v>
      </c>
    </row>
    <row r="423" spans="2:10">
      <c r="B423" s="140" t="s">
        <v>309</v>
      </c>
      <c r="C423" s="140" t="s">
        <v>388</v>
      </c>
      <c r="D423" s="140" t="s">
        <v>358</v>
      </c>
      <c r="E423" s="140" t="s">
        <v>359</v>
      </c>
      <c r="F423" s="314">
        <v>28.26710300489632</v>
      </c>
      <c r="G423" s="314">
        <v>0</v>
      </c>
      <c r="H423" s="314">
        <v>0</v>
      </c>
      <c r="I423" s="314">
        <v>0</v>
      </c>
      <c r="J423" s="314">
        <v>0</v>
      </c>
    </row>
    <row r="424" spans="2:10">
      <c r="B424" s="140" t="s">
        <v>309</v>
      </c>
      <c r="C424" s="140" t="s">
        <v>388</v>
      </c>
      <c r="D424" s="140" t="s">
        <v>358</v>
      </c>
      <c r="E424" s="140" t="s">
        <v>357</v>
      </c>
      <c r="F424" s="314">
        <v>7.4581895335283228</v>
      </c>
      <c r="G424" s="314">
        <v>0</v>
      </c>
      <c r="H424" s="314">
        <v>0</v>
      </c>
      <c r="I424" s="314">
        <v>0</v>
      </c>
      <c r="J424" s="314">
        <v>0</v>
      </c>
    </row>
    <row r="425" spans="2:10">
      <c r="B425" s="140" t="s">
        <v>309</v>
      </c>
      <c r="C425" s="140" t="s">
        <v>389</v>
      </c>
      <c r="D425" s="140" t="s">
        <v>355</v>
      </c>
      <c r="E425" s="140" t="s">
        <v>356</v>
      </c>
      <c r="F425" s="314">
        <v>-17528.341598783256</v>
      </c>
      <c r="G425" s="314">
        <v>-21560.927338854333</v>
      </c>
      <c r="H425" s="314">
        <v>-26294.274836288256</v>
      </c>
      <c r="I425" s="314">
        <v>-21107.202032603065</v>
      </c>
      <c r="J425" s="314">
        <v>-30508.529927000531</v>
      </c>
    </row>
    <row r="426" spans="2:10">
      <c r="B426" s="140" t="s">
        <v>309</v>
      </c>
      <c r="C426" s="140" t="s">
        <v>389</v>
      </c>
      <c r="D426" s="140" t="s">
        <v>355</v>
      </c>
      <c r="E426" s="140" t="s">
        <v>359</v>
      </c>
      <c r="F426" s="314">
        <v>0.1132408290265674</v>
      </c>
      <c r="G426" s="314">
        <v>0</v>
      </c>
      <c r="H426" s="314">
        <v>0</v>
      </c>
      <c r="I426" s="314">
        <v>0</v>
      </c>
      <c r="J426" s="314">
        <v>0</v>
      </c>
    </row>
    <row r="427" spans="2:10">
      <c r="B427" s="140" t="s">
        <v>309</v>
      </c>
      <c r="C427" s="140" t="s">
        <v>389</v>
      </c>
      <c r="D427" s="140" t="s">
        <v>358</v>
      </c>
      <c r="E427" s="140" t="s">
        <v>364</v>
      </c>
      <c r="F427" s="314">
        <v>6.6074311005265161</v>
      </c>
      <c r="G427" s="314">
        <v>0</v>
      </c>
      <c r="H427" s="314">
        <v>0</v>
      </c>
      <c r="I427" s="314">
        <v>0</v>
      </c>
      <c r="J427" s="314">
        <v>0</v>
      </c>
    </row>
    <row r="428" spans="2:10">
      <c r="B428" s="140" t="s">
        <v>309</v>
      </c>
      <c r="C428" s="140" t="s">
        <v>389</v>
      </c>
      <c r="D428" s="140" t="s">
        <v>358</v>
      </c>
      <c r="E428" s="140" t="s">
        <v>638</v>
      </c>
      <c r="F428" s="314">
        <v>0.21593555958497046</v>
      </c>
      <c r="G428" s="314">
        <v>0</v>
      </c>
      <c r="H428" s="314">
        <v>0</v>
      </c>
      <c r="I428" s="314">
        <v>0</v>
      </c>
      <c r="J428" s="314">
        <v>0</v>
      </c>
    </row>
    <row r="429" spans="2:10">
      <c r="B429" s="140" t="s">
        <v>309</v>
      </c>
      <c r="C429" s="140" t="s">
        <v>389</v>
      </c>
      <c r="D429" s="140" t="s">
        <v>358</v>
      </c>
      <c r="E429" s="140" t="s">
        <v>359</v>
      </c>
      <c r="F429" s="314">
        <v>18.001594148450671</v>
      </c>
      <c r="G429" s="314">
        <v>0</v>
      </c>
      <c r="H429" s="314">
        <v>0</v>
      </c>
      <c r="I429" s="314">
        <v>0</v>
      </c>
      <c r="J429" s="314">
        <v>0</v>
      </c>
    </row>
    <row r="430" spans="2:10">
      <c r="B430" s="140" t="s">
        <v>309</v>
      </c>
      <c r="C430" s="140" t="s">
        <v>389</v>
      </c>
      <c r="D430" s="140" t="s">
        <v>358</v>
      </c>
      <c r="E430" s="140" t="s">
        <v>357</v>
      </c>
      <c r="F430" s="314">
        <v>3.4032805731128262</v>
      </c>
      <c r="G430" s="314">
        <v>0</v>
      </c>
      <c r="H430" s="314">
        <v>0</v>
      </c>
      <c r="I430" s="314">
        <v>0</v>
      </c>
      <c r="J430" s="314">
        <v>0</v>
      </c>
    </row>
    <row r="431" spans="2:10">
      <c r="B431" s="140" t="s">
        <v>309</v>
      </c>
      <c r="C431" s="140" t="s">
        <v>685</v>
      </c>
      <c r="D431" s="140" t="s">
        <v>355</v>
      </c>
      <c r="E431" s="140" t="s">
        <v>356</v>
      </c>
      <c r="F431" s="314">
        <v>-0.8884967340437333</v>
      </c>
      <c r="G431" s="314">
        <v>0</v>
      </c>
      <c r="H431" s="314">
        <v>0</v>
      </c>
      <c r="I431" s="314">
        <v>0</v>
      </c>
      <c r="J431" s="314">
        <v>0</v>
      </c>
    </row>
    <row r="432" spans="2:10">
      <c r="B432" s="140" t="s">
        <v>309</v>
      </c>
      <c r="C432" s="140" t="s">
        <v>685</v>
      </c>
      <c r="D432" s="140" t="s">
        <v>358</v>
      </c>
      <c r="E432" s="140" t="s">
        <v>364</v>
      </c>
      <c r="F432" s="314">
        <v>0.17490234131305932</v>
      </c>
      <c r="G432" s="314">
        <v>0</v>
      </c>
      <c r="H432" s="314">
        <v>0</v>
      </c>
      <c r="I432" s="314">
        <v>0</v>
      </c>
      <c r="J432" s="314">
        <v>0</v>
      </c>
    </row>
    <row r="433" spans="2:10">
      <c r="B433" s="140" t="s">
        <v>309</v>
      </c>
      <c r="C433" s="140" t="s">
        <v>685</v>
      </c>
      <c r="D433" s="140" t="s">
        <v>358</v>
      </c>
      <c r="E433" s="140" t="s">
        <v>638</v>
      </c>
      <c r="F433" s="314">
        <v>6.9348363117329018E-2</v>
      </c>
      <c r="G433" s="314">
        <v>0</v>
      </c>
      <c r="H433" s="314">
        <v>0</v>
      </c>
      <c r="I433" s="314">
        <v>0</v>
      </c>
      <c r="J433" s="314">
        <v>0</v>
      </c>
    </row>
    <row r="434" spans="2:10">
      <c r="B434" s="140" t="s">
        <v>309</v>
      </c>
      <c r="C434" s="140" t="s">
        <v>685</v>
      </c>
      <c r="D434" s="140" t="s">
        <v>358</v>
      </c>
      <c r="E434" s="140" t="s">
        <v>359</v>
      </c>
      <c r="F434" s="314">
        <v>13.233417974146123</v>
      </c>
      <c r="G434" s="314">
        <v>0</v>
      </c>
      <c r="H434" s="314">
        <v>0</v>
      </c>
      <c r="I434" s="314">
        <v>0</v>
      </c>
      <c r="J434" s="314">
        <v>0</v>
      </c>
    </row>
    <row r="435" spans="2:10">
      <c r="B435" s="140" t="s">
        <v>309</v>
      </c>
      <c r="C435" s="140" t="s">
        <v>685</v>
      </c>
      <c r="D435" s="140" t="s">
        <v>358</v>
      </c>
      <c r="E435" s="140" t="s">
        <v>357</v>
      </c>
      <c r="F435" s="314">
        <v>0.12673342541411023</v>
      </c>
      <c r="G435" s="314">
        <v>0</v>
      </c>
      <c r="H435" s="314">
        <v>0</v>
      </c>
      <c r="I435" s="314">
        <v>0</v>
      </c>
      <c r="J435" s="314">
        <v>0</v>
      </c>
    </row>
    <row r="436" spans="2:10">
      <c r="B436" s="140" t="s">
        <v>309</v>
      </c>
      <c r="C436" s="140" t="s">
        <v>390</v>
      </c>
      <c r="D436" s="140" t="s">
        <v>355</v>
      </c>
      <c r="E436" s="140" t="s">
        <v>356</v>
      </c>
      <c r="F436" s="314">
        <v>-11567.333869060103</v>
      </c>
      <c r="G436" s="314">
        <v>-7153.7666552293749</v>
      </c>
      <c r="H436" s="314">
        <v>-8812.8562951313579</v>
      </c>
      <c r="I436" s="314">
        <v>-7100.6429738038905</v>
      </c>
      <c r="J436" s="314">
        <v>-10300.869166497039</v>
      </c>
    </row>
    <row r="437" spans="2:10">
      <c r="B437" s="140" t="s">
        <v>309</v>
      </c>
      <c r="C437" s="140" t="s">
        <v>390</v>
      </c>
      <c r="D437" s="140" t="s">
        <v>358</v>
      </c>
      <c r="E437" s="140" t="s">
        <v>364</v>
      </c>
      <c r="F437" s="314">
        <v>2.5776456338238445</v>
      </c>
      <c r="G437" s="314">
        <v>0</v>
      </c>
      <c r="H437" s="314">
        <v>0</v>
      </c>
      <c r="I437" s="314">
        <v>0</v>
      </c>
      <c r="J437" s="314">
        <v>0</v>
      </c>
    </row>
    <row r="438" spans="2:10">
      <c r="B438" s="140" t="s">
        <v>309</v>
      </c>
      <c r="C438" s="140" t="s">
        <v>390</v>
      </c>
      <c r="D438" s="140" t="s">
        <v>358</v>
      </c>
      <c r="E438" s="140" t="s">
        <v>638</v>
      </c>
      <c r="F438" s="314">
        <v>4.7711536158131215E-2</v>
      </c>
      <c r="G438" s="314">
        <v>0</v>
      </c>
      <c r="H438" s="314">
        <v>0</v>
      </c>
      <c r="I438" s="314">
        <v>0</v>
      </c>
      <c r="J438" s="314">
        <v>0</v>
      </c>
    </row>
    <row r="439" spans="2:10">
      <c r="B439" s="140" t="s">
        <v>309</v>
      </c>
      <c r="C439" s="140" t="s">
        <v>390</v>
      </c>
      <c r="D439" s="140" t="s">
        <v>358</v>
      </c>
      <c r="E439" s="140" t="s">
        <v>359</v>
      </c>
      <c r="F439" s="314">
        <v>4.2263718920435132</v>
      </c>
      <c r="G439" s="314">
        <v>0</v>
      </c>
      <c r="H439" s="314">
        <v>0</v>
      </c>
      <c r="I439" s="314">
        <v>0</v>
      </c>
      <c r="J439" s="314">
        <v>0</v>
      </c>
    </row>
    <row r="440" spans="2:10">
      <c r="B440" s="140" t="s">
        <v>309</v>
      </c>
      <c r="C440" s="140" t="s">
        <v>390</v>
      </c>
      <c r="D440" s="140" t="s">
        <v>358</v>
      </c>
      <c r="E440" s="140" t="s">
        <v>357</v>
      </c>
      <c r="F440" s="314">
        <v>2.9795451670603561</v>
      </c>
      <c r="G440" s="314">
        <v>0</v>
      </c>
      <c r="H440" s="314">
        <v>0</v>
      </c>
      <c r="I440" s="314">
        <v>0</v>
      </c>
      <c r="J440" s="314">
        <v>0</v>
      </c>
    </row>
    <row r="441" spans="2:10">
      <c r="B441" s="140" t="s">
        <v>309</v>
      </c>
      <c r="C441" s="140" t="s">
        <v>390</v>
      </c>
      <c r="D441" s="140" t="s">
        <v>428</v>
      </c>
      <c r="E441" s="140" t="s">
        <v>429</v>
      </c>
      <c r="F441" s="314">
        <v>0.34123562682810055</v>
      </c>
      <c r="G441" s="314">
        <v>0</v>
      </c>
      <c r="H441" s="314">
        <v>0</v>
      </c>
      <c r="I441" s="314">
        <v>0</v>
      </c>
      <c r="J441" s="314">
        <v>0</v>
      </c>
    </row>
    <row r="442" spans="2:10">
      <c r="B442" s="140" t="s">
        <v>309</v>
      </c>
      <c r="C442" s="140" t="s">
        <v>391</v>
      </c>
      <c r="D442" s="140" t="s">
        <v>355</v>
      </c>
      <c r="E442" s="140" t="s">
        <v>356</v>
      </c>
      <c r="F442" s="314">
        <v>-9351.5672199826604</v>
      </c>
      <c r="G442" s="314">
        <v>-5581.1840758862681</v>
      </c>
      <c r="H442" s="314">
        <v>-6894.4879997651951</v>
      </c>
      <c r="I442" s="314">
        <v>-5553.6368974502275</v>
      </c>
      <c r="J442" s="314">
        <v>-8056.5458162488339</v>
      </c>
    </row>
    <row r="443" spans="2:10">
      <c r="B443" s="140" t="s">
        <v>309</v>
      </c>
      <c r="C443" s="140" t="s">
        <v>391</v>
      </c>
      <c r="D443" s="140" t="s">
        <v>355</v>
      </c>
      <c r="E443" s="140" t="s">
        <v>359</v>
      </c>
      <c r="F443" s="314">
        <v>0.29942926848897033</v>
      </c>
      <c r="G443" s="314">
        <v>0</v>
      </c>
      <c r="H443" s="314">
        <v>0</v>
      </c>
      <c r="I443" s="314">
        <v>0</v>
      </c>
      <c r="J443" s="314">
        <v>0</v>
      </c>
    </row>
    <row r="444" spans="2:10">
      <c r="B444" s="140" t="s">
        <v>309</v>
      </c>
      <c r="C444" s="140" t="s">
        <v>391</v>
      </c>
      <c r="D444" s="140" t="s">
        <v>358</v>
      </c>
      <c r="E444" s="140" t="s">
        <v>364</v>
      </c>
      <c r="F444" s="314">
        <v>2.5040336203647673</v>
      </c>
      <c r="G444" s="314">
        <v>0</v>
      </c>
      <c r="H444" s="314">
        <v>0</v>
      </c>
      <c r="I444" s="314">
        <v>0</v>
      </c>
      <c r="J444" s="314">
        <v>0</v>
      </c>
    </row>
    <row r="445" spans="2:10">
      <c r="B445" s="140" t="s">
        <v>309</v>
      </c>
      <c r="C445" s="140" t="s">
        <v>391</v>
      </c>
      <c r="D445" s="140" t="s">
        <v>358</v>
      </c>
      <c r="E445" s="140" t="s">
        <v>638</v>
      </c>
      <c r="F445" s="314">
        <v>5.2786044254264433E-2</v>
      </c>
      <c r="G445" s="314">
        <v>0</v>
      </c>
      <c r="H445" s="314">
        <v>0</v>
      </c>
      <c r="I445" s="314">
        <v>0</v>
      </c>
      <c r="J445" s="314">
        <v>0</v>
      </c>
    </row>
    <row r="446" spans="2:10">
      <c r="B446" s="140" t="s">
        <v>309</v>
      </c>
      <c r="C446" s="140" t="s">
        <v>391</v>
      </c>
      <c r="D446" s="140" t="s">
        <v>358</v>
      </c>
      <c r="E446" s="140" t="s">
        <v>359</v>
      </c>
      <c r="F446" s="314">
        <v>9.0781461583512968</v>
      </c>
      <c r="G446" s="314">
        <v>0</v>
      </c>
      <c r="H446" s="314">
        <v>0</v>
      </c>
      <c r="I446" s="314">
        <v>0</v>
      </c>
      <c r="J446" s="314">
        <v>0</v>
      </c>
    </row>
    <row r="447" spans="2:10">
      <c r="B447" s="140" t="s">
        <v>309</v>
      </c>
      <c r="C447" s="140" t="s">
        <v>391</v>
      </c>
      <c r="D447" s="140" t="s">
        <v>358</v>
      </c>
      <c r="E447" s="140" t="s">
        <v>357</v>
      </c>
      <c r="F447" s="314">
        <v>0.9398256554747666</v>
      </c>
      <c r="G447" s="314">
        <v>0</v>
      </c>
      <c r="H447" s="314">
        <v>0</v>
      </c>
      <c r="I447" s="314">
        <v>0</v>
      </c>
      <c r="J447" s="314">
        <v>0</v>
      </c>
    </row>
    <row r="448" spans="2:10">
      <c r="B448" s="140" t="s">
        <v>309</v>
      </c>
      <c r="C448" s="140" t="s">
        <v>392</v>
      </c>
      <c r="D448" s="140" t="s">
        <v>355</v>
      </c>
      <c r="E448" s="140" t="s">
        <v>356</v>
      </c>
      <c r="F448" s="314">
        <v>-4684.017865242372</v>
      </c>
      <c r="G448" s="314">
        <v>-2530.0023393100914</v>
      </c>
      <c r="H448" s="314">
        <v>-3097.6203424869655</v>
      </c>
      <c r="I448" s="314">
        <v>-2499.2048622848456</v>
      </c>
      <c r="J448" s="314">
        <v>-3631.2737063890963</v>
      </c>
    </row>
    <row r="449" spans="2:10">
      <c r="B449" s="140" t="s">
        <v>309</v>
      </c>
      <c r="C449" s="140" t="s">
        <v>392</v>
      </c>
      <c r="D449" s="140" t="s">
        <v>355</v>
      </c>
      <c r="E449" s="140" t="s">
        <v>359</v>
      </c>
      <c r="F449" s="314">
        <v>0.12908909655822604</v>
      </c>
      <c r="G449" s="314">
        <v>0</v>
      </c>
      <c r="H449" s="314">
        <v>0</v>
      </c>
      <c r="I449" s="314">
        <v>0</v>
      </c>
      <c r="J449" s="314">
        <v>0</v>
      </c>
    </row>
    <row r="450" spans="2:10">
      <c r="B450" s="140" t="s">
        <v>309</v>
      </c>
      <c r="C450" s="140" t="s">
        <v>392</v>
      </c>
      <c r="D450" s="140" t="s">
        <v>358</v>
      </c>
      <c r="E450" s="140" t="s">
        <v>364</v>
      </c>
      <c r="F450" s="314">
        <v>0.69511420072264585</v>
      </c>
      <c r="G450" s="314">
        <v>0</v>
      </c>
      <c r="H450" s="314">
        <v>0</v>
      </c>
      <c r="I450" s="314">
        <v>0</v>
      </c>
      <c r="J450" s="314">
        <v>0</v>
      </c>
    </row>
    <row r="451" spans="2:10">
      <c r="B451" s="140" t="s">
        <v>309</v>
      </c>
      <c r="C451" s="140" t="s">
        <v>392</v>
      </c>
      <c r="D451" s="140" t="s">
        <v>358</v>
      </c>
      <c r="E451" s="140" t="s">
        <v>359</v>
      </c>
      <c r="F451" s="314">
        <v>4.6906803723859083</v>
      </c>
      <c r="G451" s="314">
        <v>0</v>
      </c>
      <c r="H451" s="314">
        <v>0</v>
      </c>
      <c r="I451" s="314">
        <v>0</v>
      </c>
      <c r="J451" s="314">
        <v>0</v>
      </c>
    </row>
    <row r="452" spans="2:10">
      <c r="B452" s="140" t="s">
        <v>309</v>
      </c>
      <c r="C452" s="140" t="s">
        <v>392</v>
      </c>
      <c r="D452" s="140" t="s">
        <v>358</v>
      </c>
      <c r="E452" s="140" t="s">
        <v>357</v>
      </c>
      <c r="F452" s="314">
        <v>0.77047194370967442</v>
      </c>
      <c r="G452" s="314">
        <v>0</v>
      </c>
      <c r="H452" s="314">
        <v>0</v>
      </c>
      <c r="I452" s="314">
        <v>0</v>
      </c>
      <c r="J452" s="314">
        <v>0</v>
      </c>
    </row>
    <row r="453" spans="2:10">
      <c r="B453" s="140" t="s">
        <v>309</v>
      </c>
      <c r="C453" s="140" t="s">
        <v>393</v>
      </c>
      <c r="D453" s="140" t="s">
        <v>355</v>
      </c>
      <c r="E453" s="140" t="s">
        <v>356</v>
      </c>
      <c r="F453" s="314">
        <v>-3108.5218321782941</v>
      </c>
      <c r="G453" s="314">
        <v>-3908.7520202213559</v>
      </c>
      <c r="H453" s="314">
        <v>-4829.5183821346182</v>
      </c>
      <c r="I453" s="314">
        <v>-3874.4954128067216</v>
      </c>
      <c r="J453" s="314">
        <v>-5593.640659746512</v>
      </c>
    </row>
    <row r="454" spans="2:10">
      <c r="B454" s="140" t="s">
        <v>309</v>
      </c>
      <c r="C454" s="140" t="s">
        <v>393</v>
      </c>
      <c r="D454" s="140" t="s">
        <v>355</v>
      </c>
      <c r="E454" s="140" t="s">
        <v>359</v>
      </c>
      <c r="F454" s="314">
        <v>7.4191976130584938E-2</v>
      </c>
      <c r="G454" s="314">
        <v>0</v>
      </c>
      <c r="H454" s="314">
        <v>0</v>
      </c>
      <c r="I454" s="314">
        <v>0</v>
      </c>
      <c r="J454" s="314">
        <v>0</v>
      </c>
    </row>
    <row r="455" spans="2:10">
      <c r="B455" s="140" t="s">
        <v>309</v>
      </c>
      <c r="C455" s="140" t="s">
        <v>393</v>
      </c>
      <c r="D455" s="140" t="s">
        <v>358</v>
      </c>
      <c r="E455" s="140" t="s">
        <v>364</v>
      </c>
      <c r="F455" s="314">
        <v>0.98828954456271867</v>
      </c>
      <c r="G455" s="314">
        <v>0</v>
      </c>
      <c r="H455" s="314">
        <v>0</v>
      </c>
      <c r="I455" s="314">
        <v>0</v>
      </c>
      <c r="J455" s="314">
        <v>0</v>
      </c>
    </row>
    <row r="456" spans="2:10">
      <c r="B456" s="140" t="s">
        <v>309</v>
      </c>
      <c r="C456" s="140" t="s">
        <v>393</v>
      </c>
      <c r="D456" s="140" t="s">
        <v>358</v>
      </c>
      <c r="E456" s="140" t="s">
        <v>638</v>
      </c>
      <c r="F456" s="314">
        <v>9.8429339322895618E-2</v>
      </c>
      <c r="G456" s="314">
        <v>0</v>
      </c>
      <c r="H456" s="314">
        <v>0</v>
      </c>
      <c r="I456" s="314">
        <v>0</v>
      </c>
      <c r="J456" s="314">
        <v>0</v>
      </c>
    </row>
    <row r="457" spans="2:10">
      <c r="B457" s="140" t="s">
        <v>309</v>
      </c>
      <c r="C457" s="140" t="s">
        <v>393</v>
      </c>
      <c r="D457" s="140" t="s">
        <v>358</v>
      </c>
      <c r="E457" s="140" t="s">
        <v>359</v>
      </c>
      <c r="F457" s="314">
        <v>5.126734981205189</v>
      </c>
      <c r="G457" s="314">
        <v>0</v>
      </c>
      <c r="H457" s="314">
        <v>0</v>
      </c>
      <c r="I457" s="314">
        <v>0</v>
      </c>
      <c r="J457" s="314">
        <v>0</v>
      </c>
    </row>
    <row r="458" spans="2:10">
      <c r="B458" s="140" t="s">
        <v>309</v>
      </c>
      <c r="C458" s="140" t="s">
        <v>393</v>
      </c>
      <c r="D458" s="140" t="s">
        <v>358</v>
      </c>
      <c r="E458" s="140" t="s">
        <v>357</v>
      </c>
      <c r="F458" s="314">
        <v>0.86443075217796361</v>
      </c>
      <c r="G458" s="314">
        <v>0</v>
      </c>
      <c r="H458" s="314">
        <v>0</v>
      </c>
      <c r="I458" s="314">
        <v>0</v>
      </c>
      <c r="J458" s="314">
        <v>0</v>
      </c>
    </row>
    <row r="459" spans="2:10">
      <c r="B459" s="140" t="s">
        <v>309</v>
      </c>
      <c r="C459" s="140" t="s">
        <v>686</v>
      </c>
      <c r="D459" s="140" t="s">
        <v>355</v>
      </c>
      <c r="E459" s="140" t="s">
        <v>356</v>
      </c>
      <c r="F459" s="314">
        <v>1.1817925960370625</v>
      </c>
      <c r="G459" s="314">
        <v>0</v>
      </c>
      <c r="H459" s="314">
        <v>0</v>
      </c>
      <c r="I459" s="314">
        <v>0</v>
      </c>
      <c r="J459" s="314">
        <v>0</v>
      </c>
    </row>
    <row r="460" spans="2:10">
      <c r="B460" s="140" t="s">
        <v>309</v>
      </c>
      <c r="C460" s="140" t="s">
        <v>686</v>
      </c>
      <c r="D460" s="140" t="s">
        <v>355</v>
      </c>
      <c r="E460" s="140" t="s">
        <v>624</v>
      </c>
      <c r="F460" s="314">
        <v>9.8098131844339253E-3</v>
      </c>
      <c r="G460" s="314">
        <v>0</v>
      </c>
      <c r="H460" s="314">
        <v>0</v>
      </c>
      <c r="I460" s="314">
        <v>0</v>
      </c>
      <c r="J460" s="314">
        <v>0</v>
      </c>
    </row>
    <row r="461" spans="2:10">
      <c r="B461" s="140" t="s">
        <v>309</v>
      </c>
      <c r="C461" s="140" t="s">
        <v>686</v>
      </c>
      <c r="D461" s="140" t="s">
        <v>358</v>
      </c>
      <c r="E461" s="140" t="s">
        <v>364</v>
      </c>
      <c r="F461" s="314">
        <v>0.6613455789306999</v>
      </c>
      <c r="G461" s="314">
        <v>0</v>
      </c>
      <c r="H461" s="314">
        <v>0</v>
      </c>
      <c r="I461" s="314">
        <v>0</v>
      </c>
      <c r="J461" s="314">
        <v>0</v>
      </c>
    </row>
    <row r="462" spans="2:10">
      <c r="B462" s="140" t="s">
        <v>309</v>
      </c>
      <c r="C462" s="140" t="s">
        <v>686</v>
      </c>
      <c r="D462" s="140" t="s">
        <v>358</v>
      </c>
      <c r="E462" s="140" t="s">
        <v>624</v>
      </c>
      <c r="F462" s="314">
        <v>8.8877790539849344E-2</v>
      </c>
      <c r="G462" s="314">
        <v>0</v>
      </c>
      <c r="H462" s="314">
        <v>0</v>
      </c>
      <c r="I462" s="314">
        <v>0</v>
      </c>
      <c r="J462" s="314">
        <v>0</v>
      </c>
    </row>
    <row r="463" spans="2:10">
      <c r="B463" s="140" t="s">
        <v>309</v>
      </c>
      <c r="C463" s="140" t="s">
        <v>686</v>
      </c>
      <c r="D463" s="140" t="s">
        <v>358</v>
      </c>
      <c r="E463" s="140" t="s">
        <v>638</v>
      </c>
      <c r="F463" s="314">
        <v>0.15107145875463523</v>
      </c>
      <c r="G463" s="314">
        <v>0</v>
      </c>
      <c r="H463" s="314">
        <v>0</v>
      </c>
      <c r="I463" s="314">
        <v>0</v>
      </c>
      <c r="J463" s="314">
        <v>0</v>
      </c>
    </row>
    <row r="464" spans="2:10">
      <c r="B464" s="140" t="s">
        <v>309</v>
      </c>
      <c r="C464" s="140" t="s">
        <v>686</v>
      </c>
      <c r="D464" s="140" t="s">
        <v>358</v>
      </c>
      <c r="E464" s="140" t="s">
        <v>359</v>
      </c>
      <c r="F464" s="314">
        <v>7.3442820801389965</v>
      </c>
      <c r="G464" s="314">
        <v>0</v>
      </c>
      <c r="H464" s="314">
        <v>0</v>
      </c>
      <c r="I464" s="314">
        <v>0</v>
      </c>
      <c r="J464" s="314">
        <v>0</v>
      </c>
    </row>
    <row r="465" spans="2:10">
      <c r="B465" s="140" t="s">
        <v>309</v>
      </c>
      <c r="C465" s="140" t="s">
        <v>686</v>
      </c>
      <c r="D465" s="140" t="s">
        <v>358</v>
      </c>
      <c r="E465" s="140" t="s">
        <v>357</v>
      </c>
      <c r="F465" s="314">
        <v>3.2541359995427198E-2</v>
      </c>
      <c r="G465" s="314">
        <v>0</v>
      </c>
      <c r="H465" s="314">
        <v>0</v>
      </c>
      <c r="I465" s="314">
        <v>0</v>
      </c>
      <c r="J465" s="314">
        <v>0</v>
      </c>
    </row>
    <row r="466" spans="2:10">
      <c r="B466" s="140" t="s">
        <v>309</v>
      </c>
      <c r="C466" s="140" t="s">
        <v>687</v>
      </c>
      <c r="D466" s="140" t="s">
        <v>355</v>
      </c>
      <c r="E466" s="140" t="s">
        <v>356</v>
      </c>
      <c r="F466" s="314">
        <v>1.1909869980670422</v>
      </c>
      <c r="G466" s="314">
        <v>0</v>
      </c>
      <c r="H466" s="314">
        <v>0</v>
      </c>
      <c r="I466" s="314">
        <v>0</v>
      </c>
      <c r="J466" s="314">
        <v>0</v>
      </c>
    </row>
    <row r="467" spans="2:10">
      <c r="B467" s="140" t="s">
        <v>309</v>
      </c>
      <c r="C467" s="140" t="s">
        <v>687</v>
      </c>
      <c r="D467" s="140" t="s">
        <v>358</v>
      </c>
      <c r="E467" s="140" t="s">
        <v>364</v>
      </c>
      <c r="F467" s="314">
        <v>6.4413577061715032E-3</v>
      </c>
      <c r="G467" s="314">
        <v>0</v>
      </c>
      <c r="H467" s="314">
        <v>0</v>
      </c>
      <c r="I467" s="314">
        <v>0</v>
      </c>
      <c r="J467" s="314">
        <v>0</v>
      </c>
    </row>
    <row r="468" spans="2:10">
      <c r="B468" s="140" t="s">
        <v>309</v>
      </c>
      <c r="C468" s="140" t="s">
        <v>687</v>
      </c>
      <c r="D468" s="140" t="s">
        <v>358</v>
      </c>
      <c r="E468" s="140" t="s">
        <v>359</v>
      </c>
      <c r="F468" s="314">
        <v>9.714506735682412E-3</v>
      </c>
      <c r="G468" s="314">
        <v>0</v>
      </c>
      <c r="H468" s="314">
        <v>0</v>
      </c>
      <c r="I468" s="314">
        <v>0</v>
      </c>
      <c r="J468" s="314">
        <v>0</v>
      </c>
    </row>
    <row r="469" spans="2:10">
      <c r="B469" s="140" t="s">
        <v>309</v>
      </c>
      <c r="C469" s="140" t="s">
        <v>687</v>
      </c>
      <c r="D469" s="140" t="s">
        <v>358</v>
      </c>
      <c r="E469" s="140" t="s">
        <v>357</v>
      </c>
      <c r="F469" s="314">
        <v>2.5546837772626216E-2</v>
      </c>
      <c r="G469" s="314">
        <v>0</v>
      </c>
      <c r="H469" s="314">
        <v>0</v>
      </c>
      <c r="I469" s="314">
        <v>0</v>
      </c>
      <c r="J469" s="314">
        <v>0</v>
      </c>
    </row>
    <row r="470" spans="2:10">
      <c r="B470" s="140" t="s">
        <v>309</v>
      </c>
      <c r="C470" s="140" t="s">
        <v>688</v>
      </c>
      <c r="D470" s="140" t="s">
        <v>355</v>
      </c>
      <c r="E470" s="140" t="s">
        <v>356</v>
      </c>
      <c r="F470" s="314">
        <v>1.1702240526637704</v>
      </c>
      <c r="G470" s="314">
        <v>0</v>
      </c>
      <c r="H470" s="314">
        <v>0</v>
      </c>
      <c r="I470" s="314">
        <v>0</v>
      </c>
      <c r="J470" s="314">
        <v>0</v>
      </c>
    </row>
    <row r="471" spans="2:10">
      <c r="B471" s="140" t="s">
        <v>309</v>
      </c>
      <c r="C471" s="140" t="s">
        <v>688</v>
      </c>
      <c r="D471" s="140" t="s">
        <v>358</v>
      </c>
      <c r="E471" s="140" t="s">
        <v>624</v>
      </c>
      <c r="F471" s="314">
        <v>8.3928588197019552E-3</v>
      </c>
      <c r="G471" s="314">
        <v>0</v>
      </c>
      <c r="H471" s="314">
        <v>0</v>
      </c>
      <c r="I471" s="314">
        <v>0</v>
      </c>
      <c r="J471" s="314">
        <v>0</v>
      </c>
    </row>
    <row r="472" spans="2:10">
      <c r="B472" s="140" t="s">
        <v>309</v>
      </c>
      <c r="C472" s="140" t="s">
        <v>688</v>
      </c>
      <c r="D472" s="140" t="s">
        <v>358</v>
      </c>
      <c r="E472" s="140" t="s">
        <v>359</v>
      </c>
      <c r="F472" s="314">
        <v>1.2581489042946876E-2</v>
      </c>
      <c r="G472" s="314">
        <v>0</v>
      </c>
      <c r="H472" s="314">
        <v>0</v>
      </c>
      <c r="I472" s="314">
        <v>0</v>
      </c>
      <c r="J472" s="314">
        <v>0</v>
      </c>
    </row>
    <row r="473" spans="2:10">
      <c r="B473" s="140" t="s">
        <v>309</v>
      </c>
      <c r="C473" s="140" t="s">
        <v>689</v>
      </c>
      <c r="D473" s="140" t="s">
        <v>355</v>
      </c>
      <c r="E473" s="140" t="s">
        <v>356</v>
      </c>
      <c r="F473" s="314">
        <v>9.3383754415420316E-3</v>
      </c>
      <c r="G473" s="314">
        <v>0</v>
      </c>
      <c r="H473" s="314">
        <v>0</v>
      </c>
      <c r="I473" s="314">
        <v>0</v>
      </c>
      <c r="J473" s="314">
        <v>0</v>
      </c>
    </row>
    <row r="474" spans="2:10">
      <c r="B474" s="140" t="s">
        <v>309</v>
      </c>
      <c r="C474" s="140" t="s">
        <v>689</v>
      </c>
      <c r="D474" s="140" t="s">
        <v>358</v>
      </c>
      <c r="E474" s="140" t="s">
        <v>364</v>
      </c>
      <c r="F474" s="314">
        <v>8.9719660782613909E-4</v>
      </c>
      <c r="G474" s="314">
        <v>0</v>
      </c>
      <c r="H474" s="314">
        <v>0</v>
      </c>
      <c r="I474" s="314">
        <v>0</v>
      </c>
      <c r="J474" s="314">
        <v>0</v>
      </c>
    </row>
    <row r="475" spans="2:10">
      <c r="B475" s="140" t="s">
        <v>309</v>
      </c>
      <c r="C475" s="140" t="s">
        <v>689</v>
      </c>
      <c r="D475" s="140" t="s">
        <v>358</v>
      </c>
      <c r="E475" s="140" t="s">
        <v>624</v>
      </c>
      <c r="F475" s="314">
        <v>3.174930277275155E-2</v>
      </c>
      <c r="G475" s="314">
        <v>0</v>
      </c>
      <c r="H475" s="314">
        <v>0</v>
      </c>
      <c r="I475" s="314">
        <v>0</v>
      </c>
      <c r="J475" s="314">
        <v>0</v>
      </c>
    </row>
    <row r="476" spans="2:10">
      <c r="B476" s="140" t="s">
        <v>309</v>
      </c>
      <c r="C476" s="140" t="s">
        <v>689</v>
      </c>
      <c r="D476" s="140" t="s">
        <v>358</v>
      </c>
      <c r="E476" s="140" t="s">
        <v>359</v>
      </c>
      <c r="F476" s="314">
        <v>9.1029129597457372E-3</v>
      </c>
      <c r="G476" s="314">
        <v>0</v>
      </c>
      <c r="H476" s="314">
        <v>0</v>
      </c>
      <c r="I476" s="314">
        <v>0</v>
      </c>
      <c r="J476" s="314">
        <v>0</v>
      </c>
    </row>
    <row r="477" spans="2:10">
      <c r="B477" s="140" t="s">
        <v>309</v>
      </c>
      <c r="C477" s="140" t="s">
        <v>690</v>
      </c>
      <c r="D477" s="140" t="s">
        <v>355</v>
      </c>
      <c r="E477" s="140" t="s">
        <v>356</v>
      </c>
      <c r="F477" s="314">
        <v>2.6964270823821983</v>
      </c>
      <c r="G477" s="314">
        <v>0</v>
      </c>
      <c r="H477" s="314">
        <v>0</v>
      </c>
      <c r="I477" s="314">
        <v>0</v>
      </c>
      <c r="J477" s="314">
        <v>0</v>
      </c>
    </row>
    <row r="478" spans="2:10">
      <c r="B478" s="140" t="s">
        <v>309</v>
      </c>
      <c r="C478" s="140" t="s">
        <v>690</v>
      </c>
      <c r="D478" s="140" t="s">
        <v>358</v>
      </c>
      <c r="E478" s="140" t="s">
        <v>359</v>
      </c>
      <c r="F478" s="314">
        <v>3.2696180001896055E-4</v>
      </c>
      <c r="G478" s="314">
        <v>0</v>
      </c>
      <c r="H478" s="314">
        <v>0</v>
      </c>
      <c r="I478" s="314">
        <v>0</v>
      </c>
      <c r="J478" s="314">
        <v>0</v>
      </c>
    </row>
    <row r="479" spans="2:10">
      <c r="B479" s="140" t="s">
        <v>309</v>
      </c>
      <c r="C479" s="140" t="s">
        <v>691</v>
      </c>
      <c r="D479" s="140" t="s">
        <v>355</v>
      </c>
      <c r="E479" s="140" t="s">
        <v>356</v>
      </c>
      <c r="F479" s="314">
        <v>5.3878564431129981</v>
      </c>
      <c r="G479" s="314">
        <v>0</v>
      </c>
      <c r="H479" s="314">
        <v>0</v>
      </c>
      <c r="I479" s="314">
        <v>0</v>
      </c>
      <c r="J479" s="314">
        <v>0</v>
      </c>
    </row>
    <row r="480" spans="2:10">
      <c r="B480" s="140" t="s">
        <v>309</v>
      </c>
      <c r="C480" s="140" t="s">
        <v>691</v>
      </c>
      <c r="D480" s="140" t="s">
        <v>358</v>
      </c>
      <c r="E480" s="140" t="s">
        <v>364</v>
      </c>
      <c r="F480" s="314">
        <v>4.1964294098509776E-3</v>
      </c>
      <c r="G480" s="314">
        <v>0</v>
      </c>
      <c r="H480" s="314">
        <v>0</v>
      </c>
      <c r="I480" s="314">
        <v>0</v>
      </c>
      <c r="J480" s="314">
        <v>0</v>
      </c>
    </row>
    <row r="481" spans="2:10">
      <c r="B481" s="140" t="s">
        <v>309</v>
      </c>
      <c r="C481" s="140" t="s">
        <v>691</v>
      </c>
      <c r="D481" s="140" t="s">
        <v>358</v>
      </c>
      <c r="E481" s="140" t="s">
        <v>359</v>
      </c>
      <c r="F481" s="314">
        <v>4.7808996107802874E-3</v>
      </c>
      <c r="G481" s="314">
        <v>0</v>
      </c>
      <c r="H481" s="314">
        <v>0</v>
      </c>
      <c r="I481" s="314">
        <v>0</v>
      </c>
      <c r="J481" s="314">
        <v>0</v>
      </c>
    </row>
    <row r="482" spans="2:10">
      <c r="B482" s="140" t="s">
        <v>309</v>
      </c>
      <c r="C482" s="140" t="s">
        <v>394</v>
      </c>
      <c r="D482" s="140" t="s">
        <v>355</v>
      </c>
      <c r="E482" s="140" t="s">
        <v>356</v>
      </c>
      <c r="F482" s="314">
        <v>-4694.9830545890145</v>
      </c>
      <c r="G482" s="314">
        <v>-9104.6526748164797</v>
      </c>
      <c r="H482" s="314">
        <v>-10862.30353295155</v>
      </c>
      <c r="I482" s="314">
        <v>-8571.4234463930061</v>
      </c>
      <c r="J482" s="314">
        <v>-12184.62988513338</v>
      </c>
    </row>
    <row r="483" spans="2:10">
      <c r="B483" s="140" t="s">
        <v>309</v>
      </c>
      <c r="C483" s="140" t="s">
        <v>394</v>
      </c>
      <c r="D483" s="140" t="s">
        <v>358</v>
      </c>
      <c r="E483" s="140" t="s">
        <v>364</v>
      </c>
      <c r="F483" s="314">
        <v>2.0388996577851763</v>
      </c>
      <c r="G483" s="314">
        <v>0</v>
      </c>
      <c r="H483" s="314">
        <v>0</v>
      </c>
      <c r="I483" s="314">
        <v>0</v>
      </c>
      <c r="J483" s="314">
        <v>0</v>
      </c>
    </row>
    <row r="484" spans="2:10">
      <c r="B484" s="140" t="s">
        <v>309</v>
      </c>
      <c r="C484" s="140" t="s">
        <v>394</v>
      </c>
      <c r="D484" s="140" t="s">
        <v>358</v>
      </c>
      <c r="E484" s="140" t="s">
        <v>624</v>
      </c>
      <c r="F484" s="314">
        <v>0.57705565892344179</v>
      </c>
      <c r="G484" s="314">
        <v>0</v>
      </c>
      <c r="H484" s="314">
        <v>0</v>
      </c>
      <c r="I484" s="314">
        <v>0</v>
      </c>
      <c r="J484" s="314">
        <v>0</v>
      </c>
    </row>
    <row r="485" spans="2:10">
      <c r="B485" s="140" t="s">
        <v>309</v>
      </c>
      <c r="C485" s="140" t="s">
        <v>394</v>
      </c>
      <c r="D485" s="140" t="s">
        <v>358</v>
      </c>
      <c r="E485" s="140" t="s">
        <v>638</v>
      </c>
      <c r="F485" s="314">
        <v>1.2891230646359549E-2</v>
      </c>
      <c r="G485" s="314">
        <v>0</v>
      </c>
      <c r="H485" s="314">
        <v>0</v>
      </c>
      <c r="I485" s="314">
        <v>0</v>
      </c>
      <c r="J485" s="314">
        <v>0</v>
      </c>
    </row>
    <row r="486" spans="2:10">
      <c r="B486" s="140" t="s">
        <v>309</v>
      </c>
      <c r="C486" s="140" t="s">
        <v>394</v>
      </c>
      <c r="D486" s="140" t="s">
        <v>358</v>
      </c>
      <c r="E486" s="140" t="s">
        <v>359</v>
      </c>
      <c r="F486" s="314">
        <v>0.41873786370880794</v>
      </c>
      <c r="G486" s="314">
        <v>0</v>
      </c>
      <c r="H486" s="314">
        <v>0</v>
      </c>
      <c r="I486" s="314">
        <v>0</v>
      </c>
      <c r="J486" s="314">
        <v>0</v>
      </c>
    </row>
    <row r="487" spans="2:10">
      <c r="B487" s="140" t="s">
        <v>309</v>
      </c>
      <c r="C487" s="140" t="s">
        <v>394</v>
      </c>
      <c r="D487" s="140" t="s">
        <v>358</v>
      </c>
      <c r="E487" s="140" t="s">
        <v>357</v>
      </c>
      <c r="F487" s="314">
        <v>1.3598615250525556</v>
      </c>
      <c r="G487" s="314">
        <v>0</v>
      </c>
      <c r="H487" s="314">
        <v>0</v>
      </c>
      <c r="I487" s="314">
        <v>0</v>
      </c>
      <c r="J487" s="314">
        <v>0</v>
      </c>
    </row>
    <row r="488" spans="2:10">
      <c r="B488" s="140" t="s">
        <v>309</v>
      </c>
      <c r="C488" s="140" t="s">
        <v>394</v>
      </c>
      <c r="D488" s="140" t="s">
        <v>358</v>
      </c>
      <c r="E488" s="140" t="s">
        <v>440</v>
      </c>
      <c r="F488" s="314">
        <v>0.83013755454698634</v>
      </c>
      <c r="G488" s="314">
        <v>0</v>
      </c>
      <c r="H488" s="314">
        <v>0</v>
      </c>
      <c r="I488" s="314">
        <v>0</v>
      </c>
      <c r="J488" s="314">
        <v>0</v>
      </c>
    </row>
    <row r="489" spans="2:10">
      <c r="B489" s="140" t="s">
        <v>309</v>
      </c>
      <c r="C489" s="140" t="s">
        <v>395</v>
      </c>
      <c r="D489" s="140" t="s">
        <v>355</v>
      </c>
      <c r="E489" s="140" t="s">
        <v>356</v>
      </c>
      <c r="F489" s="314">
        <v>-7197.6739112617197</v>
      </c>
      <c r="G489" s="314">
        <v>-11122.672582750785</v>
      </c>
      <c r="H489" s="314">
        <v>-13270.165258712503</v>
      </c>
      <c r="I489" s="314">
        <v>-10463.947235578202</v>
      </c>
      <c r="J489" s="314">
        <v>-14864.587264237118</v>
      </c>
    </row>
    <row r="490" spans="2:10">
      <c r="B490" s="140" t="s">
        <v>309</v>
      </c>
      <c r="C490" s="140" t="s">
        <v>395</v>
      </c>
      <c r="D490" s="140" t="s">
        <v>358</v>
      </c>
      <c r="E490" s="140" t="s">
        <v>364</v>
      </c>
      <c r="F490" s="314">
        <v>1.3615575702191727</v>
      </c>
      <c r="G490" s="314">
        <v>0</v>
      </c>
      <c r="H490" s="314">
        <v>0</v>
      </c>
      <c r="I490" s="314">
        <v>0</v>
      </c>
      <c r="J490" s="314">
        <v>0</v>
      </c>
    </row>
    <row r="491" spans="2:10">
      <c r="B491" s="140" t="s">
        <v>309</v>
      </c>
      <c r="C491" s="140" t="s">
        <v>395</v>
      </c>
      <c r="D491" s="140" t="s">
        <v>358</v>
      </c>
      <c r="E491" s="140" t="s">
        <v>624</v>
      </c>
      <c r="F491" s="314">
        <v>0.74235343801240561</v>
      </c>
      <c r="G491" s="314">
        <v>0</v>
      </c>
      <c r="H491" s="314">
        <v>0</v>
      </c>
      <c r="I491" s="314">
        <v>0</v>
      </c>
      <c r="J491" s="314">
        <v>0</v>
      </c>
    </row>
    <row r="492" spans="2:10">
      <c r="B492" s="140" t="s">
        <v>309</v>
      </c>
      <c r="C492" s="140" t="s">
        <v>395</v>
      </c>
      <c r="D492" s="140" t="s">
        <v>358</v>
      </c>
      <c r="E492" s="140" t="s">
        <v>638</v>
      </c>
      <c r="F492" s="314">
        <v>1.2766513748533635E-2</v>
      </c>
      <c r="G492" s="314">
        <v>0</v>
      </c>
      <c r="H492" s="314">
        <v>0</v>
      </c>
      <c r="I492" s="314">
        <v>0</v>
      </c>
      <c r="J492" s="314">
        <v>0</v>
      </c>
    </row>
    <row r="493" spans="2:10">
      <c r="B493" s="140" t="s">
        <v>309</v>
      </c>
      <c r="C493" s="140" t="s">
        <v>395</v>
      </c>
      <c r="D493" s="140" t="s">
        <v>358</v>
      </c>
      <c r="E493" s="140" t="s">
        <v>359</v>
      </c>
      <c r="F493" s="314">
        <v>0.76280768424412004</v>
      </c>
      <c r="G493" s="314">
        <v>0</v>
      </c>
      <c r="H493" s="314">
        <v>0</v>
      </c>
      <c r="I493" s="314">
        <v>0</v>
      </c>
      <c r="J493" s="314">
        <v>0</v>
      </c>
    </row>
    <row r="494" spans="2:10">
      <c r="B494" s="140" t="s">
        <v>309</v>
      </c>
      <c r="C494" s="140" t="s">
        <v>395</v>
      </c>
      <c r="D494" s="140" t="s">
        <v>358</v>
      </c>
      <c r="E494" s="140" t="s">
        <v>357</v>
      </c>
      <c r="F494" s="314">
        <v>1.1978002889013681</v>
      </c>
      <c r="G494" s="314">
        <v>0</v>
      </c>
      <c r="H494" s="314">
        <v>0</v>
      </c>
      <c r="I494" s="314">
        <v>0</v>
      </c>
      <c r="J494" s="314">
        <v>0</v>
      </c>
    </row>
    <row r="495" spans="2:10">
      <c r="B495" s="140" t="s">
        <v>309</v>
      </c>
      <c r="C495" s="140" t="s">
        <v>395</v>
      </c>
      <c r="D495" s="140" t="s">
        <v>358</v>
      </c>
      <c r="E495" s="140" t="s">
        <v>440</v>
      </c>
      <c r="F495" s="314">
        <v>0.11966949242157937</v>
      </c>
      <c r="G495" s="314">
        <v>0</v>
      </c>
      <c r="H495" s="314">
        <v>0</v>
      </c>
      <c r="I495" s="314">
        <v>0</v>
      </c>
      <c r="J495" s="314">
        <v>0</v>
      </c>
    </row>
    <row r="496" spans="2:10">
      <c r="B496" s="140" t="s">
        <v>309</v>
      </c>
      <c r="C496" s="140" t="s">
        <v>395</v>
      </c>
      <c r="D496" s="140" t="s">
        <v>692</v>
      </c>
      <c r="E496" s="140" t="s">
        <v>693</v>
      </c>
      <c r="F496" s="314">
        <v>2.0338448063209169</v>
      </c>
      <c r="G496" s="314">
        <v>0</v>
      </c>
      <c r="H496" s="314">
        <v>0</v>
      </c>
      <c r="I496" s="314">
        <v>0</v>
      </c>
      <c r="J496" s="314">
        <v>0</v>
      </c>
    </row>
    <row r="497" spans="2:10">
      <c r="B497" s="140" t="s">
        <v>309</v>
      </c>
      <c r="C497" s="140" t="s">
        <v>396</v>
      </c>
      <c r="D497" s="140" t="s">
        <v>355</v>
      </c>
      <c r="E497" s="140" t="s">
        <v>356</v>
      </c>
      <c r="F497" s="314">
        <v>-14603.543251879388</v>
      </c>
      <c r="G497" s="314">
        <v>-26836.947943110601</v>
      </c>
      <c r="H497" s="314">
        <v>-32025.875891592121</v>
      </c>
      <c r="I497" s="314">
        <v>-25258.126577222836</v>
      </c>
      <c r="J497" s="314">
        <v>-35887.026539435319</v>
      </c>
    </row>
    <row r="498" spans="2:10">
      <c r="B498" s="140" t="s">
        <v>309</v>
      </c>
      <c r="C498" s="140" t="s">
        <v>396</v>
      </c>
      <c r="D498" s="140" t="s">
        <v>358</v>
      </c>
      <c r="E498" s="140" t="s">
        <v>364</v>
      </c>
      <c r="F498" s="314">
        <v>4.542472794932972</v>
      </c>
      <c r="G498" s="314">
        <v>0</v>
      </c>
      <c r="H498" s="314">
        <v>0</v>
      </c>
      <c r="I498" s="314">
        <v>0</v>
      </c>
      <c r="J498" s="314">
        <v>0</v>
      </c>
    </row>
    <row r="499" spans="2:10">
      <c r="B499" s="140" t="s">
        <v>309</v>
      </c>
      <c r="C499" s="140" t="s">
        <v>396</v>
      </c>
      <c r="D499" s="140" t="s">
        <v>358</v>
      </c>
      <c r="E499" s="140" t="s">
        <v>624</v>
      </c>
      <c r="F499" s="314">
        <v>0.53709967802004133</v>
      </c>
      <c r="G499" s="314">
        <v>0</v>
      </c>
      <c r="H499" s="314">
        <v>0</v>
      </c>
      <c r="I499" s="314">
        <v>0</v>
      </c>
      <c r="J499" s="314">
        <v>0</v>
      </c>
    </row>
    <row r="500" spans="2:10">
      <c r="B500" s="140" t="s">
        <v>309</v>
      </c>
      <c r="C500" s="140" t="s">
        <v>396</v>
      </c>
      <c r="D500" s="140" t="s">
        <v>358</v>
      </c>
      <c r="E500" s="140" t="s">
        <v>638</v>
      </c>
      <c r="F500" s="314">
        <v>0.66665706556848792</v>
      </c>
      <c r="G500" s="314">
        <v>0</v>
      </c>
      <c r="H500" s="314">
        <v>0</v>
      </c>
      <c r="I500" s="314">
        <v>0</v>
      </c>
      <c r="J500" s="314">
        <v>0</v>
      </c>
    </row>
    <row r="501" spans="2:10">
      <c r="B501" s="140" t="s">
        <v>309</v>
      </c>
      <c r="C501" s="140" t="s">
        <v>396</v>
      </c>
      <c r="D501" s="140" t="s">
        <v>358</v>
      </c>
      <c r="E501" s="140" t="s">
        <v>359</v>
      </c>
      <c r="F501" s="314">
        <v>5.4583642017105953</v>
      </c>
      <c r="G501" s="314">
        <v>0</v>
      </c>
      <c r="H501" s="314">
        <v>0</v>
      </c>
      <c r="I501" s="314">
        <v>0</v>
      </c>
      <c r="J501" s="314">
        <v>0</v>
      </c>
    </row>
    <row r="502" spans="2:10">
      <c r="B502" s="140" t="s">
        <v>309</v>
      </c>
      <c r="C502" s="140" t="s">
        <v>396</v>
      </c>
      <c r="D502" s="140" t="s">
        <v>358</v>
      </c>
      <c r="E502" s="140" t="s">
        <v>357</v>
      </c>
      <c r="F502" s="314">
        <v>2.2201510484150435</v>
      </c>
      <c r="G502" s="314">
        <v>0</v>
      </c>
      <c r="H502" s="314">
        <v>0</v>
      </c>
      <c r="I502" s="314">
        <v>0</v>
      </c>
      <c r="J502" s="314">
        <v>0</v>
      </c>
    </row>
    <row r="503" spans="2:10">
      <c r="B503" s="140" t="s">
        <v>309</v>
      </c>
      <c r="C503" s="140" t="s">
        <v>396</v>
      </c>
      <c r="D503" s="140" t="s">
        <v>358</v>
      </c>
      <c r="E503" s="140" t="s">
        <v>440</v>
      </c>
      <c r="F503" s="314">
        <v>1.6992018703485441</v>
      </c>
      <c r="G503" s="314">
        <v>0</v>
      </c>
      <c r="H503" s="314">
        <v>0</v>
      </c>
      <c r="I503" s="314">
        <v>0</v>
      </c>
      <c r="J503" s="314">
        <v>0</v>
      </c>
    </row>
    <row r="504" spans="2:10">
      <c r="B504" s="140" t="s">
        <v>309</v>
      </c>
      <c r="C504" s="140" t="s">
        <v>694</v>
      </c>
      <c r="D504" s="140" t="s">
        <v>355</v>
      </c>
      <c r="E504" s="140" t="s">
        <v>356</v>
      </c>
      <c r="F504" s="314">
        <v>20.848866671514603</v>
      </c>
      <c r="G504" s="314">
        <v>0</v>
      </c>
      <c r="H504" s="314">
        <v>0</v>
      </c>
      <c r="I504" s="314">
        <v>0</v>
      </c>
      <c r="J504" s="314">
        <v>0</v>
      </c>
    </row>
    <row r="505" spans="2:10">
      <c r="B505" s="140" t="s">
        <v>309</v>
      </c>
      <c r="C505" s="140" t="s">
        <v>694</v>
      </c>
      <c r="D505" s="140" t="s">
        <v>358</v>
      </c>
      <c r="E505" s="140" t="s">
        <v>364</v>
      </c>
      <c r="F505" s="314">
        <v>7.8334588619211627E-3</v>
      </c>
      <c r="G505" s="314">
        <v>0</v>
      </c>
      <c r="H505" s="314">
        <v>0</v>
      </c>
      <c r="I505" s="314">
        <v>0</v>
      </c>
      <c r="J505" s="314">
        <v>0</v>
      </c>
    </row>
    <row r="506" spans="2:10">
      <c r="B506" s="140" t="s">
        <v>309</v>
      </c>
      <c r="C506" s="140" t="s">
        <v>694</v>
      </c>
      <c r="D506" s="140" t="s">
        <v>358</v>
      </c>
      <c r="E506" s="140" t="s">
        <v>359</v>
      </c>
      <c r="F506" s="314">
        <v>1.0693618239066596</v>
      </c>
      <c r="G506" s="314">
        <v>0</v>
      </c>
      <c r="H506" s="314">
        <v>0</v>
      </c>
      <c r="I506" s="314">
        <v>0</v>
      </c>
      <c r="J506" s="314">
        <v>0</v>
      </c>
    </row>
    <row r="507" spans="2:10">
      <c r="B507" s="140" t="s">
        <v>309</v>
      </c>
      <c r="C507" s="140" t="s">
        <v>694</v>
      </c>
      <c r="D507" s="140" t="s">
        <v>358</v>
      </c>
      <c r="E507" s="140" t="s">
        <v>357</v>
      </c>
      <c r="F507" s="314">
        <v>1.9838682908049295E-2</v>
      </c>
      <c r="G507" s="314">
        <v>0</v>
      </c>
      <c r="H507" s="314">
        <v>0</v>
      </c>
      <c r="I507" s="314">
        <v>0</v>
      </c>
      <c r="J507" s="314">
        <v>0</v>
      </c>
    </row>
    <row r="508" spans="2:10">
      <c r="B508" s="140" t="s">
        <v>309</v>
      </c>
      <c r="C508" s="140" t="s">
        <v>694</v>
      </c>
      <c r="D508" s="140" t="s">
        <v>358</v>
      </c>
      <c r="E508" s="140" t="s">
        <v>440</v>
      </c>
      <c r="F508" s="314">
        <v>8.9146548423211427E-3</v>
      </c>
      <c r="G508" s="314">
        <v>0</v>
      </c>
      <c r="H508" s="314">
        <v>0</v>
      </c>
      <c r="I508" s="314">
        <v>0</v>
      </c>
      <c r="J508" s="314">
        <v>0</v>
      </c>
    </row>
    <row r="509" spans="2:10">
      <c r="B509" s="140" t="s">
        <v>309</v>
      </c>
      <c r="C509" s="140" t="s">
        <v>695</v>
      </c>
      <c r="D509" s="140" t="s">
        <v>355</v>
      </c>
      <c r="E509" s="140" t="s">
        <v>356</v>
      </c>
      <c r="F509" s="314">
        <v>10.870994722917949</v>
      </c>
      <c r="G509" s="314">
        <v>0</v>
      </c>
      <c r="H509" s="314">
        <v>0</v>
      </c>
      <c r="I509" s="314">
        <v>0</v>
      </c>
      <c r="J509" s="314">
        <v>0</v>
      </c>
    </row>
    <row r="510" spans="2:10">
      <c r="B510" s="140" t="s">
        <v>309</v>
      </c>
      <c r="C510" s="140" t="s">
        <v>695</v>
      </c>
      <c r="D510" s="140" t="s">
        <v>358</v>
      </c>
      <c r="E510" s="140" t="s">
        <v>364</v>
      </c>
      <c r="F510" s="314">
        <v>2.5242877168363261E-2</v>
      </c>
      <c r="G510" s="314">
        <v>0</v>
      </c>
      <c r="H510" s="314">
        <v>0</v>
      </c>
      <c r="I510" s="314">
        <v>0</v>
      </c>
      <c r="J510" s="314">
        <v>0</v>
      </c>
    </row>
    <row r="511" spans="2:10">
      <c r="B511" s="140" t="s">
        <v>309</v>
      </c>
      <c r="C511" s="140" t="s">
        <v>695</v>
      </c>
      <c r="D511" s="140" t="s">
        <v>358</v>
      </c>
      <c r="E511" s="140" t="s">
        <v>638</v>
      </c>
      <c r="F511" s="314">
        <v>6.9342035503678224E-3</v>
      </c>
      <c r="G511" s="314">
        <v>0</v>
      </c>
      <c r="H511" s="314">
        <v>0</v>
      </c>
      <c r="I511" s="314">
        <v>0</v>
      </c>
      <c r="J511" s="314">
        <v>0</v>
      </c>
    </row>
    <row r="512" spans="2:10">
      <c r="B512" s="140" t="s">
        <v>309</v>
      </c>
      <c r="C512" s="140" t="s">
        <v>695</v>
      </c>
      <c r="D512" s="140" t="s">
        <v>358</v>
      </c>
      <c r="E512" s="140" t="s">
        <v>359</v>
      </c>
      <c r="F512" s="314">
        <v>9.0361145452742591</v>
      </c>
      <c r="G512" s="314">
        <v>0</v>
      </c>
      <c r="H512" s="314">
        <v>0</v>
      </c>
      <c r="I512" s="314">
        <v>0</v>
      </c>
      <c r="J512" s="314">
        <v>0</v>
      </c>
    </row>
    <row r="513" spans="2:10">
      <c r="B513" s="140" t="s">
        <v>309</v>
      </c>
      <c r="C513" s="140" t="s">
        <v>695</v>
      </c>
      <c r="D513" s="140" t="s">
        <v>358</v>
      </c>
      <c r="E513" s="140" t="s">
        <v>357</v>
      </c>
      <c r="F513" s="314">
        <v>6.1579454798806514E-3</v>
      </c>
      <c r="G513" s="314">
        <v>0</v>
      </c>
      <c r="H513" s="314">
        <v>0</v>
      </c>
      <c r="I513" s="314">
        <v>0</v>
      </c>
      <c r="J513" s="314">
        <v>0</v>
      </c>
    </row>
    <row r="514" spans="2:10">
      <c r="B514" s="140" t="s">
        <v>309</v>
      </c>
      <c r="C514" s="140" t="s">
        <v>696</v>
      </c>
      <c r="D514" s="140" t="s">
        <v>355</v>
      </c>
      <c r="E514" s="140" t="s">
        <v>356</v>
      </c>
      <c r="F514" s="314">
        <v>8.1869353414779678</v>
      </c>
      <c r="G514" s="314">
        <v>0</v>
      </c>
      <c r="H514" s="314">
        <v>0</v>
      </c>
      <c r="I514" s="314">
        <v>0</v>
      </c>
      <c r="J514" s="314">
        <v>0</v>
      </c>
    </row>
    <row r="515" spans="2:10">
      <c r="B515" s="140" t="s">
        <v>309</v>
      </c>
      <c r="C515" s="140" t="s">
        <v>696</v>
      </c>
      <c r="D515" s="140" t="s">
        <v>358</v>
      </c>
      <c r="E515" s="140" t="s">
        <v>364</v>
      </c>
      <c r="F515" s="314">
        <v>0.94087835450533197</v>
      </c>
      <c r="G515" s="314">
        <v>0</v>
      </c>
      <c r="H515" s="314">
        <v>0</v>
      </c>
      <c r="I515" s="314">
        <v>0</v>
      </c>
      <c r="J515" s="314">
        <v>0</v>
      </c>
    </row>
    <row r="516" spans="2:10">
      <c r="B516" s="140" t="s">
        <v>309</v>
      </c>
      <c r="C516" s="140" t="s">
        <v>696</v>
      </c>
      <c r="D516" s="140" t="s">
        <v>358</v>
      </c>
      <c r="E516" s="140" t="s">
        <v>359</v>
      </c>
      <c r="F516" s="314">
        <v>9.6243216437174262</v>
      </c>
      <c r="G516" s="314">
        <v>0</v>
      </c>
      <c r="H516" s="314">
        <v>0</v>
      </c>
      <c r="I516" s="314">
        <v>0</v>
      </c>
      <c r="J516" s="314">
        <v>0</v>
      </c>
    </row>
    <row r="517" spans="2:10">
      <c r="B517" s="140" t="s">
        <v>309</v>
      </c>
      <c r="C517" s="140" t="s">
        <v>696</v>
      </c>
      <c r="D517" s="140" t="s">
        <v>358</v>
      </c>
      <c r="E517" s="140" t="s">
        <v>357</v>
      </c>
      <c r="F517" s="314">
        <v>0.59856167003848104</v>
      </c>
      <c r="G517" s="314">
        <v>0</v>
      </c>
      <c r="H517" s="314">
        <v>0</v>
      </c>
      <c r="I517" s="314">
        <v>0</v>
      </c>
      <c r="J517" s="314">
        <v>0</v>
      </c>
    </row>
    <row r="518" spans="2:10">
      <c r="B518" s="140" t="s">
        <v>309</v>
      </c>
      <c r="C518" s="140" t="s">
        <v>697</v>
      </c>
      <c r="D518" s="140" t="s">
        <v>355</v>
      </c>
      <c r="E518" s="140" t="s">
        <v>356</v>
      </c>
      <c r="F518" s="314">
        <v>-3.4624182439070315</v>
      </c>
      <c r="G518" s="314">
        <v>0</v>
      </c>
      <c r="H518" s="314">
        <v>0</v>
      </c>
      <c r="I518" s="314">
        <v>0</v>
      </c>
      <c r="J518" s="314">
        <v>0</v>
      </c>
    </row>
    <row r="519" spans="2:10">
      <c r="B519" s="140" t="s">
        <v>309</v>
      </c>
      <c r="C519" s="140" t="s">
        <v>697</v>
      </c>
      <c r="D519" s="140" t="s">
        <v>358</v>
      </c>
      <c r="E519" s="140" t="s">
        <v>364</v>
      </c>
      <c r="F519" s="314">
        <v>1.2155795002844785</v>
      </c>
      <c r="G519" s="314">
        <v>0</v>
      </c>
      <c r="H519" s="314">
        <v>0</v>
      </c>
      <c r="I519" s="314">
        <v>0</v>
      </c>
      <c r="J519" s="314">
        <v>0</v>
      </c>
    </row>
    <row r="520" spans="2:10">
      <c r="B520" s="140" t="s">
        <v>309</v>
      </c>
      <c r="C520" s="140" t="s">
        <v>697</v>
      </c>
      <c r="D520" s="140" t="s">
        <v>358</v>
      </c>
      <c r="E520" s="140" t="s">
        <v>638</v>
      </c>
      <c r="F520" s="314">
        <v>2.095204844665291E-2</v>
      </c>
      <c r="G520" s="314">
        <v>0</v>
      </c>
      <c r="H520" s="314">
        <v>0</v>
      </c>
      <c r="I520" s="314">
        <v>0</v>
      </c>
      <c r="J520" s="314">
        <v>0</v>
      </c>
    </row>
    <row r="521" spans="2:10">
      <c r="B521" s="140" t="s">
        <v>309</v>
      </c>
      <c r="C521" s="140" t="s">
        <v>697</v>
      </c>
      <c r="D521" s="140" t="s">
        <v>358</v>
      </c>
      <c r="E521" s="140" t="s">
        <v>359</v>
      </c>
      <c r="F521" s="314">
        <v>10.217803714041343</v>
      </c>
      <c r="G521" s="314">
        <v>0</v>
      </c>
      <c r="H521" s="314">
        <v>0</v>
      </c>
      <c r="I521" s="314">
        <v>0</v>
      </c>
      <c r="J521" s="314">
        <v>0</v>
      </c>
    </row>
    <row r="522" spans="2:10">
      <c r="B522" s="140" t="s">
        <v>309</v>
      </c>
      <c r="C522" s="140" t="s">
        <v>697</v>
      </c>
      <c r="D522" s="140" t="s">
        <v>358</v>
      </c>
      <c r="E522" s="140" t="s">
        <v>357</v>
      </c>
      <c r="F522" s="314">
        <v>2.7558435281557361</v>
      </c>
      <c r="G522" s="314">
        <v>0</v>
      </c>
      <c r="H522" s="314">
        <v>0</v>
      </c>
      <c r="I522" s="314">
        <v>0</v>
      </c>
      <c r="J522" s="314">
        <v>0</v>
      </c>
    </row>
    <row r="523" spans="2:10">
      <c r="B523" s="140" t="s">
        <v>309</v>
      </c>
      <c r="C523" s="140" t="s">
        <v>698</v>
      </c>
      <c r="D523" s="140" t="s">
        <v>355</v>
      </c>
      <c r="E523" s="140" t="s">
        <v>356</v>
      </c>
      <c r="F523" s="314">
        <v>10.802862318241205</v>
      </c>
      <c r="G523" s="314">
        <v>0</v>
      </c>
      <c r="H523" s="314">
        <v>0</v>
      </c>
      <c r="I523" s="314">
        <v>0</v>
      </c>
      <c r="J523" s="314">
        <v>0</v>
      </c>
    </row>
    <row r="524" spans="2:10">
      <c r="B524" s="140" t="s">
        <v>309</v>
      </c>
      <c r="C524" s="140" t="s">
        <v>698</v>
      </c>
      <c r="D524" s="140" t="s">
        <v>358</v>
      </c>
      <c r="E524" s="140" t="s">
        <v>364</v>
      </c>
      <c r="F524" s="314">
        <v>1.8979994930176415E-2</v>
      </c>
      <c r="G524" s="314">
        <v>0</v>
      </c>
      <c r="H524" s="314">
        <v>0</v>
      </c>
      <c r="I524" s="314">
        <v>0</v>
      </c>
      <c r="J524" s="314">
        <v>0</v>
      </c>
    </row>
    <row r="525" spans="2:10">
      <c r="B525" s="140" t="s">
        <v>309</v>
      </c>
      <c r="C525" s="140" t="s">
        <v>698</v>
      </c>
      <c r="D525" s="140" t="s">
        <v>358</v>
      </c>
      <c r="E525" s="140" t="s">
        <v>624</v>
      </c>
      <c r="F525" s="314">
        <v>5.0419732794234874E-2</v>
      </c>
      <c r="G525" s="314">
        <v>0</v>
      </c>
      <c r="H525" s="314">
        <v>0</v>
      </c>
      <c r="I525" s="314">
        <v>0</v>
      </c>
      <c r="J525" s="314">
        <v>0</v>
      </c>
    </row>
    <row r="526" spans="2:10">
      <c r="B526" s="140" t="s">
        <v>309</v>
      </c>
      <c r="C526" s="140" t="s">
        <v>698</v>
      </c>
      <c r="D526" s="140" t="s">
        <v>358</v>
      </c>
      <c r="E526" s="140" t="s">
        <v>359</v>
      </c>
      <c r="F526" s="314">
        <v>8.6283037714106739E-2</v>
      </c>
      <c r="G526" s="314">
        <v>0</v>
      </c>
      <c r="H526" s="314">
        <v>0</v>
      </c>
      <c r="I526" s="314">
        <v>0</v>
      </c>
      <c r="J526" s="314">
        <v>0</v>
      </c>
    </row>
    <row r="527" spans="2:10">
      <c r="B527" s="140" t="s">
        <v>309</v>
      </c>
      <c r="C527" s="140" t="s">
        <v>698</v>
      </c>
      <c r="D527" s="140" t="s">
        <v>358</v>
      </c>
      <c r="E527" s="140" t="s">
        <v>440</v>
      </c>
      <c r="F527" s="314">
        <v>0.16581268265808274</v>
      </c>
      <c r="G527" s="314">
        <v>0</v>
      </c>
      <c r="H527" s="314">
        <v>0</v>
      </c>
      <c r="I527" s="314">
        <v>0</v>
      </c>
      <c r="J527" s="314">
        <v>0</v>
      </c>
    </row>
    <row r="528" spans="2:10">
      <c r="B528" s="140" t="s">
        <v>309</v>
      </c>
      <c r="C528" s="140" t="s">
        <v>698</v>
      </c>
      <c r="D528" s="140" t="s">
        <v>699</v>
      </c>
      <c r="E528" s="140" t="s">
        <v>700</v>
      </c>
      <c r="F528" s="314">
        <v>9.9362656913802958</v>
      </c>
      <c r="G528" s="314">
        <v>0</v>
      </c>
      <c r="H528" s="314">
        <v>0</v>
      </c>
      <c r="I528" s="314">
        <v>0</v>
      </c>
      <c r="J528" s="314">
        <v>0</v>
      </c>
    </row>
    <row r="529" spans="2:10">
      <c r="B529" s="140" t="s">
        <v>309</v>
      </c>
      <c r="C529" s="140" t="s">
        <v>701</v>
      </c>
      <c r="D529" s="140" t="s">
        <v>355</v>
      </c>
      <c r="E529" s="140" t="s">
        <v>356</v>
      </c>
      <c r="F529" s="314">
        <v>8.3102533931186245E-2</v>
      </c>
      <c r="G529" s="314">
        <v>0</v>
      </c>
      <c r="H529" s="314">
        <v>0</v>
      </c>
      <c r="I529" s="314">
        <v>0</v>
      </c>
      <c r="J529" s="314">
        <v>0</v>
      </c>
    </row>
    <row r="530" spans="2:10">
      <c r="B530" s="140" t="s">
        <v>309</v>
      </c>
      <c r="C530" s="140" t="s">
        <v>701</v>
      </c>
      <c r="D530" s="140" t="s">
        <v>358</v>
      </c>
      <c r="E530" s="140" t="s">
        <v>364</v>
      </c>
      <c r="F530" s="314">
        <v>3.2936252456153635E-2</v>
      </c>
      <c r="G530" s="314">
        <v>0</v>
      </c>
      <c r="H530" s="314">
        <v>0</v>
      </c>
      <c r="I530" s="314">
        <v>0</v>
      </c>
      <c r="J530" s="314">
        <v>0</v>
      </c>
    </row>
    <row r="531" spans="2:10">
      <c r="B531" s="140" t="s">
        <v>309</v>
      </c>
      <c r="C531" s="140" t="s">
        <v>701</v>
      </c>
      <c r="D531" s="140" t="s">
        <v>358</v>
      </c>
      <c r="E531" s="140" t="s">
        <v>624</v>
      </c>
      <c r="F531" s="314">
        <v>2.0956751070895428E-2</v>
      </c>
      <c r="G531" s="314">
        <v>0</v>
      </c>
      <c r="H531" s="314">
        <v>0</v>
      </c>
      <c r="I531" s="314">
        <v>0</v>
      </c>
      <c r="J531" s="314">
        <v>0</v>
      </c>
    </row>
    <row r="532" spans="2:10">
      <c r="B532" s="140" t="s">
        <v>309</v>
      </c>
      <c r="C532" s="140" t="s">
        <v>701</v>
      </c>
      <c r="D532" s="140" t="s">
        <v>358</v>
      </c>
      <c r="E532" s="140" t="s">
        <v>359</v>
      </c>
      <c r="F532" s="314">
        <v>2.9325501234869198</v>
      </c>
      <c r="G532" s="314">
        <v>0</v>
      </c>
      <c r="H532" s="314">
        <v>0</v>
      </c>
      <c r="I532" s="314">
        <v>0</v>
      </c>
      <c r="J532" s="314">
        <v>0</v>
      </c>
    </row>
    <row r="533" spans="2:10">
      <c r="B533" s="140" t="s">
        <v>309</v>
      </c>
      <c r="C533" s="140" t="s">
        <v>701</v>
      </c>
      <c r="D533" s="140" t="s">
        <v>358</v>
      </c>
      <c r="E533" s="140" t="s">
        <v>357</v>
      </c>
      <c r="F533" s="314">
        <v>2.5807684864437228E-2</v>
      </c>
      <c r="G533" s="314">
        <v>0</v>
      </c>
      <c r="H533" s="314">
        <v>0</v>
      </c>
      <c r="I533" s="314">
        <v>0</v>
      </c>
      <c r="J533" s="314">
        <v>0</v>
      </c>
    </row>
    <row r="534" spans="2:10">
      <c r="B534" s="140" t="s">
        <v>309</v>
      </c>
      <c r="C534" s="140" t="s">
        <v>397</v>
      </c>
      <c r="D534" s="140" t="s">
        <v>355</v>
      </c>
      <c r="E534" s="140" t="s">
        <v>356</v>
      </c>
      <c r="F534" s="314">
        <v>-50.359685886545712</v>
      </c>
      <c r="G534" s="314">
        <v>0</v>
      </c>
      <c r="H534" s="314">
        <v>0</v>
      </c>
      <c r="I534" s="314">
        <v>0</v>
      </c>
      <c r="J534" s="314">
        <v>0</v>
      </c>
    </row>
    <row r="535" spans="2:10">
      <c r="B535" s="140" t="s">
        <v>309</v>
      </c>
      <c r="C535" s="140" t="s">
        <v>397</v>
      </c>
      <c r="D535" s="140" t="s">
        <v>358</v>
      </c>
      <c r="E535" s="140" t="s">
        <v>364</v>
      </c>
      <c r="F535" s="314">
        <v>0.10427482663246314</v>
      </c>
      <c r="G535" s="314">
        <v>0</v>
      </c>
      <c r="H535" s="314">
        <v>0</v>
      </c>
      <c r="I535" s="314">
        <v>0</v>
      </c>
      <c r="J535" s="314">
        <v>0</v>
      </c>
    </row>
    <row r="536" spans="2:10">
      <c r="B536" s="140" t="s">
        <v>309</v>
      </c>
      <c r="C536" s="140" t="s">
        <v>397</v>
      </c>
      <c r="D536" s="140" t="s">
        <v>358</v>
      </c>
      <c r="E536" s="140" t="s">
        <v>624</v>
      </c>
      <c r="F536" s="314">
        <v>0.15502576534879436</v>
      </c>
      <c r="G536" s="314">
        <v>0</v>
      </c>
      <c r="H536" s="314">
        <v>0</v>
      </c>
      <c r="I536" s="314">
        <v>0</v>
      </c>
      <c r="J536" s="314">
        <v>0</v>
      </c>
    </row>
    <row r="537" spans="2:10">
      <c r="B537" s="140" t="s">
        <v>309</v>
      </c>
      <c r="C537" s="140" t="s">
        <v>397</v>
      </c>
      <c r="D537" s="140" t="s">
        <v>358</v>
      </c>
      <c r="E537" s="140" t="s">
        <v>359</v>
      </c>
      <c r="F537" s="314">
        <v>6.8060308156446562E-3</v>
      </c>
      <c r="G537" s="314">
        <v>0</v>
      </c>
      <c r="H537" s="314">
        <v>0</v>
      </c>
      <c r="I537" s="314">
        <v>0</v>
      </c>
      <c r="J537" s="314">
        <v>0</v>
      </c>
    </row>
    <row r="538" spans="2:10">
      <c r="B538" s="140" t="s">
        <v>309</v>
      </c>
      <c r="C538" s="140" t="s">
        <v>397</v>
      </c>
      <c r="D538" s="140" t="s">
        <v>358</v>
      </c>
      <c r="E538" s="140" t="s">
        <v>357</v>
      </c>
      <c r="F538" s="314">
        <v>0.13895655399681736</v>
      </c>
      <c r="G538" s="314">
        <v>0</v>
      </c>
      <c r="H538" s="314">
        <v>0</v>
      </c>
      <c r="I538" s="314">
        <v>0</v>
      </c>
      <c r="J538" s="314">
        <v>0</v>
      </c>
    </row>
    <row r="539" spans="2:10">
      <c r="B539" s="140" t="s">
        <v>309</v>
      </c>
      <c r="C539" s="140" t="s">
        <v>397</v>
      </c>
      <c r="D539" s="140" t="s">
        <v>358</v>
      </c>
      <c r="E539" s="140" t="s">
        <v>440</v>
      </c>
      <c r="F539" s="314">
        <v>9.4774095636627944E-3</v>
      </c>
      <c r="G539" s="314">
        <v>0</v>
      </c>
      <c r="H539" s="314">
        <v>0</v>
      </c>
      <c r="I539" s="314">
        <v>0</v>
      </c>
      <c r="J539" s="314">
        <v>0</v>
      </c>
    </row>
    <row r="540" spans="2:10">
      <c r="B540" s="140" t="s">
        <v>309</v>
      </c>
      <c r="C540" s="140" t="s">
        <v>398</v>
      </c>
      <c r="D540" s="140" t="s">
        <v>355</v>
      </c>
      <c r="E540" s="140" t="s">
        <v>356</v>
      </c>
      <c r="F540" s="314">
        <v>-6213.2067400764172</v>
      </c>
      <c r="G540" s="314">
        <v>0</v>
      </c>
      <c r="H540" s="314">
        <v>0</v>
      </c>
      <c r="I540" s="314">
        <v>0</v>
      </c>
      <c r="J540" s="314">
        <v>0</v>
      </c>
    </row>
    <row r="541" spans="2:10">
      <c r="B541" s="140" t="s">
        <v>309</v>
      </c>
      <c r="C541" s="140" t="s">
        <v>398</v>
      </c>
      <c r="D541" s="140" t="s">
        <v>358</v>
      </c>
      <c r="E541" s="140" t="s">
        <v>364</v>
      </c>
      <c r="F541" s="314">
        <v>0.49146761294926716</v>
      </c>
      <c r="G541" s="314">
        <v>0</v>
      </c>
      <c r="H541" s="314">
        <v>0</v>
      </c>
      <c r="I541" s="314">
        <v>0</v>
      </c>
      <c r="J541" s="314">
        <v>0</v>
      </c>
    </row>
    <row r="542" spans="2:10">
      <c r="B542" s="140" t="s">
        <v>309</v>
      </c>
      <c r="C542" s="140" t="s">
        <v>398</v>
      </c>
      <c r="D542" s="140" t="s">
        <v>358</v>
      </c>
      <c r="E542" s="140" t="s">
        <v>624</v>
      </c>
      <c r="F542" s="314">
        <v>0.78455821358629085</v>
      </c>
      <c r="G542" s="314">
        <v>0</v>
      </c>
      <c r="H542" s="314">
        <v>0</v>
      </c>
      <c r="I542" s="314">
        <v>0</v>
      </c>
      <c r="J542" s="314">
        <v>0</v>
      </c>
    </row>
    <row r="543" spans="2:10">
      <c r="B543" s="140" t="s">
        <v>309</v>
      </c>
      <c r="C543" s="140" t="s">
        <v>398</v>
      </c>
      <c r="D543" s="140" t="s">
        <v>358</v>
      </c>
      <c r="E543" s="140" t="s">
        <v>638</v>
      </c>
      <c r="F543" s="314">
        <v>8.8104689733364522E-2</v>
      </c>
      <c r="G543" s="314">
        <v>0</v>
      </c>
      <c r="H543" s="314">
        <v>0</v>
      </c>
      <c r="I543" s="314">
        <v>0</v>
      </c>
      <c r="J543" s="314">
        <v>0</v>
      </c>
    </row>
    <row r="544" spans="2:10">
      <c r="B544" s="140" t="s">
        <v>309</v>
      </c>
      <c r="C544" s="140" t="s">
        <v>398</v>
      </c>
      <c r="D544" s="140" t="s">
        <v>358</v>
      </c>
      <c r="E544" s="140" t="s">
        <v>359</v>
      </c>
      <c r="F544" s="314">
        <v>0.71604248437406848</v>
      </c>
      <c r="G544" s="314">
        <v>0</v>
      </c>
      <c r="H544" s="314">
        <v>0</v>
      </c>
      <c r="I544" s="314">
        <v>0</v>
      </c>
      <c r="J544" s="314">
        <v>0</v>
      </c>
    </row>
    <row r="545" spans="2:10">
      <c r="B545" s="140" t="s">
        <v>309</v>
      </c>
      <c r="C545" s="140" t="s">
        <v>398</v>
      </c>
      <c r="D545" s="140" t="s">
        <v>358</v>
      </c>
      <c r="E545" s="140" t="s">
        <v>357</v>
      </c>
      <c r="F545" s="314">
        <v>0.9325771844271955</v>
      </c>
      <c r="G545" s="314">
        <v>0</v>
      </c>
      <c r="H545" s="314">
        <v>0</v>
      </c>
      <c r="I545" s="314">
        <v>0</v>
      </c>
      <c r="J545" s="314">
        <v>0</v>
      </c>
    </row>
    <row r="546" spans="2:10">
      <c r="B546" s="140" t="s">
        <v>309</v>
      </c>
      <c r="C546" s="140" t="s">
        <v>398</v>
      </c>
      <c r="D546" s="140" t="s">
        <v>358</v>
      </c>
      <c r="E546" s="140" t="s">
        <v>440</v>
      </c>
      <c r="F546" s="314">
        <v>0.13636820356600385</v>
      </c>
      <c r="G546" s="314">
        <v>0</v>
      </c>
      <c r="H546" s="314">
        <v>0</v>
      </c>
      <c r="I546" s="314">
        <v>0</v>
      </c>
      <c r="J546" s="314">
        <v>0</v>
      </c>
    </row>
    <row r="547" spans="2:10">
      <c r="B547" s="140" t="s">
        <v>309</v>
      </c>
      <c r="C547" s="140" t="s">
        <v>399</v>
      </c>
      <c r="D547" s="140" t="s">
        <v>355</v>
      </c>
      <c r="E547" s="140" t="s">
        <v>356</v>
      </c>
      <c r="F547" s="314">
        <v>-856.83440061525721</v>
      </c>
      <c r="G547" s="314">
        <v>0</v>
      </c>
      <c r="H547" s="314">
        <v>0</v>
      </c>
      <c r="I547" s="314">
        <v>0</v>
      </c>
      <c r="J547" s="314">
        <v>0</v>
      </c>
    </row>
    <row r="548" spans="2:10">
      <c r="B548" s="140" t="s">
        <v>309</v>
      </c>
      <c r="C548" s="140" t="s">
        <v>399</v>
      </c>
      <c r="D548" s="140" t="s">
        <v>358</v>
      </c>
      <c r="E548" s="140" t="s">
        <v>364</v>
      </c>
      <c r="F548" s="314">
        <v>0.8886663422188793</v>
      </c>
      <c r="G548" s="314">
        <v>0</v>
      </c>
      <c r="H548" s="314">
        <v>0</v>
      </c>
      <c r="I548" s="314">
        <v>0</v>
      </c>
      <c r="J548" s="314">
        <v>0</v>
      </c>
    </row>
    <row r="549" spans="2:10">
      <c r="B549" s="140" t="s">
        <v>309</v>
      </c>
      <c r="C549" s="140" t="s">
        <v>399</v>
      </c>
      <c r="D549" s="140" t="s">
        <v>358</v>
      </c>
      <c r="E549" s="140" t="s">
        <v>624</v>
      </c>
      <c r="F549" s="314">
        <v>0.12778076232449154</v>
      </c>
      <c r="G549" s="314">
        <v>0</v>
      </c>
      <c r="H549" s="314">
        <v>0</v>
      </c>
      <c r="I549" s="314">
        <v>0</v>
      </c>
      <c r="J549" s="314">
        <v>0</v>
      </c>
    </row>
    <row r="550" spans="2:10">
      <c r="B550" s="140" t="s">
        <v>309</v>
      </c>
      <c r="C550" s="140" t="s">
        <v>399</v>
      </c>
      <c r="D550" s="140" t="s">
        <v>358</v>
      </c>
      <c r="E550" s="140" t="s">
        <v>638</v>
      </c>
      <c r="F550" s="314">
        <v>7.562761832868861E-3</v>
      </c>
      <c r="G550" s="314">
        <v>0</v>
      </c>
      <c r="H550" s="314">
        <v>0</v>
      </c>
      <c r="I550" s="314">
        <v>0</v>
      </c>
      <c r="J550" s="314">
        <v>0</v>
      </c>
    </row>
    <row r="551" spans="2:10">
      <c r="B551" s="140" t="s">
        <v>309</v>
      </c>
      <c r="C551" s="140" t="s">
        <v>399</v>
      </c>
      <c r="D551" s="140" t="s">
        <v>358</v>
      </c>
      <c r="E551" s="140" t="s">
        <v>359</v>
      </c>
      <c r="F551" s="314">
        <v>0.14563064602145595</v>
      </c>
      <c r="G551" s="314">
        <v>0</v>
      </c>
      <c r="H551" s="314">
        <v>0</v>
      </c>
      <c r="I551" s="314">
        <v>0</v>
      </c>
      <c r="J551" s="314">
        <v>0</v>
      </c>
    </row>
    <row r="552" spans="2:10">
      <c r="B552" s="140" t="s">
        <v>309</v>
      </c>
      <c r="C552" s="140" t="s">
        <v>399</v>
      </c>
      <c r="D552" s="140" t="s">
        <v>358</v>
      </c>
      <c r="E552" s="140" t="s">
        <v>357</v>
      </c>
      <c r="F552" s="314">
        <v>0.38786669025728765</v>
      </c>
      <c r="G552" s="314">
        <v>0</v>
      </c>
      <c r="H552" s="314">
        <v>0</v>
      </c>
      <c r="I552" s="314">
        <v>0</v>
      </c>
      <c r="J552" s="314">
        <v>0</v>
      </c>
    </row>
    <row r="553" spans="2:10">
      <c r="B553" s="140" t="s">
        <v>309</v>
      </c>
      <c r="C553" s="140" t="s">
        <v>702</v>
      </c>
      <c r="D553" s="140" t="s">
        <v>355</v>
      </c>
      <c r="E553" s="140" t="s">
        <v>356</v>
      </c>
      <c r="F553" s="314">
        <v>0.74211898213128857</v>
      </c>
      <c r="G553" s="314">
        <v>0</v>
      </c>
      <c r="H553" s="314">
        <v>0</v>
      </c>
      <c r="I553" s="314">
        <v>0</v>
      </c>
      <c r="J553" s="314">
        <v>0</v>
      </c>
    </row>
    <row r="554" spans="2:10">
      <c r="B554" s="140" t="s">
        <v>309</v>
      </c>
      <c r="C554" s="140" t="s">
        <v>702</v>
      </c>
      <c r="D554" s="140" t="s">
        <v>358</v>
      </c>
      <c r="E554" s="140" t="s">
        <v>364</v>
      </c>
      <c r="F554" s="314">
        <v>3.8852254803639456E-2</v>
      </c>
      <c r="G554" s="314">
        <v>0</v>
      </c>
      <c r="H554" s="314">
        <v>0</v>
      </c>
      <c r="I554" s="314">
        <v>0</v>
      </c>
      <c r="J554" s="314">
        <v>0</v>
      </c>
    </row>
    <row r="555" spans="2:10">
      <c r="B555" s="140" t="s">
        <v>309</v>
      </c>
      <c r="C555" s="140" t="s">
        <v>702</v>
      </c>
      <c r="D555" s="140" t="s">
        <v>358</v>
      </c>
      <c r="E555" s="140" t="s">
        <v>624</v>
      </c>
      <c r="F555" s="314">
        <v>0.18318623141130655</v>
      </c>
      <c r="G555" s="314">
        <v>0</v>
      </c>
      <c r="H555" s="314">
        <v>0</v>
      </c>
      <c r="I555" s="314">
        <v>0</v>
      </c>
      <c r="J555" s="314">
        <v>0</v>
      </c>
    </row>
    <row r="556" spans="2:10">
      <c r="B556" s="140" t="s">
        <v>309</v>
      </c>
      <c r="C556" s="140" t="s">
        <v>702</v>
      </c>
      <c r="D556" s="140" t="s">
        <v>358</v>
      </c>
      <c r="E556" s="140" t="s">
        <v>359</v>
      </c>
      <c r="F556" s="314">
        <v>6.1190310275962133E-2</v>
      </c>
      <c r="G556" s="314">
        <v>0</v>
      </c>
      <c r="H556" s="314">
        <v>0</v>
      </c>
      <c r="I556" s="314">
        <v>0</v>
      </c>
      <c r="J556" s="314">
        <v>0</v>
      </c>
    </row>
    <row r="557" spans="2:10">
      <c r="B557" s="140" t="s">
        <v>309</v>
      </c>
      <c r="C557" s="140" t="s">
        <v>702</v>
      </c>
      <c r="D557" s="140" t="s">
        <v>358</v>
      </c>
      <c r="E557" s="140" t="s">
        <v>357</v>
      </c>
      <c r="F557" s="314">
        <v>6.2889698302266414E-2</v>
      </c>
      <c r="G557" s="314">
        <v>0</v>
      </c>
      <c r="H557" s="314">
        <v>0</v>
      </c>
      <c r="I557" s="314">
        <v>0</v>
      </c>
      <c r="J557" s="314">
        <v>0</v>
      </c>
    </row>
    <row r="558" spans="2:10">
      <c r="B558" s="140" t="s">
        <v>309</v>
      </c>
      <c r="C558" s="140" t="s">
        <v>400</v>
      </c>
      <c r="D558" s="140" t="s">
        <v>355</v>
      </c>
      <c r="E558" s="140" t="s">
        <v>356</v>
      </c>
      <c r="F558" s="314">
        <v>-753.77521967439111</v>
      </c>
      <c r="G558" s="314">
        <v>0</v>
      </c>
      <c r="H558" s="314">
        <v>0</v>
      </c>
      <c r="I558" s="314">
        <v>0</v>
      </c>
      <c r="J558" s="314">
        <v>0</v>
      </c>
    </row>
    <row r="559" spans="2:10">
      <c r="B559" s="140" t="s">
        <v>309</v>
      </c>
      <c r="C559" s="140" t="s">
        <v>400</v>
      </c>
      <c r="D559" s="140" t="s">
        <v>358</v>
      </c>
      <c r="E559" s="140" t="s">
        <v>364</v>
      </c>
      <c r="F559" s="314">
        <v>0.16004970142374547</v>
      </c>
      <c r="G559" s="314">
        <v>0</v>
      </c>
      <c r="H559" s="314">
        <v>0</v>
      </c>
      <c r="I559" s="314">
        <v>0</v>
      </c>
      <c r="J559" s="314">
        <v>0</v>
      </c>
    </row>
    <row r="560" spans="2:10">
      <c r="B560" s="140" t="s">
        <v>309</v>
      </c>
      <c r="C560" s="140" t="s">
        <v>400</v>
      </c>
      <c r="D560" s="140" t="s">
        <v>358</v>
      </c>
      <c r="E560" s="140" t="s">
        <v>624</v>
      </c>
      <c r="F560" s="314">
        <v>4.7600658045424842E-2</v>
      </c>
      <c r="G560" s="314">
        <v>0</v>
      </c>
      <c r="H560" s="314">
        <v>0</v>
      </c>
      <c r="I560" s="314">
        <v>0</v>
      </c>
      <c r="J560" s="314">
        <v>0</v>
      </c>
    </row>
    <row r="561" spans="2:10">
      <c r="B561" s="140" t="s">
        <v>309</v>
      </c>
      <c r="C561" s="140" t="s">
        <v>400</v>
      </c>
      <c r="D561" s="140" t="s">
        <v>358</v>
      </c>
      <c r="E561" s="140" t="s">
        <v>359</v>
      </c>
      <c r="F561" s="314">
        <v>9.5947842136860279E-2</v>
      </c>
      <c r="G561" s="314">
        <v>0</v>
      </c>
      <c r="H561" s="314">
        <v>0</v>
      </c>
      <c r="I561" s="314">
        <v>0</v>
      </c>
      <c r="J561" s="314">
        <v>0</v>
      </c>
    </row>
    <row r="562" spans="2:10">
      <c r="B562" s="140" t="s">
        <v>309</v>
      </c>
      <c r="C562" s="140" t="s">
        <v>400</v>
      </c>
      <c r="D562" s="140" t="s">
        <v>358</v>
      </c>
      <c r="E562" s="140" t="s">
        <v>357</v>
      </c>
      <c r="F562" s="314">
        <v>0.28588626792477267</v>
      </c>
      <c r="G562" s="314">
        <v>0</v>
      </c>
      <c r="H562" s="314">
        <v>0</v>
      </c>
      <c r="I562" s="314">
        <v>0</v>
      </c>
      <c r="J562" s="314">
        <v>0</v>
      </c>
    </row>
    <row r="563" spans="2:10">
      <c r="B563" s="140" t="s">
        <v>309</v>
      </c>
      <c r="C563" s="140" t="s">
        <v>400</v>
      </c>
      <c r="D563" s="140" t="s">
        <v>358</v>
      </c>
      <c r="E563" s="140" t="s">
        <v>440</v>
      </c>
      <c r="F563" s="314">
        <v>2.4549112047628223E-3</v>
      </c>
      <c r="G563" s="314">
        <v>0</v>
      </c>
      <c r="H563" s="314">
        <v>0</v>
      </c>
      <c r="I563" s="314">
        <v>0</v>
      </c>
      <c r="J563" s="314">
        <v>0</v>
      </c>
    </row>
    <row r="564" spans="2:10">
      <c r="B564" s="140" t="s">
        <v>309</v>
      </c>
      <c r="C564" s="140" t="s">
        <v>401</v>
      </c>
      <c r="D564" s="140" t="s">
        <v>355</v>
      </c>
      <c r="E564" s="140" t="s">
        <v>356</v>
      </c>
      <c r="F564" s="314">
        <v>519.60376307617923</v>
      </c>
      <c r="G564" s="314">
        <v>0</v>
      </c>
      <c r="H564" s="314">
        <v>0</v>
      </c>
      <c r="I564" s="314">
        <v>0</v>
      </c>
      <c r="J564" s="314">
        <v>0</v>
      </c>
    </row>
    <row r="565" spans="2:10">
      <c r="B565" s="140" t="s">
        <v>309</v>
      </c>
      <c r="C565" s="140" t="s">
        <v>401</v>
      </c>
      <c r="D565" s="140" t="s">
        <v>358</v>
      </c>
      <c r="E565" s="140" t="s">
        <v>364</v>
      </c>
      <c r="F565" s="314">
        <v>2.0823427590049057E-2</v>
      </c>
      <c r="G565" s="314">
        <v>0</v>
      </c>
      <c r="H565" s="314">
        <v>0</v>
      </c>
      <c r="I565" s="314">
        <v>0</v>
      </c>
      <c r="J565" s="314">
        <v>0</v>
      </c>
    </row>
    <row r="566" spans="2:10">
      <c r="B566" s="140" t="s">
        <v>309</v>
      </c>
      <c r="C566" s="140" t="s">
        <v>401</v>
      </c>
      <c r="D566" s="140" t="s">
        <v>358</v>
      </c>
      <c r="E566" s="140" t="s">
        <v>359</v>
      </c>
      <c r="F566" s="314">
        <v>-4.4770036871870637E-2</v>
      </c>
      <c r="G566" s="314">
        <v>0</v>
      </c>
      <c r="H566" s="314">
        <v>0</v>
      </c>
      <c r="I566" s="314">
        <v>0</v>
      </c>
      <c r="J566" s="314">
        <v>0</v>
      </c>
    </row>
    <row r="567" spans="2:10">
      <c r="B567" s="140" t="s">
        <v>309</v>
      </c>
      <c r="C567" s="140" t="s">
        <v>401</v>
      </c>
      <c r="D567" s="140" t="s">
        <v>358</v>
      </c>
      <c r="E567" s="140" t="s">
        <v>357</v>
      </c>
      <c r="F567" s="314">
        <v>0.21631954927108576</v>
      </c>
      <c r="G567" s="314">
        <v>0</v>
      </c>
      <c r="H567" s="314">
        <v>0</v>
      </c>
      <c r="I567" s="314">
        <v>0</v>
      </c>
      <c r="J567" s="314">
        <v>0</v>
      </c>
    </row>
    <row r="568" spans="2:10">
      <c r="B568" s="140" t="s">
        <v>309</v>
      </c>
      <c r="C568" s="140" t="s">
        <v>401</v>
      </c>
      <c r="D568" s="140" t="s">
        <v>358</v>
      </c>
      <c r="E568" s="140" t="s">
        <v>440</v>
      </c>
      <c r="F568" s="314">
        <v>6.4924525611115946E-2</v>
      </c>
      <c r="G568" s="314">
        <v>0</v>
      </c>
      <c r="H568" s="314">
        <v>0</v>
      </c>
      <c r="I568" s="314">
        <v>0</v>
      </c>
      <c r="J568" s="314">
        <v>0</v>
      </c>
    </row>
    <row r="569" spans="2:10">
      <c r="B569" s="140"/>
      <c r="C569" s="140"/>
      <c r="D569" s="140"/>
      <c r="E569" s="140"/>
    </row>
    <row r="570" spans="2:10">
      <c r="B570" s="315" t="str">
        <f>B567</f>
        <v>Metering 5-6 - Network OH</v>
      </c>
      <c r="C570" s="315"/>
      <c r="D570" s="315"/>
      <c r="E570" s="315"/>
      <c r="F570" s="316">
        <f>SUM(F97:F568)</f>
        <v>-430203.63737416128</v>
      </c>
      <c r="G570" s="316">
        <f t="shared" ref="G570:J570" si="1">SUM(G97:G568)</f>
        <v>-555354.76643873507</v>
      </c>
      <c r="H570" s="316">
        <f t="shared" si="1"/>
        <v>-702475.36557088024</v>
      </c>
      <c r="I570" s="316">
        <f t="shared" si="1"/>
        <v>-576203.58316405676</v>
      </c>
      <c r="J570" s="316">
        <f t="shared" si="1"/>
        <v>-860704.67163707013</v>
      </c>
    </row>
    <row r="571" spans="2:10" s="2" customFormat="1">
      <c r="B571" s="315" t="str">
        <f>B567</f>
        <v>Metering 5-6 - Network OH</v>
      </c>
      <c r="C571" s="315" t="s">
        <v>4</v>
      </c>
      <c r="D571" s="315" t="s">
        <v>352</v>
      </c>
      <c r="E571" s="315" t="s">
        <v>3</v>
      </c>
      <c r="F571" s="316">
        <v>-430195.99176997755</v>
      </c>
      <c r="G571" s="316">
        <v>-555354.76643873507</v>
      </c>
      <c r="H571" s="316">
        <v>-702475.36557088001</v>
      </c>
      <c r="I571" s="316">
        <v>-576203.58316405676</v>
      </c>
      <c r="J571" s="316">
        <v>-860704.67163707025</v>
      </c>
    </row>
    <row r="572" spans="2:10">
      <c r="B572" s="317"/>
      <c r="C572" s="317"/>
      <c r="D572" s="317"/>
      <c r="E572" s="317"/>
      <c r="F572" s="318">
        <f>F570-F571</f>
        <v>-7.6456041837227531</v>
      </c>
      <c r="G572" s="318">
        <f>G570-G571</f>
        <v>0</v>
      </c>
      <c r="H572" s="318">
        <f>H570-H571</f>
        <v>0</v>
      </c>
      <c r="I572" s="318">
        <f>I570-I571</f>
        <v>0</v>
      </c>
      <c r="J572" s="318">
        <f>J570-J571</f>
        <v>0</v>
      </c>
    </row>
    <row r="573" spans="2:10">
      <c r="B573" s="317"/>
      <c r="C573" s="317"/>
      <c r="D573" s="317"/>
      <c r="E573" s="317"/>
      <c r="F573" s="318"/>
      <c r="G573" s="318"/>
      <c r="H573" s="318"/>
      <c r="I573" s="318"/>
      <c r="J573" s="318"/>
    </row>
    <row r="574" spans="2:10" s="7" customFormat="1">
      <c r="B574" s="203" t="s">
        <v>703</v>
      </c>
      <c r="C574" s="202"/>
      <c r="D574" s="202"/>
      <c r="E574" s="202"/>
      <c r="F574" s="313"/>
      <c r="G574" s="313"/>
      <c r="H574" s="313"/>
      <c r="I574" s="313"/>
      <c r="J574" s="313"/>
    </row>
    <row r="575" spans="2:10">
      <c r="B575" s="317"/>
      <c r="C575" s="317"/>
      <c r="D575" s="317"/>
      <c r="E575" s="317"/>
      <c r="F575" s="318"/>
      <c r="G575" s="318"/>
      <c r="H575" s="318"/>
      <c r="I575" s="318"/>
      <c r="J575" s="318"/>
    </row>
    <row r="576" spans="2:10">
      <c r="B576" s="140" t="s">
        <v>310</v>
      </c>
      <c r="C576" s="140" t="s">
        <v>402</v>
      </c>
      <c r="D576" s="140" t="s">
        <v>355</v>
      </c>
      <c r="E576" s="140" t="s">
        <v>356</v>
      </c>
      <c r="F576" s="314">
        <v>11200.296805575008</v>
      </c>
      <c r="G576" s="314">
        <v>13638.315628808617</v>
      </c>
      <c r="H576" s="314">
        <v>13999.588014621551</v>
      </c>
      <c r="I576" s="314">
        <v>14403.188282762869</v>
      </c>
      <c r="J576" s="314">
        <v>14809.728973803631</v>
      </c>
    </row>
    <row r="577" spans="2:10">
      <c r="B577" s="140" t="s">
        <v>310</v>
      </c>
      <c r="C577" s="140" t="s">
        <v>403</v>
      </c>
      <c r="D577" s="140" t="s">
        <v>355</v>
      </c>
      <c r="E577" s="140" t="s">
        <v>356</v>
      </c>
      <c r="F577" s="314">
        <v>39288.223861287712</v>
      </c>
      <c r="G577" s="314">
        <v>47815.504637293867</v>
      </c>
      <c r="H577" s="314">
        <v>49082.678720633121</v>
      </c>
      <c r="I577" s="314">
        <v>50496.440615714331</v>
      </c>
      <c r="J577" s="314">
        <v>51921.177016874048</v>
      </c>
    </row>
    <row r="578" spans="2:10">
      <c r="B578" s="140" t="s">
        <v>310</v>
      </c>
      <c r="C578" s="140" t="s">
        <v>403</v>
      </c>
      <c r="D578" s="140" t="s">
        <v>358</v>
      </c>
      <c r="E578" s="140" t="s">
        <v>364</v>
      </c>
      <c r="F578" s="314">
        <v>0</v>
      </c>
      <c r="G578" s="314">
        <v>6.7925120844818325</v>
      </c>
      <c r="H578" s="314">
        <v>6.8880036099028361</v>
      </c>
      <c r="I578" s="314">
        <v>6.9835878071596662</v>
      </c>
      <c r="J578" s="314">
        <v>7.0794912075206913</v>
      </c>
    </row>
    <row r="579" spans="2:10">
      <c r="B579" s="140" t="s">
        <v>310</v>
      </c>
      <c r="C579" s="140" t="s">
        <v>404</v>
      </c>
      <c r="D579" s="140" t="s">
        <v>355</v>
      </c>
      <c r="E579" s="140" t="s">
        <v>356</v>
      </c>
      <c r="F579" s="314">
        <v>1284829.2239148431</v>
      </c>
      <c r="G579" s="314">
        <v>167205.54795528352</v>
      </c>
      <c r="H579" s="314">
        <v>63486.490068137944</v>
      </c>
      <c r="I579" s="314">
        <v>66699.482467850452</v>
      </c>
      <c r="J579" s="314">
        <v>70083.02803887146</v>
      </c>
    </row>
    <row r="580" spans="2:10">
      <c r="B580" s="140" t="s">
        <v>310</v>
      </c>
      <c r="C580" s="140" t="s">
        <v>404</v>
      </c>
      <c r="D580" s="140" t="s">
        <v>355</v>
      </c>
      <c r="E580" s="140" t="s">
        <v>704</v>
      </c>
      <c r="F580" s="314">
        <v>426764.93624017522</v>
      </c>
      <c r="G580" s="314">
        <v>0</v>
      </c>
      <c r="H580" s="314">
        <v>0</v>
      </c>
      <c r="I580" s="314">
        <v>0</v>
      </c>
      <c r="J580" s="314">
        <v>0</v>
      </c>
    </row>
    <row r="581" spans="2:10">
      <c r="B581" s="140" t="s">
        <v>310</v>
      </c>
      <c r="C581" s="140" t="s">
        <v>405</v>
      </c>
      <c r="D581" s="140" t="s">
        <v>355</v>
      </c>
      <c r="E581" s="140" t="s">
        <v>356</v>
      </c>
      <c r="F581" s="314">
        <v>56851.871216258907</v>
      </c>
      <c r="G581" s="314">
        <v>52024.614078090628</v>
      </c>
      <c r="H581" s="314">
        <v>52727.55384841538</v>
      </c>
      <c r="I581" s="314">
        <v>55837.576716877164</v>
      </c>
      <c r="J581" s="314">
        <v>55724.876827658256</v>
      </c>
    </row>
    <row r="582" spans="2:10">
      <c r="B582" s="140" t="s">
        <v>310</v>
      </c>
      <c r="C582" s="140" t="s">
        <v>405</v>
      </c>
      <c r="D582" s="140" t="s">
        <v>358</v>
      </c>
      <c r="E582" s="140" t="s">
        <v>638</v>
      </c>
      <c r="F582" s="314">
        <v>1938.2319806981106</v>
      </c>
      <c r="G582" s="314">
        <v>0</v>
      </c>
      <c r="H582" s="314">
        <v>0</v>
      </c>
      <c r="I582" s="314">
        <v>0</v>
      </c>
      <c r="J582" s="314">
        <v>0</v>
      </c>
    </row>
    <row r="583" spans="2:10">
      <c r="B583" s="140" t="s">
        <v>310</v>
      </c>
      <c r="C583" s="140" t="s">
        <v>406</v>
      </c>
      <c r="D583" s="140" t="s">
        <v>355</v>
      </c>
      <c r="E583" s="140" t="s">
        <v>356</v>
      </c>
      <c r="F583" s="314">
        <v>61641.958545210924</v>
      </c>
      <c r="G583" s="314">
        <v>86501.684685399639</v>
      </c>
      <c r="H583" s="314">
        <v>87122.620081734087</v>
      </c>
      <c r="I583" s="314">
        <v>92524.668333372261</v>
      </c>
      <c r="J583" s="314">
        <v>91436.486750621378</v>
      </c>
    </row>
    <row r="584" spans="2:10">
      <c r="B584" s="140" t="s">
        <v>310</v>
      </c>
      <c r="C584" s="140" t="s">
        <v>407</v>
      </c>
      <c r="D584" s="140" t="s">
        <v>355</v>
      </c>
      <c r="E584" s="140" t="s">
        <v>356</v>
      </c>
      <c r="F584" s="314">
        <v>195540.16725163063</v>
      </c>
      <c r="G584" s="314">
        <v>340246.72679653409</v>
      </c>
      <c r="H584" s="314">
        <v>318959.12230288074</v>
      </c>
      <c r="I584" s="314">
        <v>342822.65404233814</v>
      </c>
      <c r="J584" s="314">
        <v>352759.64945318556</v>
      </c>
    </row>
    <row r="585" spans="2:10">
      <c r="B585" s="140" t="s">
        <v>310</v>
      </c>
      <c r="C585" s="140" t="s">
        <v>407</v>
      </c>
      <c r="D585" s="140" t="s">
        <v>358</v>
      </c>
      <c r="E585" s="140" t="s">
        <v>364</v>
      </c>
      <c r="F585" s="314">
        <v>29.606482143927739</v>
      </c>
      <c r="G585" s="314">
        <v>0</v>
      </c>
      <c r="H585" s="314">
        <v>0</v>
      </c>
      <c r="I585" s="314">
        <v>0</v>
      </c>
      <c r="J585" s="314">
        <v>0</v>
      </c>
    </row>
    <row r="586" spans="2:10">
      <c r="B586" s="140" t="s">
        <v>310</v>
      </c>
      <c r="C586" s="140" t="s">
        <v>408</v>
      </c>
      <c r="D586" s="140" t="s">
        <v>355</v>
      </c>
      <c r="E586" s="140" t="s">
        <v>356</v>
      </c>
      <c r="F586" s="314">
        <v>76859.077207161987</v>
      </c>
      <c r="G586" s="314">
        <v>99047.523136835502</v>
      </c>
      <c r="H586" s="314">
        <v>99558.722164716179</v>
      </c>
      <c r="I586" s="314">
        <v>105751.14175714149</v>
      </c>
      <c r="J586" s="314">
        <v>104203.87411527506</v>
      </c>
    </row>
    <row r="587" spans="2:10">
      <c r="B587" s="140" t="s">
        <v>310</v>
      </c>
      <c r="C587" s="140" t="s">
        <v>408</v>
      </c>
      <c r="D587" s="140" t="s">
        <v>358</v>
      </c>
      <c r="E587" s="140" t="s">
        <v>364</v>
      </c>
      <c r="F587" s="314">
        <v>0</v>
      </c>
      <c r="G587" s="314">
        <v>59.668758051797909</v>
      </c>
      <c r="H587" s="314">
        <v>60.507602452142855</v>
      </c>
      <c r="I587" s="314">
        <v>61.347260927351613</v>
      </c>
      <c r="J587" s="314">
        <v>62.189723439204968</v>
      </c>
    </row>
    <row r="588" spans="2:10">
      <c r="B588" s="140" t="s">
        <v>310</v>
      </c>
      <c r="C588" s="140" t="s">
        <v>409</v>
      </c>
      <c r="D588" s="140" t="s">
        <v>355</v>
      </c>
      <c r="E588" s="140" t="s">
        <v>356</v>
      </c>
      <c r="F588" s="314">
        <v>123760.10334762537</v>
      </c>
      <c r="G588" s="314">
        <v>181167.57333496909</v>
      </c>
      <c r="H588" s="314">
        <v>211526.21479885868</v>
      </c>
      <c r="I588" s="314">
        <v>250202.71887792123</v>
      </c>
      <c r="J588" s="314">
        <v>294827.05933087278</v>
      </c>
    </row>
    <row r="589" spans="2:10">
      <c r="B589" s="140" t="s">
        <v>310</v>
      </c>
      <c r="C589" s="140" t="s">
        <v>409</v>
      </c>
      <c r="D589" s="140" t="s">
        <v>358</v>
      </c>
      <c r="E589" s="140" t="s">
        <v>364</v>
      </c>
      <c r="F589" s="314">
        <v>7.7949632118916155</v>
      </c>
      <c r="G589" s="314">
        <v>0</v>
      </c>
      <c r="H589" s="314">
        <v>0</v>
      </c>
      <c r="I589" s="314">
        <v>0</v>
      </c>
      <c r="J589" s="314">
        <v>0</v>
      </c>
    </row>
    <row r="590" spans="2:10">
      <c r="B590" s="140" t="s">
        <v>310</v>
      </c>
      <c r="C590" s="140" t="s">
        <v>410</v>
      </c>
      <c r="D590" s="140" t="s">
        <v>355</v>
      </c>
      <c r="E590" s="140" t="s">
        <v>356</v>
      </c>
      <c r="F590" s="314">
        <v>99304.941162280302</v>
      </c>
      <c r="G590" s="314">
        <v>131008.00921178528</v>
      </c>
      <c r="H590" s="314">
        <v>134860.63673355148</v>
      </c>
      <c r="I590" s="314">
        <v>142357.85318745574</v>
      </c>
      <c r="J590" s="314">
        <v>145310.04116697604</v>
      </c>
    </row>
    <row r="591" spans="2:10">
      <c r="B591" s="140" t="s">
        <v>310</v>
      </c>
      <c r="C591" s="140" t="s">
        <v>411</v>
      </c>
      <c r="D591" s="140" t="s">
        <v>355</v>
      </c>
      <c r="E591" s="140" t="s">
        <v>356</v>
      </c>
      <c r="F591" s="314">
        <v>28109.337102821199</v>
      </c>
      <c r="G591" s="314">
        <v>39003.918559859361</v>
      </c>
      <c r="H591" s="314">
        <v>40252.040650285191</v>
      </c>
      <c r="I591" s="314">
        <v>41611.49876254463</v>
      </c>
      <c r="J591" s="314">
        <v>43003.551417414914</v>
      </c>
    </row>
    <row r="592" spans="2:10">
      <c r="B592" s="140" t="s">
        <v>310</v>
      </c>
      <c r="C592" s="140" t="s">
        <v>412</v>
      </c>
      <c r="D592" s="140" t="s">
        <v>355</v>
      </c>
      <c r="E592" s="140" t="s">
        <v>356</v>
      </c>
      <c r="F592" s="314">
        <v>74050.059900313034</v>
      </c>
      <c r="G592" s="314">
        <v>94713.013310392736</v>
      </c>
      <c r="H592" s="314">
        <v>98204.2607800072</v>
      </c>
      <c r="I592" s="314">
        <v>101957.34909748123</v>
      </c>
      <c r="J592" s="314">
        <v>105837.25526358392</v>
      </c>
    </row>
    <row r="593" spans="2:10">
      <c r="B593" s="140" t="s">
        <v>310</v>
      </c>
      <c r="C593" s="140" t="s">
        <v>413</v>
      </c>
      <c r="D593" s="140" t="s">
        <v>355</v>
      </c>
      <c r="E593" s="140" t="s">
        <v>356</v>
      </c>
      <c r="F593" s="314">
        <v>25601.678815978394</v>
      </c>
      <c r="G593" s="314">
        <v>42621.530977095994</v>
      </c>
      <c r="H593" s="314">
        <v>44217.768278004209</v>
      </c>
      <c r="I593" s="314">
        <v>45929.93277534876</v>
      </c>
      <c r="J593" s="314">
        <v>47702.254450429049</v>
      </c>
    </row>
    <row r="594" spans="2:10">
      <c r="B594" s="140" t="s">
        <v>310</v>
      </c>
      <c r="C594" s="140" t="s">
        <v>414</v>
      </c>
      <c r="D594" s="140" t="s">
        <v>355</v>
      </c>
      <c r="E594" s="140" t="s">
        <v>356</v>
      </c>
      <c r="F594" s="314">
        <v>6839.1903191357533</v>
      </c>
      <c r="G594" s="314">
        <v>10859.257510125948</v>
      </c>
      <c r="H594" s="314">
        <v>11405.299976328268</v>
      </c>
      <c r="I594" s="314">
        <v>11976.873748263999</v>
      </c>
      <c r="J594" s="314">
        <v>12578.682048319692</v>
      </c>
    </row>
    <row r="595" spans="2:10">
      <c r="B595" s="140" t="s">
        <v>310</v>
      </c>
      <c r="C595" s="140" t="s">
        <v>415</v>
      </c>
      <c r="D595" s="140" t="s">
        <v>355</v>
      </c>
      <c r="E595" s="140" t="s">
        <v>356</v>
      </c>
      <c r="F595" s="314">
        <v>10839.991318520024</v>
      </c>
      <c r="G595" s="314">
        <v>16632.794732161707</v>
      </c>
      <c r="H595" s="314">
        <v>17090.826925403508</v>
      </c>
      <c r="I595" s="314">
        <v>17599.533101764897</v>
      </c>
      <c r="J595" s="314">
        <v>18113.841160080392</v>
      </c>
    </row>
    <row r="596" spans="2:10">
      <c r="B596" s="140" t="s">
        <v>310</v>
      </c>
      <c r="C596" s="140" t="s">
        <v>416</v>
      </c>
      <c r="D596" s="140" t="s">
        <v>355</v>
      </c>
      <c r="E596" s="140" t="s">
        <v>356</v>
      </c>
      <c r="F596" s="314">
        <v>24385.290955094097</v>
      </c>
      <c r="G596" s="314">
        <v>39132.484528332672</v>
      </c>
      <c r="H596" s="314">
        <v>40508.04313534675</v>
      </c>
      <c r="I596" s="314">
        <v>41994.272299062468</v>
      </c>
      <c r="J596" s="314">
        <v>43525.550310545594</v>
      </c>
    </row>
    <row r="597" spans="2:10">
      <c r="B597" s="140" t="s">
        <v>310</v>
      </c>
      <c r="C597" s="140" t="s">
        <v>417</v>
      </c>
      <c r="D597" s="140" t="s">
        <v>355</v>
      </c>
      <c r="E597" s="140" t="s">
        <v>356</v>
      </c>
      <c r="F597" s="314">
        <v>25519.344507568145</v>
      </c>
      <c r="G597" s="314">
        <v>24451.342888705411</v>
      </c>
      <c r="H597" s="314">
        <v>25664.744440972885</v>
      </c>
      <c r="I597" s="314">
        <v>26934.59492992521</v>
      </c>
      <c r="J597" s="314">
        <v>28271.306741516732</v>
      </c>
    </row>
    <row r="598" spans="2:10">
      <c r="B598" s="140" t="s">
        <v>310</v>
      </c>
      <c r="C598" s="140" t="s">
        <v>417</v>
      </c>
      <c r="D598" s="140" t="s">
        <v>678</v>
      </c>
      <c r="E598" s="140" t="s">
        <v>617</v>
      </c>
      <c r="F598" s="314">
        <v>23.375646596293159</v>
      </c>
      <c r="G598" s="314">
        <v>0</v>
      </c>
      <c r="H598" s="314">
        <v>0</v>
      </c>
      <c r="I598" s="314">
        <v>0</v>
      </c>
      <c r="J598" s="314">
        <v>0</v>
      </c>
    </row>
    <row r="599" spans="2:10">
      <c r="B599" s="140" t="s">
        <v>310</v>
      </c>
      <c r="C599" s="140" t="s">
        <v>418</v>
      </c>
      <c r="D599" s="140" t="s">
        <v>355</v>
      </c>
      <c r="E599" s="140" t="s">
        <v>356</v>
      </c>
      <c r="F599" s="314">
        <v>7081.0411200673352</v>
      </c>
      <c r="G599" s="314">
        <v>11020.042342236384</v>
      </c>
      <c r="H599" s="314">
        <v>11571.259765563753</v>
      </c>
      <c r="I599" s="314">
        <v>12148.19875464701</v>
      </c>
      <c r="J599" s="314">
        <v>12755.600057468548</v>
      </c>
    </row>
    <row r="600" spans="2:10">
      <c r="B600" s="140" t="s">
        <v>310</v>
      </c>
      <c r="C600" s="140" t="s">
        <v>419</v>
      </c>
      <c r="D600" s="140" t="s">
        <v>355</v>
      </c>
      <c r="E600" s="140" t="s">
        <v>356</v>
      </c>
      <c r="F600" s="314">
        <v>16226.122161667867</v>
      </c>
      <c r="G600" s="314">
        <v>21949.831745793341</v>
      </c>
      <c r="H600" s="314">
        <v>23062.717629396266</v>
      </c>
      <c r="I600" s="314">
        <v>24227.801646781896</v>
      </c>
      <c r="J600" s="314">
        <v>25454.691616176791</v>
      </c>
    </row>
    <row r="601" spans="2:10">
      <c r="B601" s="140" t="s">
        <v>310</v>
      </c>
      <c r="C601" s="140" t="s">
        <v>419</v>
      </c>
      <c r="D601" s="140" t="s">
        <v>358</v>
      </c>
      <c r="E601" s="140" t="s">
        <v>364</v>
      </c>
      <c r="F601" s="314">
        <v>3.8974816059458077</v>
      </c>
      <c r="G601" s="314">
        <v>0</v>
      </c>
      <c r="H601" s="314">
        <v>0</v>
      </c>
      <c r="I601" s="314">
        <v>0</v>
      </c>
      <c r="J601" s="314">
        <v>0</v>
      </c>
    </row>
    <row r="602" spans="2:10">
      <c r="B602" s="140" t="s">
        <v>310</v>
      </c>
      <c r="C602" s="140" t="s">
        <v>420</v>
      </c>
      <c r="D602" s="140" t="s">
        <v>355</v>
      </c>
      <c r="E602" s="140" t="s">
        <v>356</v>
      </c>
      <c r="F602" s="314">
        <v>27149.308117436583</v>
      </c>
      <c r="G602" s="314">
        <v>32177.138109528674</v>
      </c>
      <c r="H602" s="314">
        <v>32178.234265148803</v>
      </c>
      <c r="I602" s="314">
        <v>34440.993111825417</v>
      </c>
      <c r="J602" s="314">
        <v>33591.21291130031</v>
      </c>
    </row>
    <row r="603" spans="2:10">
      <c r="B603" s="140" t="s">
        <v>310</v>
      </c>
      <c r="C603" s="140" t="s">
        <v>420</v>
      </c>
      <c r="D603" s="140" t="s">
        <v>358</v>
      </c>
      <c r="E603" s="140" t="s">
        <v>364</v>
      </c>
      <c r="F603" s="314">
        <v>0</v>
      </c>
      <c r="G603" s="314">
        <v>8.4523594915453195</v>
      </c>
      <c r="H603" s="314">
        <v>8.5711857359767905</v>
      </c>
      <c r="I603" s="314">
        <v>8.6901272979316442</v>
      </c>
      <c r="J603" s="314">
        <v>8.8094660648312892</v>
      </c>
    </row>
    <row r="604" spans="2:10">
      <c r="B604" s="140" t="s">
        <v>310</v>
      </c>
      <c r="C604" s="140" t="s">
        <v>421</v>
      </c>
      <c r="D604" s="140" t="s">
        <v>355</v>
      </c>
      <c r="E604" s="140" t="s">
        <v>356</v>
      </c>
      <c r="F604" s="314">
        <v>166355.70896909488</v>
      </c>
      <c r="G604" s="314">
        <v>205776.50072949403</v>
      </c>
      <c r="H604" s="314">
        <v>207646.57214361645</v>
      </c>
      <c r="I604" s="314">
        <v>221275.91903827578</v>
      </c>
      <c r="J604" s="314">
        <v>218904.0979237482</v>
      </c>
    </row>
    <row r="605" spans="2:10">
      <c r="B605" s="140" t="s">
        <v>310</v>
      </c>
      <c r="C605" s="140" t="s">
        <v>421</v>
      </c>
      <c r="D605" s="140" t="s">
        <v>358</v>
      </c>
      <c r="E605" s="140" t="s">
        <v>364</v>
      </c>
      <c r="F605" s="314">
        <v>0</v>
      </c>
      <c r="G605" s="314">
        <v>98.169868065563946</v>
      </c>
      <c r="H605" s="314">
        <v>99.549974620453426</v>
      </c>
      <c r="I605" s="314">
        <v>100.93142052988262</v>
      </c>
      <c r="J605" s="314">
        <v>102.31747977326475</v>
      </c>
    </row>
    <row r="606" spans="2:10">
      <c r="B606" s="140" t="s">
        <v>310</v>
      </c>
      <c r="C606" s="140" t="s">
        <v>421</v>
      </c>
      <c r="D606" s="140" t="s">
        <v>422</v>
      </c>
      <c r="E606" s="140" t="s">
        <v>423</v>
      </c>
      <c r="F606" s="314">
        <v>0</v>
      </c>
      <c r="G606" s="314">
        <v>31.470625918229189</v>
      </c>
      <c r="H606" s="314">
        <v>32.30426758028964</v>
      </c>
      <c r="I606" s="314">
        <v>33.235581490663044</v>
      </c>
      <c r="J606" s="314">
        <v>34.173680472714516</v>
      </c>
    </row>
    <row r="607" spans="2:10">
      <c r="B607" s="140" t="s">
        <v>310</v>
      </c>
      <c r="C607" s="140" t="s">
        <v>421</v>
      </c>
      <c r="D607" s="140" t="s">
        <v>441</v>
      </c>
      <c r="E607" s="140" t="s">
        <v>616</v>
      </c>
      <c r="F607" s="314">
        <v>3.9062111431396254</v>
      </c>
      <c r="G607" s="314">
        <v>0</v>
      </c>
      <c r="H607" s="314">
        <v>0</v>
      </c>
      <c r="I607" s="314">
        <v>0</v>
      </c>
      <c r="J607" s="314">
        <v>0</v>
      </c>
    </row>
    <row r="608" spans="2:10">
      <c r="B608" s="140" t="s">
        <v>310</v>
      </c>
      <c r="C608" s="140" t="s">
        <v>424</v>
      </c>
      <c r="D608" s="140" t="s">
        <v>355</v>
      </c>
      <c r="E608" s="140" t="s">
        <v>356</v>
      </c>
      <c r="F608" s="314">
        <v>25220.65321672237</v>
      </c>
      <c r="G608" s="314">
        <v>32177.200179382282</v>
      </c>
      <c r="H608" s="314">
        <v>32639.94776804715</v>
      </c>
      <c r="I608" s="314">
        <v>34829.390828287338</v>
      </c>
      <c r="J608" s="314">
        <v>34692.826180246484</v>
      </c>
    </row>
    <row r="609" spans="2:10">
      <c r="B609" s="140" t="s">
        <v>310</v>
      </c>
      <c r="C609" s="140" t="s">
        <v>424</v>
      </c>
      <c r="D609" s="140" t="s">
        <v>358</v>
      </c>
      <c r="E609" s="140" t="s">
        <v>364</v>
      </c>
      <c r="F609" s="314">
        <v>0</v>
      </c>
      <c r="G609" s="314">
        <v>78.576318780407419</v>
      </c>
      <c r="H609" s="314">
        <v>79.680972323748236</v>
      </c>
      <c r="I609" s="314">
        <v>80.786697902239396</v>
      </c>
      <c r="J609" s="314">
        <v>81.896116047568754</v>
      </c>
    </row>
    <row r="610" spans="2:10">
      <c r="B610" s="140" t="s">
        <v>310</v>
      </c>
      <c r="C610" s="140" t="s">
        <v>424</v>
      </c>
      <c r="D610" s="140" t="s">
        <v>629</v>
      </c>
      <c r="E610" s="140" t="s">
        <v>616</v>
      </c>
      <c r="F610" s="314">
        <v>56.700911584787363</v>
      </c>
      <c r="G610" s="314">
        <v>0</v>
      </c>
      <c r="H610" s="314">
        <v>0</v>
      </c>
      <c r="I610" s="314">
        <v>0</v>
      </c>
      <c r="J610" s="314">
        <v>0</v>
      </c>
    </row>
    <row r="611" spans="2:10">
      <c r="B611" s="140" t="s">
        <v>310</v>
      </c>
      <c r="C611" s="140" t="s">
        <v>424</v>
      </c>
      <c r="D611" s="140" t="s">
        <v>629</v>
      </c>
      <c r="E611" s="140" t="s">
        <v>423</v>
      </c>
      <c r="F611" s="314">
        <v>21.244612516625821</v>
      </c>
      <c r="G611" s="314">
        <v>0</v>
      </c>
      <c r="H611" s="314">
        <v>0</v>
      </c>
      <c r="I611" s="314">
        <v>0</v>
      </c>
      <c r="J611" s="314">
        <v>0</v>
      </c>
    </row>
    <row r="612" spans="2:10">
      <c r="B612" s="140" t="s">
        <v>310</v>
      </c>
      <c r="C612" s="140" t="s">
        <v>424</v>
      </c>
      <c r="D612" s="140" t="s">
        <v>441</v>
      </c>
      <c r="E612" s="140" t="s">
        <v>616</v>
      </c>
      <c r="F612" s="314">
        <v>96.521465747670049</v>
      </c>
      <c r="G612" s="314">
        <v>0</v>
      </c>
      <c r="H612" s="314">
        <v>0</v>
      </c>
      <c r="I612" s="314">
        <v>0</v>
      </c>
      <c r="J612" s="314">
        <v>0</v>
      </c>
    </row>
    <row r="613" spans="2:10">
      <c r="B613" s="140" t="s">
        <v>310</v>
      </c>
      <c r="C613" s="140" t="s">
        <v>424</v>
      </c>
      <c r="D613" s="140" t="s">
        <v>441</v>
      </c>
      <c r="E613" s="140" t="s">
        <v>423</v>
      </c>
      <c r="F613" s="314">
        <v>108.89686847537675</v>
      </c>
      <c r="G613" s="314">
        <v>0</v>
      </c>
      <c r="H613" s="314">
        <v>0</v>
      </c>
      <c r="I613" s="314">
        <v>0</v>
      </c>
      <c r="J613" s="314">
        <v>0</v>
      </c>
    </row>
    <row r="614" spans="2:10">
      <c r="B614" s="140" t="s">
        <v>310</v>
      </c>
      <c r="C614" s="140" t="s">
        <v>424</v>
      </c>
      <c r="D614" s="140" t="s">
        <v>637</v>
      </c>
      <c r="E614" s="140" t="s">
        <v>616</v>
      </c>
      <c r="F614" s="314">
        <v>21.113155956530676</v>
      </c>
      <c r="G614" s="314">
        <v>0</v>
      </c>
      <c r="H614" s="314">
        <v>0</v>
      </c>
      <c r="I614" s="314">
        <v>0</v>
      </c>
      <c r="J614" s="314">
        <v>0</v>
      </c>
    </row>
    <row r="615" spans="2:10">
      <c r="B615" s="140" t="s">
        <v>310</v>
      </c>
      <c r="C615" s="140" t="s">
        <v>424</v>
      </c>
      <c r="D615" s="140" t="s">
        <v>657</v>
      </c>
      <c r="E615" s="140" t="s">
        <v>658</v>
      </c>
      <c r="F615" s="314">
        <v>14.871536862950798</v>
      </c>
      <c r="G615" s="314">
        <v>0</v>
      </c>
      <c r="H615" s="314">
        <v>0</v>
      </c>
      <c r="I615" s="314">
        <v>0</v>
      </c>
      <c r="J615" s="314">
        <v>0</v>
      </c>
    </row>
    <row r="616" spans="2:10">
      <c r="B616" s="140" t="s">
        <v>310</v>
      </c>
      <c r="C616" s="140" t="s">
        <v>425</v>
      </c>
      <c r="D616" s="140" t="s">
        <v>355</v>
      </c>
      <c r="E616" s="140" t="s">
        <v>356</v>
      </c>
      <c r="F616" s="314">
        <v>238268.5972822964</v>
      </c>
      <c r="G616" s="314">
        <v>309477.16709920403</v>
      </c>
      <c r="H616" s="314">
        <v>312054.83355375793</v>
      </c>
      <c r="I616" s="314">
        <v>330195.20440324477</v>
      </c>
      <c r="J616" s="314">
        <v>327317.2547764628</v>
      </c>
    </row>
    <row r="617" spans="2:10">
      <c r="B617" s="140" t="s">
        <v>310</v>
      </c>
      <c r="C617" s="140" t="s">
        <v>426</v>
      </c>
      <c r="D617" s="140" t="s">
        <v>355</v>
      </c>
      <c r="E617" s="140" t="s">
        <v>356</v>
      </c>
      <c r="F617" s="314">
        <v>176794.84899181154</v>
      </c>
      <c r="G617" s="314">
        <v>342512.37533068279</v>
      </c>
      <c r="H617" s="314">
        <v>358383.87811313086</v>
      </c>
      <c r="I617" s="314">
        <v>376667.92483704572</v>
      </c>
      <c r="J617" s="314">
        <v>393548.36717690446</v>
      </c>
    </row>
    <row r="618" spans="2:10">
      <c r="B618" s="140" t="s">
        <v>310</v>
      </c>
      <c r="C618" s="140" t="s">
        <v>426</v>
      </c>
      <c r="D618" s="140" t="s">
        <v>358</v>
      </c>
      <c r="E618" s="140" t="s">
        <v>359</v>
      </c>
      <c r="F618" s="314">
        <v>24.483784317720175</v>
      </c>
      <c r="G618" s="314">
        <v>0</v>
      </c>
      <c r="H618" s="314">
        <v>0</v>
      </c>
      <c r="I618" s="314">
        <v>0</v>
      </c>
      <c r="J618" s="314">
        <v>0</v>
      </c>
    </row>
    <row r="619" spans="2:10">
      <c r="B619" s="140" t="s">
        <v>310</v>
      </c>
      <c r="C619" s="140" t="s">
        <v>426</v>
      </c>
      <c r="D619" s="140" t="s">
        <v>428</v>
      </c>
      <c r="E619" s="140" t="s">
        <v>429</v>
      </c>
      <c r="F619" s="314">
        <v>94288.018278151401</v>
      </c>
      <c r="G619" s="314">
        <v>0</v>
      </c>
      <c r="H619" s="314">
        <v>0</v>
      </c>
      <c r="I619" s="314">
        <v>0</v>
      </c>
      <c r="J619" s="314">
        <v>0</v>
      </c>
    </row>
    <row r="620" spans="2:10">
      <c r="B620" s="140" t="s">
        <v>310</v>
      </c>
      <c r="C620" s="140" t="s">
        <v>427</v>
      </c>
      <c r="D620" s="140" t="s">
        <v>355</v>
      </c>
      <c r="E620" s="140" t="s">
        <v>356</v>
      </c>
      <c r="F620" s="314">
        <v>53932.857887623977</v>
      </c>
      <c r="G620" s="314">
        <v>89882.743959718457</v>
      </c>
      <c r="H620" s="314">
        <v>91559.705666065187</v>
      </c>
      <c r="I620" s="314">
        <v>95914.309181239805</v>
      </c>
      <c r="J620" s="314">
        <v>96815.3923216814</v>
      </c>
    </row>
    <row r="621" spans="2:10">
      <c r="B621" s="140" t="s">
        <v>310</v>
      </c>
      <c r="C621" s="140" t="s">
        <v>427</v>
      </c>
      <c r="D621" s="140" t="s">
        <v>428</v>
      </c>
      <c r="E621" s="140" t="s">
        <v>429</v>
      </c>
      <c r="F621" s="314">
        <v>12730.684107949162</v>
      </c>
      <c r="G621" s="314">
        <v>35.24047874020787</v>
      </c>
      <c r="H621" s="314">
        <v>35.905480680745491</v>
      </c>
      <c r="I621" s="314">
        <v>36.581905647175745</v>
      </c>
      <c r="J621" s="314">
        <v>37.27280027154584</v>
      </c>
    </row>
    <row r="622" spans="2:10">
      <c r="B622" s="140" t="s">
        <v>310</v>
      </c>
      <c r="C622" s="140" t="s">
        <v>705</v>
      </c>
      <c r="D622" s="140" t="s">
        <v>355</v>
      </c>
      <c r="E622" s="140" t="s">
        <v>356</v>
      </c>
      <c r="F622" s="314">
        <v>1027.0043757432959</v>
      </c>
      <c r="G622" s="314">
        <v>0</v>
      </c>
      <c r="H622" s="314">
        <v>0</v>
      </c>
      <c r="I622" s="314">
        <v>0</v>
      </c>
      <c r="J622" s="314">
        <v>0</v>
      </c>
    </row>
    <row r="623" spans="2:10">
      <c r="B623" s="140" t="s">
        <v>310</v>
      </c>
      <c r="C623" s="140" t="s">
        <v>705</v>
      </c>
      <c r="D623" s="140" t="s">
        <v>428</v>
      </c>
      <c r="E623" s="140" t="s">
        <v>429</v>
      </c>
      <c r="F623" s="314">
        <v>-1027.0043757432959</v>
      </c>
      <c r="G623" s="314">
        <v>0</v>
      </c>
      <c r="H623" s="314">
        <v>0</v>
      </c>
      <c r="I623" s="314">
        <v>0</v>
      </c>
      <c r="J623" s="314">
        <v>0</v>
      </c>
    </row>
    <row r="624" spans="2:10">
      <c r="B624" s="140" t="s">
        <v>310</v>
      </c>
      <c r="C624" s="140" t="s">
        <v>430</v>
      </c>
      <c r="D624" s="140" t="s">
        <v>355</v>
      </c>
      <c r="E624" s="140" t="s">
        <v>356</v>
      </c>
      <c r="F624" s="314">
        <v>85086.200313140493</v>
      </c>
      <c r="G624" s="314">
        <v>121709.59197771428</v>
      </c>
      <c r="H624" s="314">
        <v>127308.01978046917</v>
      </c>
      <c r="I624" s="314">
        <v>133210.00611903015</v>
      </c>
      <c r="J624" s="314">
        <v>139394.24713357791</v>
      </c>
    </row>
    <row r="625" spans="2:10">
      <c r="B625" s="140" t="s">
        <v>310</v>
      </c>
      <c r="C625" s="140" t="s">
        <v>430</v>
      </c>
      <c r="D625" s="140" t="s">
        <v>358</v>
      </c>
      <c r="E625" s="140" t="s">
        <v>364</v>
      </c>
      <c r="F625" s="314">
        <v>0</v>
      </c>
      <c r="G625" s="314">
        <v>28.088783063881881</v>
      </c>
      <c r="H625" s="314">
        <v>28.483665061680245</v>
      </c>
      <c r="I625" s="314">
        <v>28.878930281335304</v>
      </c>
      <c r="J625" s="314">
        <v>29.275515487857611</v>
      </c>
    </row>
    <row r="626" spans="2:10">
      <c r="B626" s="140" t="s">
        <v>310</v>
      </c>
      <c r="C626" s="140" t="s">
        <v>706</v>
      </c>
      <c r="D626" s="140" t="s">
        <v>355</v>
      </c>
      <c r="E626" s="140" t="s">
        <v>356</v>
      </c>
      <c r="F626" s="314">
        <v>18196.979323476564</v>
      </c>
      <c r="G626" s="314">
        <v>18852.665081817839</v>
      </c>
      <c r="H626" s="314">
        <v>19352.063063094472</v>
      </c>
      <c r="I626" s="314">
        <v>19909.972183933965</v>
      </c>
      <c r="J626" s="314">
        <v>20471.945942198694</v>
      </c>
    </row>
    <row r="627" spans="2:10">
      <c r="B627" s="140" t="s">
        <v>310</v>
      </c>
      <c r="C627" s="140" t="s">
        <v>431</v>
      </c>
      <c r="D627" s="140" t="s">
        <v>355</v>
      </c>
      <c r="E627" s="140" t="s">
        <v>356</v>
      </c>
      <c r="F627" s="314">
        <v>479225.93388548406</v>
      </c>
      <c r="G627" s="314">
        <v>575535.85652456817</v>
      </c>
      <c r="H627" s="314">
        <v>618211.32171837299</v>
      </c>
      <c r="I627" s="314">
        <v>667578.32611975935</v>
      </c>
      <c r="J627" s="314">
        <v>718449.71269544633</v>
      </c>
    </row>
    <row r="628" spans="2:10">
      <c r="B628" s="140" t="s">
        <v>310</v>
      </c>
      <c r="C628" s="140" t="s">
        <v>431</v>
      </c>
      <c r="D628" s="140" t="s">
        <v>432</v>
      </c>
      <c r="E628" s="140" t="s">
        <v>356</v>
      </c>
      <c r="F628" s="314">
        <v>8282.6649958358412</v>
      </c>
      <c r="G628" s="314">
        <v>12.707931283712361</v>
      </c>
      <c r="H628" s="314">
        <v>13.353438823459914</v>
      </c>
      <c r="I628" s="314">
        <v>14.029243981435403</v>
      </c>
      <c r="J628" s="314">
        <v>14.740922462014524</v>
      </c>
    </row>
    <row r="629" spans="2:10">
      <c r="B629" s="140" t="s">
        <v>310</v>
      </c>
      <c r="C629" s="140" t="s">
        <v>431</v>
      </c>
      <c r="D629" s="140" t="s">
        <v>707</v>
      </c>
      <c r="E629" s="140" t="s">
        <v>356</v>
      </c>
      <c r="F629" s="314">
        <v>40808.457914530489</v>
      </c>
      <c r="G629" s="314">
        <v>0</v>
      </c>
      <c r="H629" s="314">
        <v>0</v>
      </c>
      <c r="I629" s="314">
        <v>0</v>
      </c>
      <c r="J629" s="314">
        <v>0</v>
      </c>
    </row>
    <row r="630" spans="2:10">
      <c r="B630" s="140" t="s">
        <v>310</v>
      </c>
      <c r="C630" s="140" t="s">
        <v>431</v>
      </c>
      <c r="D630" s="140" t="s">
        <v>428</v>
      </c>
      <c r="E630" s="140" t="s">
        <v>356</v>
      </c>
      <c r="F630" s="314">
        <v>77585.856385481937</v>
      </c>
      <c r="G630" s="314">
        <v>164698.31934208807</v>
      </c>
      <c r="H630" s="314">
        <v>173064.27636101923</v>
      </c>
      <c r="I630" s="314">
        <v>181822.89892800892</v>
      </c>
      <c r="J630" s="314">
        <v>191046.44972053971</v>
      </c>
    </row>
    <row r="631" spans="2:10">
      <c r="B631" s="140" t="s">
        <v>310</v>
      </c>
      <c r="C631" s="140" t="s">
        <v>433</v>
      </c>
      <c r="D631" s="140" t="s">
        <v>355</v>
      </c>
      <c r="E631" s="140" t="s">
        <v>356</v>
      </c>
      <c r="F631" s="314">
        <v>18187.250738043535</v>
      </c>
      <c r="G631" s="314">
        <v>23432.779089311734</v>
      </c>
      <c r="H631" s="314">
        <v>24147.35080068525</v>
      </c>
      <c r="I631" s="314">
        <v>24931.129338508905</v>
      </c>
      <c r="J631" s="314">
        <v>25730.276817133279</v>
      </c>
    </row>
    <row r="632" spans="2:10">
      <c r="B632" s="140" t="s">
        <v>310</v>
      </c>
      <c r="C632" s="140" t="s">
        <v>434</v>
      </c>
      <c r="D632" s="140" t="s">
        <v>355</v>
      </c>
      <c r="E632" s="140" t="s">
        <v>356</v>
      </c>
      <c r="F632" s="314">
        <v>65572.746636638258</v>
      </c>
      <c r="G632" s="314">
        <v>87388.560846161548</v>
      </c>
      <c r="H632" s="314">
        <v>88255.553176497793</v>
      </c>
      <c r="I632" s="314">
        <v>93115.721236415135</v>
      </c>
      <c r="J632" s="314">
        <v>92620.837743234937</v>
      </c>
    </row>
    <row r="633" spans="2:10">
      <c r="B633" s="140" t="s">
        <v>310</v>
      </c>
      <c r="C633" s="140" t="s">
        <v>434</v>
      </c>
      <c r="D633" s="140" t="s">
        <v>435</v>
      </c>
      <c r="E633" s="140" t="s">
        <v>436</v>
      </c>
      <c r="F633" s="314">
        <v>0</v>
      </c>
      <c r="G633" s="314">
        <v>12.44133132669918</v>
      </c>
      <c r="H633" s="314">
        <v>13.073296750227634</v>
      </c>
      <c r="I633" s="314">
        <v>13.734924177615573</v>
      </c>
      <c r="J633" s="314">
        <v>14.431672340419622</v>
      </c>
    </row>
    <row r="634" spans="2:10">
      <c r="B634" s="140" t="s">
        <v>310</v>
      </c>
      <c r="C634" s="140" t="s">
        <v>437</v>
      </c>
      <c r="D634" s="140" t="s">
        <v>355</v>
      </c>
      <c r="E634" s="140" t="s">
        <v>356</v>
      </c>
      <c r="F634" s="314">
        <v>264126.47533920157</v>
      </c>
      <c r="G634" s="314">
        <v>3735.0558245725647</v>
      </c>
      <c r="H634" s="314">
        <v>3842.7523983982387</v>
      </c>
      <c r="I634" s="314">
        <v>4072.5220753015137</v>
      </c>
      <c r="J634" s="314">
        <v>4139.9315427736301</v>
      </c>
    </row>
    <row r="635" spans="2:10">
      <c r="B635" s="140" t="s">
        <v>310</v>
      </c>
      <c r="C635" s="140" t="s">
        <v>437</v>
      </c>
      <c r="D635" s="140" t="s">
        <v>435</v>
      </c>
      <c r="E635" s="140" t="s">
        <v>356</v>
      </c>
      <c r="F635" s="314">
        <v>0</v>
      </c>
      <c r="G635" s="314">
        <v>755336.54608977167</v>
      </c>
      <c r="H635" s="314">
        <v>765955.33308569458</v>
      </c>
      <c r="I635" s="314">
        <v>776584.42531531025</v>
      </c>
      <c r="J635" s="314">
        <v>787249.01336255972</v>
      </c>
    </row>
    <row r="636" spans="2:10">
      <c r="B636" s="140" t="s">
        <v>310</v>
      </c>
      <c r="C636" s="140" t="s">
        <v>437</v>
      </c>
      <c r="D636" s="140" t="s">
        <v>435</v>
      </c>
      <c r="E636" s="140" t="s">
        <v>658</v>
      </c>
      <c r="F636" s="314">
        <v>29028.301274480527</v>
      </c>
      <c r="G636" s="314">
        <v>55572.246925564526</v>
      </c>
      <c r="H636" s="314">
        <v>56353.501130782417</v>
      </c>
      <c r="I636" s="314">
        <v>57135.513521201821</v>
      </c>
      <c r="J636" s="314">
        <v>57920.137439360195</v>
      </c>
    </row>
    <row r="637" spans="2:10">
      <c r="B637" s="140" t="s">
        <v>310</v>
      </c>
      <c r="C637" s="140" t="s">
        <v>437</v>
      </c>
      <c r="D637" s="140" t="s">
        <v>435</v>
      </c>
      <c r="E637" s="140" t="s">
        <v>436</v>
      </c>
      <c r="F637" s="314">
        <v>49204.241272625666</v>
      </c>
      <c r="G637" s="314">
        <v>0</v>
      </c>
      <c r="H637" s="314">
        <v>0</v>
      </c>
      <c r="I637" s="314">
        <v>0</v>
      </c>
      <c r="J637" s="314">
        <v>0</v>
      </c>
    </row>
    <row r="638" spans="2:10">
      <c r="B638" s="140" t="s">
        <v>310</v>
      </c>
      <c r="C638" s="140" t="s">
        <v>437</v>
      </c>
      <c r="D638" s="140" t="s">
        <v>435</v>
      </c>
      <c r="E638" s="140" t="s">
        <v>442</v>
      </c>
      <c r="F638" s="314">
        <v>292934.06025603163</v>
      </c>
      <c r="G638" s="314">
        <v>0</v>
      </c>
      <c r="H638" s="314">
        <v>0</v>
      </c>
      <c r="I638" s="314">
        <v>0</v>
      </c>
      <c r="J638" s="314">
        <v>0</v>
      </c>
    </row>
    <row r="639" spans="2:10">
      <c r="B639" s="140" t="s">
        <v>310</v>
      </c>
      <c r="C639" s="140" t="s">
        <v>437</v>
      </c>
      <c r="D639" s="140" t="s">
        <v>435</v>
      </c>
      <c r="E639" s="140" t="s">
        <v>438</v>
      </c>
      <c r="F639" s="314">
        <v>20701.550575309335</v>
      </c>
      <c r="G639" s="314">
        <v>363.57395610009422</v>
      </c>
      <c r="H639" s="314">
        <v>368.68520673013199</v>
      </c>
      <c r="I639" s="314">
        <v>373.80141768494371</v>
      </c>
      <c r="J639" s="314">
        <v>378.93471420897481</v>
      </c>
    </row>
    <row r="640" spans="2:10">
      <c r="B640" s="140" t="s">
        <v>310</v>
      </c>
      <c r="C640" s="140" t="s">
        <v>437</v>
      </c>
      <c r="D640" s="140" t="s">
        <v>435</v>
      </c>
      <c r="E640" s="140" t="s">
        <v>443</v>
      </c>
      <c r="F640" s="314">
        <v>3471.5464326697243</v>
      </c>
      <c r="G640" s="314">
        <v>0</v>
      </c>
      <c r="H640" s="314">
        <v>0</v>
      </c>
      <c r="I640" s="314">
        <v>0</v>
      </c>
      <c r="J640" s="314">
        <v>0</v>
      </c>
    </row>
    <row r="641" spans="2:10">
      <c r="B641" s="140" t="s">
        <v>310</v>
      </c>
      <c r="C641" s="140" t="s">
        <v>439</v>
      </c>
      <c r="D641" s="140" t="s">
        <v>355</v>
      </c>
      <c r="E641" s="140" t="s">
        <v>356</v>
      </c>
      <c r="F641" s="314">
        <v>166860.93786487926</v>
      </c>
      <c r="G641" s="314">
        <v>330683.35781238676</v>
      </c>
      <c r="H641" s="314">
        <v>342857.28895135422</v>
      </c>
      <c r="I641" s="314">
        <v>355954.83019348187</v>
      </c>
      <c r="J641" s="314">
        <v>369490.46779577964</v>
      </c>
    </row>
    <row r="642" spans="2:10">
      <c r="B642" s="140" t="s">
        <v>310</v>
      </c>
      <c r="C642" s="140" t="s">
        <v>439</v>
      </c>
      <c r="D642" s="140" t="s">
        <v>358</v>
      </c>
      <c r="E642" s="140" t="s">
        <v>364</v>
      </c>
      <c r="F642" s="314">
        <v>1484.0665111415951</v>
      </c>
      <c r="G642" s="314">
        <v>395.5211103193833</v>
      </c>
      <c r="H642" s="314">
        <v>401.26200098702014</v>
      </c>
      <c r="I642" s="314">
        <v>407.01993578146687</v>
      </c>
      <c r="J642" s="314">
        <v>412.81009743756317</v>
      </c>
    </row>
    <row r="643" spans="2:10">
      <c r="B643" s="140" t="s">
        <v>310</v>
      </c>
      <c r="C643" s="140" t="s">
        <v>439</v>
      </c>
      <c r="D643" s="140" t="s">
        <v>358</v>
      </c>
      <c r="E643" s="140" t="s">
        <v>624</v>
      </c>
      <c r="F643" s="314">
        <v>284.81655601394891</v>
      </c>
      <c r="G643" s="314">
        <v>0</v>
      </c>
      <c r="H643" s="314">
        <v>0</v>
      </c>
      <c r="I643" s="314">
        <v>0</v>
      </c>
      <c r="J643" s="314">
        <v>0</v>
      </c>
    </row>
    <row r="644" spans="2:10">
      <c r="B644" s="140" t="s">
        <v>310</v>
      </c>
      <c r="C644" s="140" t="s">
        <v>439</v>
      </c>
      <c r="D644" s="140" t="s">
        <v>358</v>
      </c>
      <c r="E644" s="140" t="s">
        <v>638</v>
      </c>
      <c r="F644" s="314">
        <v>158.31272452082908</v>
      </c>
      <c r="G644" s="314">
        <v>0</v>
      </c>
      <c r="H644" s="314">
        <v>0</v>
      </c>
      <c r="I644" s="314">
        <v>0</v>
      </c>
      <c r="J644" s="314">
        <v>0</v>
      </c>
    </row>
    <row r="645" spans="2:10">
      <c r="B645" s="140" t="s">
        <v>310</v>
      </c>
      <c r="C645" s="140" t="s">
        <v>439</v>
      </c>
      <c r="D645" s="140" t="s">
        <v>358</v>
      </c>
      <c r="E645" s="140" t="s">
        <v>359</v>
      </c>
      <c r="F645" s="314">
        <v>12139.276962648943</v>
      </c>
      <c r="G645" s="314">
        <v>12.336595629306053</v>
      </c>
      <c r="H645" s="314">
        <v>12.963240935748681</v>
      </c>
      <c r="I645" s="314">
        <v>13.619298540406058</v>
      </c>
      <c r="J645" s="314">
        <v>14.310181221227321</v>
      </c>
    </row>
    <row r="646" spans="2:10">
      <c r="B646" s="140" t="s">
        <v>310</v>
      </c>
      <c r="C646" s="140" t="s">
        <v>439</v>
      </c>
      <c r="D646" s="140" t="s">
        <v>358</v>
      </c>
      <c r="E646" s="140" t="s">
        <v>357</v>
      </c>
      <c r="F646" s="314">
        <v>1658.3465861942932</v>
      </c>
      <c r="G646" s="314">
        <v>28.181881516301807</v>
      </c>
      <c r="H646" s="314">
        <v>28.578072324909094</v>
      </c>
      <c r="I646" s="314">
        <v>28.974647625537102</v>
      </c>
      <c r="J646" s="314">
        <v>29.372547288043346</v>
      </c>
    </row>
    <row r="647" spans="2:10">
      <c r="B647" s="140" t="s">
        <v>310</v>
      </c>
      <c r="C647" s="140" t="s">
        <v>439</v>
      </c>
      <c r="D647" s="140" t="s">
        <v>358</v>
      </c>
      <c r="E647" s="140" t="s">
        <v>440</v>
      </c>
      <c r="F647" s="314">
        <v>5632.6404169128818</v>
      </c>
      <c r="G647" s="314">
        <v>37.542563408280444</v>
      </c>
      <c r="H647" s="314">
        <v>38.070349977296885</v>
      </c>
      <c r="I647" s="314">
        <v>38.598648748313039</v>
      </c>
      <c r="J647" s="314">
        <v>39.128711771292281</v>
      </c>
    </row>
    <row r="648" spans="2:10">
      <c r="B648" s="140" t="s">
        <v>310</v>
      </c>
      <c r="C648" s="140" t="s">
        <v>439</v>
      </c>
      <c r="D648" s="140" t="s">
        <v>422</v>
      </c>
      <c r="E648" s="140" t="s">
        <v>423</v>
      </c>
      <c r="F648" s="314">
        <v>13.647861149252659</v>
      </c>
      <c r="G648" s="314">
        <v>0</v>
      </c>
      <c r="H648" s="314">
        <v>0</v>
      </c>
      <c r="I648" s="314">
        <v>0</v>
      </c>
      <c r="J648" s="314">
        <v>0</v>
      </c>
    </row>
    <row r="649" spans="2:10">
      <c r="B649" s="140" t="s">
        <v>310</v>
      </c>
      <c r="C649" s="140" t="s">
        <v>439</v>
      </c>
      <c r="D649" s="140" t="s">
        <v>435</v>
      </c>
      <c r="E649" s="140" t="s">
        <v>356</v>
      </c>
      <c r="F649" s="314">
        <v>13430.573211798632</v>
      </c>
      <c r="G649" s="314">
        <v>5862.0220946647551</v>
      </c>
      <c r="H649" s="314">
        <v>6016.4069426638671</v>
      </c>
      <c r="I649" s="314">
        <v>6188.7621316088353</v>
      </c>
      <c r="J649" s="314">
        <v>6362.3690033470639</v>
      </c>
    </row>
    <row r="650" spans="2:10">
      <c r="B650" s="140" t="s">
        <v>310</v>
      </c>
      <c r="C650" s="140" t="s">
        <v>439</v>
      </c>
      <c r="D650" s="140" t="s">
        <v>435</v>
      </c>
      <c r="E650" s="140" t="s">
        <v>436</v>
      </c>
      <c r="F650" s="314">
        <v>1722.1738811423629</v>
      </c>
      <c r="G650" s="314">
        <v>0</v>
      </c>
      <c r="H650" s="314">
        <v>0</v>
      </c>
      <c r="I650" s="314">
        <v>0</v>
      </c>
      <c r="J650" s="314">
        <v>0</v>
      </c>
    </row>
    <row r="651" spans="2:10">
      <c r="B651" s="140" t="s">
        <v>310</v>
      </c>
      <c r="C651" s="140" t="s">
        <v>439</v>
      </c>
      <c r="D651" s="140" t="s">
        <v>435</v>
      </c>
      <c r="E651" s="140" t="s">
        <v>442</v>
      </c>
      <c r="F651" s="314">
        <v>11876.51429859971</v>
      </c>
      <c r="G651" s="314">
        <v>63.074201481111359</v>
      </c>
      <c r="H651" s="314">
        <v>63.96092080368765</v>
      </c>
      <c r="I651" s="314">
        <v>64.848500662391345</v>
      </c>
      <c r="J651" s="314">
        <v>65.739044591038109</v>
      </c>
    </row>
    <row r="652" spans="2:10">
      <c r="B652" s="140" t="s">
        <v>310</v>
      </c>
      <c r="C652" s="140" t="s">
        <v>439</v>
      </c>
      <c r="D652" s="140" t="s">
        <v>435</v>
      </c>
      <c r="E652" s="140" t="s">
        <v>438</v>
      </c>
      <c r="F652" s="314">
        <v>33299.811198543583</v>
      </c>
      <c r="G652" s="314">
        <v>684.41021015369836</v>
      </c>
      <c r="H652" s="314">
        <v>694.03188975741932</v>
      </c>
      <c r="I652" s="314">
        <v>703.66290693019323</v>
      </c>
      <c r="J652" s="314">
        <v>713.32608685231639</v>
      </c>
    </row>
    <row r="653" spans="2:10">
      <c r="B653" s="140" t="s">
        <v>310</v>
      </c>
      <c r="C653" s="140" t="s">
        <v>439</v>
      </c>
      <c r="D653" s="140" t="s">
        <v>435</v>
      </c>
      <c r="E653" s="140" t="s">
        <v>443</v>
      </c>
      <c r="F653" s="314">
        <v>32755.327369668899</v>
      </c>
      <c r="G653" s="314">
        <v>32.458897916966627</v>
      </c>
      <c r="H653" s="314">
        <v>32.915216527375435</v>
      </c>
      <c r="I653" s="314">
        <v>33.371977982143065</v>
      </c>
      <c r="J653" s="314">
        <v>33.830264790247575</v>
      </c>
    </row>
    <row r="654" spans="2:10">
      <c r="B654" s="140" t="s">
        <v>310</v>
      </c>
      <c r="C654" s="140" t="s">
        <v>439</v>
      </c>
      <c r="D654" s="140" t="s">
        <v>435</v>
      </c>
      <c r="E654" s="140" t="s">
        <v>440</v>
      </c>
      <c r="F654" s="314">
        <v>12.469887130275099</v>
      </c>
      <c r="G654" s="314">
        <v>0</v>
      </c>
      <c r="H654" s="314">
        <v>0</v>
      </c>
      <c r="I654" s="314">
        <v>0</v>
      </c>
      <c r="J654" s="314">
        <v>0</v>
      </c>
    </row>
    <row r="655" spans="2:10">
      <c r="B655" s="140" t="s">
        <v>310</v>
      </c>
      <c r="C655" s="140" t="s">
        <v>444</v>
      </c>
      <c r="D655" s="140" t="s">
        <v>355</v>
      </c>
      <c r="E655" s="140" t="s">
        <v>356</v>
      </c>
      <c r="F655" s="314">
        <v>12575.442566440746</v>
      </c>
      <c r="G655" s="314">
        <v>12385.598621955029</v>
      </c>
      <c r="H655" s="314">
        <v>13014.733066914298</v>
      </c>
      <c r="I655" s="314">
        <v>13673.396640588116</v>
      </c>
      <c r="J655" s="314">
        <v>14367.02362137242</v>
      </c>
    </row>
    <row r="656" spans="2:10">
      <c r="B656" s="140" t="s">
        <v>310</v>
      </c>
      <c r="C656" s="140" t="s">
        <v>444</v>
      </c>
      <c r="D656" s="140" t="s">
        <v>358</v>
      </c>
      <c r="E656" s="140" t="s">
        <v>364</v>
      </c>
      <c r="F656" s="314">
        <v>16.38996283248726</v>
      </c>
      <c r="G656" s="314">
        <v>0</v>
      </c>
      <c r="H656" s="314">
        <v>0</v>
      </c>
      <c r="I656" s="314">
        <v>0</v>
      </c>
      <c r="J656" s="314">
        <v>0</v>
      </c>
    </row>
    <row r="657" spans="2:10">
      <c r="B657" s="140" t="s">
        <v>310</v>
      </c>
      <c r="C657" s="140" t="s">
        <v>444</v>
      </c>
      <c r="D657" s="140" t="s">
        <v>358</v>
      </c>
      <c r="E657" s="140" t="s">
        <v>624</v>
      </c>
      <c r="F657" s="314">
        <v>313.90286044156267</v>
      </c>
      <c r="G657" s="314">
        <v>0</v>
      </c>
      <c r="H657" s="314">
        <v>0</v>
      </c>
      <c r="I657" s="314">
        <v>0</v>
      </c>
      <c r="J657" s="314">
        <v>0</v>
      </c>
    </row>
    <row r="658" spans="2:10">
      <c r="B658" s="140" t="s">
        <v>310</v>
      </c>
      <c r="C658" s="140" t="s">
        <v>444</v>
      </c>
      <c r="D658" s="140" t="s">
        <v>358</v>
      </c>
      <c r="E658" s="140" t="s">
        <v>359</v>
      </c>
      <c r="F658" s="314">
        <v>2338.6887159185667</v>
      </c>
      <c r="G658" s="314">
        <v>0</v>
      </c>
      <c r="H658" s="314">
        <v>0</v>
      </c>
      <c r="I658" s="314">
        <v>0</v>
      </c>
      <c r="J658" s="314">
        <v>0</v>
      </c>
    </row>
    <row r="659" spans="2:10">
      <c r="B659" s="140" t="s">
        <v>310</v>
      </c>
      <c r="C659" s="140" t="s">
        <v>444</v>
      </c>
      <c r="D659" s="140" t="s">
        <v>358</v>
      </c>
      <c r="E659" s="140" t="s">
        <v>440</v>
      </c>
      <c r="F659" s="314">
        <v>508.00309294173047</v>
      </c>
      <c r="G659" s="314">
        <v>0</v>
      </c>
      <c r="H659" s="314">
        <v>0</v>
      </c>
      <c r="I659" s="314">
        <v>0</v>
      </c>
      <c r="J659" s="314">
        <v>0</v>
      </c>
    </row>
    <row r="660" spans="2:10">
      <c r="B660" s="140" t="s">
        <v>310</v>
      </c>
      <c r="C660" s="140" t="s">
        <v>444</v>
      </c>
      <c r="D660" s="140" t="s">
        <v>635</v>
      </c>
      <c r="E660" s="140" t="s">
        <v>423</v>
      </c>
      <c r="F660" s="314">
        <v>437.25789651865352</v>
      </c>
      <c r="G660" s="314">
        <v>0</v>
      </c>
      <c r="H660" s="314">
        <v>0</v>
      </c>
      <c r="I660" s="314">
        <v>0</v>
      </c>
      <c r="J660" s="314">
        <v>0</v>
      </c>
    </row>
    <row r="661" spans="2:10">
      <c r="B661" s="140" t="s">
        <v>310</v>
      </c>
      <c r="C661" s="140" t="s">
        <v>444</v>
      </c>
      <c r="D661" s="140" t="s">
        <v>629</v>
      </c>
      <c r="E661" s="140" t="s">
        <v>616</v>
      </c>
      <c r="F661" s="314">
        <v>255.89970730833278</v>
      </c>
      <c r="G661" s="314">
        <v>0</v>
      </c>
      <c r="H661" s="314">
        <v>0</v>
      </c>
      <c r="I661" s="314">
        <v>0</v>
      </c>
      <c r="J661" s="314">
        <v>0</v>
      </c>
    </row>
    <row r="662" spans="2:10">
      <c r="B662" s="140" t="s">
        <v>310</v>
      </c>
      <c r="C662" s="140" t="s">
        <v>444</v>
      </c>
      <c r="D662" s="140" t="s">
        <v>637</v>
      </c>
      <c r="E662" s="140" t="s">
        <v>616</v>
      </c>
      <c r="F662" s="314">
        <v>37.691060589778957</v>
      </c>
      <c r="G662" s="314">
        <v>0</v>
      </c>
      <c r="H662" s="314">
        <v>0</v>
      </c>
      <c r="I662" s="314">
        <v>0</v>
      </c>
      <c r="J662" s="314">
        <v>0</v>
      </c>
    </row>
    <row r="663" spans="2:10">
      <c r="B663" s="140" t="s">
        <v>310</v>
      </c>
      <c r="C663" s="140" t="s">
        <v>444</v>
      </c>
      <c r="D663" s="140" t="s">
        <v>435</v>
      </c>
      <c r="E663" s="140" t="s">
        <v>438</v>
      </c>
      <c r="F663" s="314">
        <v>1257.1509213254899</v>
      </c>
      <c r="G663" s="314">
        <v>0</v>
      </c>
      <c r="H663" s="314">
        <v>0</v>
      </c>
      <c r="I663" s="314">
        <v>0</v>
      </c>
      <c r="J663" s="314">
        <v>0</v>
      </c>
    </row>
    <row r="664" spans="2:10">
      <c r="B664" s="140" t="s">
        <v>310</v>
      </c>
      <c r="C664" s="140" t="s">
        <v>445</v>
      </c>
      <c r="D664" s="140" t="s">
        <v>355</v>
      </c>
      <c r="E664" s="140" t="s">
        <v>356</v>
      </c>
      <c r="F664" s="314">
        <v>21610.81586636159</v>
      </c>
      <c r="G664" s="314">
        <v>33521.50773983985</v>
      </c>
      <c r="H664" s="314">
        <v>33706.160793157367</v>
      </c>
      <c r="I664" s="314">
        <v>35799.611720037916</v>
      </c>
      <c r="J664" s="314">
        <v>35293.446181373169</v>
      </c>
    </row>
    <row r="665" spans="2:10">
      <c r="B665" s="140" t="s">
        <v>310</v>
      </c>
      <c r="C665" s="140" t="s">
        <v>446</v>
      </c>
      <c r="D665" s="140" t="s">
        <v>355</v>
      </c>
      <c r="E665" s="140" t="s">
        <v>356</v>
      </c>
      <c r="F665" s="314">
        <v>26337.320012349213</v>
      </c>
      <c r="G665" s="314">
        <v>62657.85318573624</v>
      </c>
      <c r="H665" s="314">
        <v>63707.045470598336</v>
      </c>
      <c r="I665" s="314">
        <v>64790.429870590378</v>
      </c>
      <c r="J665" s="314">
        <v>65881.90618494348</v>
      </c>
    </row>
    <row r="666" spans="2:10">
      <c r="B666" s="140" t="s">
        <v>310</v>
      </c>
      <c r="C666" s="140" t="s">
        <v>708</v>
      </c>
      <c r="D666" s="140" t="s">
        <v>355</v>
      </c>
      <c r="E666" s="140" t="s">
        <v>356</v>
      </c>
      <c r="F666" s="314">
        <v>863.88475724180046</v>
      </c>
      <c r="G666" s="314">
        <v>0</v>
      </c>
      <c r="H666" s="314">
        <v>0</v>
      </c>
      <c r="I666" s="314">
        <v>0</v>
      </c>
      <c r="J666" s="314">
        <v>0</v>
      </c>
    </row>
    <row r="667" spans="2:10">
      <c r="B667" s="140" t="s">
        <v>310</v>
      </c>
      <c r="C667" s="140" t="s">
        <v>447</v>
      </c>
      <c r="D667" s="140" t="s">
        <v>355</v>
      </c>
      <c r="E667" s="140" t="s">
        <v>356</v>
      </c>
      <c r="F667" s="314">
        <v>44493.365665919599</v>
      </c>
      <c r="G667" s="314">
        <v>59251.301825937611</v>
      </c>
      <c r="H667" s="314">
        <v>59487.484830241752</v>
      </c>
      <c r="I667" s="314">
        <v>63040.122219722427</v>
      </c>
      <c r="J667" s="314">
        <v>62062.612609080228</v>
      </c>
    </row>
    <row r="668" spans="2:10">
      <c r="B668" s="140" t="s">
        <v>310</v>
      </c>
      <c r="C668" s="140" t="s">
        <v>448</v>
      </c>
      <c r="D668" s="140" t="s">
        <v>355</v>
      </c>
      <c r="E668" s="140" t="s">
        <v>356</v>
      </c>
      <c r="F668" s="314">
        <v>29052.908381574278</v>
      </c>
      <c r="G668" s="314">
        <v>41686.160162925444</v>
      </c>
      <c r="H668" s="314">
        <v>37101.067106481227</v>
      </c>
      <c r="I668" s="314">
        <v>38944.694641423099</v>
      </c>
      <c r="J668" s="314">
        <v>40794.363688002828</v>
      </c>
    </row>
    <row r="669" spans="2:10">
      <c r="B669" s="140" t="s">
        <v>310</v>
      </c>
      <c r="C669" s="140" t="s">
        <v>449</v>
      </c>
      <c r="D669" s="140" t="s">
        <v>355</v>
      </c>
      <c r="E669" s="140" t="s">
        <v>356</v>
      </c>
      <c r="F669" s="314">
        <v>64279.496293333184</v>
      </c>
      <c r="G669" s="314">
        <v>341021.2404871867</v>
      </c>
      <c r="H669" s="314">
        <v>350082.54863536602</v>
      </c>
      <c r="I669" s="314">
        <v>360200.79160204355</v>
      </c>
      <c r="J669" s="314">
        <v>370395.75712482008</v>
      </c>
    </row>
    <row r="670" spans="2:10">
      <c r="B670" s="140" t="s">
        <v>310</v>
      </c>
      <c r="C670" s="140" t="s">
        <v>450</v>
      </c>
      <c r="D670" s="140" t="s">
        <v>355</v>
      </c>
      <c r="E670" s="140" t="s">
        <v>356</v>
      </c>
      <c r="F670" s="314">
        <v>34964.893895910398</v>
      </c>
      <c r="G670" s="314">
        <v>47459.536258601634</v>
      </c>
      <c r="H670" s="314">
        <v>47467.385051950434</v>
      </c>
      <c r="I670" s="314">
        <v>50146.325799889819</v>
      </c>
      <c r="J670" s="314">
        <v>49131.803435935937</v>
      </c>
    </row>
    <row r="671" spans="2:10">
      <c r="B671" s="140" t="s">
        <v>310</v>
      </c>
      <c r="C671" s="140" t="s">
        <v>451</v>
      </c>
      <c r="D671" s="140" t="s">
        <v>355</v>
      </c>
      <c r="E671" s="140" t="s">
        <v>356</v>
      </c>
      <c r="F671" s="314">
        <v>103149.59002585085</v>
      </c>
      <c r="G671" s="314">
        <v>113490.02065133979</v>
      </c>
      <c r="H671" s="314">
        <v>111070.0467349665</v>
      </c>
      <c r="I671" s="314">
        <v>117432.61285501445</v>
      </c>
      <c r="J671" s="314">
        <v>115936.18745610271</v>
      </c>
    </row>
    <row r="672" spans="2:10">
      <c r="B672" s="140" t="s">
        <v>310</v>
      </c>
      <c r="C672" s="140" t="s">
        <v>452</v>
      </c>
      <c r="D672" s="140" t="s">
        <v>355</v>
      </c>
      <c r="E672" s="140" t="s">
        <v>356</v>
      </c>
      <c r="F672" s="314">
        <v>28453.385701612151</v>
      </c>
      <c r="G672" s="314">
        <v>37053.672227272516</v>
      </c>
      <c r="H672" s="314">
        <v>38061.255755152313</v>
      </c>
      <c r="I672" s="314">
        <v>39183.068018118662</v>
      </c>
      <c r="J672" s="314">
        <v>40315.663395436372</v>
      </c>
    </row>
    <row r="673" spans="2:10">
      <c r="B673" s="140" t="s">
        <v>310</v>
      </c>
      <c r="C673" s="140" t="s">
        <v>452</v>
      </c>
      <c r="D673" s="140" t="s">
        <v>358</v>
      </c>
      <c r="E673" s="140" t="s">
        <v>359</v>
      </c>
      <c r="F673" s="314">
        <v>1604.0771074690781</v>
      </c>
      <c r="G673" s="314">
        <v>12.462634919420859</v>
      </c>
      <c r="H673" s="314">
        <v>12.792764091775853</v>
      </c>
      <c r="I673" s="314">
        <v>13.161572303297278</v>
      </c>
      <c r="J673" s="314">
        <v>13.533067460780494</v>
      </c>
    </row>
    <row r="674" spans="2:10">
      <c r="B674" s="140" t="s">
        <v>310</v>
      </c>
      <c r="C674" s="140" t="s">
        <v>453</v>
      </c>
      <c r="D674" s="140" t="s">
        <v>355</v>
      </c>
      <c r="E674" s="140" t="s">
        <v>356</v>
      </c>
      <c r="F674" s="314">
        <v>96594.995234634887</v>
      </c>
      <c r="G674" s="314">
        <v>113989.20815161843</v>
      </c>
      <c r="H674" s="314">
        <v>117008.45252063524</v>
      </c>
      <c r="I674" s="314">
        <v>120381.35861336507</v>
      </c>
      <c r="J674" s="314">
        <v>123778.85289397852</v>
      </c>
    </row>
    <row r="675" spans="2:10">
      <c r="B675" s="140" t="s">
        <v>310</v>
      </c>
      <c r="C675" s="140" t="s">
        <v>453</v>
      </c>
      <c r="D675" s="140" t="s">
        <v>358</v>
      </c>
      <c r="E675" s="140" t="s">
        <v>364</v>
      </c>
      <c r="F675" s="314">
        <v>0</v>
      </c>
      <c r="G675" s="314">
        <v>47.385274787203137</v>
      </c>
      <c r="H675" s="314">
        <v>48.051433656800292</v>
      </c>
      <c r="I675" s="314">
        <v>48.718239014817492</v>
      </c>
      <c r="J675" s="314">
        <v>49.387271167077699</v>
      </c>
    </row>
    <row r="676" spans="2:10">
      <c r="B676" s="140" t="s">
        <v>310</v>
      </c>
      <c r="C676" s="140" t="s">
        <v>454</v>
      </c>
      <c r="D676" s="140" t="s">
        <v>355</v>
      </c>
      <c r="E676" s="140" t="s">
        <v>356</v>
      </c>
      <c r="F676" s="314">
        <v>38536.362171902896</v>
      </c>
      <c r="G676" s="314">
        <v>66792.215617993497</v>
      </c>
      <c r="H676" s="314">
        <v>68597.599693121214</v>
      </c>
      <c r="I676" s="314">
        <v>70609.211853146277</v>
      </c>
      <c r="J676" s="314">
        <v>72639.095846549259</v>
      </c>
    </row>
    <row r="677" spans="2:10">
      <c r="B677" s="140" t="s">
        <v>310</v>
      </c>
      <c r="C677" s="140" t="s">
        <v>454</v>
      </c>
      <c r="D677" s="140" t="s">
        <v>358</v>
      </c>
      <c r="E677" s="140" t="s">
        <v>364</v>
      </c>
      <c r="F677" s="314">
        <v>0</v>
      </c>
      <c r="G677" s="314">
        <v>7.166130873266682</v>
      </c>
      <c r="H677" s="314">
        <v>7.266874863110754</v>
      </c>
      <c r="I677" s="314">
        <v>7.3677166221594366</v>
      </c>
      <c r="J677" s="314">
        <v>7.4688951419221787</v>
      </c>
    </row>
    <row r="678" spans="2:10">
      <c r="B678" s="140" t="s">
        <v>310</v>
      </c>
      <c r="C678" s="140" t="s">
        <v>455</v>
      </c>
      <c r="D678" s="140" t="s">
        <v>355</v>
      </c>
      <c r="E678" s="140" t="s">
        <v>356</v>
      </c>
      <c r="F678" s="314">
        <v>25217.023387748366</v>
      </c>
      <c r="G678" s="314">
        <v>39745.122534168768</v>
      </c>
      <c r="H678" s="314">
        <v>41006.763381423341</v>
      </c>
      <c r="I678" s="314">
        <v>42385.576476189039</v>
      </c>
      <c r="J678" s="314">
        <v>43795.357776377699</v>
      </c>
    </row>
    <row r="679" spans="2:10">
      <c r="B679" s="140" t="s">
        <v>310</v>
      </c>
      <c r="C679" s="140" t="s">
        <v>455</v>
      </c>
      <c r="D679" s="140" t="s">
        <v>358</v>
      </c>
      <c r="E679" s="140" t="s">
        <v>364</v>
      </c>
      <c r="F679" s="314">
        <v>0</v>
      </c>
      <c r="G679" s="314">
        <v>5.5981569386031991</v>
      </c>
      <c r="H679" s="314">
        <v>5.676857799045492</v>
      </c>
      <c r="I679" s="314">
        <v>5.7556350364561721</v>
      </c>
      <c r="J679" s="314">
        <v>5.8346753501853561</v>
      </c>
    </row>
    <row r="680" spans="2:10">
      <c r="B680" s="140" t="s">
        <v>310</v>
      </c>
      <c r="C680" s="140" t="s">
        <v>456</v>
      </c>
      <c r="D680" s="140" t="s">
        <v>355</v>
      </c>
      <c r="E680" s="140" t="s">
        <v>356</v>
      </c>
      <c r="F680" s="314">
        <v>0</v>
      </c>
      <c r="G680" s="314">
        <v>25538.855753784086</v>
      </c>
      <c r="H680" s="314">
        <v>26216.285375447162</v>
      </c>
      <c r="I680" s="314">
        <v>26972.086793145263</v>
      </c>
      <c r="J680" s="314">
        <v>27733.783702973087</v>
      </c>
    </row>
    <row r="681" spans="2:10">
      <c r="B681" s="140" t="s">
        <v>310</v>
      </c>
      <c r="C681" s="140" t="s">
        <v>456</v>
      </c>
      <c r="D681" s="140" t="s">
        <v>709</v>
      </c>
      <c r="E681" s="140" t="s">
        <v>356</v>
      </c>
      <c r="F681" s="314">
        <v>0</v>
      </c>
      <c r="G681" s="314">
        <v>0</v>
      </c>
      <c r="H681" s="314">
        <v>0</v>
      </c>
      <c r="I681" s="314">
        <v>0</v>
      </c>
      <c r="J681" s="314">
        <v>0</v>
      </c>
    </row>
    <row r="682" spans="2:10">
      <c r="B682" s="140" t="s">
        <v>310</v>
      </c>
      <c r="C682" s="140" t="s">
        <v>456</v>
      </c>
      <c r="D682" s="140" t="s">
        <v>353</v>
      </c>
      <c r="E682" s="140" t="s">
        <v>354</v>
      </c>
      <c r="F682" s="314">
        <v>0</v>
      </c>
      <c r="G682" s="314">
        <v>0</v>
      </c>
      <c r="H682" s="314">
        <v>0</v>
      </c>
      <c r="I682" s="314">
        <v>0</v>
      </c>
      <c r="J682" s="314">
        <v>0</v>
      </c>
    </row>
    <row r="683" spans="2:10">
      <c r="B683" s="140" t="s">
        <v>310</v>
      </c>
      <c r="C683" s="140" t="s">
        <v>457</v>
      </c>
      <c r="D683" s="140" t="s">
        <v>355</v>
      </c>
      <c r="E683" s="140" t="s">
        <v>356</v>
      </c>
      <c r="F683" s="314">
        <v>32176.948857749754</v>
      </c>
      <c r="G683" s="314">
        <v>40216.174093460548</v>
      </c>
      <c r="H683" s="314">
        <v>41508.750542004469</v>
      </c>
      <c r="I683" s="314">
        <v>42917.911030990974</v>
      </c>
      <c r="J683" s="314">
        <v>44360.627829361547</v>
      </c>
    </row>
    <row r="684" spans="2:10">
      <c r="B684" s="140" t="s">
        <v>310</v>
      </c>
      <c r="C684" s="140" t="s">
        <v>458</v>
      </c>
      <c r="D684" s="140" t="s">
        <v>355</v>
      </c>
      <c r="E684" s="140" t="s">
        <v>356</v>
      </c>
      <c r="F684" s="314">
        <v>126081.67255080095</v>
      </c>
      <c r="G684" s="314">
        <v>160706.9284503778</v>
      </c>
      <c r="H684" s="314">
        <v>163027.93225701409</v>
      </c>
      <c r="I684" s="314">
        <v>172821.05347876489</v>
      </c>
      <c r="J684" s="314">
        <v>172637.45876631638</v>
      </c>
    </row>
    <row r="685" spans="2:10">
      <c r="B685" s="140" t="s">
        <v>310</v>
      </c>
      <c r="C685" s="140" t="s">
        <v>459</v>
      </c>
      <c r="D685" s="140" t="s">
        <v>355</v>
      </c>
      <c r="E685" s="140" t="s">
        <v>356</v>
      </c>
      <c r="F685" s="314">
        <v>151751.33299377162</v>
      </c>
      <c r="G685" s="314">
        <v>203166.09547109852</v>
      </c>
      <c r="H685" s="314">
        <v>191500.04835941776</v>
      </c>
      <c r="I685" s="314">
        <v>246905.3069762883</v>
      </c>
      <c r="J685" s="314">
        <v>216635.83125701969</v>
      </c>
    </row>
    <row r="686" spans="2:10">
      <c r="B686" s="140" t="s">
        <v>310</v>
      </c>
      <c r="C686" s="140" t="s">
        <v>460</v>
      </c>
      <c r="D686" s="140" t="s">
        <v>355</v>
      </c>
      <c r="E686" s="140" t="s">
        <v>356</v>
      </c>
      <c r="F686" s="314">
        <v>71495.37709963102</v>
      </c>
      <c r="G686" s="314">
        <v>87714.623526257346</v>
      </c>
      <c r="H686" s="314">
        <v>89050.438686652371</v>
      </c>
      <c r="I686" s="314">
        <v>95645.521798803427</v>
      </c>
      <c r="J686" s="314">
        <v>95048.540724114544</v>
      </c>
    </row>
    <row r="687" spans="2:10">
      <c r="B687" s="140" t="s">
        <v>310</v>
      </c>
      <c r="C687" s="140" t="s">
        <v>461</v>
      </c>
      <c r="D687" s="140" t="s">
        <v>355</v>
      </c>
      <c r="E687" s="140" t="s">
        <v>356</v>
      </c>
      <c r="F687" s="314">
        <v>287737.47292827367</v>
      </c>
      <c r="G687" s="314">
        <v>364007.610219975</v>
      </c>
      <c r="H687" s="314">
        <v>391681.7760375982</v>
      </c>
      <c r="I687" s="314">
        <v>422015.80273758277</v>
      </c>
      <c r="J687" s="314">
        <v>454999.16343218321</v>
      </c>
    </row>
    <row r="688" spans="2:10">
      <c r="B688" s="140" t="s">
        <v>310</v>
      </c>
      <c r="C688" s="140" t="s">
        <v>462</v>
      </c>
      <c r="D688" s="140" t="s">
        <v>355</v>
      </c>
      <c r="E688" s="140" t="s">
        <v>356</v>
      </c>
      <c r="F688" s="314">
        <v>42271.257238361643</v>
      </c>
      <c r="G688" s="314">
        <v>55198.189013516421</v>
      </c>
      <c r="H688" s="314">
        <v>56626.140816765685</v>
      </c>
      <c r="I688" s="314">
        <v>58215.451746327395</v>
      </c>
      <c r="J688" s="314">
        <v>59816.68695376112</v>
      </c>
    </row>
    <row r="689" spans="2:10">
      <c r="B689" s="140" t="s">
        <v>310</v>
      </c>
      <c r="C689" s="140" t="s">
        <v>463</v>
      </c>
      <c r="D689" s="140" t="s">
        <v>355</v>
      </c>
      <c r="E689" s="140" t="s">
        <v>356</v>
      </c>
      <c r="F689" s="314">
        <v>44054.039726601637</v>
      </c>
      <c r="G689" s="314">
        <v>55475.032338024794</v>
      </c>
      <c r="H689" s="314">
        <v>55742.592670999482</v>
      </c>
      <c r="I689" s="314">
        <v>59337.287343476164</v>
      </c>
      <c r="J689" s="314">
        <v>58387.015563753906</v>
      </c>
    </row>
    <row r="690" spans="2:10">
      <c r="B690" s="140" t="s">
        <v>310</v>
      </c>
      <c r="C690" s="140" t="s">
        <v>464</v>
      </c>
      <c r="D690" s="140" t="s">
        <v>355</v>
      </c>
      <c r="E690" s="140" t="s">
        <v>356</v>
      </c>
      <c r="F690" s="314">
        <v>28761.272271825059</v>
      </c>
      <c r="G690" s="314">
        <v>37075.055343512038</v>
      </c>
      <c r="H690" s="314">
        <v>37195.227013561896</v>
      </c>
      <c r="I690" s="314">
        <v>39553.087956478623</v>
      </c>
      <c r="J690" s="314">
        <v>38854.579731620797</v>
      </c>
    </row>
    <row r="691" spans="2:10">
      <c r="B691" s="140" t="s">
        <v>310</v>
      </c>
      <c r="C691" s="140" t="s">
        <v>710</v>
      </c>
      <c r="D691" s="140" t="s">
        <v>355</v>
      </c>
      <c r="E691" s="140" t="s">
        <v>356</v>
      </c>
      <c r="F691" s="314">
        <v>194854.83723175112</v>
      </c>
      <c r="G691" s="314">
        <v>233197.20391833264</v>
      </c>
      <c r="H691" s="314">
        <v>239551.1733541271</v>
      </c>
      <c r="I691" s="314">
        <v>246623.66384223709</v>
      </c>
      <c r="J691" s="314">
        <v>253765.38495943946</v>
      </c>
    </row>
    <row r="692" spans="2:10">
      <c r="B692" s="140" t="s">
        <v>310</v>
      </c>
      <c r="C692" s="140" t="s">
        <v>711</v>
      </c>
      <c r="D692" s="140" t="s">
        <v>355</v>
      </c>
      <c r="E692" s="140" t="s">
        <v>356</v>
      </c>
      <c r="F692" s="314">
        <v>50662.723829138762</v>
      </c>
      <c r="G692" s="314">
        <v>66285.35329779367</v>
      </c>
      <c r="H692" s="314">
        <v>68089.820344589476</v>
      </c>
      <c r="I692" s="314">
        <v>70098.572102456455</v>
      </c>
      <c r="J692" s="314">
        <v>72126.828303932765</v>
      </c>
    </row>
    <row r="693" spans="2:10">
      <c r="B693" s="140" t="s">
        <v>310</v>
      </c>
      <c r="C693" s="140" t="s">
        <v>712</v>
      </c>
      <c r="D693" s="140" t="s">
        <v>355</v>
      </c>
      <c r="E693" s="140" t="s">
        <v>356</v>
      </c>
      <c r="F693" s="314">
        <v>3.0810131272298875</v>
      </c>
      <c r="G693" s="314">
        <v>0</v>
      </c>
      <c r="H693" s="314">
        <v>0</v>
      </c>
      <c r="I693" s="314">
        <v>0</v>
      </c>
      <c r="J693" s="314">
        <v>0</v>
      </c>
    </row>
    <row r="694" spans="2:10">
      <c r="B694" s="140" t="s">
        <v>310</v>
      </c>
      <c r="C694" s="140" t="s">
        <v>712</v>
      </c>
      <c r="D694" s="140" t="s">
        <v>358</v>
      </c>
      <c r="E694" s="140" t="s">
        <v>364</v>
      </c>
      <c r="F694" s="314">
        <v>20.66846306183383</v>
      </c>
      <c r="G694" s="314">
        <v>0</v>
      </c>
      <c r="H694" s="314">
        <v>0</v>
      </c>
      <c r="I694" s="314">
        <v>0</v>
      </c>
      <c r="J694" s="314">
        <v>0</v>
      </c>
    </row>
    <row r="695" spans="2:10">
      <c r="B695" s="140" t="s">
        <v>310</v>
      </c>
      <c r="C695" s="140" t="s">
        <v>465</v>
      </c>
      <c r="D695" s="140" t="s">
        <v>355</v>
      </c>
      <c r="E695" s="140" t="s">
        <v>356</v>
      </c>
      <c r="F695" s="314">
        <v>41562.479599284452</v>
      </c>
      <c r="G695" s="314">
        <v>32241.039085737819</v>
      </c>
      <c r="H695" s="314">
        <v>33093.749534453527</v>
      </c>
      <c r="I695" s="314">
        <v>34032.362592746766</v>
      </c>
      <c r="J695" s="314">
        <v>34982.566893290619</v>
      </c>
    </row>
    <row r="696" spans="2:10">
      <c r="B696" s="140" t="s">
        <v>310</v>
      </c>
      <c r="C696" s="140" t="s">
        <v>466</v>
      </c>
      <c r="D696" s="140" t="s">
        <v>355</v>
      </c>
      <c r="E696" s="140" t="s">
        <v>356</v>
      </c>
      <c r="F696" s="314">
        <v>135792.53629372636</v>
      </c>
      <c r="G696" s="314">
        <v>179821.7289963415</v>
      </c>
      <c r="H696" s="314">
        <v>180303.84676614805</v>
      </c>
      <c r="I696" s="314">
        <v>187147.83137180298</v>
      </c>
      <c r="J696" s="314">
        <v>194090.11140941651</v>
      </c>
    </row>
    <row r="697" spans="2:10">
      <c r="B697" s="140" t="s">
        <v>310</v>
      </c>
      <c r="C697" s="140" t="s">
        <v>467</v>
      </c>
      <c r="D697" s="140" t="s">
        <v>355</v>
      </c>
      <c r="E697" s="140" t="s">
        <v>356</v>
      </c>
      <c r="F697" s="314">
        <v>74439.891274893904</v>
      </c>
      <c r="G697" s="314">
        <v>98346.463811243884</v>
      </c>
      <c r="H697" s="314">
        <v>100951.61407938277</v>
      </c>
      <c r="I697" s="314">
        <v>103861.99247546011</v>
      </c>
      <c r="J697" s="314">
        <v>106793.57438391683</v>
      </c>
    </row>
    <row r="698" spans="2:10">
      <c r="B698" s="140" t="s">
        <v>310</v>
      </c>
      <c r="C698" s="140" t="s">
        <v>468</v>
      </c>
      <c r="D698" s="140" t="s">
        <v>355</v>
      </c>
      <c r="E698" s="140" t="s">
        <v>356</v>
      </c>
      <c r="F698" s="314">
        <v>115382.99847800485</v>
      </c>
      <c r="G698" s="314">
        <v>140064.20709137441</v>
      </c>
      <c r="H698" s="314">
        <v>140001.16065413968</v>
      </c>
      <c r="I698" s="314">
        <v>144547.43425313645</v>
      </c>
      <c r="J698" s="314">
        <v>149121.26450851763</v>
      </c>
    </row>
    <row r="699" spans="2:10">
      <c r="B699" s="140" t="s">
        <v>310</v>
      </c>
      <c r="C699" s="140" t="s">
        <v>469</v>
      </c>
      <c r="D699" s="140" t="s">
        <v>355</v>
      </c>
      <c r="E699" s="140" t="s">
        <v>356</v>
      </c>
      <c r="F699" s="314">
        <v>112023.32353981088</v>
      </c>
      <c r="G699" s="314">
        <v>146698.60745677297</v>
      </c>
      <c r="H699" s="314">
        <v>150913.18021241072</v>
      </c>
      <c r="I699" s="314">
        <v>155573.32049315594</v>
      </c>
      <c r="J699" s="314">
        <v>160300.33754063776</v>
      </c>
    </row>
    <row r="700" spans="2:10">
      <c r="B700" s="140" t="s">
        <v>310</v>
      </c>
      <c r="C700" s="140" t="s">
        <v>470</v>
      </c>
      <c r="D700" s="140" t="s">
        <v>355</v>
      </c>
      <c r="E700" s="140" t="s">
        <v>356</v>
      </c>
      <c r="F700" s="314">
        <v>1841923.5179707916</v>
      </c>
      <c r="G700" s="314">
        <v>1949243.5797085764</v>
      </c>
      <c r="H700" s="314">
        <v>2061143.3023813076</v>
      </c>
      <c r="I700" s="314">
        <v>2301148.7433806248</v>
      </c>
      <c r="J700" s="314">
        <v>2374453.680361595</v>
      </c>
    </row>
    <row r="701" spans="2:10">
      <c r="B701" s="140" t="s">
        <v>310</v>
      </c>
      <c r="C701" s="140" t="s">
        <v>471</v>
      </c>
      <c r="D701" s="140" t="s">
        <v>355</v>
      </c>
      <c r="E701" s="140" t="s">
        <v>356</v>
      </c>
      <c r="F701" s="314">
        <v>82320.100878136247</v>
      </c>
      <c r="G701" s="314">
        <v>100939.25802210376</v>
      </c>
      <c r="H701" s="314">
        <v>103506.65638813085</v>
      </c>
      <c r="I701" s="314">
        <v>112641.60400624578</v>
      </c>
      <c r="J701" s="314">
        <v>112732.01907665144</v>
      </c>
    </row>
    <row r="702" spans="2:10">
      <c r="B702" s="140" t="s">
        <v>310</v>
      </c>
      <c r="C702" s="140" t="s">
        <v>472</v>
      </c>
      <c r="D702" s="140" t="s">
        <v>355</v>
      </c>
      <c r="E702" s="140" t="s">
        <v>356</v>
      </c>
      <c r="F702" s="314">
        <v>59422.866571284663</v>
      </c>
      <c r="G702" s="314">
        <v>200763.30776764287</v>
      </c>
      <c r="H702" s="314">
        <v>208839.30197395309</v>
      </c>
      <c r="I702" s="314">
        <v>217454.33487458259</v>
      </c>
      <c r="J702" s="314">
        <v>226409.30285571812</v>
      </c>
    </row>
    <row r="703" spans="2:10">
      <c r="B703" s="140" t="s">
        <v>310</v>
      </c>
      <c r="C703" s="140" t="s">
        <v>473</v>
      </c>
      <c r="D703" s="140" t="s">
        <v>355</v>
      </c>
      <c r="E703" s="140" t="s">
        <v>356</v>
      </c>
      <c r="F703" s="314">
        <v>73212.15043434815</v>
      </c>
      <c r="G703" s="314">
        <v>76542.946744344808</v>
      </c>
      <c r="H703" s="314">
        <v>79066.52746470178</v>
      </c>
      <c r="I703" s="314">
        <v>81808.695955907446</v>
      </c>
      <c r="J703" s="314">
        <v>84622.01739599205</v>
      </c>
    </row>
    <row r="704" spans="2:10">
      <c r="B704" s="140" t="s">
        <v>310</v>
      </c>
      <c r="C704" s="140" t="s">
        <v>474</v>
      </c>
      <c r="D704" s="140" t="s">
        <v>355</v>
      </c>
      <c r="E704" s="140" t="s">
        <v>356</v>
      </c>
      <c r="F704" s="314">
        <v>57656.008704229935</v>
      </c>
      <c r="G704" s="314">
        <v>72968.412374152191</v>
      </c>
      <c r="H704" s="314">
        <v>74894.92156853505</v>
      </c>
      <c r="I704" s="314">
        <v>77044.204603082559</v>
      </c>
      <c r="J704" s="314">
        <v>79209.84140735658</v>
      </c>
    </row>
    <row r="705" spans="2:10">
      <c r="B705" s="140" t="s">
        <v>310</v>
      </c>
      <c r="C705" s="140" t="s">
        <v>475</v>
      </c>
      <c r="D705" s="140" t="s">
        <v>355</v>
      </c>
      <c r="E705" s="140" t="s">
        <v>356</v>
      </c>
      <c r="F705" s="314">
        <v>177044.59974381531</v>
      </c>
      <c r="G705" s="314">
        <v>196328.674254179</v>
      </c>
      <c r="H705" s="314">
        <v>202380.03494152878</v>
      </c>
      <c r="I705" s="314">
        <v>209006.38469221361</v>
      </c>
      <c r="J705" s="314">
        <v>215769.40258295662</v>
      </c>
    </row>
    <row r="706" spans="2:10">
      <c r="B706" s="140" t="s">
        <v>310</v>
      </c>
      <c r="C706" s="140" t="s">
        <v>713</v>
      </c>
      <c r="D706" s="140" t="s">
        <v>355</v>
      </c>
      <c r="E706" s="140" t="s">
        <v>356</v>
      </c>
      <c r="F706" s="314">
        <v>63710.229188173871</v>
      </c>
      <c r="G706" s="314">
        <v>30503.319176610559</v>
      </c>
      <c r="H706" s="314">
        <v>31120.734653064792</v>
      </c>
      <c r="I706" s="314">
        <v>31778.953129948546</v>
      </c>
      <c r="J706" s="314">
        <v>32443.349206319159</v>
      </c>
    </row>
    <row r="707" spans="2:10">
      <c r="B707" s="140"/>
      <c r="C707" s="140"/>
      <c r="D707" s="140"/>
      <c r="E707" s="140"/>
    </row>
    <row r="708" spans="2:10">
      <c r="B708" s="315" t="str">
        <f>B706</f>
        <v>Metering 5-6 - Corporate OH</v>
      </c>
      <c r="C708" s="315"/>
      <c r="D708" s="315"/>
      <c r="E708" s="315"/>
      <c r="F708" s="316">
        <f>SUM(F576:F706)</f>
        <v>9522785.2905452754</v>
      </c>
      <c r="G708" s="316">
        <f t="shared" ref="G708:J708" si="2">SUM(G576:G706)</f>
        <v>10098007.267036974</v>
      </c>
      <c r="H708" s="316">
        <f t="shared" si="2"/>
        <v>10311935.959065689</v>
      </c>
      <c r="I708" s="316">
        <f t="shared" si="2"/>
        <v>11015166.536082301</v>
      </c>
      <c r="J708" s="316">
        <f t="shared" si="2"/>
        <v>11337904.496711636</v>
      </c>
    </row>
    <row r="709" spans="2:10" s="2" customFormat="1">
      <c r="B709" s="315" t="str">
        <f>B706</f>
        <v>Metering 5-6 - Corporate OH</v>
      </c>
      <c r="C709" s="315" t="s">
        <v>4</v>
      </c>
      <c r="D709" s="315" t="s">
        <v>352</v>
      </c>
      <c r="E709" s="315" t="s">
        <v>3</v>
      </c>
      <c r="F709" s="316">
        <v>9522785.2905452754</v>
      </c>
      <c r="G709" s="316">
        <v>10098007.267036978</v>
      </c>
      <c r="H709" s="316">
        <v>10311935.959065692</v>
      </c>
      <c r="I709" s="316">
        <v>11015166.536082298</v>
      </c>
      <c r="J709" s="316">
        <v>11337904.49671164</v>
      </c>
    </row>
    <row r="710" spans="2:10">
      <c r="B710" s="317"/>
      <c r="C710" s="317"/>
      <c r="D710" s="317"/>
      <c r="E710" s="317"/>
      <c r="F710" s="318">
        <f>F708-F709</f>
        <v>0</v>
      </c>
      <c r="G710" s="318">
        <f>G708-G709</f>
        <v>0</v>
      </c>
      <c r="H710" s="318">
        <f>H708-H709</f>
        <v>0</v>
      </c>
      <c r="I710" s="318">
        <f>I708-I709</f>
        <v>0</v>
      </c>
      <c r="J710" s="318">
        <f>J708-J709</f>
        <v>0</v>
      </c>
    </row>
    <row r="712" spans="2:10">
      <c r="B712" s="200" t="s">
        <v>333</v>
      </c>
    </row>
    <row r="713" spans="2:10">
      <c r="B713" s="200" t="s">
        <v>729</v>
      </c>
    </row>
  </sheetData>
  <autoFilter ref="B21:J710"/>
  <mergeCells count="5">
    <mergeCell ref="B6:J6"/>
    <mergeCell ref="B8:J8"/>
    <mergeCell ref="B9:J9"/>
    <mergeCell ref="B11:J11"/>
    <mergeCell ref="B13:C1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1"/>
  <sheetViews>
    <sheetView showGridLines="0" topLeftCell="A16" workbookViewId="0"/>
  </sheetViews>
  <sheetFormatPr defaultRowHeight="12.75"/>
  <cols>
    <col min="1" max="1" width="2.85546875" style="1" customWidth="1"/>
    <col min="2" max="2" width="20.5703125" style="1" bestFit="1" customWidth="1"/>
    <col min="3" max="3" width="26.5703125" style="1" bestFit="1" customWidth="1"/>
    <col min="4" max="4" width="12" style="1" bestFit="1" customWidth="1"/>
    <col min="5" max="6" width="12.7109375" style="1" bestFit="1" customWidth="1"/>
    <col min="7" max="7" width="12" style="1" bestFit="1" customWidth="1"/>
    <col min="8" max="8" width="12.7109375" style="1" bestFit="1" customWidth="1"/>
    <col min="9" max="16384" width="9.140625" style="1"/>
  </cols>
  <sheetData>
    <row r="2" spans="1:8" ht="15.75">
      <c r="A2" s="254" t="s">
        <v>503</v>
      </c>
    </row>
    <row r="3" spans="1:8" ht="15.75">
      <c r="A3" s="254" t="s">
        <v>722</v>
      </c>
    </row>
    <row r="4" spans="1:8" ht="15.75">
      <c r="A4" s="255" t="s">
        <v>499</v>
      </c>
    </row>
    <row r="5" spans="1:8">
      <c r="A5" s="2"/>
    </row>
    <row r="6" spans="1:8">
      <c r="A6" s="2"/>
      <c r="B6" s="445" t="s">
        <v>723</v>
      </c>
      <c r="C6" s="446"/>
      <c r="D6" s="446"/>
      <c r="E6" s="446"/>
      <c r="F6" s="446"/>
      <c r="G6" s="446"/>
      <c r="H6" s="447"/>
    </row>
    <row r="8" spans="1:8">
      <c r="B8" s="445" t="s">
        <v>20</v>
      </c>
      <c r="C8" s="446"/>
      <c r="D8" s="446"/>
      <c r="E8" s="446"/>
      <c r="F8" s="446"/>
      <c r="G8" s="446"/>
      <c r="H8" s="447"/>
    </row>
    <row r="9" spans="1:8" ht="27.75" customHeight="1">
      <c r="B9" s="477" t="s">
        <v>724</v>
      </c>
      <c r="C9" s="478"/>
      <c r="D9" s="478"/>
      <c r="E9" s="478"/>
      <c r="F9" s="478"/>
      <c r="G9" s="478"/>
      <c r="H9" s="479"/>
    </row>
    <row r="11" spans="1:8">
      <c r="B11" s="445" t="s">
        <v>21</v>
      </c>
      <c r="C11" s="446"/>
      <c r="D11" s="446"/>
      <c r="E11" s="446"/>
      <c r="F11" s="446"/>
      <c r="G11" s="446"/>
      <c r="H11" s="447"/>
    </row>
    <row r="13" spans="1:8">
      <c r="B13" s="496" t="s">
        <v>350</v>
      </c>
      <c r="C13" s="497"/>
    </row>
    <row r="14" spans="1:8">
      <c r="B14" s="138" t="s">
        <v>0</v>
      </c>
      <c r="C14" s="137" t="s">
        <v>826</v>
      </c>
    </row>
    <row r="15" spans="1:8">
      <c r="B15" s="138" t="s">
        <v>30</v>
      </c>
      <c r="C15" s="137" t="s">
        <v>824</v>
      </c>
    </row>
    <row r="16" spans="1:8">
      <c r="B16" s="138" t="s">
        <v>32</v>
      </c>
      <c r="C16" s="137" t="s">
        <v>825</v>
      </c>
    </row>
    <row r="17" spans="2:8">
      <c r="B17" s="138" t="s">
        <v>34</v>
      </c>
      <c r="C17" s="137" t="s">
        <v>613</v>
      </c>
    </row>
    <row r="18" spans="2:8">
      <c r="B18" s="138" t="s">
        <v>33</v>
      </c>
      <c r="C18" s="137" t="s">
        <v>827</v>
      </c>
    </row>
    <row r="19" spans="2:8">
      <c r="B19" s="138" t="s">
        <v>351</v>
      </c>
      <c r="C19" s="137" t="s">
        <v>51</v>
      </c>
    </row>
    <row r="20" spans="2:8">
      <c r="B20" s="138" t="s">
        <v>35</v>
      </c>
      <c r="C20" s="137" t="s">
        <v>3</v>
      </c>
    </row>
    <row r="22" spans="2:8">
      <c r="D22" s="224" t="s">
        <v>42</v>
      </c>
      <c r="E22" s="224" t="s">
        <v>43</v>
      </c>
      <c r="F22" s="224" t="s">
        <v>44</v>
      </c>
      <c r="G22" s="224" t="s">
        <v>45</v>
      </c>
      <c r="H22" s="224" t="s">
        <v>46</v>
      </c>
    </row>
    <row r="23" spans="2:8" s="7" customFormat="1">
      <c r="D23" s="139"/>
      <c r="E23" s="139"/>
      <c r="F23" s="139"/>
      <c r="G23" s="139"/>
      <c r="H23" s="139"/>
    </row>
    <row r="24" spans="2:8">
      <c r="B24" s="315" t="s">
        <v>4</v>
      </c>
      <c r="C24" s="315" t="s">
        <v>1</v>
      </c>
      <c r="D24" s="320">
        <v>9666802.2488822397</v>
      </c>
      <c r="E24" s="320">
        <v>9948021.4135008566</v>
      </c>
      <c r="F24" s="320">
        <v>10270503.848838376</v>
      </c>
      <c r="G24" s="320">
        <v>10603833.945059335</v>
      </c>
      <c r="H24" s="320">
        <v>10956082.793685818</v>
      </c>
    </row>
    <row r="25" spans="2:8">
      <c r="B25" s="140" t="s">
        <v>4</v>
      </c>
      <c r="C25" s="156" t="s">
        <v>715</v>
      </c>
      <c r="D25" s="321">
        <v>8994208.9281047843</v>
      </c>
      <c r="E25" s="321">
        <v>9948021.4135008566</v>
      </c>
      <c r="F25" s="321">
        <v>10270503.848838376</v>
      </c>
      <c r="G25" s="321">
        <v>10603833.945059335</v>
      </c>
      <c r="H25" s="321">
        <v>10956082.793685818</v>
      </c>
    </row>
    <row r="26" spans="2:8">
      <c r="B26" s="140" t="s">
        <v>4</v>
      </c>
      <c r="C26" s="156" t="s">
        <v>716</v>
      </c>
      <c r="D26" s="321">
        <v>672593.32077745628</v>
      </c>
      <c r="E26" s="321">
        <v>0</v>
      </c>
      <c r="F26" s="321">
        <v>0</v>
      </c>
      <c r="G26" s="321">
        <v>0</v>
      </c>
      <c r="H26" s="321">
        <v>0</v>
      </c>
    </row>
    <row r="27" spans="2:8">
      <c r="B27" s="140" t="s">
        <v>4</v>
      </c>
      <c r="C27" s="156" t="s">
        <v>717</v>
      </c>
      <c r="D27" s="321">
        <v>0</v>
      </c>
      <c r="E27" s="321">
        <v>0</v>
      </c>
      <c r="F27" s="321">
        <v>0</v>
      </c>
      <c r="G27" s="321">
        <v>0</v>
      </c>
      <c r="H27" s="321">
        <v>0</v>
      </c>
    </row>
    <row r="28" spans="2:8">
      <c r="B28" s="249"/>
      <c r="C28" s="156"/>
      <c r="D28" s="321"/>
      <c r="E28" s="321"/>
      <c r="F28" s="321"/>
      <c r="G28" s="321"/>
      <c r="H28" s="321"/>
    </row>
    <row r="29" spans="2:8">
      <c r="B29" s="315" t="s">
        <v>718</v>
      </c>
      <c r="C29" s="315" t="s">
        <v>1</v>
      </c>
      <c r="D29" s="320">
        <v>4934785.4691936597</v>
      </c>
      <c r="E29" s="320">
        <v>4380078.4299077969</v>
      </c>
      <c r="F29" s="320">
        <v>4489580.3906554906</v>
      </c>
      <c r="G29" s="320">
        <v>4601819.9004218793</v>
      </c>
      <c r="H29" s="320">
        <v>4716865.3979324251</v>
      </c>
    </row>
    <row r="30" spans="2:8">
      <c r="B30" s="140" t="s">
        <v>718</v>
      </c>
      <c r="C30" s="156" t="s">
        <v>715</v>
      </c>
      <c r="D30" s="321">
        <v>4934785.4691936597</v>
      </c>
      <c r="E30" s="321">
        <v>4380078.4299077969</v>
      </c>
      <c r="F30" s="321">
        <v>4489580.3906554906</v>
      </c>
      <c r="G30" s="321">
        <v>4601819.9004218793</v>
      </c>
      <c r="H30" s="321">
        <v>4716865.3979324251</v>
      </c>
    </row>
    <row r="31" spans="2:8">
      <c r="B31" s="140" t="s">
        <v>718</v>
      </c>
      <c r="C31" s="156" t="s">
        <v>717</v>
      </c>
      <c r="D31" s="321">
        <v>0</v>
      </c>
      <c r="E31" s="321">
        <v>0</v>
      </c>
      <c r="F31" s="321">
        <v>0</v>
      </c>
      <c r="G31" s="321">
        <v>0</v>
      </c>
      <c r="H31" s="321">
        <v>0</v>
      </c>
    </row>
    <row r="32" spans="2:8">
      <c r="B32" s="249"/>
      <c r="C32" s="156"/>
      <c r="D32" s="321"/>
      <c r="E32" s="321"/>
      <c r="F32" s="321"/>
      <c r="G32" s="321"/>
      <c r="H32" s="321"/>
    </row>
    <row r="33" spans="2:8">
      <c r="B33" s="315" t="s">
        <v>719</v>
      </c>
      <c r="C33" s="315" t="s">
        <v>1</v>
      </c>
      <c r="D33" s="320">
        <v>4732016.77968858</v>
      </c>
      <c r="E33" s="320">
        <v>5567942.9835930588</v>
      </c>
      <c r="F33" s="320">
        <v>5780923.4581828853</v>
      </c>
      <c r="G33" s="320">
        <v>6002014.0446374575</v>
      </c>
      <c r="H33" s="320">
        <v>6239217.3957533929</v>
      </c>
    </row>
    <row r="34" spans="2:8">
      <c r="B34" s="140" t="s">
        <v>719</v>
      </c>
      <c r="C34" s="156" t="s">
        <v>715</v>
      </c>
      <c r="D34" s="321">
        <v>4059423.4589111237</v>
      </c>
      <c r="E34" s="321">
        <v>5567942.9835930588</v>
      </c>
      <c r="F34" s="321">
        <v>5780923.4581828853</v>
      </c>
      <c r="G34" s="321">
        <v>6002014.0446374575</v>
      </c>
      <c r="H34" s="321">
        <v>6239217.3957533929</v>
      </c>
    </row>
    <row r="35" spans="2:8">
      <c r="B35" s="140" t="s">
        <v>719</v>
      </c>
      <c r="C35" s="156" t="s">
        <v>716</v>
      </c>
      <c r="D35" s="321">
        <v>672593.32077745628</v>
      </c>
      <c r="E35" s="321">
        <v>0</v>
      </c>
      <c r="F35" s="321">
        <v>0</v>
      </c>
      <c r="G35" s="321">
        <v>0</v>
      </c>
      <c r="H35" s="321">
        <v>0</v>
      </c>
    </row>
    <row r="36" spans="2:8">
      <c r="B36" s="140" t="s">
        <v>719</v>
      </c>
      <c r="C36" s="156" t="s">
        <v>717</v>
      </c>
      <c r="D36" s="321">
        <v>0</v>
      </c>
      <c r="E36" s="321">
        <v>0</v>
      </c>
      <c r="F36" s="321">
        <v>0</v>
      </c>
      <c r="G36" s="321">
        <v>0</v>
      </c>
      <c r="H36" s="321">
        <v>0</v>
      </c>
    </row>
    <row r="38" spans="2:8">
      <c r="B38" s="179" t="s">
        <v>37</v>
      </c>
      <c r="C38" s="179"/>
      <c r="D38" s="322">
        <f>SUM(D33,D29)-D24</f>
        <v>0</v>
      </c>
      <c r="E38" s="322">
        <f t="shared" ref="E38:H38" si="0">SUM(E33,E29)-E24</f>
        <v>0</v>
      </c>
      <c r="F38" s="322">
        <f t="shared" si="0"/>
        <v>0</v>
      </c>
      <c r="G38" s="322">
        <f t="shared" si="0"/>
        <v>0</v>
      </c>
      <c r="H38" s="322">
        <f t="shared" si="0"/>
        <v>0</v>
      </c>
    </row>
    <row r="40" spans="2:8">
      <c r="B40" s="200" t="s">
        <v>333</v>
      </c>
    </row>
    <row r="41" spans="2:8">
      <c r="B41" s="200" t="s">
        <v>336</v>
      </c>
    </row>
  </sheetData>
  <mergeCells count="5">
    <mergeCell ref="B6:H6"/>
    <mergeCell ref="B8:H8"/>
    <mergeCell ref="B9:H9"/>
    <mergeCell ref="B11:H11"/>
    <mergeCell ref="B13:C1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1"/>
  <sheetViews>
    <sheetView showGridLines="0" workbookViewId="0"/>
  </sheetViews>
  <sheetFormatPr defaultRowHeight="12.75"/>
  <cols>
    <col min="1" max="1" width="3" style="1" customWidth="1"/>
    <col min="2" max="2" width="20.5703125" style="1" bestFit="1" customWidth="1"/>
    <col min="3" max="3" width="26.5703125" style="1" bestFit="1" customWidth="1"/>
    <col min="4" max="4" width="12" style="1" bestFit="1" customWidth="1"/>
    <col min="5" max="6" width="12.7109375" style="1" bestFit="1" customWidth="1"/>
    <col min="7" max="7" width="12" style="1" bestFit="1" customWidth="1"/>
    <col min="8" max="8" width="12.7109375" style="1" bestFit="1" customWidth="1"/>
    <col min="9" max="16384" width="9.140625" style="1"/>
  </cols>
  <sheetData>
    <row r="2" spans="1:8" ht="15.75">
      <c r="A2" s="254" t="s">
        <v>503</v>
      </c>
    </row>
    <row r="3" spans="1:8" ht="15.75">
      <c r="A3" s="254" t="s">
        <v>725</v>
      </c>
    </row>
    <row r="4" spans="1:8" ht="15.75">
      <c r="A4" s="255" t="s">
        <v>499</v>
      </c>
    </row>
    <row r="5" spans="1:8">
      <c r="A5" s="2"/>
    </row>
    <row r="6" spans="1:8">
      <c r="A6" s="2"/>
      <c r="B6" s="445" t="s">
        <v>726</v>
      </c>
      <c r="C6" s="446"/>
      <c r="D6" s="446"/>
      <c r="E6" s="446"/>
      <c r="F6" s="446"/>
      <c r="G6" s="446"/>
      <c r="H6" s="447"/>
    </row>
    <row r="8" spans="1:8">
      <c r="B8" s="445" t="s">
        <v>20</v>
      </c>
      <c r="C8" s="446"/>
      <c r="D8" s="446"/>
      <c r="E8" s="446"/>
      <c r="F8" s="446"/>
      <c r="G8" s="446"/>
      <c r="H8" s="447"/>
    </row>
    <row r="9" spans="1:8" ht="27.75" customHeight="1">
      <c r="B9" s="477" t="s">
        <v>727</v>
      </c>
      <c r="C9" s="478"/>
      <c r="D9" s="478"/>
      <c r="E9" s="478"/>
      <c r="F9" s="478"/>
      <c r="G9" s="478"/>
      <c r="H9" s="479"/>
    </row>
    <row r="11" spans="1:8">
      <c r="B11" s="445" t="s">
        <v>21</v>
      </c>
      <c r="C11" s="446"/>
      <c r="D11" s="446"/>
      <c r="E11" s="446"/>
      <c r="F11" s="446"/>
      <c r="G11" s="446"/>
      <c r="H11" s="447"/>
    </row>
    <row r="13" spans="1:8">
      <c r="B13" s="496" t="s">
        <v>350</v>
      </c>
      <c r="C13" s="497"/>
    </row>
    <row r="14" spans="1:8">
      <c r="B14" s="138" t="s">
        <v>0</v>
      </c>
      <c r="C14" s="137" t="s">
        <v>826</v>
      </c>
    </row>
    <row r="15" spans="1:8">
      <c r="B15" s="138" t="s">
        <v>30</v>
      </c>
      <c r="C15" s="137" t="s">
        <v>824</v>
      </c>
    </row>
    <row r="16" spans="1:8">
      <c r="B16" s="138" t="s">
        <v>32</v>
      </c>
      <c r="C16" s="137" t="s">
        <v>825</v>
      </c>
    </row>
    <row r="17" spans="2:8">
      <c r="B17" s="138" t="s">
        <v>34</v>
      </c>
      <c r="C17" s="137" t="s">
        <v>613</v>
      </c>
    </row>
    <row r="18" spans="2:8">
      <c r="B18" s="138" t="s">
        <v>33</v>
      </c>
      <c r="C18" s="137" t="s">
        <v>604</v>
      </c>
    </row>
    <row r="19" spans="2:8">
      <c r="B19" s="138" t="s">
        <v>351</v>
      </c>
      <c r="C19" s="137" t="s">
        <v>51</v>
      </c>
    </row>
    <row r="20" spans="2:8">
      <c r="B20" s="138" t="s">
        <v>35</v>
      </c>
      <c r="C20" s="137" t="s">
        <v>3</v>
      </c>
    </row>
    <row r="22" spans="2:8">
      <c r="D22" s="224" t="s">
        <v>42</v>
      </c>
      <c r="E22" s="224" t="s">
        <v>43</v>
      </c>
      <c r="F22" s="224" t="s">
        <v>44</v>
      </c>
      <c r="G22" s="224" t="s">
        <v>45</v>
      </c>
      <c r="H22" s="224" t="s">
        <v>46</v>
      </c>
    </row>
    <row r="23" spans="2:8" s="7" customFormat="1">
      <c r="D23" s="139"/>
      <c r="E23" s="139"/>
      <c r="F23" s="139"/>
      <c r="G23" s="139"/>
      <c r="H23" s="139"/>
    </row>
    <row r="24" spans="2:8">
      <c r="B24" s="315" t="s">
        <v>4</v>
      </c>
      <c r="C24" s="315" t="s">
        <v>1</v>
      </c>
      <c r="D24" s="320">
        <v>9666802.2489215788</v>
      </c>
      <c r="E24" s="320">
        <v>9997292.9026359711</v>
      </c>
      <c r="F24" s="320">
        <v>10388148.923181711</v>
      </c>
      <c r="G24" s="320">
        <v>10808016.216817519</v>
      </c>
      <c r="H24" s="320">
        <v>11249062.113326587</v>
      </c>
    </row>
    <row r="25" spans="2:8">
      <c r="B25" s="140" t="s">
        <v>4</v>
      </c>
      <c r="C25" s="156" t="s">
        <v>715</v>
      </c>
      <c r="D25" s="321">
        <v>8994208.9281412642</v>
      </c>
      <c r="E25" s="321">
        <v>9997292.9026359711</v>
      </c>
      <c r="F25" s="321">
        <v>10388148.923181711</v>
      </c>
      <c r="G25" s="321">
        <v>10808016.216817519</v>
      </c>
      <c r="H25" s="321">
        <v>11249062.113326587</v>
      </c>
    </row>
    <row r="26" spans="2:8">
      <c r="B26" s="140" t="s">
        <v>4</v>
      </c>
      <c r="C26" s="156" t="s">
        <v>716</v>
      </c>
      <c r="D26" s="321">
        <v>672593.32078031451</v>
      </c>
      <c r="E26" s="321">
        <v>0</v>
      </c>
      <c r="F26" s="321">
        <v>0</v>
      </c>
      <c r="G26" s="321">
        <v>0</v>
      </c>
      <c r="H26" s="321">
        <v>0</v>
      </c>
    </row>
    <row r="27" spans="2:8">
      <c r="B27" s="140" t="s">
        <v>4</v>
      </c>
      <c r="C27" s="156" t="s">
        <v>717</v>
      </c>
      <c r="D27" s="321">
        <v>0</v>
      </c>
      <c r="E27" s="321">
        <v>0</v>
      </c>
      <c r="F27" s="321">
        <v>0</v>
      </c>
      <c r="G27" s="321">
        <v>0</v>
      </c>
      <c r="H27" s="321">
        <v>0</v>
      </c>
    </row>
    <row r="28" spans="2:8">
      <c r="B28" s="249"/>
      <c r="C28" s="156"/>
      <c r="D28" s="321"/>
      <c r="E28" s="321"/>
      <c r="F28" s="321"/>
      <c r="G28" s="321"/>
      <c r="H28" s="321"/>
    </row>
    <row r="29" spans="2:8">
      <c r="B29" s="315" t="s">
        <v>718</v>
      </c>
      <c r="C29" s="315" t="s">
        <v>1</v>
      </c>
      <c r="D29" s="320">
        <v>4934785.4692146303</v>
      </c>
      <c r="E29" s="320">
        <v>4389845.7689499389</v>
      </c>
      <c r="F29" s="320">
        <v>4512901.7748458143</v>
      </c>
      <c r="G29" s="320">
        <v>4642295.9954144228</v>
      </c>
      <c r="H29" s="320">
        <v>4774944.1854320327</v>
      </c>
    </row>
    <row r="30" spans="2:8">
      <c r="B30" s="140" t="s">
        <v>718</v>
      </c>
      <c r="C30" s="156" t="s">
        <v>715</v>
      </c>
      <c r="D30" s="321">
        <v>4934785.4692146303</v>
      </c>
      <c r="E30" s="321">
        <v>4389845.7689499389</v>
      </c>
      <c r="F30" s="321">
        <v>4512901.7748458143</v>
      </c>
      <c r="G30" s="321">
        <v>4642295.9954144228</v>
      </c>
      <c r="H30" s="321">
        <v>4774944.1854320327</v>
      </c>
    </row>
    <row r="31" spans="2:8">
      <c r="B31" s="140" t="s">
        <v>718</v>
      </c>
      <c r="C31" s="156" t="s">
        <v>717</v>
      </c>
      <c r="D31" s="321">
        <v>0</v>
      </c>
      <c r="E31" s="321">
        <v>0</v>
      </c>
      <c r="F31" s="321">
        <v>0</v>
      </c>
      <c r="G31" s="321">
        <v>0</v>
      </c>
      <c r="H31" s="321">
        <v>0</v>
      </c>
    </row>
    <row r="32" spans="2:8">
      <c r="B32" s="249"/>
      <c r="C32" s="156"/>
      <c r="D32" s="321"/>
      <c r="E32" s="321"/>
      <c r="F32" s="321"/>
      <c r="G32" s="321"/>
      <c r="H32" s="321"/>
    </row>
    <row r="33" spans="2:8">
      <c r="B33" s="315" t="s">
        <v>719</v>
      </c>
      <c r="C33" s="315" t="s">
        <v>1</v>
      </c>
      <c r="D33" s="320">
        <v>4732016.7797069494</v>
      </c>
      <c r="E33" s="320">
        <v>5607447.1336860331</v>
      </c>
      <c r="F33" s="320">
        <v>5875247.1483358955</v>
      </c>
      <c r="G33" s="320">
        <v>6165720.2214030949</v>
      </c>
      <c r="H33" s="320">
        <v>6474117.9278945532</v>
      </c>
    </row>
    <row r="34" spans="2:8">
      <c r="B34" s="140" t="s">
        <v>719</v>
      </c>
      <c r="C34" s="156" t="s">
        <v>715</v>
      </c>
      <c r="D34" s="321">
        <v>4059423.4589266349</v>
      </c>
      <c r="E34" s="321">
        <v>5607447.1336860331</v>
      </c>
      <c r="F34" s="321">
        <v>5875247.1483358955</v>
      </c>
      <c r="G34" s="321">
        <v>6165720.2214030949</v>
      </c>
      <c r="H34" s="321">
        <v>6474117.9278945532</v>
      </c>
    </row>
    <row r="35" spans="2:8">
      <c r="B35" s="140" t="s">
        <v>719</v>
      </c>
      <c r="C35" s="156" t="s">
        <v>716</v>
      </c>
      <c r="D35" s="321">
        <v>672593.32078031451</v>
      </c>
      <c r="E35" s="321">
        <v>0</v>
      </c>
      <c r="F35" s="321">
        <v>0</v>
      </c>
      <c r="G35" s="321">
        <v>0</v>
      </c>
      <c r="H35" s="321">
        <v>0</v>
      </c>
    </row>
    <row r="36" spans="2:8">
      <c r="B36" s="140" t="s">
        <v>719</v>
      </c>
      <c r="C36" s="156" t="s">
        <v>717</v>
      </c>
      <c r="D36" s="321">
        <v>0</v>
      </c>
      <c r="E36" s="321">
        <v>0</v>
      </c>
      <c r="F36" s="321">
        <v>0</v>
      </c>
      <c r="G36" s="321">
        <v>0</v>
      </c>
      <c r="H36" s="321">
        <v>0</v>
      </c>
    </row>
    <row r="38" spans="2:8">
      <c r="B38" s="179" t="s">
        <v>37</v>
      </c>
      <c r="C38" s="179"/>
      <c r="D38" s="322">
        <f>SUM(D33,D29)-D24</f>
        <v>0</v>
      </c>
      <c r="E38" s="322">
        <f t="shared" ref="E38:H38" si="0">SUM(E33,E29)-E24</f>
        <v>0</v>
      </c>
      <c r="F38" s="322">
        <f t="shared" si="0"/>
        <v>0</v>
      </c>
      <c r="G38" s="322">
        <f t="shared" si="0"/>
        <v>0</v>
      </c>
      <c r="H38" s="322">
        <f t="shared" si="0"/>
        <v>0</v>
      </c>
    </row>
    <row r="40" spans="2:8">
      <c r="B40" s="200" t="s">
        <v>333</v>
      </c>
    </row>
    <row r="41" spans="2:8">
      <c r="B41" s="200" t="s">
        <v>336</v>
      </c>
    </row>
  </sheetData>
  <mergeCells count="5">
    <mergeCell ref="B6:H6"/>
    <mergeCell ref="B8:H8"/>
    <mergeCell ref="B9:H9"/>
    <mergeCell ref="B11:H11"/>
    <mergeCell ref="B13:C1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S57"/>
  <sheetViews>
    <sheetView showGridLines="0" topLeftCell="A14" zoomScale="90" zoomScaleNormal="90" workbookViewId="0">
      <selection activeCell="G45" sqref="G45"/>
    </sheetView>
  </sheetViews>
  <sheetFormatPr defaultRowHeight="12.75"/>
  <cols>
    <col min="1" max="1" width="2.85546875" style="1" customWidth="1"/>
    <col min="2" max="2" width="44.28515625" style="10" customWidth="1"/>
    <col min="3" max="7" width="12.85546875" style="10" customWidth="1"/>
    <col min="8" max="8" width="50.5703125" style="43" customWidth="1"/>
    <col min="9" max="19" width="9.140625" style="10"/>
    <col min="20" max="16384" width="9.140625" style="1"/>
  </cols>
  <sheetData>
    <row r="2" spans="1:19" ht="15.75">
      <c r="A2" s="5" t="s">
        <v>503</v>
      </c>
    </row>
    <row r="3" spans="1:19" ht="15.75">
      <c r="A3" s="5" t="s">
        <v>55</v>
      </c>
    </row>
    <row r="4" spans="1:19" ht="15.75">
      <c r="A4" s="6" t="s">
        <v>499</v>
      </c>
    </row>
    <row r="6" spans="1:19">
      <c r="B6" s="445" t="s">
        <v>526</v>
      </c>
      <c r="C6" s="446"/>
      <c r="D6" s="446"/>
      <c r="E6" s="446"/>
      <c r="F6" s="446"/>
      <c r="G6" s="446"/>
      <c r="H6" s="447"/>
    </row>
    <row r="8" spans="1:19">
      <c r="B8" s="445" t="s">
        <v>20</v>
      </c>
      <c r="C8" s="446"/>
      <c r="D8" s="446"/>
      <c r="E8" s="446"/>
      <c r="F8" s="446"/>
      <c r="G8" s="446"/>
      <c r="H8" s="447"/>
    </row>
    <row r="9" spans="1:19">
      <c r="B9" s="489" t="s">
        <v>527</v>
      </c>
      <c r="C9" s="490"/>
      <c r="D9" s="490"/>
      <c r="E9" s="490"/>
      <c r="F9" s="490"/>
      <c r="G9" s="490"/>
      <c r="H9" s="491"/>
    </row>
    <row r="10" spans="1:19">
      <c r="B10" s="489" t="s">
        <v>487</v>
      </c>
      <c r="C10" s="490"/>
      <c r="D10" s="490"/>
      <c r="E10" s="490"/>
      <c r="F10" s="490"/>
      <c r="G10" s="490"/>
      <c r="H10" s="491"/>
    </row>
    <row r="12" spans="1:19">
      <c r="B12" s="445" t="s">
        <v>53</v>
      </c>
      <c r="C12" s="446"/>
      <c r="D12" s="446"/>
      <c r="E12" s="446"/>
      <c r="F12" s="446"/>
      <c r="G12" s="446"/>
      <c r="H12" s="447"/>
    </row>
    <row r="14" spans="1:19">
      <c r="C14" s="40" t="s">
        <v>42</v>
      </c>
      <c r="D14" s="40" t="s">
        <v>43</v>
      </c>
      <c r="E14" s="40" t="s">
        <v>44</v>
      </c>
      <c r="F14" s="40" t="s">
        <v>45</v>
      </c>
      <c r="G14" s="40" t="s">
        <v>46</v>
      </c>
      <c r="H14" s="45" t="s">
        <v>23</v>
      </c>
    </row>
    <row r="15" spans="1:19">
      <c r="B15" s="24"/>
      <c r="C15" s="24"/>
      <c r="D15" s="24"/>
      <c r="E15" s="24"/>
      <c r="F15" s="24"/>
      <c r="G15" s="24"/>
      <c r="H15" s="44"/>
    </row>
    <row r="16" spans="1:19">
      <c r="B16" s="494" t="s">
        <v>528</v>
      </c>
      <c r="C16" s="494"/>
      <c r="D16" s="494"/>
      <c r="E16" s="494"/>
      <c r="F16" s="494"/>
      <c r="G16" s="494"/>
      <c r="H16" s="36"/>
      <c r="I16" s="1"/>
      <c r="J16" s="1"/>
      <c r="K16" s="1"/>
      <c r="L16" s="1"/>
      <c r="M16" s="1"/>
      <c r="N16" s="1"/>
      <c r="O16" s="1"/>
      <c r="P16" s="1"/>
      <c r="Q16" s="1"/>
      <c r="R16" s="1"/>
      <c r="S16" s="1"/>
    </row>
    <row r="18" spans="2:19">
      <c r="B18" s="12" t="s">
        <v>15</v>
      </c>
      <c r="C18" s="253">
        <f>'Forecast Metering Capex'!C33</f>
        <v>2568385.2164733219</v>
      </c>
      <c r="D18" s="253">
        <f>'Forecast Metering Capex'!D33</f>
        <v>3231410.004514039</v>
      </c>
      <c r="E18" s="253">
        <f>'Forecast Metering Capex'!E33</f>
        <v>2992388.0728311464</v>
      </c>
      <c r="F18" s="253">
        <f>'Forecast Metering Capex'!F33</f>
        <v>2462878.2348589399</v>
      </c>
      <c r="G18" s="253">
        <f>'Forecast Metering Capex'!G33</f>
        <v>3475953.1607703986</v>
      </c>
      <c r="H18" s="43" t="s">
        <v>595</v>
      </c>
      <c r="I18" s="1"/>
      <c r="J18" s="1"/>
      <c r="K18" s="1"/>
      <c r="L18" s="1"/>
      <c r="M18" s="1"/>
      <c r="N18" s="1"/>
      <c r="O18" s="1"/>
      <c r="P18" s="1"/>
      <c r="Q18" s="1"/>
      <c r="R18" s="1"/>
      <c r="S18" s="1"/>
    </row>
    <row r="19" spans="2:19">
      <c r="B19" s="12" t="s">
        <v>18</v>
      </c>
      <c r="C19" s="253">
        <f>'Forecast Metering Capex'!C34</f>
        <v>127724.62830413246</v>
      </c>
      <c r="D19" s="253">
        <f>'Forecast Metering Capex'!D34</f>
        <v>124951.11562537795</v>
      </c>
      <c r="E19" s="253">
        <f>'Forecast Metering Capex'!E34</f>
        <v>124909.05367422021</v>
      </c>
      <c r="F19" s="253">
        <f>'Forecast Metering Capex'!F34</f>
        <v>121830.36564966659</v>
      </c>
      <c r="G19" s="253">
        <f>'Forecast Metering Capex'!G34</f>
        <v>120055.92304139072</v>
      </c>
      <c r="H19" s="225" t="s">
        <v>595</v>
      </c>
      <c r="I19" s="1"/>
      <c r="J19" s="1"/>
      <c r="K19" s="1"/>
      <c r="L19" s="1"/>
      <c r="M19" s="1"/>
      <c r="N19" s="1"/>
      <c r="O19" s="1"/>
      <c r="P19" s="1"/>
      <c r="Q19" s="1"/>
      <c r="R19" s="1"/>
      <c r="S19" s="1"/>
    </row>
    <row r="20" spans="2:19" ht="13.5" thickBot="1">
      <c r="B20" s="27" t="s">
        <v>22</v>
      </c>
      <c r="C20" s="397">
        <v>2848000</v>
      </c>
      <c r="D20" s="397">
        <v>2848000</v>
      </c>
      <c r="E20" s="397">
        <v>2848000</v>
      </c>
      <c r="F20" s="397">
        <v>2848000</v>
      </c>
      <c r="G20" s="397">
        <v>2848000</v>
      </c>
      <c r="I20" s="1"/>
      <c r="J20" s="1"/>
      <c r="K20" s="1"/>
      <c r="L20" s="1"/>
      <c r="M20" s="1"/>
      <c r="N20" s="1"/>
      <c r="O20" s="1"/>
      <c r="P20" s="1"/>
      <c r="Q20" s="1"/>
      <c r="R20" s="1"/>
      <c r="S20" s="1"/>
    </row>
    <row r="22" spans="2:19">
      <c r="B22" s="10" t="s">
        <v>229</v>
      </c>
      <c r="C22" s="82">
        <f>'Calculation Variables'!I14</f>
        <v>6.7439687262819042E-2</v>
      </c>
      <c r="D22" s="82">
        <f>'Calculation Variables'!J14</f>
        <v>6.6797709422110288E-2</v>
      </c>
      <c r="E22" s="82">
        <f>'Calculation Variables'!K14</f>
        <v>6.6797709422110288E-2</v>
      </c>
      <c r="F22" s="82">
        <f>'Calculation Variables'!L14</f>
        <v>6.6797709422110288E-2</v>
      </c>
      <c r="G22" s="82">
        <f>'Calculation Variables'!M14</f>
        <v>6.6797709422110288E-2</v>
      </c>
    </row>
    <row r="23" spans="2:19" ht="25.5">
      <c r="B23" s="10" t="s">
        <v>222</v>
      </c>
      <c r="C23" s="82">
        <f>C22/2</f>
        <v>3.3719843631409521E-2</v>
      </c>
      <c r="D23" s="82">
        <f t="shared" ref="D23:G23" si="0">D22/2</f>
        <v>3.3398854711055144E-2</v>
      </c>
      <c r="E23" s="82">
        <f t="shared" si="0"/>
        <v>3.3398854711055144E-2</v>
      </c>
      <c r="F23" s="82">
        <f t="shared" si="0"/>
        <v>3.3398854711055144E-2</v>
      </c>
      <c r="G23" s="82">
        <f t="shared" si="0"/>
        <v>3.3398854711055144E-2</v>
      </c>
      <c r="H23" s="43" t="s">
        <v>288</v>
      </c>
    </row>
    <row r="24" spans="2:19">
      <c r="K24" s="432"/>
      <c r="L24" s="431"/>
    </row>
    <row r="25" spans="2:19" ht="13.5" thickBot="1">
      <c r="B25" s="27" t="s">
        <v>179</v>
      </c>
      <c r="C25" s="47">
        <f>C20*(1+C23)</f>
        <v>2944034.1146622542</v>
      </c>
      <c r="D25" s="47">
        <f t="shared" ref="D25:G25" si="1">D20*(1+D23)</f>
        <v>2943119.9382170849</v>
      </c>
      <c r="E25" s="47">
        <f t="shared" si="1"/>
        <v>2943119.9382170849</v>
      </c>
      <c r="F25" s="47">
        <f t="shared" si="1"/>
        <v>2943119.9382170849</v>
      </c>
      <c r="G25" s="47">
        <f t="shared" si="1"/>
        <v>2943119.9382170849</v>
      </c>
      <c r="K25" s="433"/>
    </row>
    <row r="27" spans="2:19">
      <c r="B27" s="199" t="s">
        <v>333</v>
      </c>
      <c r="C27" s="41"/>
      <c r="D27" s="41"/>
      <c r="E27" s="41"/>
      <c r="F27" s="41"/>
      <c r="G27" s="41"/>
    </row>
    <row r="28" spans="2:19">
      <c r="B28" s="196"/>
    </row>
    <row r="30" spans="2:19">
      <c r="B30" s="16" t="s">
        <v>289</v>
      </c>
      <c r="C30" s="16"/>
      <c r="D30" s="52" t="s">
        <v>42</v>
      </c>
      <c r="E30" s="52" t="s">
        <v>43</v>
      </c>
      <c r="F30" s="52" t="s">
        <v>44</v>
      </c>
      <c r="G30" s="52" t="s">
        <v>45</v>
      </c>
      <c r="H30" s="52" t="s">
        <v>46</v>
      </c>
    </row>
    <row r="31" spans="2:19">
      <c r="B31" s="365" t="s">
        <v>843</v>
      </c>
      <c r="C31" s="371">
        <v>15</v>
      </c>
      <c r="D31" s="371" t="s">
        <v>844</v>
      </c>
      <c r="E31" s="371" t="s">
        <v>844</v>
      </c>
      <c r="F31" s="371" t="s">
        <v>844</v>
      </c>
      <c r="G31" s="371" t="s">
        <v>844</v>
      </c>
      <c r="H31" s="371" t="s">
        <v>844</v>
      </c>
    </row>
    <row r="32" spans="2:19">
      <c r="B32" s="365" t="s">
        <v>224</v>
      </c>
      <c r="C32" s="371"/>
      <c r="D32" s="380">
        <v>0</v>
      </c>
      <c r="E32" s="381">
        <f>D36</f>
        <v>2944034.1146622542</v>
      </c>
      <c r="F32" s="381">
        <f t="shared" ref="F32:H32" si="2">E36</f>
        <v>5756281.9230355527</v>
      </c>
      <c r="G32" s="381">
        <f t="shared" si="2"/>
        <v>8434645.8786546625</v>
      </c>
      <c r="H32" s="381">
        <f t="shared" si="2"/>
        <v>10755531.778955478</v>
      </c>
    </row>
    <row r="33" spans="2:8">
      <c r="B33" s="365" t="s">
        <v>226</v>
      </c>
      <c r="C33" s="365"/>
      <c r="D33" s="380">
        <v>0</v>
      </c>
      <c r="E33" s="380">
        <f>E32*'Calculation Variables'!J11</f>
        <v>70068.011928961656</v>
      </c>
      <c r="F33" s="380">
        <f>F32*'Calculation Variables'!K11</f>
        <v>136999.50976824618</v>
      </c>
      <c r="G33" s="380">
        <f>G32*'Calculation Variables'!L11</f>
        <v>200744.57191198098</v>
      </c>
      <c r="H33" s="380">
        <f>H32*'Calculation Variables'!M11</f>
        <v>255981.65633914041</v>
      </c>
    </row>
    <row r="34" spans="2:8">
      <c r="B34" s="382" t="s">
        <v>845</v>
      </c>
      <c r="C34" s="365"/>
      <c r="D34" s="380">
        <f>C25</f>
        <v>2944034.1146622542</v>
      </c>
      <c r="E34" s="380">
        <f>D25</f>
        <v>2943119.9382170849</v>
      </c>
      <c r="F34" s="380">
        <f t="shared" ref="F34:H34" si="3">E25</f>
        <v>2943119.9382170849</v>
      </c>
      <c r="G34" s="380">
        <f t="shared" si="3"/>
        <v>2943119.9382170849</v>
      </c>
      <c r="H34" s="380">
        <f t="shared" si="3"/>
        <v>2943119.9382170849</v>
      </c>
    </row>
    <row r="35" spans="2:8">
      <c r="B35" s="365" t="s">
        <v>227</v>
      </c>
      <c r="C35" s="365"/>
      <c r="D35" s="380">
        <f>D32/C31</f>
        <v>0</v>
      </c>
      <c r="E35" s="380">
        <f>E48</f>
        <v>200940.14177274774</v>
      </c>
      <c r="F35" s="380">
        <f t="shared" ref="F35:H35" si="4">F48</f>
        <v>401755.49236622022</v>
      </c>
      <c r="G35" s="380">
        <f t="shared" si="4"/>
        <v>822978.60982825141</v>
      </c>
      <c r="H35" s="380">
        <f t="shared" si="4"/>
        <v>1499694.659514775</v>
      </c>
    </row>
    <row r="36" spans="2:8">
      <c r="B36" s="374" t="s">
        <v>225</v>
      </c>
      <c r="C36" s="374"/>
      <c r="D36" s="383">
        <f>D32+D33+D34-D35</f>
        <v>2944034.1146622542</v>
      </c>
      <c r="E36" s="383">
        <f>E32+E33+E34-E35</f>
        <v>5756281.9230355527</v>
      </c>
      <c r="F36" s="383">
        <f t="shared" ref="F36:H36" si="5">F32+F33+F34-F35</f>
        <v>8434645.8786546625</v>
      </c>
      <c r="G36" s="383">
        <f t="shared" si="5"/>
        <v>10755531.778955478</v>
      </c>
      <c r="H36" s="383">
        <f t="shared" si="5"/>
        <v>12454938.713996928</v>
      </c>
    </row>
    <row r="37" spans="2:8">
      <c r="B37" s="365"/>
      <c r="C37" s="365"/>
      <c r="D37" s="367"/>
      <c r="E37" s="367"/>
      <c r="F37" s="367"/>
      <c r="G37" s="367"/>
      <c r="H37" s="367"/>
    </row>
    <row r="38" spans="2:8">
      <c r="B38" s="374" t="s">
        <v>178</v>
      </c>
      <c r="C38" s="374"/>
      <c r="D38" s="375">
        <f>D32*'Calculation Variables'!I14</f>
        <v>0</v>
      </c>
      <c r="E38" s="375">
        <f>E32*'Calculation Variables'!J14</f>
        <v>196654.73531998898</v>
      </c>
      <c r="F38" s="375">
        <f>F32*'Calculation Variables'!K14</f>
        <v>384506.44724667509</v>
      </c>
      <c r="G38" s="375">
        <f>G32*'Calculation Variables'!L14</f>
        <v>563415.0244807743</v>
      </c>
      <c r="H38" s="375">
        <f>H32*'Calculation Variables'!M14</f>
        <v>718444.88645094098</v>
      </c>
    </row>
    <row r="39" spans="2:8">
      <c r="B39" s="365"/>
      <c r="C39" s="365"/>
      <c r="D39" s="365"/>
      <c r="E39" s="365"/>
      <c r="F39" s="365"/>
      <c r="G39" s="365"/>
      <c r="H39" s="365"/>
    </row>
    <row r="40" spans="2:8" ht="26.25" thickBot="1">
      <c r="B40" s="376" t="s">
        <v>846</v>
      </c>
      <c r="C40" s="376"/>
      <c r="D40" s="377">
        <f>SUM(D35,D38)</f>
        <v>0</v>
      </c>
      <c r="E40" s="377">
        <f>E38+(E35-E33)</f>
        <v>327526.86516377504</v>
      </c>
      <c r="F40" s="377">
        <f t="shared" ref="F40:H40" si="6">F38+(F35-F33)</f>
        <v>649262.42984464904</v>
      </c>
      <c r="G40" s="377">
        <f t="shared" si="6"/>
        <v>1185649.0623970446</v>
      </c>
      <c r="H40" s="377">
        <f t="shared" si="6"/>
        <v>1962157.8896265756</v>
      </c>
    </row>
    <row r="41" spans="2:8">
      <c r="B41" s="384"/>
      <c r="C41" s="384"/>
      <c r="D41" s="385"/>
      <c r="E41" s="385"/>
      <c r="F41" s="385"/>
      <c r="G41" s="385"/>
      <c r="H41" s="385"/>
    </row>
    <row r="42" spans="2:8">
      <c r="B42" s="386" t="s">
        <v>227</v>
      </c>
      <c r="H42" s="361"/>
    </row>
    <row r="43" spans="2:8">
      <c r="B43" s="10" t="s">
        <v>847</v>
      </c>
      <c r="D43" s="387"/>
      <c r="E43" s="380">
        <f>D$34/$C$31*(1+'Calculation Variables'!J12)</f>
        <v>200940.14177274774</v>
      </c>
      <c r="F43" s="380">
        <f>E$34/$C$31*(1+'Calculation Variables'!K12)</f>
        <v>200877.74618311011</v>
      </c>
      <c r="G43" s="380">
        <f>F43*(1+'Calculation Variables'!L12)</f>
        <v>205658.63654226813</v>
      </c>
      <c r="H43" s="380">
        <f>G43*(1+'Calculation Variables'!M12)</f>
        <v>210553.3120919741</v>
      </c>
    </row>
    <row r="44" spans="2:8">
      <c r="B44" s="10" t="s">
        <v>848</v>
      </c>
      <c r="D44" s="387"/>
      <c r="E44" s="387"/>
      <c r="F44" s="380">
        <f>E$34/$C$31*(1+'Calculation Variables'!K12)</f>
        <v>200877.74618311011</v>
      </c>
      <c r="G44" s="380">
        <f>F44*(1+'Calculation Variables'!L13)</f>
        <v>416442.22710287321</v>
      </c>
      <c r="H44" s="380">
        <f>G44*(1+'Calculation Variables'!M13)</f>
        <v>873967.68173767265</v>
      </c>
    </row>
    <row r="45" spans="2:8">
      <c r="B45" s="10" t="s">
        <v>849</v>
      </c>
      <c r="D45" s="387"/>
      <c r="E45" s="387"/>
      <c r="F45" s="387"/>
      <c r="G45" s="380">
        <f>F$34/$C$31*(1+'Calculation Variables'!L$12)</f>
        <v>200877.74618311011</v>
      </c>
      <c r="H45" s="380">
        <f>G45*(1+'Calculation Variables'!M14)</f>
        <v>214295.91950201793</v>
      </c>
    </row>
    <row r="46" spans="2:8">
      <c r="B46" s="10" t="s">
        <v>850</v>
      </c>
      <c r="D46" s="387"/>
      <c r="E46" s="387"/>
      <c r="F46" s="387"/>
      <c r="G46" s="387"/>
      <c r="H46" s="380">
        <f>G$34/$C$31*(1+'Calculation Variables'!M$12)</f>
        <v>200877.74618311011</v>
      </c>
    </row>
    <row r="47" spans="2:8">
      <c r="B47" s="10" t="s">
        <v>851</v>
      </c>
      <c r="D47" s="387"/>
      <c r="E47" s="387"/>
      <c r="F47" s="387"/>
      <c r="G47" s="387"/>
      <c r="H47" s="388"/>
    </row>
    <row r="48" spans="2:8">
      <c r="D48" s="389">
        <f>SUM(D43:D47)</f>
        <v>0</v>
      </c>
      <c r="E48" s="389">
        <f t="shared" ref="E48:H48" si="7">SUM(E43:E47)</f>
        <v>200940.14177274774</v>
      </c>
      <c r="F48" s="389">
        <f t="shared" si="7"/>
        <v>401755.49236622022</v>
      </c>
      <c r="G48" s="389">
        <f t="shared" si="7"/>
        <v>822978.60982825141</v>
      </c>
      <c r="H48" s="389">
        <f t="shared" si="7"/>
        <v>1499694.659514775</v>
      </c>
    </row>
    <row r="49" spans="2:8">
      <c r="H49" s="361"/>
    </row>
    <row r="50" spans="2:8">
      <c r="H50" s="361"/>
    </row>
    <row r="51" spans="2:8">
      <c r="H51" s="361"/>
    </row>
    <row r="52" spans="2:8">
      <c r="B52" s="362" t="s">
        <v>839</v>
      </c>
      <c r="C52" s="22"/>
      <c r="D52" s="390">
        <f>'Calculation Variables'!J14</f>
        <v>6.6797709422110288E-2</v>
      </c>
      <c r="H52" s="10"/>
    </row>
    <row r="53" spans="2:8">
      <c r="B53" s="164"/>
      <c r="C53" s="164"/>
      <c r="D53" s="363"/>
      <c r="H53" s="10"/>
    </row>
    <row r="54" spans="2:8">
      <c r="C54" s="364" t="s">
        <v>840</v>
      </c>
      <c r="H54" s="10"/>
    </row>
    <row r="55" spans="2:8">
      <c r="B55" s="365" t="s">
        <v>841</v>
      </c>
      <c r="C55" s="391">
        <f>NPV(D52,D55:H55)</f>
        <v>12172407.978149178</v>
      </c>
      <c r="D55" s="367">
        <f>D40</f>
        <v>0</v>
      </c>
      <c r="E55" s="367">
        <f>E40</f>
        <v>327526.86516377504</v>
      </c>
      <c r="F55" s="367">
        <f t="shared" ref="F55:G55" si="8">F40</f>
        <v>649262.42984464904</v>
      </c>
      <c r="G55" s="367">
        <f t="shared" si="8"/>
        <v>1185649.0623970446</v>
      </c>
      <c r="H55" s="368">
        <f>H40+H36</f>
        <v>14417096.603623504</v>
      </c>
    </row>
    <row r="56" spans="2:8">
      <c r="B56" s="365" t="str">
        <f>B34</f>
        <v>Capex</v>
      </c>
      <c r="C56" s="391">
        <f>NPV(D52,D56:H56)</f>
        <v>12172407.978149178</v>
      </c>
      <c r="D56" s="381">
        <f>D34</f>
        <v>2944034.1146622542</v>
      </c>
      <c r="E56" s="381">
        <f t="shared" ref="E56:H56" si="9">E34</f>
        <v>2943119.9382170849</v>
      </c>
      <c r="F56" s="381">
        <f t="shared" si="9"/>
        <v>2943119.9382170849</v>
      </c>
      <c r="G56" s="381">
        <f t="shared" si="9"/>
        <v>2943119.9382170849</v>
      </c>
      <c r="H56" s="381">
        <f t="shared" si="9"/>
        <v>2943119.9382170849</v>
      </c>
    </row>
    <row r="57" spans="2:8">
      <c r="B57" s="369" t="s">
        <v>842</v>
      </c>
      <c r="C57" s="392">
        <f>C55-C56</f>
        <v>0</v>
      </c>
      <c r="D57" s="1"/>
      <c r="H57" s="10"/>
    </row>
  </sheetData>
  <mergeCells count="6">
    <mergeCell ref="B16:G16"/>
    <mergeCell ref="B6:H6"/>
    <mergeCell ref="B8:H8"/>
    <mergeCell ref="B9:H9"/>
    <mergeCell ref="B12:H12"/>
    <mergeCell ref="B10:H1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heetPr>
  <dimension ref="A2:Z39"/>
  <sheetViews>
    <sheetView showGridLines="0" topLeftCell="A10" zoomScaleNormal="100" workbookViewId="0">
      <selection activeCell="D34" sqref="D34"/>
    </sheetView>
  </sheetViews>
  <sheetFormatPr defaultRowHeight="12.75"/>
  <cols>
    <col min="1" max="1" width="2.85546875" style="1" customWidth="1"/>
    <col min="2" max="2" width="41.7109375" style="10" customWidth="1"/>
    <col min="3" max="3" width="12.85546875" style="10" customWidth="1"/>
    <col min="4" max="15" width="13.5703125" style="10" customWidth="1"/>
    <col min="16" max="25" width="13.5703125" style="1" customWidth="1"/>
    <col min="26" max="16384" width="9.140625" style="1"/>
  </cols>
  <sheetData>
    <row r="2" spans="1:26" ht="15.75">
      <c r="A2" s="5" t="s">
        <v>503</v>
      </c>
    </row>
    <row r="3" spans="1:26" ht="15.75">
      <c r="A3" s="5" t="s">
        <v>54</v>
      </c>
    </row>
    <row r="4" spans="1:26" ht="15.75">
      <c r="A4" s="6" t="s">
        <v>499</v>
      </c>
    </row>
    <row r="6" spans="1:26" ht="27.75" customHeight="1">
      <c r="B6" s="469" t="s">
        <v>57</v>
      </c>
      <c r="C6" s="469"/>
      <c r="D6" s="469"/>
      <c r="E6" s="469"/>
      <c r="F6" s="469"/>
      <c r="G6" s="469"/>
      <c r="H6" s="469"/>
    </row>
    <row r="8" spans="1:26">
      <c r="B8" s="469" t="s">
        <v>20</v>
      </c>
      <c r="C8" s="469"/>
      <c r="D8" s="469"/>
      <c r="E8" s="469"/>
      <c r="F8" s="469"/>
      <c r="G8" s="469"/>
      <c r="H8" s="469"/>
    </row>
    <row r="9" spans="1:26" ht="41.25" customHeight="1">
      <c r="B9" s="498" t="s">
        <v>486</v>
      </c>
      <c r="C9" s="498"/>
      <c r="D9" s="498"/>
      <c r="E9" s="498"/>
      <c r="F9" s="498"/>
      <c r="G9" s="498"/>
      <c r="H9" s="498"/>
    </row>
    <row r="11" spans="1:26">
      <c r="B11" s="469" t="s">
        <v>53</v>
      </c>
      <c r="C11" s="469"/>
      <c r="D11" s="469"/>
      <c r="E11" s="469"/>
      <c r="F11" s="469"/>
      <c r="G11" s="469"/>
      <c r="H11" s="469"/>
    </row>
    <row r="12" spans="1:26" s="10" customFormat="1" ht="12.75" customHeight="1">
      <c r="A12" s="1"/>
      <c r="B12" s="99"/>
      <c r="C12" s="99"/>
      <c r="D12" s="99"/>
      <c r="E12" s="99"/>
      <c r="F12" s="99"/>
      <c r="G12" s="99"/>
      <c r="H12" s="99"/>
      <c r="P12" s="1"/>
      <c r="Q12" s="1"/>
      <c r="R12" s="1"/>
      <c r="S12" s="1"/>
      <c r="T12" s="1"/>
      <c r="U12" s="1"/>
      <c r="V12" s="1"/>
      <c r="W12" s="1"/>
      <c r="X12" s="1"/>
      <c r="Y12" s="1"/>
      <c r="Z12" s="1"/>
    </row>
    <row r="13" spans="1:26" s="10" customFormat="1" ht="25.5">
      <c r="A13" s="1"/>
      <c r="B13" s="99"/>
      <c r="C13" s="155" t="s">
        <v>228</v>
      </c>
      <c r="E13" s="99"/>
      <c r="F13" s="99"/>
      <c r="G13" s="99"/>
      <c r="H13" s="99"/>
      <c r="P13" s="1"/>
      <c r="Q13" s="1"/>
      <c r="R13" s="1"/>
      <c r="S13" s="1"/>
      <c r="T13" s="1"/>
      <c r="U13" s="1"/>
      <c r="V13" s="1"/>
      <c r="W13" s="1"/>
      <c r="X13" s="1"/>
      <c r="Y13" s="1"/>
      <c r="Z13" s="1"/>
    </row>
    <row r="14" spans="1:26" s="10" customFormat="1">
      <c r="A14" s="1"/>
      <c r="B14" s="1"/>
      <c r="C14" s="8" t="s">
        <v>182</v>
      </c>
      <c r="E14" s="102"/>
      <c r="F14" s="1"/>
      <c r="G14" s="1"/>
      <c r="H14" s="1"/>
      <c r="P14" s="1"/>
      <c r="Q14" s="1"/>
      <c r="R14" s="1"/>
      <c r="S14" s="1"/>
      <c r="T14" s="1"/>
      <c r="U14" s="1"/>
      <c r="V14" s="1"/>
      <c r="W14" s="1"/>
      <c r="X14" s="1"/>
      <c r="Y14" s="1"/>
      <c r="Z14" s="1"/>
    </row>
    <row r="15" spans="1:26" s="10" customFormat="1">
      <c r="A15" s="1"/>
      <c r="P15" s="1"/>
      <c r="Q15" s="1"/>
      <c r="R15" s="1"/>
      <c r="S15" s="1"/>
      <c r="T15" s="1"/>
      <c r="U15" s="1"/>
      <c r="V15" s="1"/>
      <c r="W15" s="1"/>
      <c r="X15" s="1"/>
      <c r="Y15" s="1"/>
      <c r="Z15" s="1"/>
    </row>
    <row r="16" spans="1:26" s="10" customFormat="1" ht="13.5" thickBot="1">
      <c r="A16" s="1"/>
      <c r="B16" s="9" t="s">
        <v>203</v>
      </c>
      <c r="C16" s="88">
        <f>'Opening RAB Workings'!C47</f>
        <v>18.789804139438395</v>
      </c>
      <c r="P16" s="1"/>
      <c r="Q16" s="1"/>
      <c r="R16" s="1"/>
      <c r="S16" s="1"/>
      <c r="T16" s="1"/>
      <c r="U16" s="1"/>
      <c r="V16" s="1"/>
      <c r="W16" s="1"/>
      <c r="X16" s="1"/>
      <c r="Y16" s="1"/>
      <c r="Z16" s="1"/>
    </row>
    <row r="18" spans="2:15" s="100" customFormat="1">
      <c r="B18" s="103" t="s">
        <v>233</v>
      </c>
      <c r="C18" s="104"/>
      <c r="D18" s="104"/>
      <c r="E18" s="104"/>
      <c r="F18" s="104"/>
      <c r="G18" s="104"/>
      <c r="H18" s="104"/>
      <c r="I18" s="105"/>
      <c r="J18" s="105"/>
      <c r="K18" s="105"/>
      <c r="L18" s="105"/>
      <c r="M18" s="101"/>
      <c r="N18" s="101"/>
      <c r="O18" s="101"/>
    </row>
    <row r="20" spans="2:15">
      <c r="B20" s="16" t="s">
        <v>289</v>
      </c>
      <c r="C20" s="16"/>
      <c r="D20" s="52" t="s">
        <v>42</v>
      </c>
      <c r="E20" s="52" t="s">
        <v>43</v>
      </c>
      <c r="F20" s="52" t="s">
        <v>44</v>
      </c>
      <c r="G20" s="52" t="s">
        <v>45</v>
      </c>
      <c r="H20" s="52" t="s">
        <v>46</v>
      </c>
    </row>
    <row r="21" spans="2:15">
      <c r="B21" s="365" t="s">
        <v>223</v>
      </c>
      <c r="C21" s="371">
        <v>23.009905928532692</v>
      </c>
      <c r="D21" s="371">
        <f>C21-1</f>
        <v>22.009905928532692</v>
      </c>
      <c r="E21" s="371">
        <f t="shared" ref="E21:H21" si="0">D21-1</f>
        <v>21.009905928532692</v>
      </c>
      <c r="F21" s="371">
        <f t="shared" si="0"/>
        <v>20.009905928532692</v>
      </c>
      <c r="G21" s="371">
        <f t="shared" si="0"/>
        <v>19.009905928532692</v>
      </c>
      <c r="H21" s="371">
        <f t="shared" si="0"/>
        <v>18.009905928532692</v>
      </c>
    </row>
    <row r="22" spans="2:15">
      <c r="B22" s="365" t="s">
        <v>224</v>
      </c>
      <c r="C22" s="365"/>
      <c r="D22" s="372">
        <f>C16</f>
        <v>18.789804139438395</v>
      </c>
      <c r="E22" s="372">
        <f>D25</f>
        <v>18.400970181796762</v>
      </c>
      <c r="F22" s="372">
        <f t="shared" ref="F22:H22" si="1">E25</f>
        <v>17.982984431114641</v>
      </c>
      <c r="G22" s="372">
        <f t="shared" si="1"/>
        <v>17.534679513150277</v>
      </c>
      <c r="H22" s="372">
        <f t="shared" si="1"/>
        <v>17.054848999389645</v>
      </c>
    </row>
    <row r="23" spans="2:15">
      <c r="B23" s="365" t="s">
        <v>226</v>
      </c>
      <c r="C23" s="365"/>
      <c r="D23" s="373">
        <f>(C16*'Calculation Variables'!I12)</f>
        <v>0.44719733851863386</v>
      </c>
      <c r="E23" s="373">
        <f>(E22*'Calculation Variables'!J12)</f>
        <v>0.43794309032676298</v>
      </c>
      <c r="F23" s="373">
        <f>(F22*'Calculation Variables'!K12)</f>
        <v>0.42799502946052848</v>
      </c>
      <c r="G23" s="373">
        <f>(G22*'Calculation Variables'!L12)</f>
        <v>0.41732537241297663</v>
      </c>
      <c r="H23" s="373">
        <f>(H22*'Calculation Variables'!M12)</f>
        <v>0.40590540618547355</v>
      </c>
    </row>
    <row r="24" spans="2:15">
      <c r="B24" s="365" t="s">
        <v>227</v>
      </c>
      <c r="C24" s="365"/>
      <c r="D24" s="373">
        <f>SUM(D22+D23)/C21</f>
        <v>0.83603129616026839</v>
      </c>
      <c r="E24" s="373">
        <f t="shared" ref="E24:H24" si="2">SUM(E22+E23)/D21</f>
        <v>0.85592884100888267</v>
      </c>
      <c r="F24" s="373">
        <f t="shared" si="2"/>
        <v>0.87629994742489414</v>
      </c>
      <c r="G24" s="373">
        <f t="shared" si="2"/>
        <v>0.89715588617360653</v>
      </c>
      <c r="H24" s="373">
        <f t="shared" si="2"/>
        <v>0.9185081962645385</v>
      </c>
    </row>
    <row r="25" spans="2:15">
      <c r="B25" s="374" t="s">
        <v>225</v>
      </c>
      <c r="C25" s="374"/>
      <c r="D25" s="375">
        <f>D22-D24+D23</f>
        <v>18.400970181796762</v>
      </c>
      <c r="E25" s="375">
        <f t="shared" ref="E25:H25" si="3">E22-E24+E23</f>
        <v>17.982984431114641</v>
      </c>
      <c r="F25" s="375">
        <f t="shared" si="3"/>
        <v>17.534679513150277</v>
      </c>
      <c r="G25" s="375">
        <f t="shared" si="3"/>
        <v>17.054848999389645</v>
      </c>
      <c r="H25" s="375">
        <f t="shared" si="3"/>
        <v>16.54224620931058</v>
      </c>
    </row>
    <row r="26" spans="2:15">
      <c r="B26" s="365"/>
      <c r="C26" s="365"/>
      <c r="D26" s="367"/>
      <c r="E26" s="367"/>
      <c r="F26" s="367"/>
      <c r="G26" s="367"/>
      <c r="H26" s="367"/>
    </row>
    <row r="27" spans="2:15">
      <c r="B27" s="374" t="s">
        <v>178</v>
      </c>
      <c r="C27" s="374"/>
      <c r="D27" s="375">
        <f>D22*'Calculation Variables'!I14</f>
        <v>1.2671785148933481</v>
      </c>
      <c r="E27" s="375">
        <f>E22*'Calculation Variables'!J14</f>
        <v>1.2291426592885759</v>
      </c>
      <c r="F27" s="375">
        <f>F22*'Calculation Variables'!K14</f>
        <v>1.2012221685719291</v>
      </c>
      <c r="G27" s="375">
        <f>G22*'Calculation Variables'!L14</f>
        <v>1.1712764269292424</v>
      </c>
      <c r="H27" s="375">
        <f>H22*'Calculation Variables'!M14</f>
        <v>1.139224847699198</v>
      </c>
    </row>
    <row r="28" spans="2:15">
      <c r="B28" s="365"/>
      <c r="C28" s="365"/>
      <c r="D28" s="365"/>
      <c r="E28" s="365"/>
      <c r="F28" s="365"/>
      <c r="G28" s="365"/>
      <c r="H28" s="365"/>
    </row>
    <row r="29" spans="2:15" ht="13.5" thickBot="1">
      <c r="B29" s="376" t="s">
        <v>232</v>
      </c>
      <c r="C29" s="376"/>
      <c r="D29" s="377">
        <f>SUM(D24,D27)-D23</f>
        <v>1.6560124725349825</v>
      </c>
      <c r="E29" s="377">
        <f t="shared" ref="E29:H29" si="4">SUM(E24,E27)-E23</f>
        <v>1.6471284099706958</v>
      </c>
      <c r="F29" s="377">
        <f t="shared" si="4"/>
        <v>1.649527086536295</v>
      </c>
      <c r="G29" s="377">
        <f t="shared" si="4"/>
        <v>1.6511069406898724</v>
      </c>
      <c r="H29" s="377">
        <f t="shared" si="4"/>
        <v>1.651827637778263</v>
      </c>
    </row>
    <row r="31" spans="2:15">
      <c r="B31" s="196" t="s">
        <v>340</v>
      </c>
    </row>
    <row r="34" spans="2:8">
      <c r="B34" s="362" t="s">
        <v>839</v>
      </c>
      <c r="C34" s="378"/>
      <c r="D34" s="379">
        <f>'Calculation Variables'!I14</f>
        <v>6.7439687262819042E-2</v>
      </c>
      <c r="E34" s="379">
        <f>'Calculation Variables'!J14</f>
        <v>6.6797709422110288E-2</v>
      </c>
      <c r="F34" s="379">
        <f>'Calculation Variables'!K14</f>
        <v>6.6797709422110288E-2</v>
      </c>
      <c r="G34" s="379">
        <f>'Calculation Variables'!L14</f>
        <v>6.6797709422110288E-2</v>
      </c>
      <c r="H34" s="379">
        <f>'Calculation Variables'!M14</f>
        <v>6.6797709422110288E-2</v>
      </c>
    </row>
    <row r="35" spans="2:8">
      <c r="B35" s="164"/>
      <c r="C35" s="164"/>
      <c r="D35" s="401" t="s">
        <v>853</v>
      </c>
      <c r="E35" s="403"/>
      <c r="F35" s="403"/>
      <c r="G35" s="403"/>
      <c r="H35" s="403"/>
    </row>
    <row r="36" spans="2:8">
      <c r="C36" s="364" t="s">
        <v>840</v>
      </c>
      <c r="D36" s="402">
        <f>D37/(1+D34)</f>
        <v>1.5513873919953365</v>
      </c>
      <c r="E36" s="402">
        <f>E37/(1+$D$34)/(1+$E$34)</f>
        <v>1.4464453769313235</v>
      </c>
      <c r="F36" s="402">
        <f>F37/(1+$D$34)/(1+$E$34)/(1+$F$34)</f>
        <v>1.3578505001030581</v>
      </c>
      <c r="G36" s="402">
        <f>G37/(1+$D$34)/(1+$E$34)/(1+$F$34)/(1+$G$34)</f>
        <v>1.2740475401647391</v>
      </c>
      <c r="H36" s="402">
        <f>H37/(1+$D$34)/(1+$E$34)/(1+$F$34)/(1+$G$34)/(1+H34)</f>
        <v>13.160073330243934</v>
      </c>
    </row>
    <row r="37" spans="2:8">
      <c r="B37" s="365" t="s">
        <v>841</v>
      </c>
      <c r="C37" s="366">
        <f>SUM(D36:H36)</f>
        <v>18.789804139438392</v>
      </c>
      <c r="D37" s="367">
        <f>D29</f>
        <v>1.6560124725349825</v>
      </c>
      <c r="E37" s="367">
        <f t="shared" ref="E37:G37" si="5">E29</f>
        <v>1.6471284099706958</v>
      </c>
      <c r="F37" s="367">
        <f t="shared" si="5"/>
        <v>1.649527086536295</v>
      </c>
      <c r="G37" s="367">
        <f t="shared" si="5"/>
        <v>1.6511069406898724</v>
      </c>
      <c r="H37" s="368">
        <f>H29+H25</f>
        <v>18.194073847088845</v>
      </c>
    </row>
    <row r="38" spans="2:8">
      <c r="B38" s="365" t="str">
        <f>B16</f>
        <v>Recoverable Opening Metering RAB</v>
      </c>
      <c r="C38" s="366">
        <f>C16</f>
        <v>18.789804139438395</v>
      </c>
      <c r="D38" s="365"/>
      <c r="E38" s="365"/>
      <c r="F38" s="365"/>
      <c r="G38" s="365"/>
      <c r="H38" s="367"/>
    </row>
    <row r="39" spans="2:8">
      <c r="B39" s="369" t="s">
        <v>842</v>
      </c>
      <c r="C39" s="370">
        <f>C37-C38</f>
        <v>0</v>
      </c>
      <c r="D39" s="399"/>
    </row>
  </sheetData>
  <mergeCells count="4">
    <mergeCell ref="B6:H6"/>
    <mergeCell ref="B8:H8"/>
    <mergeCell ref="B9:H9"/>
    <mergeCell ref="B11:H1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1"/>
  <sheetViews>
    <sheetView showGridLines="0" workbookViewId="0">
      <selection activeCell="C26" sqref="C26"/>
    </sheetView>
  </sheetViews>
  <sheetFormatPr defaultRowHeight="12.75" outlineLevelRow="1"/>
  <cols>
    <col min="1" max="1" width="2.85546875" style="1" customWidth="1"/>
    <col min="2" max="2" width="42.7109375" style="10" bestFit="1" customWidth="1"/>
    <col min="3" max="7" width="15.28515625" style="10" customWidth="1"/>
    <col min="8" max="16" width="9.140625" style="10"/>
    <col min="17" max="16384" width="9.140625" style="1"/>
  </cols>
  <sheetData>
    <row r="2" spans="1:16" ht="15.75">
      <c r="A2" s="5" t="s">
        <v>503</v>
      </c>
    </row>
    <row r="3" spans="1:16" ht="15.75">
      <c r="A3" s="5" t="s">
        <v>347</v>
      </c>
    </row>
    <row r="4" spans="1:16" ht="15.75">
      <c r="A4" s="6" t="s">
        <v>499</v>
      </c>
    </row>
    <row r="6" spans="1:16" ht="28.5" customHeight="1">
      <c r="B6" s="469" t="s">
        <v>525</v>
      </c>
      <c r="C6" s="469"/>
      <c r="D6" s="469"/>
      <c r="E6" s="469"/>
    </row>
    <row r="8" spans="1:16">
      <c r="B8" s="469" t="s">
        <v>20</v>
      </c>
      <c r="C8" s="469"/>
      <c r="D8" s="469"/>
      <c r="E8" s="469"/>
    </row>
    <row r="9" spans="1:16" ht="39.75" customHeight="1">
      <c r="B9" s="498" t="s">
        <v>485</v>
      </c>
      <c r="C9" s="498"/>
      <c r="D9" s="498"/>
      <c r="E9" s="498"/>
    </row>
    <row r="10" spans="1:16">
      <c r="B10" s="499"/>
      <c r="C10" s="499"/>
      <c r="D10" s="499"/>
      <c r="E10" s="499"/>
    </row>
    <row r="11" spans="1:16">
      <c r="B11" s="469" t="s">
        <v>21</v>
      </c>
      <c r="C11" s="469"/>
      <c r="D11" s="469"/>
      <c r="E11" s="469"/>
    </row>
    <row r="13" spans="1:16">
      <c r="B13" s="1"/>
      <c r="C13" s="8" t="s">
        <v>182</v>
      </c>
    </row>
    <row r="14" spans="1:16">
      <c r="B14" s="89" t="s">
        <v>204</v>
      </c>
      <c r="C14" s="195" t="s">
        <v>183</v>
      </c>
    </row>
    <row r="15" spans="1:16" s="7" customFormat="1">
      <c r="B15" s="90"/>
      <c r="C15" s="91"/>
      <c r="D15" s="12"/>
      <c r="E15" s="12"/>
      <c r="F15" s="12"/>
      <c r="G15" s="12"/>
      <c r="H15" s="12"/>
      <c r="I15" s="12"/>
      <c r="J15" s="12"/>
      <c r="K15" s="12"/>
      <c r="L15" s="12"/>
      <c r="M15" s="12"/>
      <c r="N15" s="12"/>
      <c r="O15" s="12"/>
      <c r="P15" s="12"/>
    </row>
    <row r="16" spans="1:16">
      <c r="B16" s="1" t="s">
        <v>184</v>
      </c>
      <c r="C16" s="209">
        <v>499.77213286375593</v>
      </c>
    </row>
    <row r="17" spans="2:3">
      <c r="B17" s="1" t="s">
        <v>185</v>
      </c>
      <c r="C17" s="209">
        <v>1177.0571273771884</v>
      </c>
    </row>
    <row r="18" spans="2:3">
      <c r="B18" s="1" t="s">
        <v>47</v>
      </c>
      <c r="C18" s="209">
        <v>2088.7011860645621</v>
      </c>
    </row>
    <row r="19" spans="2:3">
      <c r="B19" s="1" t="s">
        <v>48</v>
      </c>
      <c r="C19" s="209">
        <v>490.56948116508511</v>
      </c>
    </row>
    <row r="20" spans="2:3">
      <c r="B20" s="1" t="s">
        <v>186</v>
      </c>
      <c r="C20" s="209">
        <v>702.50464666977689</v>
      </c>
    </row>
    <row r="21" spans="2:3">
      <c r="B21" s="86" t="s">
        <v>187</v>
      </c>
      <c r="C21" s="209">
        <v>25.480322336153918</v>
      </c>
    </row>
    <row r="22" spans="2:3">
      <c r="B22" s="1" t="s">
        <v>188</v>
      </c>
      <c r="C22" s="209">
        <v>16.510939931405339</v>
      </c>
    </row>
    <row r="23" spans="2:3">
      <c r="B23" s="1" t="s">
        <v>49</v>
      </c>
      <c r="C23" s="209">
        <v>129.34943200481524</v>
      </c>
    </row>
    <row r="24" spans="2:3">
      <c r="B24" s="1" t="s">
        <v>189</v>
      </c>
      <c r="C24" s="209">
        <v>16.633901588130925</v>
      </c>
    </row>
    <row r="25" spans="2:3">
      <c r="B25" s="1" t="s">
        <v>190</v>
      </c>
      <c r="C25" s="209">
        <v>13.424436642373619</v>
      </c>
    </row>
    <row r="26" spans="2:3">
      <c r="B26" s="61" t="s">
        <v>191</v>
      </c>
      <c r="C26" s="87">
        <f>SUM(C16:C25)</f>
        <v>5160.0036066432476</v>
      </c>
    </row>
    <row r="27" spans="2:3">
      <c r="B27" s="1" t="s">
        <v>192</v>
      </c>
      <c r="C27" s="209">
        <v>45.115583185607861</v>
      </c>
    </row>
    <row r="28" spans="2:3">
      <c r="B28" s="1" t="s">
        <v>193</v>
      </c>
      <c r="C28" s="209">
        <v>45.420634631978572</v>
      </c>
    </row>
    <row r="29" spans="2:3">
      <c r="B29" s="1" t="s">
        <v>194</v>
      </c>
      <c r="C29" s="209">
        <v>23.021173992064192</v>
      </c>
    </row>
    <row r="30" spans="2:3">
      <c r="B30" s="1" t="s">
        <v>195</v>
      </c>
      <c r="C30" s="209">
        <v>193.2719546909149</v>
      </c>
    </row>
    <row r="31" spans="2:3">
      <c r="B31" s="1" t="s">
        <v>196</v>
      </c>
      <c r="C31" s="209">
        <v>125.33494294599245</v>
      </c>
    </row>
    <row r="32" spans="2:3">
      <c r="B32" s="1" t="s">
        <v>197</v>
      </c>
      <c r="C32" s="209">
        <v>-8.564756058068038E-3</v>
      </c>
    </row>
    <row r="33" spans="2:3">
      <c r="B33" s="61" t="s">
        <v>198</v>
      </c>
      <c r="C33" s="87">
        <f>SUM(C27:C32)</f>
        <v>432.15572469049988</v>
      </c>
    </row>
    <row r="34" spans="2:3">
      <c r="B34" s="61" t="s">
        <v>199</v>
      </c>
      <c r="C34" s="87">
        <f>C33+C26</f>
        <v>5592.1593313337471</v>
      </c>
    </row>
    <row r="35" spans="2:3">
      <c r="B35" s="2"/>
      <c r="C35" s="308"/>
    </row>
    <row r="36" spans="2:3">
      <c r="B36" s="86" t="s">
        <v>52</v>
      </c>
      <c r="C36" s="309">
        <f>'System RAB %'!$H$50</f>
        <v>0.6804368162114085</v>
      </c>
    </row>
    <row r="37" spans="2:3">
      <c r="B37" s="86" t="s">
        <v>200</v>
      </c>
      <c r="C37" s="310">
        <f>C36*C21</f>
        <v>17.33774940645301</v>
      </c>
    </row>
    <row r="38" spans="2:3">
      <c r="B38" s="86" t="s">
        <v>201</v>
      </c>
      <c r="C38" s="311">
        <f>C37/C26</f>
        <v>3.3600266062084765E-3</v>
      </c>
    </row>
    <row r="39" spans="2:3">
      <c r="B39" s="86" t="s">
        <v>202</v>
      </c>
      <c r="C39" s="310">
        <f>SUM(C40:C45)</f>
        <v>1.452054732985385</v>
      </c>
    </row>
    <row r="40" spans="2:3" hidden="1" outlineLevel="1">
      <c r="B40" s="156" t="s">
        <v>192</v>
      </c>
      <c r="C40" s="310">
        <f>$C$38*C27</f>
        <v>0.1515895598582542</v>
      </c>
    </row>
    <row r="41" spans="2:3" hidden="1" outlineLevel="1">
      <c r="B41" s="156" t="s">
        <v>193</v>
      </c>
      <c r="C41" s="310">
        <f t="shared" ref="C41:C45" si="0">$C$38*C28</f>
        <v>0.15261454083432216</v>
      </c>
    </row>
    <row r="42" spans="2:3" hidden="1" outlineLevel="1">
      <c r="B42" s="156" t="s">
        <v>194</v>
      </c>
      <c r="C42" s="310">
        <f t="shared" si="0"/>
        <v>7.7351757119490286E-2</v>
      </c>
    </row>
    <row r="43" spans="2:3" hidden="1" outlineLevel="1">
      <c r="B43" s="156" t="s">
        <v>195</v>
      </c>
      <c r="C43" s="310">
        <f t="shared" si="0"/>
        <v>0.64939890999539318</v>
      </c>
    </row>
    <row r="44" spans="2:3" hidden="1" outlineLevel="1">
      <c r="B44" s="156" t="s">
        <v>196</v>
      </c>
      <c r="C44" s="310">
        <f t="shared" si="0"/>
        <v>0.42112874298615605</v>
      </c>
    </row>
    <row r="45" spans="2:3" hidden="1" outlineLevel="1">
      <c r="B45" s="156" t="s">
        <v>197</v>
      </c>
      <c r="C45" s="310">
        <f t="shared" si="0"/>
        <v>-2.8777808230793838E-5</v>
      </c>
    </row>
    <row r="46" spans="2:3" collapsed="1">
      <c r="C46" s="12"/>
    </row>
    <row r="47" spans="2:3" ht="13.5" thickBot="1">
      <c r="B47" s="9" t="s">
        <v>203</v>
      </c>
      <c r="C47" s="312">
        <f>C39+C37</f>
        <v>18.789804139438395</v>
      </c>
    </row>
    <row r="49" spans="2:3">
      <c r="B49" s="196" t="s">
        <v>340</v>
      </c>
    </row>
    <row r="50" spans="2:3">
      <c r="B50" s="196" t="s">
        <v>594</v>
      </c>
      <c r="C50" s="96"/>
    </row>
    <row r="51" spans="2:3">
      <c r="C51" s="96"/>
    </row>
  </sheetData>
  <mergeCells count="5">
    <mergeCell ref="B6:E6"/>
    <mergeCell ref="B8:E8"/>
    <mergeCell ref="B9:E9"/>
    <mergeCell ref="B10:E10"/>
    <mergeCell ref="B11:E1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showGridLines="0" topLeftCell="A10" zoomScaleNormal="100" workbookViewId="0"/>
  </sheetViews>
  <sheetFormatPr defaultRowHeight="12.75"/>
  <cols>
    <col min="1" max="1" width="2.85546875" style="1" customWidth="1"/>
    <col min="2" max="2" width="41.7109375" style="10" bestFit="1" customWidth="1"/>
    <col min="3" max="8" width="14.5703125" style="10" customWidth="1"/>
    <col min="9" max="9" width="68.7109375" style="10" bestFit="1" customWidth="1"/>
    <col min="10" max="16384" width="9.140625" style="1"/>
  </cols>
  <sheetData>
    <row r="1" spans="1:9">
      <c r="I1" s="197"/>
    </row>
    <row r="2" spans="1:9" ht="15.75">
      <c r="A2" s="5" t="s">
        <v>503</v>
      </c>
    </row>
    <row r="3" spans="1:9" ht="15.75">
      <c r="A3" s="5" t="s">
        <v>52</v>
      </c>
    </row>
    <row r="4" spans="1:9" ht="15.75">
      <c r="A4" s="6" t="s">
        <v>499</v>
      </c>
    </row>
    <row r="6" spans="1:9" ht="27" customHeight="1">
      <c r="B6" s="445" t="s">
        <v>484</v>
      </c>
      <c r="C6" s="446"/>
      <c r="D6" s="446"/>
      <c r="E6" s="446"/>
      <c r="F6" s="446"/>
      <c r="G6" s="446"/>
      <c r="H6" s="446"/>
      <c r="I6" s="447"/>
    </row>
    <row r="8" spans="1:9">
      <c r="B8" s="445" t="s">
        <v>20</v>
      </c>
      <c r="C8" s="446"/>
      <c r="D8" s="446"/>
      <c r="E8" s="446"/>
      <c r="F8" s="446"/>
      <c r="G8" s="446"/>
      <c r="H8" s="446"/>
      <c r="I8" s="447"/>
    </row>
    <row r="9" spans="1:9" ht="29.25" customHeight="1">
      <c r="B9" s="448" t="s">
        <v>524</v>
      </c>
      <c r="C9" s="449"/>
      <c r="D9" s="449"/>
      <c r="E9" s="449"/>
      <c r="F9" s="449"/>
      <c r="G9" s="449"/>
      <c r="H9" s="449"/>
      <c r="I9" s="450"/>
    </row>
    <row r="10" spans="1:9" ht="15" customHeight="1">
      <c r="B10" s="448" t="s">
        <v>27</v>
      </c>
      <c r="C10" s="449"/>
      <c r="D10" s="449"/>
      <c r="E10" s="449"/>
      <c r="F10" s="449"/>
      <c r="G10" s="449"/>
      <c r="H10" s="449"/>
      <c r="I10" s="450"/>
    </row>
    <row r="11" spans="1:9" ht="15" customHeight="1">
      <c r="B11" s="448" t="s">
        <v>28</v>
      </c>
      <c r="C11" s="449"/>
      <c r="D11" s="449"/>
      <c r="E11" s="449"/>
      <c r="F11" s="449"/>
      <c r="G11" s="449"/>
      <c r="H11" s="449"/>
      <c r="I11" s="450"/>
    </row>
    <row r="13" spans="1:9">
      <c r="B13" s="445" t="s">
        <v>21</v>
      </c>
      <c r="C13" s="446"/>
      <c r="D13" s="446"/>
      <c r="E13" s="446"/>
      <c r="F13" s="446"/>
      <c r="G13" s="446"/>
      <c r="H13" s="446"/>
      <c r="I13" s="447"/>
    </row>
    <row r="15" spans="1:9">
      <c r="C15" s="15" t="s">
        <v>2</v>
      </c>
      <c r="D15" s="15" t="s">
        <v>2</v>
      </c>
      <c r="E15" s="15" t="s">
        <v>2</v>
      </c>
      <c r="F15" s="15" t="s">
        <v>2</v>
      </c>
      <c r="G15" s="15" t="s">
        <v>2</v>
      </c>
    </row>
    <row r="16" spans="1:9">
      <c r="C16" s="15" t="s">
        <v>8</v>
      </c>
      <c r="D16" s="15" t="s">
        <v>9</v>
      </c>
      <c r="E16" s="15" t="s">
        <v>10</v>
      </c>
      <c r="F16" s="15" t="s">
        <v>11</v>
      </c>
      <c r="G16" s="15" t="s">
        <v>29</v>
      </c>
      <c r="H16" s="15" t="s">
        <v>38</v>
      </c>
      <c r="I16" s="15" t="s">
        <v>23</v>
      </c>
    </row>
    <row r="17" spans="2:9" s="7" customFormat="1">
      <c r="B17" s="12"/>
      <c r="C17" s="39"/>
      <c r="D17" s="39"/>
      <c r="E17" s="39"/>
      <c r="F17" s="39"/>
      <c r="G17" s="39"/>
      <c r="H17" s="39"/>
      <c r="I17" s="39"/>
    </row>
    <row r="18" spans="2:9" s="7" customFormat="1">
      <c r="B18" s="494" t="s">
        <v>39</v>
      </c>
      <c r="C18" s="494"/>
      <c r="D18" s="494"/>
      <c r="E18" s="494"/>
      <c r="F18" s="494"/>
      <c r="G18" s="494"/>
      <c r="H18" s="494"/>
      <c r="I18" s="494"/>
    </row>
    <row r="19" spans="2:9" s="7" customFormat="1">
      <c r="B19" s="37"/>
      <c r="C19" s="37"/>
      <c r="D19" s="37"/>
      <c r="E19" s="37"/>
      <c r="F19" s="37"/>
      <c r="G19" s="37"/>
      <c r="H19" s="37"/>
      <c r="I19" s="37"/>
    </row>
    <row r="20" spans="2:9" ht="51">
      <c r="B20" s="12" t="s">
        <v>12</v>
      </c>
      <c r="C20" s="17">
        <f>'Historic Metering Capex'!F26</f>
        <v>1371354.1500000001</v>
      </c>
      <c r="D20" s="17">
        <f>'Historic Metering Capex'!G26</f>
        <v>2647843.1399999997</v>
      </c>
      <c r="E20" s="17">
        <f>'Historic Metering Capex'!H26</f>
        <v>2755043.09</v>
      </c>
      <c r="F20" s="17">
        <f>'Historic Metering Capex'!I26</f>
        <v>1977125.1800000004</v>
      </c>
      <c r="G20" s="17">
        <f>'Historic Metering Capex'!J26</f>
        <v>1307268.83</v>
      </c>
      <c r="H20" s="18">
        <f>SUM(C20:G20)</f>
        <v>10058634.390000001</v>
      </c>
      <c r="I20" s="134" t="s">
        <v>286</v>
      </c>
    </row>
    <row r="21" spans="2:9" ht="38.25">
      <c r="B21" s="12" t="s">
        <v>13</v>
      </c>
      <c r="C21" s="17">
        <f>'Historic Metering Capex'!F27</f>
        <v>187606.05</v>
      </c>
      <c r="D21" s="17">
        <f>'Historic Metering Capex'!G27</f>
        <v>201370.44</v>
      </c>
      <c r="E21" s="17">
        <f>'Historic Metering Capex'!H27</f>
        <v>230896.87000000002</v>
      </c>
      <c r="F21" s="17">
        <f>'Historic Metering Capex'!I27</f>
        <v>219721.1</v>
      </c>
      <c r="G21" s="17">
        <f>'Historic Metering Capex'!J27</f>
        <v>121953.34999999999</v>
      </c>
      <c r="H21" s="18">
        <f t="shared" ref="H21:H27" si="0">SUM(C21:G21)</f>
        <v>961547.80999999994</v>
      </c>
      <c r="I21" s="134" t="s">
        <v>261</v>
      </c>
    </row>
    <row r="22" spans="2:9">
      <c r="B22" s="12" t="s">
        <v>14</v>
      </c>
      <c r="C22" s="17">
        <f>'Historic Metering Capex'!F28</f>
        <v>2604957.64</v>
      </c>
      <c r="D22" s="17">
        <f>'Historic Metering Capex'!G28</f>
        <v>1496850.7900000003</v>
      </c>
      <c r="E22" s="17">
        <f>'Historic Metering Capex'!H28</f>
        <v>45164.810000000027</v>
      </c>
      <c r="F22" s="17">
        <f>'Historic Metering Capex'!I28</f>
        <v>-5.6843418860808015E-13</v>
      </c>
      <c r="G22" s="17">
        <f>'Historic Metering Capex'!J28</f>
        <v>0</v>
      </c>
      <c r="H22" s="18">
        <f t="shared" si="0"/>
        <v>4146973.2400000007</v>
      </c>
      <c r="I22" s="134" t="s">
        <v>287</v>
      </c>
    </row>
    <row r="23" spans="2:9" ht="38.25">
      <c r="B23" s="12" t="s">
        <v>15</v>
      </c>
      <c r="C23" s="17">
        <f>'Historic Metering Capex'!F29</f>
        <v>1023026.2399999999</v>
      </c>
      <c r="D23" s="17">
        <f>'Historic Metering Capex'!G29</f>
        <v>257499.53000000003</v>
      </c>
      <c r="E23" s="17">
        <f>'Historic Metering Capex'!H29</f>
        <v>638778.49</v>
      </c>
      <c r="F23" s="17">
        <f>'Historic Metering Capex'!I29</f>
        <v>444753.6</v>
      </c>
      <c r="G23" s="17">
        <f>'Historic Metering Capex'!J29</f>
        <v>495066.05</v>
      </c>
      <c r="H23" s="18">
        <f t="shared" si="0"/>
        <v>2859123.9099999997</v>
      </c>
      <c r="I23" s="134" t="s">
        <v>262</v>
      </c>
    </row>
    <row r="24" spans="2:9" ht="25.5">
      <c r="B24" s="12" t="s">
        <v>16</v>
      </c>
      <c r="C24" s="17">
        <f>'Historic Metering Capex'!F30</f>
        <v>163620.77000000005</v>
      </c>
      <c r="D24" s="17">
        <f>'Historic Metering Capex'!G30</f>
        <v>18414.09</v>
      </c>
      <c r="E24" s="17">
        <f>'Historic Metering Capex'!H30</f>
        <v>39280.15</v>
      </c>
      <c r="F24" s="17">
        <f>'Historic Metering Capex'!I30</f>
        <v>23856.01</v>
      </c>
      <c r="G24" s="17">
        <f>'Historic Metering Capex'!J30</f>
        <v>105797.53000000001</v>
      </c>
      <c r="H24" s="18">
        <f t="shared" si="0"/>
        <v>350968.55000000005</v>
      </c>
      <c r="I24" s="134" t="s">
        <v>263</v>
      </c>
    </row>
    <row r="25" spans="2:9" ht="38.25">
      <c r="B25" s="12" t="s">
        <v>17</v>
      </c>
      <c r="C25" s="17">
        <f>'Historic Metering Capex'!F31</f>
        <v>613739.89999999967</v>
      </c>
      <c r="D25" s="17">
        <f>'Historic Metering Capex'!G31</f>
        <v>446559.08999999997</v>
      </c>
      <c r="E25" s="17">
        <f>'Historic Metering Capex'!H31</f>
        <v>669922.59</v>
      </c>
      <c r="F25" s="17">
        <f>'Historic Metering Capex'!I31</f>
        <v>675115.08000000042</v>
      </c>
      <c r="G25" s="17">
        <f>'Historic Metering Capex'!J31</f>
        <v>695623.91999999993</v>
      </c>
      <c r="H25" s="18">
        <f t="shared" si="0"/>
        <v>3100960.58</v>
      </c>
      <c r="I25" s="134" t="s">
        <v>264</v>
      </c>
    </row>
    <row r="26" spans="2:9">
      <c r="B26" s="12" t="s">
        <v>18</v>
      </c>
      <c r="C26" s="17">
        <f>'Historic Metering Capex'!F32</f>
        <v>184919.91999999998</v>
      </c>
      <c r="D26" s="17">
        <f>'Historic Metering Capex'!G32</f>
        <v>71843.709999999992</v>
      </c>
      <c r="E26" s="17">
        <f>'Historic Metering Capex'!H32</f>
        <v>136746.64000000001</v>
      </c>
      <c r="F26" s="17">
        <f>'Historic Metering Capex'!I32</f>
        <v>0</v>
      </c>
      <c r="G26" s="17">
        <f>'Historic Metering Capex'!J32</f>
        <v>0</v>
      </c>
      <c r="H26" s="18">
        <f t="shared" si="0"/>
        <v>393510.27</v>
      </c>
      <c r="I26" s="134" t="s">
        <v>40</v>
      </c>
    </row>
    <row r="27" spans="2:9">
      <c r="B27" s="12" t="s">
        <v>19</v>
      </c>
      <c r="C27" s="17">
        <f>'Historic Metering Capex'!F33</f>
        <v>0</v>
      </c>
      <c r="D27" s="17">
        <f>'Historic Metering Capex'!G33</f>
        <v>2817.3599999999997</v>
      </c>
      <c r="E27" s="17">
        <f>'Historic Metering Capex'!H33</f>
        <v>1046019.9700000002</v>
      </c>
      <c r="F27" s="17">
        <f>'Historic Metering Capex'!I33</f>
        <v>481048.83</v>
      </c>
      <c r="G27" s="17">
        <f>'Historic Metering Capex'!J33</f>
        <v>262812.38</v>
      </c>
      <c r="H27" s="18">
        <f t="shared" si="0"/>
        <v>1792698.5400000005</v>
      </c>
      <c r="I27" s="134" t="s">
        <v>287</v>
      </c>
    </row>
    <row r="28" spans="2:9">
      <c r="B28" s="22" t="s">
        <v>22</v>
      </c>
      <c r="C28" s="23">
        <f t="shared" ref="C28:G28" si="1">SUM(C20:C27)</f>
        <v>6149224.6699999999</v>
      </c>
      <c r="D28" s="23">
        <f t="shared" si="1"/>
        <v>5143198.1500000004</v>
      </c>
      <c r="E28" s="23">
        <f t="shared" si="1"/>
        <v>5561852.6099999994</v>
      </c>
      <c r="F28" s="23">
        <f t="shared" si="1"/>
        <v>3821619.8000000007</v>
      </c>
      <c r="G28" s="23">
        <f t="shared" si="1"/>
        <v>2988522.06</v>
      </c>
      <c r="H28" s="23">
        <f>SUM(H20:H27)</f>
        <v>23664417.290000003</v>
      </c>
      <c r="I28" s="28"/>
    </row>
    <row r="29" spans="2:9" s="30" customFormat="1">
      <c r="B29" s="31" t="s">
        <v>37</v>
      </c>
      <c r="C29" s="33">
        <f>C28-'Historic Metering Capex'!F35</f>
        <v>0</v>
      </c>
      <c r="D29" s="33">
        <f>D28-'Historic Metering Capex'!G35</f>
        <v>0</v>
      </c>
      <c r="E29" s="33">
        <f>E28-'Historic Metering Capex'!H35</f>
        <v>0</v>
      </c>
      <c r="F29" s="33">
        <f>F28-'Historic Metering Capex'!I35</f>
        <v>0</v>
      </c>
      <c r="G29" s="33">
        <f>G28-'Historic Metering Capex'!J35</f>
        <v>0</v>
      </c>
      <c r="H29" s="32"/>
      <c r="I29" s="31"/>
    </row>
    <row r="30" spans="2:9">
      <c r="H30" s="24"/>
    </row>
    <row r="31" spans="2:9">
      <c r="B31" s="494" t="s">
        <v>58</v>
      </c>
      <c r="C31" s="494"/>
      <c r="D31" s="494"/>
      <c r="E31" s="494"/>
      <c r="F31" s="494"/>
      <c r="G31" s="494"/>
      <c r="H31" s="494"/>
      <c r="I31" s="494"/>
    </row>
    <row r="32" spans="2:9">
      <c r="B32" s="25"/>
      <c r="H32" s="24"/>
    </row>
    <row r="33" spans="2:9">
      <c r="B33" s="10" t="s">
        <v>15</v>
      </c>
      <c r="C33" s="19">
        <f>C23</f>
        <v>1023026.2399999999</v>
      </c>
      <c r="D33" s="19">
        <f t="shared" ref="D33:G34" si="2">D23</f>
        <v>257499.53000000003</v>
      </c>
      <c r="E33" s="19">
        <f t="shared" si="2"/>
        <v>638778.49</v>
      </c>
      <c r="F33" s="19">
        <f t="shared" si="2"/>
        <v>444753.6</v>
      </c>
      <c r="G33" s="19">
        <f t="shared" si="2"/>
        <v>495066.05</v>
      </c>
      <c r="H33" s="21">
        <f>SUM(C33:G33)</f>
        <v>2859123.9099999997</v>
      </c>
    </row>
    <row r="34" spans="2:9">
      <c r="B34" s="10" t="s">
        <v>16</v>
      </c>
      <c r="C34" s="19">
        <f>C24</f>
        <v>163620.77000000005</v>
      </c>
      <c r="D34" s="19">
        <f t="shared" si="2"/>
        <v>18414.09</v>
      </c>
      <c r="E34" s="19">
        <f t="shared" si="2"/>
        <v>39280.15</v>
      </c>
      <c r="F34" s="19">
        <f t="shared" si="2"/>
        <v>23856.01</v>
      </c>
      <c r="G34" s="19">
        <f t="shared" si="2"/>
        <v>105797.53000000001</v>
      </c>
      <c r="H34" s="21">
        <f>SUM(C34:G34)</f>
        <v>350968.55000000005</v>
      </c>
    </row>
    <row r="35" spans="2:9">
      <c r="B35" s="22" t="s">
        <v>265</v>
      </c>
      <c r="C35" s="23">
        <f>SUM(C33:C34)</f>
        <v>1186647.01</v>
      </c>
      <c r="D35" s="23">
        <f t="shared" ref="D35:H35" si="3">SUM(D33:D34)</f>
        <v>275913.62000000005</v>
      </c>
      <c r="E35" s="23">
        <f t="shared" si="3"/>
        <v>678058.64</v>
      </c>
      <c r="F35" s="23">
        <f t="shared" si="3"/>
        <v>468609.61</v>
      </c>
      <c r="G35" s="23">
        <f t="shared" si="3"/>
        <v>600863.57999999996</v>
      </c>
      <c r="H35" s="23">
        <f t="shared" si="3"/>
        <v>3210092.46</v>
      </c>
    </row>
    <row r="36" spans="2:9">
      <c r="B36" s="135" t="s">
        <v>266</v>
      </c>
      <c r="C36" s="136">
        <f>C33/C35</f>
        <v>0.86211504464162414</v>
      </c>
      <c r="D36" s="136">
        <f t="shared" ref="D36:G36" si="4">D33/D35</f>
        <v>0.9332613953598955</v>
      </c>
      <c r="E36" s="136">
        <f t="shared" si="4"/>
        <v>0.94206968589029405</v>
      </c>
      <c r="F36" s="136">
        <f t="shared" si="4"/>
        <v>0.94909193176810858</v>
      </c>
      <c r="G36" s="136">
        <f t="shared" si="4"/>
        <v>0.82392420921900444</v>
      </c>
      <c r="H36" s="136"/>
    </row>
    <row r="37" spans="2:9">
      <c r="B37" s="25"/>
      <c r="H37" s="24"/>
    </row>
    <row r="38" spans="2:9">
      <c r="B38" s="10" t="s">
        <v>17</v>
      </c>
      <c r="C38" s="19">
        <f>C25</f>
        <v>613739.89999999967</v>
      </c>
      <c r="D38" s="19">
        <f>D25</f>
        <v>446559.08999999997</v>
      </c>
      <c r="E38" s="19">
        <f>E25</f>
        <v>669922.59</v>
      </c>
      <c r="F38" s="19">
        <f>F25</f>
        <v>675115.08000000042</v>
      </c>
      <c r="G38" s="19">
        <f>G25</f>
        <v>695623.91999999993</v>
      </c>
      <c r="H38" s="21">
        <f>SUM(C38:G38)</f>
        <v>3100960.58</v>
      </c>
      <c r="I38" s="19"/>
    </row>
    <row r="39" spans="2:9">
      <c r="B39" s="24"/>
      <c r="H39" s="24"/>
    </row>
    <row r="40" spans="2:9">
      <c r="B40" s="22" t="s">
        <v>25</v>
      </c>
      <c r="C40" s="35">
        <f>C38*C36</f>
        <v>529114.40128684568</v>
      </c>
      <c r="D40" s="35">
        <f t="shared" ref="D40:G40" si="5">D38*D36</f>
        <v>416756.35944404511</v>
      </c>
      <c r="E40" s="35">
        <f t="shared" si="5"/>
        <v>631113.76393211226</v>
      </c>
      <c r="F40" s="35">
        <f t="shared" si="5"/>
        <v>640746.27544298151</v>
      </c>
      <c r="G40" s="35">
        <f t="shared" si="5"/>
        <v>573141.38819982391</v>
      </c>
      <c r="H40" s="35">
        <f>SUM(C40:G40)</f>
        <v>2790872.1883058087</v>
      </c>
      <c r="I40" s="34"/>
    </row>
    <row r="41" spans="2:9">
      <c r="C41" s="20"/>
      <c r="D41" s="20"/>
      <c r="E41" s="20"/>
      <c r="F41" s="20"/>
      <c r="G41" s="20"/>
      <c r="H41" s="24"/>
    </row>
    <row r="42" spans="2:9">
      <c r="B42" s="494" t="s">
        <v>56</v>
      </c>
      <c r="C42" s="494"/>
      <c r="D42" s="494"/>
      <c r="E42" s="494"/>
      <c r="F42" s="494"/>
      <c r="G42" s="494"/>
      <c r="H42" s="494"/>
      <c r="I42" s="494"/>
    </row>
    <row r="43" spans="2:9">
      <c r="B43" s="24"/>
      <c r="C43" s="26"/>
      <c r="D43" s="26"/>
      <c r="E43" s="26"/>
      <c r="F43" s="26"/>
      <c r="G43" s="26"/>
      <c r="H43" s="21"/>
      <c r="I43" s="19"/>
    </row>
    <row r="44" spans="2:9">
      <c r="B44" s="10" t="str">
        <f t="shared" ref="B44:G44" si="6">B20</f>
        <v>Project - MC101 - METERS - GROWTH</v>
      </c>
      <c r="C44" s="20">
        <f t="shared" si="6"/>
        <v>1371354.1500000001</v>
      </c>
      <c r="D44" s="20">
        <f t="shared" si="6"/>
        <v>2647843.1399999997</v>
      </c>
      <c r="E44" s="20">
        <f t="shared" si="6"/>
        <v>2755043.09</v>
      </c>
      <c r="F44" s="20">
        <f t="shared" si="6"/>
        <v>1977125.1800000004</v>
      </c>
      <c r="G44" s="20">
        <f t="shared" si="6"/>
        <v>1307268.83</v>
      </c>
      <c r="H44" s="26">
        <f>SUM(C44:G44)</f>
        <v>10058634.390000001</v>
      </c>
      <c r="I44" s="19"/>
    </row>
    <row r="45" spans="2:9">
      <c r="B45" s="10" t="str">
        <f t="shared" ref="B45:G45" si="7">B23</f>
        <v>Project - MC104 - METERS RENEWAL</v>
      </c>
      <c r="C45" s="20">
        <f t="shared" si="7"/>
        <v>1023026.2399999999</v>
      </c>
      <c r="D45" s="20">
        <f t="shared" si="7"/>
        <v>257499.53000000003</v>
      </c>
      <c r="E45" s="20">
        <f t="shared" si="7"/>
        <v>638778.49</v>
      </c>
      <c r="F45" s="20">
        <f t="shared" si="7"/>
        <v>444753.6</v>
      </c>
      <c r="G45" s="20">
        <f t="shared" si="7"/>
        <v>495066.05</v>
      </c>
      <c r="H45" s="26">
        <f>SUM(C45:G45)</f>
        <v>2859123.9099999997</v>
      </c>
      <c r="I45" s="19"/>
    </row>
    <row r="46" spans="2:9">
      <c r="B46" s="10" t="str">
        <f>B25</f>
        <v>Project - MC106 - LABOUR (METER/RELAY RENEWAL)</v>
      </c>
      <c r="C46" s="20">
        <f>C40</f>
        <v>529114.40128684568</v>
      </c>
      <c r="D46" s="20">
        <f t="shared" ref="D46:G46" si="8">D40</f>
        <v>416756.35944404511</v>
      </c>
      <c r="E46" s="20">
        <f t="shared" si="8"/>
        <v>631113.76393211226</v>
      </c>
      <c r="F46" s="20">
        <f t="shared" si="8"/>
        <v>640746.27544298151</v>
      </c>
      <c r="G46" s="20">
        <f t="shared" si="8"/>
        <v>573141.38819982391</v>
      </c>
      <c r="H46" s="26">
        <f>SUM(C46:G46)</f>
        <v>2790872.1883058087</v>
      </c>
      <c r="I46" s="19"/>
    </row>
    <row r="47" spans="2:9">
      <c r="B47" s="10" t="str">
        <f>B26</f>
        <v>Project - MC107 - TEST EQUIPMENT</v>
      </c>
      <c r="C47" s="20">
        <f t="shared" ref="C47:G47" si="9">C26</f>
        <v>184919.91999999998</v>
      </c>
      <c r="D47" s="20">
        <f t="shared" si="9"/>
        <v>71843.709999999992</v>
      </c>
      <c r="E47" s="20">
        <f t="shared" si="9"/>
        <v>136746.64000000001</v>
      </c>
      <c r="F47" s="20">
        <f t="shared" si="9"/>
        <v>0</v>
      </c>
      <c r="G47" s="20">
        <f t="shared" si="9"/>
        <v>0</v>
      </c>
      <c r="H47" s="26">
        <f>SUM(C47:G47)</f>
        <v>393510.27</v>
      </c>
      <c r="I47" s="19"/>
    </row>
    <row r="48" spans="2:9">
      <c r="B48" s="22" t="s">
        <v>41</v>
      </c>
      <c r="C48" s="35">
        <f>SUM(C44:C47)</f>
        <v>3108414.7112868456</v>
      </c>
      <c r="D48" s="35">
        <f t="shared" ref="D48:H48" si="10">SUM(D44:D47)</f>
        <v>3393942.7394440449</v>
      </c>
      <c r="E48" s="35">
        <f t="shared" si="10"/>
        <v>4161681.9839321123</v>
      </c>
      <c r="F48" s="35">
        <f t="shared" si="10"/>
        <v>3062625.0554429819</v>
      </c>
      <c r="G48" s="35">
        <f t="shared" si="10"/>
        <v>2375476.2681998238</v>
      </c>
      <c r="H48" s="35">
        <f t="shared" si="10"/>
        <v>16102140.758305809</v>
      </c>
      <c r="I48" s="19"/>
    </row>
    <row r="49" spans="2:9">
      <c r="B49" s="24"/>
      <c r="C49" s="26"/>
      <c r="D49" s="26"/>
      <c r="E49" s="26"/>
      <c r="F49" s="26"/>
      <c r="G49" s="26"/>
      <c r="H49" s="21"/>
      <c r="I49" s="19"/>
    </row>
    <row r="50" spans="2:9" ht="13.5" thickBot="1">
      <c r="B50" s="27" t="s">
        <v>24</v>
      </c>
      <c r="C50" s="38">
        <f t="shared" ref="C50:G50" si="11">C48/C28</f>
        <v>0.50549701435560745</v>
      </c>
      <c r="D50" s="38">
        <f t="shared" si="11"/>
        <v>0.6598895551873778</v>
      </c>
      <c r="E50" s="38">
        <f t="shared" si="11"/>
        <v>0.74825463307847573</v>
      </c>
      <c r="F50" s="38">
        <f t="shared" si="11"/>
        <v>0.80139449126859275</v>
      </c>
      <c r="G50" s="38">
        <f t="shared" si="11"/>
        <v>0.79486656631867847</v>
      </c>
      <c r="H50" s="210">
        <f>H48/H28</f>
        <v>0.6804368162114085</v>
      </c>
      <c r="I50" s="19"/>
    </row>
    <row r="51" spans="2:9">
      <c r="B51" s="24"/>
      <c r="C51" s="26"/>
      <c r="D51" s="26"/>
      <c r="E51" s="26"/>
      <c r="F51" s="26"/>
      <c r="G51" s="26"/>
      <c r="H51" s="21"/>
      <c r="I51" s="19"/>
    </row>
    <row r="52" spans="2:9">
      <c r="B52" s="200" t="s">
        <v>333</v>
      </c>
      <c r="C52" s="26"/>
      <c r="D52" s="26"/>
      <c r="E52" s="26"/>
      <c r="F52" s="26"/>
      <c r="G52" s="26"/>
      <c r="H52" s="21"/>
      <c r="I52" s="19"/>
    </row>
    <row r="53" spans="2:9">
      <c r="B53" s="29" t="s">
        <v>335</v>
      </c>
      <c r="C53" s="26"/>
      <c r="D53" s="26"/>
      <c r="E53" s="26"/>
      <c r="F53" s="26"/>
      <c r="G53" s="26"/>
      <c r="H53" s="21"/>
      <c r="I53" s="19"/>
    </row>
  </sheetData>
  <mergeCells count="9">
    <mergeCell ref="B18:I18"/>
    <mergeCell ref="B31:I31"/>
    <mergeCell ref="B42:I42"/>
    <mergeCell ref="B6:I6"/>
    <mergeCell ref="B8:I8"/>
    <mergeCell ref="B9:I9"/>
    <mergeCell ref="B10:I10"/>
    <mergeCell ref="B11:I11"/>
    <mergeCell ref="B13:I13"/>
  </mergeCells>
  <pageMargins left="0.7" right="0.7" top="0.75" bottom="0.75" header="0.3" footer="0.3"/>
  <pageSetup paperSize="9" scale="5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U38"/>
  <sheetViews>
    <sheetView showGridLines="0" workbookViewId="0"/>
  </sheetViews>
  <sheetFormatPr defaultRowHeight="12.75"/>
  <cols>
    <col min="1" max="1" width="2.85546875" style="1" customWidth="1"/>
    <col min="2" max="2" width="48.28515625" style="1" bestFit="1" customWidth="1"/>
    <col min="3" max="10" width="15.5703125" style="1" customWidth="1"/>
    <col min="11" max="16384" width="9.140625" style="1"/>
  </cols>
  <sheetData>
    <row r="2" spans="1:47" ht="15.75">
      <c r="A2" s="5" t="s">
        <v>503</v>
      </c>
      <c r="B2" s="10"/>
      <c r="C2" s="10"/>
      <c r="D2" s="10"/>
      <c r="E2" s="10"/>
      <c r="F2" s="10"/>
      <c r="G2" s="10"/>
      <c r="H2" s="10"/>
      <c r="I2" s="10"/>
      <c r="J2" s="11"/>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row>
    <row r="3" spans="1:47" ht="15.75">
      <c r="A3" s="5" t="s">
        <v>348</v>
      </c>
      <c r="B3" s="10"/>
      <c r="C3" s="10"/>
      <c r="D3" s="10"/>
      <c r="E3" s="10"/>
      <c r="F3" s="10"/>
      <c r="G3" s="10"/>
      <c r="H3" s="10"/>
      <c r="I3" s="10"/>
      <c r="J3" s="11"/>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row>
    <row r="4" spans="1:47" ht="15.75">
      <c r="A4" s="6" t="s">
        <v>499</v>
      </c>
      <c r="B4" s="10"/>
      <c r="C4" s="10"/>
      <c r="D4" s="10"/>
      <c r="E4" s="10"/>
      <c r="F4" s="10"/>
      <c r="G4" s="10"/>
      <c r="H4" s="10"/>
      <c r="I4" s="10"/>
      <c r="J4" s="11"/>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row>
    <row r="5" spans="1:47">
      <c r="B5" s="10"/>
      <c r="C5" s="10"/>
      <c r="D5" s="10"/>
      <c r="E5" s="10"/>
      <c r="F5" s="10"/>
      <c r="G5" s="10"/>
      <c r="H5" s="10"/>
      <c r="I5" s="10"/>
      <c r="J5" s="11"/>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row>
    <row r="6" spans="1:47" ht="29.25" customHeight="1">
      <c r="B6" s="469" t="s">
        <v>483</v>
      </c>
      <c r="C6" s="469"/>
      <c r="D6" s="469"/>
      <c r="E6" s="469"/>
      <c r="F6" s="469"/>
      <c r="G6" s="469"/>
      <c r="H6" s="469"/>
      <c r="I6" s="469"/>
      <c r="J6" s="469"/>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c r="B7" s="10"/>
      <c r="C7" s="10"/>
      <c r="D7" s="10"/>
      <c r="E7" s="10"/>
      <c r="F7" s="10"/>
      <c r="G7" s="10"/>
      <c r="H7" s="10"/>
      <c r="I7" s="10"/>
      <c r="J7" s="11"/>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row>
    <row r="8" spans="1:47">
      <c r="B8" s="469" t="s">
        <v>20</v>
      </c>
      <c r="C8" s="469"/>
      <c r="D8" s="469"/>
      <c r="E8" s="469"/>
      <c r="F8" s="469"/>
      <c r="G8" s="469"/>
      <c r="H8" s="469"/>
      <c r="I8" s="469"/>
      <c r="J8" s="469"/>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row>
    <row r="9" spans="1:47" ht="12.75" customHeight="1">
      <c r="B9" s="500" t="s">
        <v>523</v>
      </c>
      <c r="C9" s="500"/>
      <c r="D9" s="500"/>
      <c r="E9" s="500"/>
      <c r="F9" s="500"/>
      <c r="G9" s="500"/>
      <c r="H9" s="500"/>
      <c r="I9" s="500"/>
      <c r="J9" s="50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row>
    <row r="11" spans="1:47" s="48" customFormat="1">
      <c r="B11" s="445" t="s">
        <v>21</v>
      </c>
      <c r="C11" s="446"/>
      <c r="D11" s="446"/>
      <c r="E11" s="446"/>
      <c r="F11" s="446"/>
      <c r="G11" s="446"/>
      <c r="H11" s="446"/>
      <c r="I11" s="446"/>
      <c r="J11" s="447"/>
    </row>
    <row r="12" spans="1:47" s="48" customFormat="1">
      <c r="B12" s="51"/>
      <c r="C12" s="51"/>
      <c r="D12" s="51"/>
      <c r="E12" s="51"/>
      <c r="F12" s="51"/>
      <c r="G12" s="51"/>
      <c r="H12" s="51"/>
      <c r="I12" s="51"/>
      <c r="J12" s="51"/>
    </row>
    <row r="13" spans="1:47">
      <c r="B13" s="445" t="s">
        <v>26</v>
      </c>
      <c r="C13" s="447"/>
    </row>
    <row r="14" spans="1:47">
      <c r="B14" s="3" t="s">
        <v>0</v>
      </c>
      <c r="C14" s="4" t="s">
        <v>828</v>
      </c>
    </row>
    <row r="15" spans="1:47">
      <c r="B15" s="3" t="s">
        <v>30</v>
      </c>
      <c r="C15" s="4" t="s">
        <v>824</v>
      </c>
    </row>
    <row r="16" spans="1:47">
      <c r="B16" s="3" t="s">
        <v>31</v>
      </c>
      <c r="C16" s="4" t="s">
        <v>1</v>
      </c>
    </row>
    <row r="17" spans="2:10">
      <c r="B17" s="3" t="s">
        <v>32</v>
      </c>
      <c r="C17" s="4" t="s">
        <v>825</v>
      </c>
    </row>
    <row r="18" spans="2:10">
      <c r="B18" s="3" t="s">
        <v>33</v>
      </c>
      <c r="C18" s="4" t="s">
        <v>2</v>
      </c>
    </row>
    <row r="19" spans="2:10">
      <c r="B19" s="3" t="s">
        <v>34</v>
      </c>
      <c r="C19" s="4">
        <v>91</v>
      </c>
    </row>
    <row r="20" spans="2:10">
      <c r="B20" s="3" t="s">
        <v>35</v>
      </c>
      <c r="C20" s="4" t="s">
        <v>3</v>
      </c>
    </row>
    <row r="21" spans="2:10">
      <c r="B21" s="3" t="s">
        <v>522</v>
      </c>
      <c r="C21" s="4" t="s">
        <v>829</v>
      </c>
    </row>
    <row r="22" spans="2:10">
      <c r="B22" s="3" t="s">
        <v>521</v>
      </c>
      <c r="C22" s="4" t="s">
        <v>4</v>
      </c>
    </row>
    <row r="24" spans="2:10">
      <c r="C24" s="167" t="s">
        <v>5</v>
      </c>
      <c r="D24" s="167" t="s">
        <v>6</v>
      </c>
      <c r="E24" s="167" t="s">
        <v>7</v>
      </c>
      <c r="F24" s="167" t="s">
        <v>8</v>
      </c>
      <c r="G24" s="167" t="s">
        <v>9</v>
      </c>
      <c r="H24" s="167" t="s">
        <v>10</v>
      </c>
      <c r="I24" s="167" t="s">
        <v>11</v>
      </c>
      <c r="J24" s="167" t="s">
        <v>29</v>
      </c>
    </row>
    <row r="25" spans="2:10">
      <c r="C25" s="167" t="s">
        <v>59</v>
      </c>
      <c r="D25" s="167" t="s">
        <v>59</v>
      </c>
      <c r="E25" s="167" t="s">
        <v>59</v>
      </c>
      <c r="F25" s="167" t="s">
        <v>59</v>
      </c>
      <c r="G25" s="167" t="s">
        <v>59</v>
      </c>
      <c r="H25" s="167" t="s">
        <v>59</v>
      </c>
      <c r="I25" s="167" t="s">
        <v>59</v>
      </c>
      <c r="J25" s="167" t="s">
        <v>59</v>
      </c>
    </row>
    <row r="26" spans="2:10">
      <c r="B26" s="251" t="s">
        <v>12</v>
      </c>
      <c r="C26" s="250">
        <v>1466961.0499999996</v>
      </c>
      <c r="D26" s="250">
        <v>1244535.19</v>
      </c>
      <c r="E26" s="250">
        <v>1103831.27</v>
      </c>
      <c r="F26" s="250">
        <v>1371354.1500000001</v>
      </c>
      <c r="G26" s="250">
        <v>2647843.1399999997</v>
      </c>
      <c r="H26" s="250">
        <v>2755043.09</v>
      </c>
      <c r="I26" s="250">
        <v>1977125.1800000004</v>
      </c>
      <c r="J26" s="250">
        <v>1307268.83</v>
      </c>
    </row>
    <row r="27" spans="2:10">
      <c r="B27" s="251" t="s">
        <v>13</v>
      </c>
      <c r="C27" s="250">
        <v>248127.25</v>
      </c>
      <c r="D27" s="250">
        <v>179473.44999999998</v>
      </c>
      <c r="E27" s="250">
        <v>164584.63</v>
      </c>
      <c r="F27" s="250">
        <v>187606.05</v>
      </c>
      <c r="G27" s="250">
        <v>201370.44</v>
      </c>
      <c r="H27" s="250">
        <v>230896.87000000002</v>
      </c>
      <c r="I27" s="250">
        <v>219721.1</v>
      </c>
      <c r="J27" s="250">
        <v>121953.34999999999</v>
      </c>
    </row>
    <row r="28" spans="2:10">
      <c r="B28" s="251" t="s">
        <v>14</v>
      </c>
      <c r="C28" s="250">
        <v>1302650.7799999996</v>
      </c>
      <c r="D28" s="250">
        <v>311927.64999999991</v>
      </c>
      <c r="E28" s="250">
        <v>84360.919999999984</v>
      </c>
      <c r="F28" s="250">
        <v>2604957.64</v>
      </c>
      <c r="G28" s="250">
        <v>1496850.7900000003</v>
      </c>
      <c r="H28" s="250">
        <v>45164.810000000027</v>
      </c>
      <c r="I28" s="250">
        <v>-5.6843418860808015E-13</v>
      </c>
      <c r="J28" s="250">
        <v>0</v>
      </c>
    </row>
    <row r="29" spans="2:10">
      <c r="B29" s="251" t="s">
        <v>15</v>
      </c>
      <c r="C29" s="250">
        <v>2465842.2199999997</v>
      </c>
      <c r="D29" s="250">
        <v>1936292.3099999998</v>
      </c>
      <c r="E29" s="250">
        <v>1994885.9</v>
      </c>
      <c r="F29" s="250">
        <v>1023026.2399999999</v>
      </c>
      <c r="G29" s="250">
        <v>257499.53000000003</v>
      </c>
      <c r="H29" s="250">
        <v>638778.49</v>
      </c>
      <c r="I29" s="250">
        <v>444753.6</v>
      </c>
      <c r="J29" s="250">
        <v>495066.05</v>
      </c>
    </row>
    <row r="30" spans="2:10">
      <c r="B30" s="251" t="s">
        <v>16</v>
      </c>
      <c r="C30" s="250">
        <v>265756.95999999996</v>
      </c>
      <c r="D30" s="250">
        <v>270107.39</v>
      </c>
      <c r="E30" s="250">
        <v>340366.67</v>
      </c>
      <c r="F30" s="250">
        <v>163620.77000000005</v>
      </c>
      <c r="G30" s="250">
        <v>18414.09</v>
      </c>
      <c r="H30" s="250">
        <v>39280.15</v>
      </c>
      <c r="I30" s="250">
        <v>23856.01</v>
      </c>
      <c r="J30" s="250">
        <v>105797.53000000001</v>
      </c>
    </row>
    <row r="31" spans="2:10">
      <c r="B31" s="251" t="s">
        <v>17</v>
      </c>
      <c r="C31" s="250">
        <v>840508.29999999993</v>
      </c>
      <c r="D31" s="250">
        <v>1246210.4700000007</v>
      </c>
      <c r="E31" s="250">
        <v>1107833.3600000001</v>
      </c>
      <c r="F31" s="250">
        <v>613739.89999999967</v>
      </c>
      <c r="G31" s="250">
        <v>446559.08999999997</v>
      </c>
      <c r="H31" s="250">
        <v>669922.59</v>
      </c>
      <c r="I31" s="250">
        <v>675115.08000000042</v>
      </c>
      <c r="J31" s="250">
        <v>695623.91999999993</v>
      </c>
    </row>
    <row r="32" spans="2:10">
      <c r="B32" s="251" t="s">
        <v>18</v>
      </c>
      <c r="C32" s="250">
        <v>125056.2</v>
      </c>
      <c r="D32" s="250">
        <v>17200</v>
      </c>
      <c r="E32" s="250">
        <v>118706.5</v>
      </c>
      <c r="F32" s="250">
        <v>184919.91999999998</v>
      </c>
      <c r="G32" s="250">
        <v>71843.709999999992</v>
      </c>
      <c r="H32" s="250">
        <v>136746.64000000001</v>
      </c>
      <c r="I32" s="250">
        <v>0</v>
      </c>
      <c r="J32" s="250">
        <v>0</v>
      </c>
    </row>
    <row r="33" spans="2:10">
      <c r="B33" s="251" t="s">
        <v>19</v>
      </c>
      <c r="C33" s="250">
        <v>0</v>
      </c>
      <c r="D33" s="250">
        <v>0</v>
      </c>
      <c r="E33" s="250">
        <v>0</v>
      </c>
      <c r="F33" s="250">
        <v>0</v>
      </c>
      <c r="G33" s="250">
        <v>2817.3599999999997</v>
      </c>
      <c r="H33" s="250">
        <v>1046019.9700000002</v>
      </c>
      <c r="I33" s="250">
        <v>481048.83</v>
      </c>
      <c r="J33" s="250">
        <v>262812.38</v>
      </c>
    </row>
    <row r="35" spans="2:10">
      <c r="B35" s="206" t="s">
        <v>22</v>
      </c>
      <c r="C35" s="252">
        <f>SUM(C26:C33)</f>
        <v>6714902.7599999988</v>
      </c>
      <c r="D35" s="252">
        <f t="shared" ref="D35:J35" si="0">SUM(D26:D33)</f>
        <v>5205746.4600000009</v>
      </c>
      <c r="E35" s="252">
        <f t="shared" si="0"/>
        <v>4914569.25</v>
      </c>
      <c r="F35" s="252">
        <f t="shared" si="0"/>
        <v>6149224.6699999999</v>
      </c>
      <c r="G35" s="252">
        <f t="shared" si="0"/>
        <v>5143198.1500000004</v>
      </c>
      <c r="H35" s="252">
        <f t="shared" si="0"/>
        <v>5561852.6099999994</v>
      </c>
      <c r="I35" s="252">
        <f t="shared" si="0"/>
        <v>3821619.8000000007</v>
      </c>
      <c r="J35" s="252">
        <f t="shared" si="0"/>
        <v>2988522.06</v>
      </c>
    </row>
    <row r="37" spans="2:10">
      <c r="B37" s="200" t="s">
        <v>333</v>
      </c>
    </row>
    <row r="38" spans="2:10">
      <c r="B38" s="29" t="s">
        <v>335</v>
      </c>
    </row>
  </sheetData>
  <mergeCells count="5">
    <mergeCell ref="B13:C13"/>
    <mergeCell ref="B6:J6"/>
    <mergeCell ref="B8:J8"/>
    <mergeCell ref="B9:J9"/>
    <mergeCell ref="B11:J1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topLeftCell="A25" zoomScaleNormal="100" workbookViewId="0"/>
  </sheetViews>
  <sheetFormatPr defaultColWidth="11.7109375" defaultRowHeight="12.75"/>
  <cols>
    <col min="1" max="1" width="2.85546875" style="13" customWidth="1"/>
    <col min="2" max="2" width="31.28515625" style="13" customWidth="1"/>
    <col min="3" max="8" width="16.85546875" style="13" customWidth="1"/>
    <col min="9" max="16384" width="11.7109375" style="13"/>
  </cols>
  <sheetData>
    <row r="1" spans="1:8">
      <c r="H1" s="197"/>
    </row>
    <row r="2" spans="1:8" ht="15.75">
      <c r="A2" s="5" t="s">
        <v>503</v>
      </c>
      <c r="B2" s="10"/>
      <c r="C2" s="10"/>
      <c r="D2" s="10"/>
      <c r="E2" s="10"/>
      <c r="F2" s="10"/>
      <c r="G2" s="10"/>
      <c r="H2" s="10"/>
    </row>
    <row r="3" spans="1:8" ht="15.75">
      <c r="A3" s="5" t="s">
        <v>520</v>
      </c>
      <c r="B3" s="10"/>
      <c r="C3" s="10"/>
      <c r="D3" s="10"/>
      <c r="E3" s="10"/>
      <c r="F3" s="10"/>
      <c r="G3" s="10"/>
      <c r="H3" s="10"/>
    </row>
    <row r="4" spans="1:8" ht="15.75">
      <c r="A4" s="6" t="s">
        <v>499</v>
      </c>
      <c r="B4" s="10"/>
      <c r="C4" s="10"/>
      <c r="D4" s="10"/>
      <c r="E4" s="10"/>
      <c r="F4" s="10"/>
      <c r="G4" s="10"/>
      <c r="H4" s="10"/>
    </row>
    <row r="5" spans="1:8">
      <c r="A5" s="1"/>
      <c r="B5" s="10"/>
      <c r="C5" s="10"/>
      <c r="D5" s="10"/>
      <c r="E5" s="10"/>
      <c r="F5" s="10"/>
      <c r="G5" s="10"/>
      <c r="H5" s="10"/>
    </row>
    <row r="6" spans="1:8" ht="27" customHeight="1">
      <c r="A6" s="1"/>
      <c r="B6" s="445" t="s">
        <v>504</v>
      </c>
      <c r="C6" s="446"/>
      <c r="D6" s="446"/>
      <c r="E6" s="446"/>
      <c r="F6" s="446"/>
      <c r="G6" s="446"/>
      <c r="H6" s="447"/>
    </row>
    <row r="7" spans="1:8">
      <c r="D7" s="193"/>
      <c r="E7" s="193"/>
      <c r="F7" s="193"/>
      <c r="G7" s="193"/>
      <c r="H7" s="193"/>
    </row>
    <row r="8" spans="1:8">
      <c r="B8" s="445" t="s">
        <v>20</v>
      </c>
      <c r="C8" s="446"/>
      <c r="D8" s="446"/>
      <c r="E8" s="446"/>
      <c r="F8" s="446"/>
      <c r="G8" s="446"/>
      <c r="H8" s="447"/>
    </row>
    <row r="9" spans="1:8">
      <c r="B9" s="448" t="s">
        <v>505</v>
      </c>
      <c r="C9" s="449"/>
      <c r="D9" s="449"/>
      <c r="E9" s="449"/>
      <c r="F9" s="449"/>
      <c r="G9" s="449"/>
      <c r="H9" s="450"/>
    </row>
    <row r="10" spans="1:8" ht="27.75" customHeight="1">
      <c r="B10" s="448" t="s">
        <v>506</v>
      </c>
      <c r="C10" s="449"/>
      <c r="D10" s="449"/>
      <c r="E10" s="449"/>
      <c r="F10" s="449"/>
      <c r="G10" s="449"/>
      <c r="H10" s="450"/>
    </row>
    <row r="11" spans="1:8">
      <c r="B11" s="501" t="s">
        <v>507</v>
      </c>
      <c r="C11" s="502"/>
      <c r="D11" s="502"/>
      <c r="E11" s="502"/>
      <c r="F11" s="502"/>
      <c r="G11" s="502"/>
      <c r="H11" s="503"/>
    </row>
    <row r="12" spans="1:8">
      <c r="D12" s="193"/>
      <c r="E12" s="193"/>
      <c r="F12" s="193"/>
      <c r="G12" s="193"/>
      <c r="H12" s="193"/>
    </row>
    <row r="13" spans="1:8" s="48" customFormat="1">
      <c r="B13" s="445" t="s">
        <v>21</v>
      </c>
      <c r="C13" s="446"/>
      <c r="D13" s="446"/>
      <c r="E13" s="446"/>
      <c r="F13" s="446"/>
      <c r="G13" s="446"/>
      <c r="H13" s="447"/>
    </row>
    <row r="14" spans="1:8" s="48" customFormat="1">
      <c r="B14" s="51"/>
      <c r="C14" s="51"/>
      <c r="D14" s="51"/>
      <c r="E14" s="51"/>
      <c r="F14" s="51"/>
      <c r="G14" s="51"/>
      <c r="H14" s="51"/>
    </row>
    <row r="15" spans="1:8">
      <c r="B15" s="220" t="s">
        <v>508</v>
      </c>
      <c r="C15" s="220"/>
      <c r="D15" s="219"/>
      <c r="E15" s="219"/>
      <c r="F15" s="219"/>
      <c r="G15" s="219"/>
      <c r="H15" s="219"/>
    </row>
    <row r="16" spans="1:8" ht="15" customHeight="1">
      <c r="D16" s="193"/>
      <c r="E16" s="193"/>
      <c r="F16" s="193"/>
      <c r="G16" s="193"/>
      <c r="H16" s="193"/>
    </row>
    <row r="17" spans="2:8">
      <c r="B17" s="1"/>
      <c r="C17" s="224" t="s">
        <v>42</v>
      </c>
      <c r="D17" s="224" t="s">
        <v>43</v>
      </c>
      <c r="E17" s="224" t="s">
        <v>44</v>
      </c>
      <c r="F17" s="224" t="s">
        <v>45</v>
      </c>
      <c r="G17" s="224" t="s">
        <v>46</v>
      </c>
      <c r="H17" s="224" t="s">
        <v>22</v>
      </c>
    </row>
    <row r="18" spans="2:8">
      <c r="B18" s="1"/>
      <c r="C18" s="1"/>
      <c r="D18" s="1"/>
      <c r="E18" s="1"/>
      <c r="F18" s="1"/>
      <c r="G18" s="1"/>
      <c r="H18" s="1"/>
    </row>
    <row r="19" spans="2:8">
      <c r="B19" s="10" t="s">
        <v>15</v>
      </c>
      <c r="C19" s="235">
        <v>3401804.7613070118</v>
      </c>
      <c r="D19" s="235">
        <v>4279975.5537391957</v>
      </c>
      <c r="E19" s="235">
        <v>3963393.002165352</v>
      </c>
      <c r="F19" s="235">
        <v>3262061.6456307089</v>
      </c>
      <c r="G19" s="235">
        <v>4603870.9211328002</v>
      </c>
      <c r="H19" s="230">
        <f>SUM(C19:G19)</f>
        <v>19511105.88397507</v>
      </c>
    </row>
    <row r="20" spans="2:8">
      <c r="B20" s="10" t="s">
        <v>18</v>
      </c>
      <c r="C20" s="235">
        <v>127724.62830413246</v>
      </c>
      <c r="D20" s="235">
        <v>124951.11562537795</v>
      </c>
      <c r="E20" s="235">
        <v>124909.05367422021</v>
      </c>
      <c r="F20" s="235">
        <v>121830.36564966659</v>
      </c>
      <c r="G20" s="235">
        <v>120055.92304139072</v>
      </c>
      <c r="H20" s="230">
        <f>SUM(C20:G20)</f>
        <v>619471.08629478794</v>
      </c>
    </row>
    <row r="21" spans="2:8">
      <c r="B21" s="206" t="s">
        <v>516</v>
      </c>
      <c r="C21" s="231">
        <f>SUM(C19:C20)</f>
        <v>3529529.3896111441</v>
      </c>
      <c r="D21" s="231">
        <f t="shared" ref="D21:H21" si="0">SUM(D19:D20)</f>
        <v>4404926.6693645734</v>
      </c>
      <c r="E21" s="231">
        <f t="shared" si="0"/>
        <v>4088302.0558395721</v>
      </c>
      <c r="F21" s="231">
        <f t="shared" si="0"/>
        <v>3383892.0112803755</v>
      </c>
      <c r="G21" s="231">
        <f t="shared" si="0"/>
        <v>4723926.8441741914</v>
      </c>
      <c r="H21" s="231">
        <f t="shared" si="0"/>
        <v>20130576.970269859</v>
      </c>
    </row>
    <row r="22" spans="2:8">
      <c r="B22" s="1"/>
      <c r="C22" s="1"/>
      <c r="D22" s="1"/>
      <c r="E22" s="1"/>
      <c r="F22" s="1"/>
      <c r="G22" s="1"/>
      <c r="H22" s="1"/>
    </row>
    <row r="23" spans="2:8">
      <c r="B23" s="206" t="s">
        <v>509</v>
      </c>
      <c r="C23" s="232">
        <f>C19/$H$19</f>
        <v>0.17435222695915939</v>
      </c>
      <c r="D23" s="232">
        <f t="shared" ref="D23:G23" si="1">D19/$H$19</f>
        <v>0.21936099261572048</v>
      </c>
      <c r="E23" s="232">
        <f t="shared" si="1"/>
        <v>0.20313523106963299</v>
      </c>
      <c r="F23" s="232">
        <f t="shared" si="1"/>
        <v>0.16718999246013611</v>
      </c>
      <c r="G23" s="232">
        <f t="shared" si="1"/>
        <v>0.23596155689535095</v>
      </c>
      <c r="H23" s="206"/>
    </row>
    <row r="24" spans="2:8">
      <c r="B24" s="1"/>
      <c r="C24" s="1"/>
      <c r="D24" s="1"/>
      <c r="E24" s="1"/>
      <c r="F24" s="1"/>
      <c r="G24" s="1"/>
      <c r="H24" s="1"/>
    </row>
    <row r="25" spans="2:8">
      <c r="B25" s="206" t="s">
        <v>510</v>
      </c>
      <c r="C25" s="244">
        <f t="shared" ref="C25:F25" si="2">C23*$H$25</f>
        <v>22679.214626166577</v>
      </c>
      <c r="D25" s="244">
        <f t="shared" si="2"/>
        <v>28533.819836475071</v>
      </c>
      <c r="E25" s="244">
        <f t="shared" si="2"/>
        <v>26423.221451844653</v>
      </c>
      <c r="F25" s="244">
        <f t="shared" si="2"/>
        <v>21747.572649237125</v>
      </c>
      <c r="G25" s="244">
        <f>G23*$H$25</f>
        <v>30693.171436276567</v>
      </c>
      <c r="H25" s="234">
        <v>130077</v>
      </c>
    </row>
    <row r="26" spans="2:8">
      <c r="B26" s="1"/>
      <c r="C26" s="1"/>
      <c r="D26" s="1"/>
      <c r="E26" s="1"/>
      <c r="F26" s="1"/>
      <c r="G26" s="1"/>
      <c r="H26" s="1"/>
    </row>
    <row r="27" spans="2:8">
      <c r="B27" s="220" t="s">
        <v>514</v>
      </c>
      <c r="C27" s="220"/>
      <c r="D27" s="219"/>
      <c r="E27" s="219"/>
      <c r="F27" s="219"/>
      <c r="G27" s="219"/>
      <c r="H27" s="219"/>
    </row>
    <row r="28" spans="2:8">
      <c r="B28" s="1"/>
      <c r="C28" s="1"/>
      <c r="D28" s="1"/>
      <c r="E28" s="1"/>
      <c r="F28" s="1"/>
      <c r="G28" s="1"/>
      <c r="H28" s="1"/>
    </row>
    <row r="29" spans="2:8">
      <c r="B29" s="1"/>
      <c r="C29" s="224" t="s">
        <v>42</v>
      </c>
      <c r="D29" s="224" t="s">
        <v>43</v>
      </c>
      <c r="E29" s="224" t="s">
        <v>44</v>
      </c>
      <c r="F29" s="224" t="s">
        <v>45</v>
      </c>
      <c r="G29" s="224" t="s">
        <v>46</v>
      </c>
      <c r="H29" s="224" t="s">
        <v>22</v>
      </c>
    </row>
    <row r="30" spans="2:8">
      <c r="B30" s="1"/>
      <c r="C30" s="1"/>
      <c r="D30" s="1"/>
      <c r="E30" s="1"/>
      <c r="F30" s="1"/>
      <c r="G30" s="1"/>
      <c r="H30" s="1"/>
    </row>
    <row r="31" spans="2:8">
      <c r="B31" s="206" t="s">
        <v>511</v>
      </c>
      <c r="C31" s="233">
        <f>$H$31*C23</f>
        <v>17122.957857432084</v>
      </c>
      <c r="D31" s="233">
        <f>$H$31*D23</f>
        <v>21543.223723797291</v>
      </c>
      <c r="E31" s="233">
        <f>$H$31*E23</f>
        <v>19949.707908117587</v>
      </c>
      <c r="F31" s="233">
        <f>$H$31*F23</f>
        <v>16419.561969517508</v>
      </c>
      <c r="G31" s="233">
        <f>$H$31*G23</f>
        <v>23173.548541135522</v>
      </c>
      <c r="H31" s="231">
        <v>98209</v>
      </c>
    </row>
    <row r="32" spans="2:8">
      <c r="B32" s="1"/>
      <c r="C32" s="1"/>
      <c r="D32" s="1"/>
      <c r="E32" s="1"/>
      <c r="F32" s="1"/>
      <c r="G32" s="1"/>
      <c r="H32" s="237"/>
    </row>
    <row r="33" spans="2:8">
      <c r="B33" s="10" t="s">
        <v>15</v>
      </c>
      <c r="C33" s="245">
        <f>C19/C25*C31</f>
        <v>2568385.2164733219</v>
      </c>
      <c r="D33" s="245">
        <f>D19/D25*D31</f>
        <v>3231410.004514039</v>
      </c>
      <c r="E33" s="245">
        <f>E19/E25*E31</f>
        <v>2992388.0728311464</v>
      </c>
      <c r="F33" s="245">
        <f>F19/F25*F31</f>
        <v>2462878.2348589399</v>
      </c>
      <c r="G33" s="245">
        <f>G19/G25*G31</f>
        <v>3475953.1607703986</v>
      </c>
      <c r="H33" s="230">
        <f>SUM(C33:G33)</f>
        <v>14731014.689447846</v>
      </c>
    </row>
    <row r="34" spans="2:8">
      <c r="B34" s="10" t="s">
        <v>18</v>
      </c>
      <c r="C34" s="237">
        <f>C20</f>
        <v>127724.62830413246</v>
      </c>
      <c r="D34" s="237">
        <f>D20</f>
        <v>124951.11562537795</v>
      </c>
      <c r="E34" s="237">
        <f>E20</f>
        <v>124909.05367422021</v>
      </c>
      <c r="F34" s="237">
        <f>F20</f>
        <v>121830.36564966659</v>
      </c>
      <c r="G34" s="237">
        <f>G20</f>
        <v>120055.92304139072</v>
      </c>
      <c r="H34" s="230">
        <f>SUM(C34:G34)</f>
        <v>619471.08629478794</v>
      </c>
    </row>
    <row r="35" spans="2:8">
      <c r="B35" s="206" t="s">
        <v>516</v>
      </c>
      <c r="C35" s="234">
        <f>SUM(C33:C34)</f>
        <v>2696109.8447774542</v>
      </c>
      <c r="D35" s="234">
        <f t="shared" ref="D35:G35" si="3">SUM(D33:D34)</f>
        <v>3356361.1201394168</v>
      </c>
      <c r="E35" s="234">
        <f t="shared" si="3"/>
        <v>3117297.1265053665</v>
      </c>
      <c r="F35" s="234">
        <f t="shared" si="3"/>
        <v>2584708.6005086065</v>
      </c>
      <c r="G35" s="234">
        <f t="shared" si="3"/>
        <v>3596009.0838117893</v>
      </c>
      <c r="H35" s="231">
        <f>SUM(H33:H34)</f>
        <v>15350485.775742635</v>
      </c>
    </row>
    <row r="36" spans="2:8">
      <c r="B36" s="1"/>
      <c r="C36" s="1"/>
      <c r="D36" s="1"/>
      <c r="E36" s="1"/>
      <c r="F36" s="1"/>
      <c r="G36" s="1"/>
      <c r="H36" s="1"/>
    </row>
    <row r="37" spans="2:8">
      <c r="B37" s="220" t="s">
        <v>515</v>
      </c>
      <c r="C37" s="220"/>
      <c r="D37" s="219"/>
      <c r="E37" s="219"/>
      <c r="F37" s="219"/>
      <c r="G37" s="219"/>
      <c r="H37" s="219"/>
    </row>
    <row r="38" spans="2:8">
      <c r="B38" s="1"/>
      <c r="C38" s="41"/>
      <c r="D38" s="41"/>
      <c r="E38" s="41"/>
      <c r="F38" s="41"/>
      <c r="G38" s="41"/>
      <c r="H38" s="236"/>
    </row>
    <row r="39" spans="2:8">
      <c r="B39" s="1"/>
      <c r="C39" s="224" t="s">
        <v>42</v>
      </c>
      <c r="D39" s="224" t="s">
        <v>43</v>
      </c>
      <c r="E39" s="224" t="s">
        <v>44</v>
      </c>
      <c r="F39" s="224" t="s">
        <v>45</v>
      </c>
      <c r="G39" s="224" t="s">
        <v>46</v>
      </c>
      <c r="H39" s="224" t="s">
        <v>22</v>
      </c>
    </row>
    <row r="40" spans="2:8">
      <c r="B40" s="7"/>
      <c r="C40" s="139"/>
      <c r="D40" s="139"/>
      <c r="E40" s="139"/>
      <c r="F40" s="139"/>
      <c r="G40" s="139"/>
      <c r="H40" s="139"/>
    </row>
    <row r="41" spans="2:8">
      <c r="B41" s="2" t="s">
        <v>517</v>
      </c>
      <c r="C41" s="41"/>
      <c r="D41" s="41"/>
      <c r="E41" s="41"/>
      <c r="F41" s="41"/>
      <c r="G41" s="41"/>
      <c r="H41" s="236"/>
    </row>
    <row r="42" spans="2:8">
      <c r="B42" s="156" t="s">
        <v>15</v>
      </c>
      <c r="C42" s="41">
        <v>2831406.5512977499</v>
      </c>
      <c r="D42" s="41">
        <v>3791045.3286637785</v>
      </c>
      <c r="E42" s="41">
        <v>3810266.182927384</v>
      </c>
      <c r="F42" s="41">
        <v>3402535.5023010694</v>
      </c>
      <c r="G42" s="41">
        <v>4966325.3813449414</v>
      </c>
      <c r="H42" s="230">
        <f>SUM(C42:G42)</f>
        <v>18801578.946534924</v>
      </c>
    </row>
    <row r="43" spans="2:8">
      <c r="B43" s="156" t="s">
        <v>18</v>
      </c>
      <c r="C43" s="41">
        <v>126065.61705108406</v>
      </c>
      <c r="D43" s="41">
        <v>131642.53615727639</v>
      </c>
      <c r="E43" s="41">
        <v>137760.61927473999</v>
      </c>
      <c r="F43" s="41">
        <v>141958.77067625721</v>
      </c>
      <c r="G43" s="41">
        <v>147663.32209196541</v>
      </c>
      <c r="H43" s="230">
        <f>SUM(C43:G43)</f>
        <v>685090.86525132298</v>
      </c>
    </row>
    <row r="44" spans="2:8">
      <c r="B44" s="206" t="s">
        <v>516</v>
      </c>
      <c r="C44" s="231">
        <f>SUM(C42:C43)</f>
        <v>2957472.1683488339</v>
      </c>
      <c r="D44" s="231">
        <f t="shared" ref="D44:H44" si="4">SUM(D42:D43)</f>
        <v>3922687.864821055</v>
      </c>
      <c r="E44" s="231">
        <f t="shared" si="4"/>
        <v>3948026.8022021241</v>
      </c>
      <c r="F44" s="231">
        <f t="shared" si="4"/>
        <v>3544494.2729773265</v>
      </c>
      <c r="G44" s="231">
        <f t="shared" si="4"/>
        <v>5113988.7034369064</v>
      </c>
      <c r="H44" s="231">
        <f t="shared" si="4"/>
        <v>19486669.811786246</v>
      </c>
    </row>
    <row r="45" spans="2:8">
      <c r="B45" s="1"/>
      <c r="C45" s="41"/>
      <c r="D45" s="41"/>
      <c r="E45" s="41"/>
      <c r="F45" s="41"/>
      <c r="G45" s="41"/>
      <c r="H45" s="236"/>
    </row>
    <row r="46" spans="2:8">
      <c r="B46" s="247" t="s">
        <v>512</v>
      </c>
      <c r="C46" s="246">
        <f>C44-C35</f>
        <v>261362.32357137976</v>
      </c>
      <c r="D46" s="246">
        <f t="shared" ref="D46:H46" si="5">D44-D35</f>
        <v>566326.7446816382</v>
      </c>
      <c r="E46" s="246">
        <f t="shared" si="5"/>
        <v>830729.67569675762</v>
      </c>
      <c r="F46" s="246">
        <f t="shared" si="5"/>
        <v>959785.67246872</v>
      </c>
      <c r="G46" s="246">
        <f t="shared" si="5"/>
        <v>1517979.6196251172</v>
      </c>
      <c r="H46" s="246">
        <f t="shared" si="5"/>
        <v>4136184.0360436104</v>
      </c>
    </row>
    <row r="47" spans="2:8">
      <c r="B47" s="248" t="s">
        <v>518</v>
      </c>
      <c r="C47" s="238">
        <f>C46/C44</f>
        <v>8.8373553052673082E-2</v>
      </c>
      <c r="D47" s="238">
        <f t="shared" ref="D47:H47" si="6">D46/D44</f>
        <v>0.14437211529382618</v>
      </c>
      <c r="E47" s="238">
        <f t="shared" si="6"/>
        <v>0.21041642251096029</v>
      </c>
      <c r="F47" s="238">
        <f t="shared" si="6"/>
        <v>0.27078211969080518</v>
      </c>
      <c r="G47" s="238">
        <f t="shared" si="6"/>
        <v>0.29682889573161242</v>
      </c>
      <c r="H47" s="238">
        <f t="shared" si="6"/>
        <v>0.21225710067411807</v>
      </c>
    </row>
    <row r="48" spans="2:8">
      <c r="B48" s="1"/>
      <c r="C48" s="239"/>
      <c r="D48" s="239"/>
      <c r="E48" s="239"/>
      <c r="F48" s="239"/>
      <c r="G48" s="239"/>
      <c r="H48" s="240"/>
    </row>
    <row r="49" spans="2:8">
      <c r="B49" s="1" t="s">
        <v>513</v>
      </c>
      <c r="C49" s="241">
        <v>2.5000000000000001E-2</v>
      </c>
      <c r="D49" s="241">
        <v>2.5000000000000001E-2</v>
      </c>
      <c r="E49" s="241">
        <v>2.5000000000000001E-2</v>
      </c>
      <c r="F49" s="241">
        <v>2.5000000000000001E-2</v>
      </c>
      <c r="G49" s="241">
        <v>2.5000000000000001E-2</v>
      </c>
      <c r="H49" s="240"/>
    </row>
    <row r="50" spans="2:8">
      <c r="B50" s="1" t="s">
        <v>785</v>
      </c>
      <c r="C50" s="242">
        <v>1</v>
      </c>
      <c r="D50" s="242">
        <f>C50*(1+D49)</f>
        <v>1.0249999999999999</v>
      </c>
      <c r="E50" s="242">
        <f>D50*(1+E49)</f>
        <v>1.0506249999999999</v>
      </c>
      <c r="F50" s="242">
        <f>E50*(1+F49)</f>
        <v>1.0768906249999999</v>
      </c>
      <c r="G50" s="242">
        <f>F50*(1+G49)</f>
        <v>1.1038128906249998</v>
      </c>
      <c r="H50" s="1"/>
    </row>
    <row r="51" spans="2:8">
      <c r="B51" s="1"/>
      <c r="C51" s="243"/>
      <c r="D51" s="243"/>
      <c r="E51" s="243"/>
      <c r="F51" s="243"/>
      <c r="G51" s="243"/>
      <c r="H51" s="1"/>
    </row>
    <row r="52" spans="2:8">
      <c r="B52" s="206" t="s">
        <v>786</v>
      </c>
      <c r="C52" s="244">
        <f>C46/C50</f>
        <v>261362.32357137976</v>
      </c>
      <c r="D52" s="244">
        <f>D46/D50</f>
        <v>552513.89725037874</v>
      </c>
      <c r="E52" s="244">
        <f>E46/E50</f>
        <v>790700.46467270213</v>
      </c>
      <c r="F52" s="244">
        <f>F46/F50</f>
        <v>891256.41006366839</v>
      </c>
      <c r="G52" s="244">
        <f>G46/G50</f>
        <v>1375214.6151922618</v>
      </c>
      <c r="H52" s="42">
        <f>SUM(C52:G52)</f>
        <v>3871047.7107503908</v>
      </c>
    </row>
    <row r="54" spans="2:8">
      <c r="B54" s="199" t="s">
        <v>333</v>
      </c>
    </row>
    <row r="55" spans="2:8">
      <c r="B55" s="196" t="s">
        <v>519</v>
      </c>
    </row>
    <row r="58" spans="2:8">
      <c r="C58" s="146"/>
      <c r="D58" s="146"/>
      <c r="E58" s="146"/>
      <c r="F58" s="146"/>
      <c r="G58" s="146"/>
      <c r="H58" s="230"/>
    </row>
    <row r="59" spans="2:8">
      <c r="C59" s="146"/>
      <c r="D59" s="146"/>
      <c r="E59" s="146"/>
      <c r="F59" s="146"/>
      <c r="G59" s="146"/>
      <c r="H59" s="230"/>
    </row>
    <row r="60" spans="2:8">
      <c r="H60" s="350"/>
    </row>
    <row r="61" spans="2:8">
      <c r="H61" s="356"/>
    </row>
  </sheetData>
  <mergeCells count="6">
    <mergeCell ref="B13:H13"/>
    <mergeCell ref="B6:H6"/>
    <mergeCell ref="B8:H8"/>
    <mergeCell ref="B9:H9"/>
    <mergeCell ref="B10:H10"/>
    <mergeCell ref="B11:H1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7"/>
  <sheetViews>
    <sheetView showGridLines="0" topLeftCell="A34" workbookViewId="0"/>
  </sheetViews>
  <sheetFormatPr defaultRowHeight="12.75"/>
  <cols>
    <col min="1" max="1" width="2.85546875" style="48" customWidth="1"/>
    <col min="2" max="2" width="38.140625" style="51" bestFit="1" customWidth="1"/>
    <col min="3" max="3" width="36.5703125" style="51" customWidth="1"/>
    <col min="4" max="15" width="12.85546875" style="51" customWidth="1"/>
    <col min="16" max="16384" width="9.140625" style="48"/>
  </cols>
  <sheetData>
    <row r="1" spans="1:15">
      <c r="O1" s="197"/>
    </row>
    <row r="2" spans="1:15" ht="15.75">
      <c r="A2" s="5" t="s">
        <v>503</v>
      </c>
      <c r="B2" s="10"/>
      <c r="C2" s="10"/>
      <c r="D2" s="10"/>
      <c r="E2" s="10"/>
      <c r="F2" s="10"/>
      <c r="G2" s="10"/>
      <c r="H2" s="10"/>
      <c r="I2" s="10"/>
      <c r="J2" s="10"/>
      <c r="K2" s="10"/>
      <c r="L2" s="10"/>
      <c r="M2" s="10"/>
      <c r="N2" s="10"/>
      <c r="O2" s="10"/>
    </row>
    <row r="3" spans="1:15" ht="15.75">
      <c r="A3" s="5" t="s">
        <v>482</v>
      </c>
      <c r="B3" s="10"/>
      <c r="C3" s="10"/>
      <c r="D3" s="10"/>
      <c r="E3" s="10"/>
      <c r="F3" s="10"/>
      <c r="G3" s="10"/>
      <c r="H3" s="10"/>
      <c r="I3" s="10"/>
      <c r="J3" s="10"/>
      <c r="K3" s="10"/>
      <c r="L3" s="10"/>
      <c r="M3" s="10"/>
      <c r="N3" s="10"/>
      <c r="O3" s="10"/>
    </row>
    <row r="4" spans="1:15" ht="15.75">
      <c r="A4" s="6" t="s">
        <v>499</v>
      </c>
      <c r="B4" s="10"/>
      <c r="C4" s="10"/>
      <c r="D4" s="10"/>
      <c r="E4" s="10"/>
      <c r="F4" s="10"/>
      <c r="G4" s="10"/>
      <c r="H4" s="10"/>
      <c r="I4" s="10"/>
      <c r="J4" s="10"/>
      <c r="K4" s="10"/>
      <c r="L4" s="10"/>
      <c r="M4" s="10"/>
      <c r="N4" s="10"/>
      <c r="O4" s="10"/>
    </row>
    <row r="5" spans="1:15">
      <c r="A5" s="1"/>
      <c r="B5" s="10"/>
      <c r="C5" s="10"/>
      <c r="D5" s="10"/>
      <c r="E5" s="10"/>
      <c r="F5" s="10"/>
      <c r="G5" s="10"/>
      <c r="H5" s="10"/>
      <c r="I5" s="10"/>
      <c r="J5" s="10"/>
      <c r="K5" s="10"/>
      <c r="L5" s="10"/>
      <c r="M5" s="10"/>
      <c r="N5" s="10"/>
      <c r="O5" s="10"/>
    </row>
    <row r="6" spans="1:15">
      <c r="A6" s="1"/>
      <c r="B6" s="445" t="s">
        <v>500</v>
      </c>
      <c r="C6" s="446"/>
      <c r="D6" s="446"/>
      <c r="E6" s="446"/>
      <c r="F6" s="446"/>
      <c r="G6" s="446"/>
      <c r="H6" s="446"/>
      <c r="I6" s="446"/>
      <c r="J6" s="446"/>
      <c r="K6" s="446"/>
      <c r="L6" s="446"/>
      <c r="M6" s="446"/>
      <c r="N6" s="446"/>
      <c r="O6" s="447"/>
    </row>
    <row r="8" spans="1:15">
      <c r="B8" s="445" t="s">
        <v>165</v>
      </c>
      <c r="C8" s="446"/>
      <c r="D8" s="446"/>
      <c r="E8" s="446"/>
      <c r="F8" s="446"/>
      <c r="G8" s="446"/>
      <c r="H8" s="446"/>
      <c r="I8" s="446"/>
      <c r="J8" s="446"/>
      <c r="K8" s="446"/>
      <c r="L8" s="446"/>
      <c r="M8" s="446"/>
      <c r="N8" s="446"/>
      <c r="O8" s="447"/>
    </row>
    <row r="9" spans="1:15">
      <c r="B9" s="511" t="s">
        <v>478</v>
      </c>
      <c r="C9" s="512"/>
      <c r="D9" s="512"/>
      <c r="E9" s="512"/>
      <c r="F9" s="512"/>
      <c r="G9" s="512"/>
      <c r="H9" s="512"/>
      <c r="I9" s="512"/>
      <c r="J9" s="512"/>
      <c r="K9" s="512"/>
      <c r="L9" s="512"/>
      <c r="M9" s="512"/>
      <c r="N9" s="512"/>
      <c r="O9" s="513"/>
    </row>
    <row r="10" spans="1:15" ht="27.75" customHeight="1">
      <c r="B10" s="448" t="s">
        <v>501</v>
      </c>
      <c r="C10" s="512"/>
      <c r="D10" s="512"/>
      <c r="E10" s="512"/>
      <c r="F10" s="512"/>
      <c r="G10" s="512"/>
      <c r="H10" s="512"/>
      <c r="I10" s="512"/>
      <c r="J10" s="512"/>
      <c r="K10" s="512"/>
      <c r="L10" s="512"/>
      <c r="M10" s="512"/>
      <c r="N10" s="512"/>
      <c r="O10" s="513"/>
    </row>
    <row r="11" spans="1:15">
      <c r="B11" s="448" t="s">
        <v>166</v>
      </c>
      <c r="C11" s="512"/>
      <c r="D11" s="512"/>
      <c r="E11" s="512"/>
      <c r="F11" s="512"/>
      <c r="G11" s="512"/>
      <c r="H11" s="512"/>
      <c r="I11" s="512"/>
      <c r="J11" s="512"/>
      <c r="K11" s="512"/>
      <c r="L11" s="512"/>
      <c r="M11" s="512"/>
      <c r="N11" s="512"/>
      <c r="O11" s="513"/>
    </row>
    <row r="13" spans="1:15">
      <c r="B13" s="445" t="s">
        <v>21</v>
      </c>
      <c r="C13" s="446"/>
      <c r="D13" s="446"/>
      <c r="E13" s="446"/>
      <c r="F13" s="446"/>
      <c r="G13" s="446"/>
      <c r="H13" s="446"/>
      <c r="I13" s="446"/>
      <c r="J13" s="446"/>
      <c r="K13" s="446"/>
      <c r="L13" s="446"/>
      <c r="M13" s="446"/>
      <c r="N13" s="446"/>
      <c r="O13" s="447"/>
    </row>
    <row r="15" spans="1:15" ht="12.75" customHeight="1">
      <c r="D15" s="227" t="s">
        <v>59</v>
      </c>
      <c r="E15" s="227" t="s">
        <v>59</v>
      </c>
      <c r="F15" s="227" t="s">
        <v>59</v>
      </c>
      <c r="G15" s="227" t="s">
        <v>59</v>
      </c>
      <c r="H15" s="153" t="s">
        <v>59</v>
      </c>
      <c r="I15" s="153" t="s">
        <v>59</v>
      </c>
      <c r="J15" s="153" t="s">
        <v>59</v>
      </c>
      <c r="K15" s="505" t="s">
        <v>502</v>
      </c>
      <c r="L15" s="506"/>
      <c r="M15" s="506"/>
      <c r="N15" s="506"/>
      <c r="O15" s="507"/>
    </row>
    <row r="16" spans="1:15" ht="25.5">
      <c r="D16" s="52" t="s">
        <v>60</v>
      </c>
      <c r="E16" s="52" t="s">
        <v>60</v>
      </c>
      <c r="F16" s="52" t="s">
        <v>60</v>
      </c>
      <c r="G16" s="52" t="s">
        <v>60</v>
      </c>
      <c r="H16" s="52" t="s">
        <v>60</v>
      </c>
      <c r="I16" s="52" t="s">
        <v>60</v>
      </c>
      <c r="J16" s="52" t="s">
        <v>60</v>
      </c>
      <c r="K16" s="52" t="s">
        <v>60</v>
      </c>
      <c r="L16" s="52" t="s">
        <v>60</v>
      </c>
      <c r="M16" s="52" t="s">
        <v>60</v>
      </c>
      <c r="N16" s="52" t="s">
        <v>60</v>
      </c>
      <c r="O16" s="52" t="s">
        <v>60</v>
      </c>
    </row>
    <row r="17" spans="2:18">
      <c r="C17" s="52" t="s">
        <v>164</v>
      </c>
      <c r="D17" s="224" t="s">
        <v>6</v>
      </c>
      <c r="E17" s="224" t="s">
        <v>7</v>
      </c>
      <c r="F17" s="224" t="s">
        <v>8</v>
      </c>
      <c r="G17" s="224" t="s">
        <v>9</v>
      </c>
      <c r="H17" s="52" t="s">
        <v>10</v>
      </c>
      <c r="I17" s="52" t="s">
        <v>11</v>
      </c>
      <c r="J17" s="52" t="s">
        <v>29</v>
      </c>
      <c r="K17" s="52" t="s">
        <v>42</v>
      </c>
      <c r="L17" s="52" t="s">
        <v>43</v>
      </c>
      <c r="M17" s="52" t="s">
        <v>44</v>
      </c>
      <c r="N17" s="52" t="s">
        <v>45</v>
      </c>
      <c r="O17" s="52" t="s">
        <v>46</v>
      </c>
    </row>
    <row r="18" spans="2:18" s="50" customFormat="1">
      <c r="B18" s="53"/>
      <c r="C18" s="53"/>
      <c r="D18" s="53"/>
      <c r="E18" s="53"/>
      <c r="F18" s="53"/>
      <c r="G18" s="53"/>
      <c r="H18" s="54"/>
      <c r="I18" s="54"/>
      <c r="J18" s="54"/>
      <c r="K18" s="54"/>
      <c r="L18" s="54"/>
      <c r="M18" s="54"/>
      <c r="N18" s="54"/>
      <c r="O18" s="54"/>
      <c r="R18" s="48"/>
    </row>
    <row r="19" spans="2:18">
      <c r="B19" s="504" t="s">
        <v>480</v>
      </c>
      <c r="C19" s="504"/>
      <c r="D19" s="504"/>
      <c r="E19" s="504"/>
      <c r="F19" s="504"/>
      <c r="G19" s="504"/>
      <c r="H19" s="504"/>
      <c r="I19" s="504"/>
      <c r="J19" s="504"/>
      <c r="K19" s="504"/>
      <c r="L19" s="504"/>
      <c r="M19" s="504"/>
      <c r="N19" s="504"/>
      <c r="O19" s="504"/>
    </row>
    <row r="20" spans="2:18" s="69" customFormat="1">
      <c r="B20" s="70"/>
      <c r="C20" s="70"/>
      <c r="D20" s="70"/>
      <c r="E20" s="70"/>
      <c r="F20" s="70"/>
      <c r="G20" s="70"/>
      <c r="H20" s="71"/>
      <c r="I20" s="71"/>
      <c r="J20" s="71"/>
      <c r="K20" s="71"/>
      <c r="L20" s="71"/>
      <c r="M20" s="71"/>
      <c r="N20" s="71"/>
      <c r="O20" s="71"/>
      <c r="R20" s="48"/>
    </row>
    <row r="21" spans="2:18" s="69" customFormat="1">
      <c r="B21" s="78" t="s">
        <v>175</v>
      </c>
      <c r="C21" s="76"/>
      <c r="D21" s="76"/>
      <c r="E21" s="76"/>
      <c r="F21" s="76"/>
      <c r="G21" s="76"/>
      <c r="H21" s="77"/>
      <c r="I21" s="77"/>
      <c r="J21" s="77"/>
      <c r="K21" s="77"/>
      <c r="L21" s="77"/>
      <c r="M21" s="77"/>
      <c r="N21" s="77"/>
      <c r="O21" s="77"/>
      <c r="R21" s="48"/>
    </row>
    <row r="22" spans="2:18" s="49" customFormat="1">
      <c r="B22" s="57" t="s">
        <v>61</v>
      </c>
      <c r="C22" s="57"/>
      <c r="D22" s="57"/>
      <c r="E22" s="57"/>
      <c r="F22" s="57"/>
      <c r="G22" s="57"/>
      <c r="H22" s="54"/>
      <c r="I22" s="54"/>
      <c r="J22" s="54"/>
      <c r="K22" s="54"/>
      <c r="L22" s="54"/>
      <c r="M22" s="54"/>
      <c r="N22" s="54"/>
      <c r="O22" s="54"/>
      <c r="R22" s="48"/>
    </row>
    <row r="23" spans="2:18">
      <c r="B23" s="58" t="s">
        <v>62</v>
      </c>
      <c r="C23" s="58" t="s">
        <v>167</v>
      </c>
      <c r="D23" s="181">
        <f>'Customer Numbers'!C27</f>
        <v>437487</v>
      </c>
      <c r="E23" s="181">
        <f>'Customer Numbers'!D27</f>
        <v>410542</v>
      </c>
      <c r="F23" s="181">
        <f>'Customer Numbers'!E27</f>
        <v>382439</v>
      </c>
      <c r="G23" s="181">
        <f>'Customer Numbers'!F27</f>
        <v>352207</v>
      </c>
      <c r="H23" s="181">
        <f>'Customer Numbers'!G27</f>
        <v>297532</v>
      </c>
      <c r="I23" s="181">
        <f>'Customer Numbers'!H27</f>
        <v>4</v>
      </c>
      <c r="J23" s="181">
        <f>'Customer Numbers'!I27</f>
        <v>0</v>
      </c>
      <c r="K23" s="181">
        <f>'Customer Numbers'!J27</f>
        <v>0</v>
      </c>
      <c r="L23" s="181">
        <f>'Customer Numbers'!K27</f>
        <v>0</v>
      </c>
      <c r="M23" s="181">
        <f>'Customer Numbers'!L27</f>
        <v>0</v>
      </c>
      <c r="N23" s="181">
        <f>'Customer Numbers'!M27</f>
        <v>0</v>
      </c>
      <c r="O23" s="181">
        <f>'Customer Numbers'!N27</f>
        <v>0</v>
      </c>
    </row>
    <row r="24" spans="2:18">
      <c r="B24" s="58" t="s">
        <v>63</v>
      </c>
      <c r="C24" s="58" t="s">
        <v>167</v>
      </c>
      <c r="D24" s="181">
        <f>'Customer Numbers'!C29</f>
        <v>323244</v>
      </c>
      <c r="E24" s="181">
        <f>'Customer Numbers'!D29</f>
        <v>355827</v>
      </c>
      <c r="F24" s="181">
        <f>'Customer Numbers'!E29</f>
        <v>391317</v>
      </c>
      <c r="G24" s="181">
        <f>'Customer Numbers'!F29</f>
        <v>431184</v>
      </c>
      <c r="H24" s="181">
        <f>'Customer Numbers'!G29</f>
        <v>486771</v>
      </c>
      <c r="I24" s="181">
        <f>'Customer Numbers'!H29</f>
        <v>797421</v>
      </c>
      <c r="J24" s="181">
        <f>'Customer Numbers'!I29</f>
        <v>807142</v>
      </c>
      <c r="K24" s="181">
        <f>'Customer Numbers'!J29</f>
        <v>819140.04898179008</v>
      </c>
      <c r="L24" s="181">
        <f>'Customer Numbers'!K29</f>
        <v>828673.26012824359</v>
      </c>
      <c r="M24" s="181">
        <f>'Customer Numbers'!L29</f>
        <v>837951.07285134576</v>
      </c>
      <c r="N24" s="181">
        <f>'Customer Numbers'!M29</f>
        <v>848811.89232622739</v>
      </c>
      <c r="O24" s="181">
        <f>'Customer Numbers'!N29</f>
        <v>861017.08089365298</v>
      </c>
    </row>
    <row r="25" spans="2:18">
      <c r="B25" s="58" t="s">
        <v>64</v>
      </c>
      <c r="C25" s="58" t="s">
        <v>269</v>
      </c>
      <c r="D25" s="181">
        <f>'Customer Numbers'!C28</f>
        <v>4</v>
      </c>
      <c r="E25" s="181">
        <f>'Customer Numbers'!D28</f>
        <v>5</v>
      </c>
      <c r="F25" s="181">
        <f>'Customer Numbers'!E28</f>
        <v>6</v>
      </c>
      <c r="G25" s="181">
        <f>'Customer Numbers'!F28</f>
        <v>6</v>
      </c>
      <c r="H25" s="181">
        <f>'Customer Numbers'!G28</f>
        <v>5</v>
      </c>
      <c r="I25" s="181">
        <f>'Customer Numbers'!H28</f>
        <v>0</v>
      </c>
      <c r="J25" s="181">
        <f>'Customer Numbers'!I28</f>
        <v>0</v>
      </c>
      <c r="K25" s="181">
        <f>'Customer Numbers'!J28</f>
        <v>0</v>
      </c>
      <c r="L25" s="181">
        <f>'Customer Numbers'!K28</f>
        <v>0</v>
      </c>
      <c r="M25" s="181">
        <f>'Customer Numbers'!L28</f>
        <v>0</v>
      </c>
      <c r="N25" s="181">
        <f>'Customer Numbers'!M28</f>
        <v>0</v>
      </c>
      <c r="O25" s="181">
        <f>'Customer Numbers'!N28</f>
        <v>0</v>
      </c>
    </row>
    <row r="26" spans="2:18">
      <c r="B26" s="58" t="s">
        <v>65</v>
      </c>
      <c r="C26" s="58" t="s">
        <v>269</v>
      </c>
      <c r="D26" s="181">
        <f>'Customer Numbers'!C31</f>
        <v>1255</v>
      </c>
      <c r="E26" s="181">
        <f>'Customer Numbers'!D31</f>
        <v>1622</v>
      </c>
      <c r="F26" s="181">
        <f>'Customer Numbers'!E31</f>
        <v>1</v>
      </c>
      <c r="G26" s="181">
        <f>'Customer Numbers'!F31</f>
        <v>1</v>
      </c>
      <c r="H26" s="181">
        <f>'Customer Numbers'!G31</f>
        <v>2</v>
      </c>
      <c r="I26" s="181">
        <f>'Customer Numbers'!H31</f>
        <v>6</v>
      </c>
      <c r="J26" s="181">
        <f>'Customer Numbers'!I31</f>
        <v>20</v>
      </c>
      <c r="K26" s="181">
        <f>'Customer Numbers'!J31</f>
        <v>7.1632849069201123</v>
      </c>
      <c r="L26" s="181">
        <f>'Customer Numbers'!K31</f>
        <v>7.2466517348572372</v>
      </c>
      <c r="M26" s="181">
        <f>'Customer Numbers'!L31</f>
        <v>7.3277851331463815</v>
      </c>
      <c r="N26" s="181">
        <f>'Customer Numbers'!M31</f>
        <v>7.422761742235279</v>
      </c>
      <c r="O26" s="181">
        <f>'Customer Numbers'!N31</f>
        <v>7.5294947034179609</v>
      </c>
    </row>
    <row r="27" spans="2:18">
      <c r="B27" s="58" t="s">
        <v>66</v>
      </c>
      <c r="C27" s="58" t="s">
        <v>168</v>
      </c>
      <c r="D27" s="181">
        <f>'Customer Numbers'!C32</f>
        <v>9978</v>
      </c>
      <c r="E27" s="181">
        <f>'Customer Numbers'!D32</f>
        <v>10052</v>
      </c>
      <c r="F27" s="181">
        <f>'Customer Numbers'!E32</f>
        <v>10175</v>
      </c>
      <c r="G27" s="181">
        <f>'Customer Numbers'!F32</f>
        <v>10387</v>
      </c>
      <c r="H27" s="181">
        <f>'Customer Numbers'!G32</f>
        <v>10167</v>
      </c>
      <c r="I27" s="181">
        <f>'Customer Numbers'!H32</f>
        <v>9994</v>
      </c>
      <c r="J27" s="181">
        <f>'Customer Numbers'!I32</f>
        <v>9878</v>
      </c>
      <c r="K27" s="181">
        <f>'Customer Numbers'!J32</f>
        <v>10169.817914996012</v>
      </c>
      <c r="L27" s="181">
        <f>'Customer Numbers'!K32</f>
        <v>10288.174991573034</v>
      </c>
      <c r="M27" s="181">
        <f>'Customer Numbers'!L32</f>
        <v>10403.361236172679</v>
      </c>
      <c r="N27" s="181">
        <f>'Customer Numbers'!M32</f>
        <v>10538.200884904889</v>
      </c>
      <c r="O27" s="181">
        <f>'Customer Numbers'!N32</f>
        <v>10689.731194652531</v>
      </c>
    </row>
    <row r="28" spans="2:18">
      <c r="B28" s="58" t="s">
        <v>67</v>
      </c>
      <c r="C28" s="58" t="s">
        <v>168</v>
      </c>
      <c r="D28" s="181">
        <f>'Customer Numbers'!C33</f>
        <v>2774</v>
      </c>
      <c r="E28" s="181">
        <f>'Customer Numbers'!D33</f>
        <v>2830</v>
      </c>
      <c r="F28" s="181">
        <f>'Customer Numbers'!E33</f>
        <v>3001</v>
      </c>
      <c r="G28" s="181">
        <f>'Customer Numbers'!F33</f>
        <v>3104</v>
      </c>
      <c r="H28" s="181">
        <f>'Customer Numbers'!G33</f>
        <v>3144</v>
      </c>
      <c r="I28" s="181">
        <f>'Customer Numbers'!H33</f>
        <v>3157</v>
      </c>
      <c r="J28" s="181">
        <f>'Customer Numbers'!I33</f>
        <v>3153</v>
      </c>
      <c r="K28" s="181">
        <f>'Customer Numbers'!J33</f>
        <v>3234.7347986820687</v>
      </c>
      <c r="L28" s="181">
        <f>'Customer Numbers'!K33</f>
        <v>3272.3808762691046</v>
      </c>
      <c r="M28" s="181">
        <f>'Customer Numbers'!L33</f>
        <v>3309.0184008393885</v>
      </c>
      <c r="N28" s="181">
        <f>'Customer Numbers'!M33</f>
        <v>3351.9071238865322</v>
      </c>
      <c r="O28" s="181">
        <f>'Customer Numbers'!N33</f>
        <v>3400.1046796434548</v>
      </c>
    </row>
    <row r="29" spans="2:18">
      <c r="B29" s="58" t="s">
        <v>68</v>
      </c>
      <c r="C29" s="58" t="s">
        <v>169</v>
      </c>
      <c r="D29" s="181">
        <f>'Customer Numbers'!C34</f>
        <v>0</v>
      </c>
      <c r="E29" s="181">
        <f>'Customer Numbers'!D34</f>
        <v>0</v>
      </c>
      <c r="F29" s="181">
        <f>'Customer Numbers'!E34</f>
        <v>0</v>
      </c>
      <c r="G29" s="181">
        <f>'Customer Numbers'!F34</f>
        <v>5</v>
      </c>
      <c r="H29" s="181">
        <f>'Customer Numbers'!G34</f>
        <v>5552</v>
      </c>
      <c r="I29" s="181">
        <f>'Customer Numbers'!H34</f>
        <v>13138</v>
      </c>
      <c r="J29" s="181">
        <f>'Customer Numbers'!I34</f>
        <v>17400</v>
      </c>
      <c r="K29" s="181">
        <f>'Customer Numbers'!J34</f>
        <v>15034.71169321004</v>
      </c>
      <c r="L29" s="181">
        <f>'Customer Numbers'!K34</f>
        <v>15209.686755503217</v>
      </c>
      <c r="M29" s="181">
        <f>'Customer Numbers'!L34</f>
        <v>15379.974168026662</v>
      </c>
      <c r="N29" s="181">
        <f>'Customer Numbers'!M34</f>
        <v>15579.316502417245</v>
      </c>
      <c r="O29" s="181">
        <f>'Customer Numbers'!N34</f>
        <v>15803.333740373811</v>
      </c>
    </row>
    <row r="30" spans="2:18">
      <c r="B30" s="58" t="s">
        <v>69</v>
      </c>
      <c r="C30" s="58" t="s">
        <v>169</v>
      </c>
      <c r="D30" s="181">
        <f>'Customer Numbers'!C35</f>
        <v>0</v>
      </c>
      <c r="E30" s="181">
        <f>'Customer Numbers'!D35</f>
        <v>0</v>
      </c>
      <c r="F30" s="181">
        <f>'Customer Numbers'!E35</f>
        <v>0</v>
      </c>
      <c r="G30" s="181">
        <f>'Customer Numbers'!F35</f>
        <v>0</v>
      </c>
      <c r="H30" s="181">
        <f>'Customer Numbers'!G35</f>
        <v>0</v>
      </c>
      <c r="I30" s="181">
        <f>'Customer Numbers'!H35</f>
        <v>1</v>
      </c>
      <c r="J30" s="181">
        <f>'Customer Numbers'!I35</f>
        <v>1</v>
      </c>
      <c r="K30" s="181">
        <f>'Customer Numbers'!J35</f>
        <v>1.0233264152743016</v>
      </c>
      <c r="L30" s="181">
        <f>'Customer Numbers'!K35</f>
        <v>1.0352359621224623</v>
      </c>
      <c r="M30" s="181">
        <f>'Customer Numbers'!L35</f>
        <v>1.0468264475923401</v>
      </c>
      <c r="N30" s="181">
        <f>'Customer Numbers'!M35</f>
        <v>1.0603945346050399</v>
      </c>
      <c r="O30" s="181">
        <f>'Customer Numbers'!N35</f>
        <v>1.0756421004882801</v>
      </c>
    </row>
    <row r="31" spans="2:18">
      <c r="B31" s="58" t="s">
        <v>70</v>
      </c>
      <c r="C31" s="58" t="s">
        <v>170</v>
      </c>
      <c r="D31" s="181">
        <f>'Customer Numbers'!C51</f>
        <v>54587</v>
      </c>
      <c r="E31" s="181">
        <f>'Customer Numbers'!D51</f>
        <v>55572</v>
      </c>
      <c r="F31" s="181">
        <f>'Customer Numbers'!E51</f>
        <v>49719</v>
      </c>
      <c r="G31" s="181">
        <f>'Customer Numbers'!F51</f>
        <v>48030</v>
      </c>
      <c r="H31" s="181">
        <f>'Customer Numbers'!G51</f>
        <v>41803</v>
      </c>
      <c r="I31" s="181">
        <f>'Customer Numbers'!H51</f>
        <v>1</v>
      </c>
      <c r="J31" s="181">
        <f>'Customer Numbers'!I51</f>
        <v>0</v>
      </c>
      <c r="K31" s="181">
        <f>'Customer Numbers'!J51</f>
        <v>0</v>
      </c>
      <c r="L31" s="181">
        <f>'Customer Numbers'!K51</f>
        <v>0</v>
      </c>
      <c r="M31" s="181">
        <f>'Customer Numbers'!L51</f>
        <v>0</v>
      </c>
      <c r="N31" s="181">
        <f>'Customer Numbers'!M51</f>
        <v>0</v>
      </c>
      <c r="O31" s="181">
        <f>'Customer Numbers'!N51</f>
        <v>0</v>
      </c>
    </row>
    <row r="32" spans="2:18">
      <c r="B32" s="58" t="s">
        <v>71</v>
      </c>
      <c r="C32" s="58" t="s">
        <v>170</v>
      </c>
      <c r="D32" s="181">
        <f>'Customer Numbers'!C52</f>
        <v>18244</v>
      </c>
      <c r="E32" s="181">
        <f>'Customer Numbers'!D52</f>
        <v>17221</v>
      </c>
      <c r="F32" s="181">
        <f>'Customer Numbers'!E52</f>
        <v>23626</v>
      </c>
      <c r="G32" s="181">
        <f>'Customer Numbers'!F52</f>
        <v>25759</v>
      </c>
      <c r="H32" s="181">
        <f>'Customer Numbers'!G52</f>
        <v>32137</v>
      </c>
      <c r="I32" s="181">
        <f>'Customer Numbers'!H52</f>
        <v>76940</v>
      </c>
      <c r="J32" s="181">
        <f>'Customer Numbers'!I52</f>
        <v>76907</v>
      </c>
      <c r="K32" s="181">
        <f>'Customer Numbers'!J52</f>
        <v>77821.333600231417</v>
      </c>
      <c r="L32" s="181">
        <f>'Customer Numbers'!K52</f>
        <v>79759.084806877174</v>
      </c>
      <c r="M32" s="181">
        <f>'Customer Numbers'!L52</f>
        <v>81394.146045418151</v>
      </c>
      <c r="N32" s="181">
        <f>'Customer Numbers'!M52</f>
        <v>83217.374916835513</v>
      </c>
      <c r="O32" s="181">
        <f>'Customer Numbers'!N52</f>
        <v>85206.270177347891</v>
      </c>
    </row>
    <row r="33" spans="2:16">
      <c r="B33" s="58" t="s">
        <v>72</v>
      </c>
      <c r="C33" s="58" t="s">
        <v>171</v>
      </c>
      <c r="D33" s="181">
        <f>'Customer Numbers'!C53</f>
        <v>49</v>
      </c>
      <c r="E33" s="181">
        <f>'Customer Numbers'!D53</f>
        <v>50</v>
      </c>
      <c r="F33" s="181">
        <f>'Customer Numbers'!E53</f>
        <v>46</v>
      </c>
      <c r="G33" s="181">
        <f>'Customer Numbers'!F53</f>
        <v>47</v>
      </c>
      <c r="H33" s="181">
        <f>'Customer Numbers'!G53</f>
        <v>45</v>
      </c>
      <c r="I33" s="181">
        <f>'Customer Numbers'!H53</f>
        <v>47</v>
      </c>
      <c r="J33" s="181">
        <f>'Customer Numbers'!I53</f>
        <v>44</v>
      </c>
      <c r="K33" s="181">
        <f>'Customer Numbers'!J53</f>
        <v>46.553789662884476</v>
      </c>
      <c r="L33" s="181">
        <f>'Customer Numbers'!K53</f>
        <v>47.712979025490299</v>
      </c>
      <c r="M33" s="181">
        <f>'Customer Numbers'!L53</f>
        <v>48.69109509551285</v>
      </c>
      <c r="N33" s="181">
        <f>'Customer Numbers'!M53</f>
        <v>49.781775625652337</v>
      </c>
      <c r="O33" s="181">
        <f>'Customer Numbers'!N53</f>
        <v>50.971560063105429</v>
      </c>
    </row>
    <row r="34" spans="2:16">
      <c r="B34" s="58" t="s">
        <v>73</v>
      </c>
      <c r="C34" s="58" t="s">
        <v>171</v>
      </c>
      <c r="D34" s="181">
        <f>'Customer Numbers'!C54</f>
        <v>10</v>
      </c>
      <c r="E34" s="181">
        <f>'Customer Numbers'!D54</f>
        <v>11</v>
      </c>
      <c r="F34" s="181">
        <f>'Customer Numbers'!E54</f>
        <v>14</v>
      </c>
      <c r="G34" s="181">
        <f>'Customer Numbers'!F54</f>
        <v>20</v>
      </c>
      <c r="H34" s="181">
        <f>'Customer Numbers'!G54</f>
        <v>21</v>
      </c>
      <c r="I34" s="181">
        <f>'Customer Numbers'!H54</f>
        <v>20</v>
      </c>
      <c r="J34" s="181">
        <f>'Customer Numbers'!I54</f>
        <v>18</v>
      </c>
      <c r="K34" s="181">
        <f>'Customer Numbers'!J54</f>
        <v>18.216700302867849</v>
      </c>
      <c r="L34" s="181">
        <f>'Customer Numbers'!K54</f>
        <v>18.670296140409256</v>
      </c>
      <c r="M34" s="181">
        <f>'Customer Numbers'!L54</f>
        <v>19.053037211287645</v>
      </c>
      <c r="N34" s="181">
        <f>'Customer Numbers'!M54</f>
        <v>19.479825244820489</v>
      </c>
      <c r="O34" s="181">
        <f>'Customer Numbers'!N54</f>
        <v>19.9453930681717</v>
      </c>
    </row>
    <row r="35" spans="2:16">
      <c r="B35" s="58" t="s">
        <v>74</v>
      </c>
      <c r="C35" s="58" t="s">
        <v>172</v>
      </c>
      <c r="D35" s="181">
        <f>'Customer Numbers'!C55</f>
        <v>0</v>
      </c>
      <c r="E35" s="181">
        <f>'Customer Numbers'!D55</f>
        <v>0</v>
      </c>
      <c r="F35" s="181">
        <f>'Customer Numbers'!E55</f>
        <v>0</v>
      </c>
      <c r="G35" s="181">
        <f>'Customer Numbers'!F55</f>
        <v>117</v>
      </c>
      <c r="H35" s="181">
        <f>'Customer Numbers'!G55</f>
        <v>230</v>
      </c>
      <c r="I35" s="181">
        <f>'Customer Numbers'!H55</f>
        <v>401</v>
      </c>
      <c r="J35" s="181">
        <f>'Customer Numbers'!I55</f>
        <v>520</v>
      </c>
      <c r="K35" s="181">
        <f>'Customer Numbers'!J55</f>
        <v>460.47770210027033</v>
      </c>
      <c r="L35" s="181">
        <f>'Customer Numbers'!K55</f>
        <v>471.94359688256702</v>
      </c>
      <c r="M35" s="181">
        <f>'Customer Numbers'!L55</f>
        <v>481.61844061865963</v>
      </c>
      <c r="N35" s="181">
        <f>'Customer Numbers'!M55</f>
        <v>492.40669368851758</v>
      </c>
      <c r="O35" s="181">
        <f>'Customer Numbers'!N55</f>
        <v>504.17521366767318</v>
      </c>
    </row>
    <row r="36" spans="2:16">
      <c r="B36" s="58" t="s">
        <v>75</v>
      </c>
      <c r="C36" s="58" t="s">
        <v>270</v>
      </c>
      <c r="D36" s="181">
        <f>'Customer Numbers'!C57</f>
        <v>344</v>
      </c>
      <c r="E36" s="181">
        <f>'Customer Numbers'!D57</f>
        <v>343</v>
      </c>
      <c r="F36" s="181">
        <f>'Customer Numbers'!E57</f>
        <v>305</v>
      </c>
      <c r="G36" s="181">
        <f>'Customer Numbers'!F57</f>
        <v>266</v>
      </c>
      <c r="H36" s="181">
        <f>'Customer Numbers'!G57</f>
        <v>222</v>
      </c>
      <c r="I36" s="181">
        <f>'Customer Numbers'!H57</f>
        <v>0</v>
      </c>
      <c r="J36" s="181">
        <f>'Customer Numbers'!I57</f>
        <v>0</v>
      </c>
      <c r="K36" s="181">
        <f>'Customer Numbers'!J57</f>
        <v>0</v>
      </c>
      <c r="L36" s="181">
        <f>'Customer Numbers'!K57</f>
        <v>0</v>
      </c>
      <c r="M36" s="181">
        <f>'Customer Numbers'!L57</f>
        <v>0</v>
      </c>
      <c r="N36" s="181">
        <f>'Customer Numbers'!M57</f>
        <v>0</v>
      </c>
      <c r="O36" s="181">
        <f>'Customer Numbers'!N57</f>
        <v>0</v>
      </c>
    </row>
    <row r="37" spans="2:16">
      <c r="B37" s="58" t="s">
        <v>76</v>
      </c>
      <c r="C37" s="58" t="s">
        <v>270</v>
      </c>
      <c r="D37" s="181">
        <f>'Customer Numbers'!C58</f>
        <v>1058</v>
      </c>
      <c r="E37" s="181">
        <f>'Customer Numbers'!D58</f>
        <v>989</v>
      </c>
      <c r="F37" s="181">
        <f>'Customer Numbers'!E58</f>
        <v>1002</v>
      </c>
      <c r="G37" s="181">
        <f>'Customer Numbers'!F58</f>
        <v>1046</v>
      </c>
      <c r="H37" s="181">
        <f>'Customer Numbers'!G58</f>
        <v>1129</v>
      </c>
      <c r="I37" s="181">
        <f>'Customer Numbers'!H58</f>
        <v>1502</v>
      </c>
      <c r="J37" s="181">
        <f>'Customer Numbers'!I58</f>
        <v>1675</v>
      </c>
      <c r="K37" s="181">
        <f>'Customer Numbers'!J58</f>
        <v>1536.0174529117489</v>
      </c>
      <c r="L37" s="181">
        <f>'Customer Numbers'!K58</f>
        <v>1574.2642874892513</v>
      </c>
      <c r="M37" s="181">
        <f>'Customer Numbers'!L58</f>
        <v>1606.5367053827808</v>
      </c>
      <c r="N37" s="181">
        <f>'Customer Numbers'!M58</f>
        <v>1642.5231275833551</v>
      </c>
      <c r="O37" s="181">
        <f>'Customer Numbers'!N58</f>
        <v>1681.7794303325973</v>
      </c>
    </row>
    <row r="38" spans="2:16">
      <c r="B38" s="58" t="s">
        <v>77</v>
      </c>
      <c r="C38" s="58" t="s">
        <v>273</v>
      </c>
      <c r="D38" s="181">
        <f>'Customer Numbers'!C59</f>
        <v>0</v>
      </c>
      <c r="E38" s="181">
        <f>'Customer Numbers'!D59</f>
        <v>0</v>
      </c>
      <c r="F38" s="181">
        <f>'Customer Numbers'!E59</f>
        <v>1</v>
      </c>
      <c r="G38" s="181">
        <f>'Customer Numbers'!F59</f>
        <v>1</v>
      </c>
      <c r="H38" s="181">
        <f>'Customer Numbers'!G59</f>
        <v>3</v>
      </c>
      <c r="I38" s="181">
        <f>'Customer Numbers'!H59</f>
        <v>4</v>
      </c>
      <c r="J38" s="181">
        <f>'Customer Numbers'!I59</f>
        <v>44</v>
      </c>
      <c r="K38" s="181">
        <f>'Customer Numbers'!J59</f>
        <v>6.0196121937918532</v>
      </c>
      <c r="L38" s="181">
        <f>'Customer Numbers'!K59</f>
        <v>6.16950053741727</v>
      </c>
      <c r="M38" s="181">
        <f>'Customer Numbers'!L59</f>
        <v>6.2959752984343238</v>
      </c>
      <c r="N38" s="181">
        <f>'Customer Numbers'!M59</f>
        <v>6.4370051451192527</v>
      </c>
      <c r="O38" s="181">
        <f>'Customer Numbers'!N59</f>
        <v>6.5908495680876031</v>
      </c>
    </row>
    <row r="39" spans="2:16">
      <c r="B39" s="58" t="s">
        <v>78</v>
      </c>
      <c r="C39" s="58" t="s">
        <v>271</v>
      </c>
      <c r="D39" s="181">
        <f>'Customer Numbers'!C60</f>
        <v>401</v>
      </c>
      <c r="E39" s="181">
        <f>'Customer Numbers'!D60</f>
        <v>393</v>
      </c>
      <c r="F39" s="181">
        <f>'Customer Numbers'!E60</f>
        <v>391</v>
      </c>
      <c r="G39" s="181">
        <f>'Customer Numbers'!F60</f>
        <v>389</v>
      </c>
      <c r="H39" s="181">
        <f>'Customer Numbers'!G60</f>
        <v>387</v>
      </c>
      <c r="I39" s="181">
        <f>'Customer Numbers'!H60</f>
        <v>377</v>
      </c>
      <c r="J39" s="181">
        <f>'Customer Numbers'!I60</f>
        <v>371</v>
      </c>
      <c r="K39" s="181">
        <f>'Customer Numbers'!J60</f>
        <v>376.22576211199083</v>
      </c>
      <c r="L39" s="181">
        <f>'Customer Numbers'!K60</f>
        <v>385.59378358857936</v>
      </c>
      <c r="M39" s="181">
        <f>'Customer Numbers'!L60</f>
        <v>393.4984561521452</v>
      </c>
      <c r="N39" s="181">
        <f>'Customer Numbers'!M60</f>
        <v>402.31282156995326</v>
      </c>
      <c r="O39" s="181">
        <f>'Customer Numbers'!N60</f>
        <v>411.92809800547514</v>
      </c>
    </row>
    <row r="40" spans="2:16">
      <c r="B40" s="58" t="s">
        <v>79</v>
      </c>
      <c r="C40" s="58" t="s">
        <v>272</v>
      </c>
      <c r="D40" s="181">
        <f>'Customer Numbers'!C30</f>
        <v>1</v>
      </c>
      <c r="E40" s="181">
        <f>'Customer Numbers'!D30</f>
        <v>1</v>
      </c>
      <c r="F40" s="181">
        <f>'Customer Numbers'!E30</f>
        <v>1</v>
      </c>
      <c r="G40" s="181">
        <f>'Customer Numbers'!F30</f>
        <v>0</v>
      </c>
      <c r="H40" s="181">
        <f>'Customer Numbers'!G30</f>
        <v>0</v>
      </c>
      <c r="I40" s="181">
        <f>'Customer Numbers'!H30</f>
        <v>0</v>
      </c>
      <c r="J40" s="182">
        <v>1</v>
      </c>
      <c r="K40" s="182">
        <v>1</v>
      </c>
      <c r="L40" s="182">
        <v>1</v>
      </c>
      <c r="M40" s="182">
        <v>1</v>
      </c>
      <c r="N40" s="182">
        <v>1</v>
      </c>
      <c r="O40" s="182">
        <v>1</v>
      </c>
      <c r="P40" s="72" t="s">
        <v>276</v>
      </c>
    </row>
    <row r="41" spans="2:16">
      <c r="B41" s="58"/>
      <c r="C41" s="58"/>
      <c r="D41" s="181"/>
      <c r="E41" s="181"/>
      <c r="F41" s="181"/>
      <c r="G41" s="181"/>
      <c r="H41" s="181"/>
      <c r="I41" s="181"/>
      <c r="J41" s="181"/>
      <c r="K41" s="181"/>
      <c r="L41" s="181"/>
      <c r="M41" s="181"/>
      <c r="N41" s="181"/>
      <c r="O41" s="181"/>
    </row>
    <row r="42" spans="2:16">
      <c r="B42" s="60" t="s">
        <v>80</v>
      </c>
      <c r="C42" s="60"/>
      <c r="D42" s="183">
        <f t="shared" ref="D42:G42" si="0">SUM(D23:D40)</f>
        <v>849436</v>
      </c>
      <c r="E42" s="183">
        <f t="shared" si="0"/>
        <v>855458</v>
      </c>
      <c r="F42" s="183">
        <f t="shared" si="0"/>
        <v>862044</v>
      </c>
      <c r="G42" s="183">
        <f t="shared" si="0"/>
        <v>872569</v>
      </c>
      <c r="H42" s="183">
        <f t="shared" ref="H42:O42" si="1">SUM(H23:H40)</f>
        <v>879150</v>
      </c>
      <c r="I42" s="183">
        <f t="shared" si="1"/>
        <v>903013</v>
      </c>
      <c r="J42" s="183">
        <f t="shared" si="1"/>
        <v>917174</v>
      </c>
      <c r="K42" s="183">
        <f t="shared" si="1"/>
        <v>927853.34461951535</v>
      </c>
      <c r="L42" s="183">
        <f t="shared" si="1"/>
        <v>939716.22388982668</v>
      </c>
      <c r="M42" s="183">
        <f t="shared" si="1"/>
        <v>951002.64102314215</v>
      </c>
      <c r="N42" s="183">
        <f t="shared" si="1"/>
        <v>964121.11615940579</v>
      </c>
      <c r="O42" s="183">
        <f t="shared" si="1"/>
        <v>978801.51636717969</v>
      </c>
    </row>
    <row r="43" spans="2:16">
      <c r="B43" s="58"/>
      <c r="C43" s="58"/>
      <c r="D43" s="181"/>
      <c r="E43" s="181"/>
      <c r="F43" s="181"/>
      <c r="G43" s="181"/>
      <c r="H43" s="181"/>
      <c r="I43" s="181"/>
      <c r="J43" s="181"/>
      <c r="K43" s="181"/>
      <c r="L43" s="181"/>
      <c r="M43" s="181"/>
      <c r="N43" s="181"/>
      <c r="O43" s="181"/>
    </row>
    <row r="44" spans="2:16">
      <c r="B44" s="62" t="s">
        <v>81</v>
      </c>
      <c r="C44" s="62"/>
      <c r="D44" s="181"/>
      <c r="E44" s="181"/>
      <c r="F44" s="181"/>
      <c r="G44" s="181"/>
      <c r="H44" s="181"/>
      <c r="I44" s="181"/>
      <c r="J44" s="181"/>
      <c r="K44" s="181"/>
      <c r="L44" s="181"/>
      <c r="M44" s="181"/>
      <c r="N44" s="181"/>
      <c r="O44" s="181"/>
    </row>
    <row r="45" spans="2:16">
      <c r="B45" s="58" t="s">
        <v>82</v>
      </c>
      <c r="C45" s="58" t="s">
        <v>105</v>
      </c>
      <c r="D45" s="181">
        <f>'Customer Numbers'!C37</f>
        <v>153674</v>
      </c>
      <c r="E45" s="181">
        <f>'Customer Numbers'!D37</f>
        <v>140851</v>
      </c>
      <c r="F45" s="181">
        <f>'Customer Numbers'!E37</f>
        <v>128723</v>
      </c>
      <c r="G45" s="181">
        <f>'Customer Numbers'!F37</f>
        <v>117766</v>
      </c>
      <c r="H45" s="181">
        <f>'Customer Numbers'!G37</f>
        <v>99822</v>
      </c>
      <c r="I45" s="181">
        <f>'Customer Numbers'!H37</f>
        <v>0</v>
      </c>
      <c r="J45" s="181">
        <f>'Customer Numbers'!I37</f>
        <v>0</v>
      </c>
      <c r="K45" s="181">
        <f>'Customer Numbers'!J37</f>
        <v>0</v>
      </c>
      <c r="L45" s="181">
        <f>'Customer Numbers'!K37</f>
        <v>0</v>
      </c>
      <c r="M45" s="181">
        <f>'Customer Numbers'!L37</f>
        <v>0</v>
      </c>
      <c r="N45" s="181">
        <f>'Customer Numbers'!M37</f>
        <v>0</v>
      </c>
      <c r="O45" s="181">
        <f>'Customer Numbers'!N37</f>
        <v>0</v>
      </c>
    </row>
    <row r="46" spans="2:16">
      <c r="B46" s="58" t="s">
        <v>83</v>
      </c>
      <c r="C46" s="58" t="s">
        <v>105</v>
      </c>
      <c r="D46" s="181">
        <f>'Customer Numbers'!C38</f>
        <v>90373</v>
      </c>
      <c r="E46" s="181">
        <f>'Customer Numbers'!D38</f>
        <v>102107</v>
      </c>
      <c r="F46" s="181">
        <f>'Customer Numbers'!E38</f>
        <v>112357</v>
      </c>
      <c r="G46" s="181">
        <f>'Customer Numbers'!F38</f>
        <v>120007</v>
      </c>
      <c r="H46" s="181">
        <f>'Customer Numbers'!G38</f>
        <v>136510</v>
      </c>
      <c r="I46" s="181">
        <f>'Customer Numbers'!H38</f>
        <v>239545</v>
      </c>
      <c r="J46" s="181">
        <f>'Customer Numbers'!I38</f>
        <v>239037</v>
      </c>
      <c r="K46" s="181">
        <f>'Customer Numbers'!J38</f>
        <v>232195.33773803365</v>
      </c>
      <c r="L46" s="181">
        <f>'Customer Numbers'!K38</f>
        <v>228015.82165874905</v>
      </c>
      <c r="M46" s="181">
        <f>'Customer Numbers'!L38</f>
        <v>223455.50522557407</v>
      </c>
      <c r="N46" s="181">
        <f>'Customer Numbers'!M38</f>
        <v>218539.48411061143</v>
      </c>
      <c r="O46" s="181">
        <f>'Customer Numbers'!N38</f>
        <v>213075.99700784613</v>
      </c>
    </row>
    <row r="47" spans="2:16">
      <c r="B47" s="58" t="s">
        <v>84</v>
      </c>
      <c r="C47" s="58" t="s">
        <v>105</v>
      </c>
      <c r="D47" s="181">
        <f>'Customer Numbers'!C39</f>
        <v>52399</v>
      </c>
      <c r="E47" s="181">
        <f>'Customer Numbers'!D39</f>
        <v>51242</v>
      </c>
      <c r="F47" s="181">
        <f>'Customer Numbers'!E39</f>
        <v>49459</v>
      </c>
      <c r="G47" s="181">
        <f>'Customer Numbers'!F39</f>
        <v>45936</v>
      </c>
      <c r="H47" s="181">
        <f>'Customer Numbers'!G39</f>
        <v>38682</v>
      </c>
      <c r="I47" s="181">
        <f>'Customer Numbers'!H39</f>
        <v>1</v>
      </c>
      <c r="J47" s="181">
        <f>'Customer Numbers'!I39</f>
        <v>0</v>
      </c>
      <c r="K47" s="181">
        <f>'Customer Numbers'!J39</f>
        <v>0</v>
      </c>
      <c r="L47" s="181">
        <f>'Customer Numbers'!K39</f>
        <v>0</v>
      </c>
      <c r="M47" s="181">
        <f>'Customer Numbers'!L39</f>
        <v>0</v>
      </c>
      <c r="N47" s="181">
        <f>'Customer Numbers'!M39</f>
        <v>0</v>
      </c>
      <c r="O47" s="181">
        <f>'Customer Numbers'!N39</f>
        <v>0</v>
      </c>
    </row>
    <row r="48" spans="2:16">
      <c r="B48" s="58" t="s">
        <v>85</v>
      </c>
      <c r="C48" s="58" t="s">
        <v>105</v>
      </c>
      <c r="D48" s="181">
        <f>'Customer Numbers'!C40</f>
        <v>47627</v>
      </c>
      <c r="E48" s="181">
        <f>'Customer Numbers'!D40</f>
        <v>49344</v>
      </c>
      <c r="F48" s="181">
        <f>'Customer Numbers'!E40</f>
        <v>53483</v>
      </c>
      <c r="G48" s="181">
        <f>'Customer Numbers'!F40</f>
        <v>57118</v>
      </c>
      <c r="H48" s="181">
        <f>'Customer Numbers'!G40</f>
        <v>63861</v>
      </c>
      <c r="I48" s="181">
        <f>'Customer Numbers'!H40</f>
        <v>103519</v>
      </c>
      <c r="J48" s="181">
        <f>'Customer Numbers'!I40</f>
        <v>103564</v>
      </c>
      <c r="K48" s="181">
        <f>'Customer Numbers'!J40</f>
        <v>100654.90188696639</v>
      </c>
      <c r="L48" s="181">
        <f>'Customer Numbers'!K40</f>
        <v>98843.113653000997</v>
      </c>
      <c r="M48" s="181">
        <f>'Customer Numbers'!L40</f>
        <v>96866.251379940979</v>
      </c>
      <c r="N48" s="181">
        <f>'Customer Numbers'!M40</f>
        <v>94735.193849582283</v>
      </c>
      <c r="O48" s="181">
        <f>'Customer Numbers'!N40</f>
        <v>92366.814003342733</v>
      </c>
    </row>
    <row r="49" spans="2:16">
      <c r="B49" s="58"/>
      <c r="C49" s="58"/>
      <c r="D49" s="181"/>
      <c r="E49" s="181"/>
      <c r="F49" s="181"/>
      <c r="G49" s="181"/>
      <c r="H49" s="181"/>
      <c r="I49" s="181"/>
      <c r="J49" s="181"/>
      <c r="K49" s="181"/>
      <c r="L49" s="181"/>
      <c r="M49" s="181"/>
      <c r="N49" s="181"/>
      <c r="O49" s="181"/>
    </row>
    <row r="50" spans="2:16">
      <c r="B50" s="60" t="s">
        <v>86</v>
      </c>
      <c r="C50" s="60"/>
      <c r="D50" s="183">
        <f t="shared" ref="D50:G50" si="2">SUM(D45:D48)</f>
        <v>344073</v>
      </c>
      <c r="E50" s="183">
        <f t="shared" si="2"/>
        <v>343544</v>
      </c>
      <c r="F50" s="183">
        <f t="shared" si="2"/>
        <v>344022</v>
      </c>
      <c r="G50" s="183">
        <f t="shared" si="2"/>
        <v>340827</v>
      </c>
      <c r="H50" s="183">
        <f>SUM(H45:H48)</f>
        <v>338875</v>
      </c>
      <c r="I50" s="183">
        <f>SUM(I45:I48)</f>
        <v>343065</v>
      </c>
      <c r="J50" s="183">
        <f t="shared" ref="J50:O50" si="3">SUM(J45:J48)</f>
        <v>342601</v>
      </c>
      <c r="K50" s="183">
        <f t="shared" si="3"/>
        <v>332850.23962500005</v>
      </c>
      <c r="L50" s="183">
        <f t="shared" si="3"/>
        <v>326858.93531175004</v>
      </c>
      <c r="M50" s="183">
        <f t="shared" si="3"/>
        <v>320321.75660551502</v>
      </c>
      <c r="N50" s="183">
        <f t="shared" si="3"/>
        <v>313274.67796019372</v>
      </c>
      <c r="O50" s="183">
        <f t="shared" si="3"/>
        <v>305442.8110111889</v>
      </c>
    </row>
    <row r="51" spans="2:16" s="72" customFormat="1">
      <c r="B51" s="73" t="s">
        <v>37</v>
      </c>
      <c r="C51" s="73"/>
      <c r="D51" s="184">
        <f>SUM(D42,D50)-SUM('Customer Numbers'!C27:C35,'Customer Numbers'!C37:C40,'Customer Numbers'!C51:C55,'Customer Numbers'!C57:C60)</f>
        <v>0</v>
      </c>
      <c r="E51" s="184">
        <f>SUM(E42,E50)-SUM('Customer Numbers'!D27:D35,'Customer Numbers'!D37:D40,'Customer Numbers'!D51:D55,'Customer Numbers'!D57:D60)</f>
        <v>0</v>
      </c>
      <c r="F51" s="184">
        <f>SUM(F42,F50)-SUM('Customer Numbers'!E27:E35,'Customer Numbers'!E37:E40,'Customer Numbers'!E51:E55,'Customer Numbers'!E57:E60)</f>
        <v>0</v>
      </c>
      <c r="G51" s="184">
        <f>SUM(G42,G50)-SUM('Customer Numbers'!F27:F35,'Customer Numbers'!F37:F40,'Customer Numbers'!F51:F55,'Customer Numbers'!F57:F60)</f>
        <v>0</v>
      </c>
      <c r="H51" s="184">
        <f>SUM(H42,H50)-SUM('Customer Numbers'!G27:G35,'Customer Numbers'!G37:G40,'Customer Numbers'!G51:G55,'Customer Numbers'!G57:G60)</f>
        <v>0</v>
      </c>
      <c r="I51" s="184">
        <f>SUM(I42,I50)-SUM('Customer Numbers'!H27:H35,'Customer Numbers'!H37:H40,'Customer Numbers'!H51:H55,'Customer Numbers'!H57:H60)</f>
        <v>0</v>
      </c>
      <c r="J51" s="184">
        <f>SUM(J42,J50)-SUM('Customer Numbers'!I27:I35,'Customer Numbers'!I37:I40,'Customer Numbers'!I51:I55,'Customer Numbers'!I57:I60)</f>
        <v>1</v>
      </c>
      <c r="K51" s="184">
        <f>SUM(K42,K50)-SUM('Customer Numbers'!J27:J35,'Customer Numbers'!J37:J40,'Customer Numbers'!J51:J55,'Customer Numbers'!J57:J60)</f>
        <v>0.99999999976716936</v>
      </c>
      <c r="L51" s="184">
        <f>SUM(L42,L50)-SUM('Customer Numbers'!K27:K35,'Customer Numbers'!K37:K40,'Customer Numbers'!K51:K55,'Customer Numbers'!K57:K60)</f>
        <v>1</v>
      </c>
      <c r="M51" s="184">
        <f>SUM(M42,M50)-SUM('Customer Numbers'!L27:L35,'Customer Numbers'!L37:L40,'Customer Numbers'!L51:L55,'Customer Numbers'!L57:L60)</f>
        <v>0.99999999953433871</v>
      </c>
      <c r="N51" s="184">
        <f>SUM(N42,N50)-SUM('Customer Numbers'!M27:M35,'Customer Numbers'!M37:M40,'Customer Numbers'!M51:M55,'Customer Numbers'!M57:M60)</f>
        <v>1.0000000002328306</v>
      </c>
      <c r="O51" s="184">
        <f>SUM(O42,O50)-SUM('Customer Numbers'!N27:N35,'Customer Numbers'!N37:N40,'Customer Numbers'!N51:N55,'Customer Numbers'!N57:N60)</f>
        <v>1</v>
      </c>
      <c r="P51" s="72" t="s">
        <v>276</v>
      </c>
    </row>
    <row r="52" spans="2:16">
      <c r="B52" s="58"/>
      <c r="C52" s="58"/>
      <c r="D52" s="181"/>
      <c r="E52" s="181"/>
      <c r="F52" s="181"/>
      <c r="G52" s="181"/>
      <c r="H52" s="181"/>
      <c r="I52" s="181"/>
      <c r="J52" s="181"/>
      <c r="K52" s="181"/>
      <c r="L52" s="181"/>
      <c r="M52" s="181"/>
      <c r="N52" s="181"/>
      <c r="O52" s="181"/>
    </row>
    <row r="53" spans="2:16">
      <c r="B53" s="62" t="s">
        <v>87</v>
      </c>
      <c r="C53" s="62"/>
      <c r="D53" s="181"/>
      <c r="E53" s="181"/>
      <c r="F53" s="181"/>
      <c r="G53" s="181"/>
      <c r="H53" s="181"/>
      <c r="I53" s="181"/>
      <c r="J53" s="181"/>
      <c r="K53" s="181"/>
      <c r="L53" s="181"/>
      <c r="M53" s="181"/>
      <c r="N53" s="181"/>
      <c r="O53" s="181"/>
    </row>
    <row r="54" spans="2:16">
      <c r="B54" s="63" t="s">
        <v>88</v>
      </c>
      <c r="C54" s="63" t="s">
        <v>173</v>
      </c>
      <c r="D54" s="185">
        <f>'Customer Numbers'!C42</f>
        <v>0</v>
      </c>
      <c r="E54" s="185">
        <f>'Customer Numbers'!D42</f>
        <v>0</v>
      </c>
      <c r="F54" s="185">
        <f>'Customer Numbers'!E42</f>
        <v>5761</v>
      </c>
      <c r="G54" s="185">
        <f>'Customer Numbers'!F42</f>
        <v>34136</v>
      </c>
      <c r="H54" s="185">
        <f>'Customer Numbers'!G42</f>
        <v>36213</v>
      </c>
      <c r="I54" s="185">
        <f>'Customer Numbers'!H42</f>
        <v>36085</v>
      </c>
      <c r="J54" s="185">
        <f>'Customer Numbers'!I42</f>
        <v>35874</v>
      </c>
      <c r="K54" s="185">
        <f>'Customer Numbers'!J42</f>
        <v>36012</v>
      </c>
      <c r="L54" s="185">
        <f>'Customer Numbers'!K42</f>
        <v>36012</v>
      </c>
      <c r="M54" s="185">
        <f>'Customer Numbers'!L42</f>
        <v>0</v>
      </c>
      <c r="N54" s="185">
        <f>'Customer Numbers'!M42</f>
        <v>0</v>
      </c>
      <c r="O54" s="185">
        <f>'Customer Numbers'!N42</f>
        <v>0</v>
      </c>
      <c r="P54" s="72" t="s">
        <v>268</v>
      </c>
    </row>
    <row r="55" spans="2:16">
      <c r="B55" s="63" t="s">
        <v>89</v>
      </c>
      <c r="C55" s="63" t="s">
        <v>173</v>
      </c>
      <c r="D55" s="185">
        <f>'Customer Numbers'!C43</f>
        <v>0</v>
      </c>
      <c r="E55" s="185">
        <f>'Customer Numbers'!D43</f>
        <v>0</v>
      </c>
      <c r="F55" s="185">
        <f>'Customer Numbers'!E43</f>
        <v>0</v>
      </c>
      <c r="G55" s="185">
        <f>'Customer Numbers'!F43</f>
        <v>2835</v>
      </c>
      <c r="H55" s="185">
        <f>'Customer Numbers'!G43</f>
        <v>6847</v>
      </c>
      <c r="I55" s="185">
        <f>'Customer Numbers'!H43</f>
        <v>7089</v>
      </c>
      <c r="J55" s="185">
        <f>'Customer Numbers'!I43</f>
        <v>7225</v>
      </c>
      <c r="K55" s="185">
        <f>'Customer Numbers'!J43</f>
        <v>7143</v>
      </c>
      <c r="L55" s="185">
        <f>'Customer Numbers'!K43</f>
        <v>7143</v>
      </c>
      <c r="M55" s="185">
        <f>'Customer Numbers'!L43</f>
        <v>0</v>
      </c>
      <c r="N55" s="185">
        <f>'Customer Numbers'!M43</f>
        <v>0</v>
      </c>
      <c r="O55" s="185">
        <f>'Customer Numbers'!N43</f>
        <v>0</v>
      </c>
      <c r="P55" s="72" t="s">
        <v>268</v>
      </c>
    </row>
    <row r="56" spans="2:16">
      <c r="B56" s="63" t="s">
        <v>90</v>
      </c>
      <c r="C56" s="63" t="s">
        <v>173</v>
      </c>
      <c r="D56" s="185">
        <f>'Customer Numbers'!C44</f>
        <v>0</v>
      </c>
      <c r="E56" s="185">
        <f>'Customer Numbers'!D44</f>
        <v>0</v>
      </c>
      <c r="F56" s="185">
        <f>'Customer Numbers'!E44</f>
        <v>0</v>
      </c>
      <c r="G56" s="185">
        <f>'Customer Numbers'!F44</f>
        <v>1</v>
      </c>
      <c r="H56" s="185">
        <f>'Customer Numbers'!G44</f>
        <v>10</v>
      </c>
      <c r="I56" s="185">
        <f>'Customer Numbers'!H44</f>
        <v>13</v>
      </c>
      <c r="J56" s="185">
        <f>'Customer Numbers'!I44</f>
        <v>18</v>
      </c>
      <c r="K56" s="185">
        <f>'Customer Numbers'!J44</f>
        <v>17</v>
      </c>
      <c r="L56" s="185">
        <f>'Customer Numbers'!K44</f>
        <v>17</v>
      </c>
      <c r="M56" s="185">
        <f>'Customer Numbers'!L44</f>
        <v>0</v>
      </c>
      <c r="N56" s="185">
        <f>'Customer Numbers'!M44</f>
        <v>0</v>
      </c>
      <c r="O56" s="185">
        <f>'Customer Numbers'!N44</f>
        <v>0</v>
      </c>
      <c r="P56" s="72" t="s">
        <v>268</v>
      </c>
    </row>
    <row r="57" spans="2:16">
      <c r="B57" s="63" t="s">
        <v>91</v>
      </c>
      <c r="C57" s="63" t="s">
        <v>173</v>
      </c>
      <c r="D57" s="185">
        <f>'Customer Numbers'!C45</f>
        <v>0</v>
      </c>
      <c r="E57" s="185">
        <f>'Customer Numbers'!D45</f>
        <v>0</v>
      </c>
      <c r="F57" s="185">
        <f>'Customer Numbers'!E45</f>
        <v>0</v>
      </c>
      <c r="G57" s="185">
        <f>'Customer Numbers'!F45</f>
        <v>0</v>
      </c>
      <c r="H57" s="185">
        <f>'Customer Numbers'!G45</f>
        <v>166</v>
      </c>
      <c r="I57" s="185">
        <f>'Customer Numbers'!H45</f>
        <v>303</v>
      </c>
      <c r="J57" s="185">
        <f>'Customer Numbers'!I45</f>
        <v>309</v>
      </c>
      <c r="K57" s="185">
        <f>'Customer Numbers'!J45</f>
        <v>306</v>
      </c>
      <c r="L57" s="185">
        <f>'Customer Numbers'!K45</f>
        <v>306</v>
      </c>
      <c r="M57" s="185">
        <f>'Customer Numbers'!L45</f>
        <v>0</v>
      </c>
      <c r="N57" s="185">
        <f>'Customer Numbers'!M45</f>
        <v>0</v>
      </c>
      <c r="O57" s="185">
        <f>'Customer Numbers'!N45</f>
        <v>0</v>
      </c>
      <c r="P57" s="72" t="s">
        <v>268</v>
      </c>
    </row>
    <row r="58" spans="2:16">
      <c r="B58" s="63" t="s">
        <v>92</v>
      </c>
      <c r="C58" s="63" t="s">
        <v>173</v>
      </c>
      <c r="D58" s="185">
        <f>'Customer Numbers'!C46</f>
        <v>0</v>
      </c>
      <c r="E58" s="185">
        <f>'Customer Numbers'!D46</f>
        <v>0</v>
      </c>
      <c r="F58" s="185">
        <f>'Customer Numbers'!E46</f>
        <v>0</v>
      </c>
      <c r="G58" s="185">
        <f>'Customer Numbers'!F46</f>
        <v>0</v>
      </c>
      <c r="H58" s="185">
        <f>'Customer Numbers'!G46</f>
        <v>55</v>
      </c>
      <c r="I58" s="185">
        <f>'Customer Numbers'!H46</f>
        <v>62</v>
      </c>
      <c r="J58" s="185">
        <f>'Customer Numbers'!I46</f>
        <v>60</v>
      </c>
      <c r="K58" s="185">
        <f>'Customer Numbers'!J46</f>
        <v>59</v>
      </c>
      <c r="L58" s="185">
        <f>'Customer Numbers'!K46</f>
        <v>59</v>
      </c>
      <c r="M58" s="185">
        <f>'Customer Numbers'!L46</f>
        <v>59</v>
      </c>
      <c r="N58" s="185">
        <f>'Customer Numbers'!M46</f>
        <v>59</v>
      </c>
      <c r="O58" s="185">
        <f>'Customer Numbers'!N46</f>
        <v>59</v>
      </c>
      <c r="P58" s="72"/>
    </row>
    <row r="59" spans="2:16">
      <c r="B59" s="63" t="s">
        <v>93</v>
      </c>
      <c r="C59" s="63" t="s">
        <v>173</v>
      </c>
      <c r="D59" s="185">
        <f>'Customer Numbers'!C47</f>
        <v>0</v>
      </c>
      <c r="E59" s="185">
        <f>'Customer Numbers'!D47</f>
        <v>0</v>
      </c>
      <c r="F59" s="185">
        <f>'Customer Numbers'!E47</f>
        <v>0</v>
      </c>
      <c r="G59" s="185">
        <f>'Customer Numbers'!F47</f>
        <v>0</v>
      </c>
      <c r="H59" s="185">
        <f>'Customer Numbers'!G47</f>
        <v>5205</v>
      </c>
      <c r="I59" s="185">
        <f>'Customer Numbers'!H47</f>
        <v>13778</v>
      </c>
      <c r="J59" s="185">
        <f>'Customer Numbers'!I47</f>
        <v>17978</v>
      </c>
      <c r="K59" s="185">
        <f>'Customer Numbers'!J47</f>
        <v>19481</v>
      </c>
      <c r="L59" s="185">
        <f>'Customer Numbers'!K47</f>
        <v>23681</v>
      </c>
      <c r="M59" s="185">
        <f>'Customer Numbers'!L47</f>
        <v>71359</v>
      </c>
      <c r="N59" s="185">
        <f>'Customer Numbers'!M47</f>
        <v>75559</v>
      </c>
      <c r="O59" s="185">
        <f>'Customer Numbers'!N47</f>
        <v>79759</v>
      </c>
      <c r="P59" s="72"/>
    </row>
    <row r="60" spans="2:16">
      <c r="B60" s="63" t="s">
        <v>94</v>
      </c>
      <c r="C60" s="63" t="s">
        <v>173</v>
      </c>
      <c r="D60" s="185">
        <f>'Customer Numbers'!C48</f>
        <v>76</v>
      </c>
      <c r="E60" s="185">
        <f>'Customer Numbers'!D48</f>
        <v>370</v>
      </c>
      <c r="F60" s="185">
        <f>'Customer Numbers'!E48</f>
        <v>13</v>
      </c>
      <c r="G60" s="185">
        <f>'Customer Numbers'!F48</f>
        <v>16</v>
      </c>
      <c r="H60" s="185">
        <f>'Customer Numbers'!G48</f>
        <v>3353</v>
      </c>
      <c r="I60" s="185">
        <f>'Customer Numbers'!H48</f>
        <v>3269</v>
      </c>
      <c r="J60" s="185">
        <f>'Customer Numbers'!I48</f>
        <v>3251</v>
      </c>
      <c r="K60" s="185">
        <f>'Customer Numbers'!J48</f>
        <v>3262</v>
      </c>
      <c r="L60" s="185">
        <f>'Customer Numbers'!K48</f>
        <v>3262</v>
      </c>
      <c r="M60" s="185">
        <f>'Customer Numbers'!L48</f>
        <v>3262</v>
      </c>
      <c r="N60" s="185">
        <f>'Customer Numbers'!M48</f>
        <v>3262</v>
      </c>
      <c r="O60" s="185">
        <f>'Customer Numbers'!N48</f>
        <v>3262</v>
      </c>
      <c r="P60" s="72"/>
    </row>
    <row r="61" spans="2:16">
      <c r="D61" s="186"/>
      <c r="E61" s="186"/>
      <c r="F61" s="186"/>
      <c r="G61" s="186"/>
      <c r="H61" s="186"/>
      <c r="I61" s="186"/>
      <c r="J61" s="186"/>
      <c r="K61" s="186"/>
      <c r="L61" s="186"/>
      <c r="M61" s="186"/>
      <c r="N61" s="186"/>
      <c r="O61" s="186"/>
    </row>
    <row r="62" spans="2:16">
      <c r="B62" s="60" t="s">
        <v>95</v>
      </c>
      <c r="C62" s="60"/>
      <c r="D62" s="183">
        <f t="shared" ref="D62:G62" si="4">SUM(D54:D60)</f>
        <v>76</v>
      </c>
      <c r="E62" s="183">
        <f t="shared" si="4"/>
        <v>370</v>
      </c>
      <c r="F62" s="183">
        <f t="shared" si="4"/>
        <v>5774</v>
      </c>
      <c r="G62" s="183">
        <f t="shared" si="4"/>
        <v>36988</v>
      </c>
      <c r="H62" s="183">
        <f>SUM(H54:H60)</f>
        <v>51849</v>
      </c>
      <c r="I62" s="183">
        <f>SUM(I54:I60)</f>
        <v>60599</v>
      </c>
      <c r="J62" s="183">
        <f t="shared" ref="J62:O62" si="5">SUM(J54:J60)</f>
        <v>64715</v>
      </c>
      <c r="K62" s="183">
        <f t="shared" si="5"/>
        <v>66280</v>
      </c>
      <c r="L62" s="183">
        <f t="shared" si="5"/>
        <v>70480</v>
      </c>
      <c r="M62" s="183">
        <f t="shared" si="5"/>
        <v>74680</v>
      </c>
      <c r="N62" s="183">
        <f t="shared" si="5"/>
        <v>78880</v>
      </c>
      <c r="O62" s="183">
        <f t="shared" si="5"/>
        <v>83080</v>
      </c>
    </row>
    <row r="63" spans="2:16">
      <c r="B63" s="73" t="s">
        <v>37</v>
      </c>
      <c r="C63" s="58"/>
      <c r="D63" s="184">
        <f>D62-SUM('Customer Numbers'!C42:C48)</f>
        <v>0</v>
      </c>
      <c r="E63" s="184">
        <f>E62-SUM('Customer Numbers'!D42:D48)</f>
        <v>0</v>
      </c>
      <c r="F63" s="184">
        <f>F62-SUM('Customer Numbers'!E42:E48)</f>
        <v>0</v>
      </c>
      <c r="G63" s="184">
        <f>G62-SUM('Customer Numbers'!F42:F48)</f>
        <v>0</v>
      </c>
      <c r="H63" s="184">
        <f>H62-SUM('Customer Numbers'!G42:G48)</f>
        <v>0</v>
      </c>
      <c r="I63" s="184">
        <f>I62-SUM('Customer Numbers'!H42:H48)</f>
        <v>0</v>
      </c>
      <c r="J63" s="184">
        <f>J62-SUM('Customer Numbers'!I42:I48)</f>
        <v>0</v>
      </c>
      <c r="K63" s="184">
        <f>K62-SUM('Customer Numbers'!J42:J48)</f>
        <v>0</v>
      </c>
      <c r="L63" s="184">
        <f>L62-SUM('Customer Numbers'!K42:K48)</f>
        <v>0</v>
      </c>
      <c r="M63" s="184">
        <f>M62-SUM('Customer Numbers'!L42:L48)</f>
        <v>0</v>
      </c>
      <c r="N63" s="184">
        <f>N62-SUM('Customer Numbers'!M42:M48)</f>
        <v>0</v>
      </c>
      <c r="O63" s="184">
        <f>O62-SUM('Customer Numbers'!N42:N48)</f>
        <v>0</v>
      </c>
    </row>
    <row r="64" spans="2:16">
      <c r="B64" s="58"/>
      <c r="C64" s="58"/>
      <c r="D64" s="181"/>
      <c r="E64" s="181"/>
      <c r="F64" s="181"/>
      <c r="G64" s="181"/>
      <c r="H64" s="181"/>
      <c r="I64" s="181"/>
      <c r="J64" s="181"/>
      <c r="K64" s="181"/>
      <c r="L64" s="181"/>
      <c r="M64" s="181"/>
      <c r="N64" s="181"/>
      <c r="O64" s="181"/>
    </row>
    <row r="65" spans="2:18">
      <c r="B65" s="65" t="s">
        <v>96</v>
      </c>
      <c r="C65" s="65"/>
      <c r="D65" s="187">
        <f t="shared" ref="D65:G65" si="6">SUM(D62,D50,D42)</f>
        <v>1193585</v>
      </c>
      <c r="E65" s="187">
        <f t="shared" si="6"/>
        <v>1199372</v>
      </c>
      <c r="F65" s="187">
        <f t="shared" si="6"/>
        <v>1211840</v>
      </c>
      <c r="G65" s="187">
        <f t="shared" si="6"/>
        <v>1250384</v>
      </c>
      <c r="H65" s="187">
        <f>SUM(H62,H50,H42)</f>
        <v>1269874</v>
      </c>
      <c r="I65" s="187">
        <f>SUM(I62,I50,I42)</f>
        <v>1306677</v>
      </c>
      <c r="J65" s="187">
        <f t="shared" ref="J65:O65" si="7">SUM(J62,J50,J42)</f>
        <v>1324490</v>
      </c>
      <c r="K65" s="187">
        <f t="shared" si="7"/>
        <v>1326983.5842445153</v>
      </c>
      <c r="L65" s="187">
        <f t="shared" si="7"/>
        <v>1337055.1592015768</v>
      </c>
      <c r="M65" s="187">
        <f t="shared" si="7"/>
        <v>1346004.3976286571</v>
      </c>
      <c r="N65" s="187">
        <f t="shared" si="7"/>
        <v>1356275.7941195995</v>
      </c>
      <c r="O65" s="187">
        <f t="shared" si="7"/>
        <v>1367324.3273783685</v>
      </c>
    </row>
    <row r="66" spans="2:18">
      <c r="B66" s="51" t="s">
        <v>97</v>
      </c>
      <c r="D66" s="186">
        <f t="shared" ref="D66:G66" si="8">-SUM(D62,D50)</f>
        <v>-344149</v>
      </c>
      <c r="E66" s="186">
        <f t="shared" si="8"/>
        <v>-343914</v>
      </c>
      <c r="F66" s="186">
        <f t="shared" si="8"/>
        <v>-349796</v>
      </c>
      <c r="G66" s="186">
        <f t="shared" si="8"/>
        <v>-377815</v>
      </c>
      <c r="H66" s="186">
        <f>-SUM(H62,H50)</f>
        <v>-390724</v>
      </c>
      <c r="I66" s="186">
        <f>-SUM(I62,I50)</f>
        <v>-403664</v>
      </c>
      <c r="J66" s="186">
        <f t="shared" ref="J66:O66" si="9">-SUM(J62,J50)</f>
        <v>-407316</v>
      </c>
      <c r="K66" s="186">
        <f t="shared" si="9"/>
        <v>-399130.23962500005</v>
      </c>
      <c r="L66" s="186">
        <f t="shared" si="9"/>
        <v>-397338.93531175004</v>
      </c>
      <c r="M66" s="186">
        <f t="shared" si="9"/>
        <v>-395001.75660551502</v>
      </c>
      <c r="N66" s="186">
        <f t="shared" si="9"/>
        <v>-392154.67796019372</v>
      </c>
      <c r="O66" s="186">
        <f t="shared" si="9"/>
        <v>-388522.8110111889</v>
      </c>
    </row>
    <row r="67" spans="2:18" ht="13.5" thickBot="1">
      <c r="B67" s="66" t="s">
        <v>98</v>
      </c>
      <c r="C67" s="66"/>
      <c r="D67" s="188">
        <f t="shared" ref="D67:G67" si="10">SUM(D65:D66)</f>
        <v>849436</v>
      </c>
      <c r="E67" s="188">
        <f t="shared" si="10"/>
        <v>855458</v>
      </c>
      <c r="F67" s="188">
        <f t="shared" si="10"/>
        <v>862044</v>
      </c>
      <c r="G67" s="188">
        <f t="shared" si="10"/>
        <v>872569</v>
      </c>
      <c r="H67" s="188">
        <f>SUM(H65:H66)</f>
        <v>879150</v>
      </c>
      <c r="I67" s="188">
        <f>SUM(I65:I66)</f>
        <v>903013</v>
      </c>
      <c r="J67" s="188">
        <f t="shared" ref="J67:O67" si="11">SUM(J65:J66)</f>
        <v>917174</v>
      </c>
      <c r="K67" s="188">
        <f t="shared" si="11"/>
        <v>927853.34461951524</v>
      </c>
      <c r="L67" s="188">
        <f t="shared" si="11"/>
        <v>939716.2238898268</v>
      </c>
      <c r="M67" s="188">
        <f t="shared" si="11"/>
        <v>951002.64102314203</v>
      </c>
      <c r="N67" s="188">
        <f t="shared" si="11"/>
        <v>964121.11615940579</v>
      </c>
      <c r="O67" s="188">
        <f t="shared" si="11"/>
        <v>978801.51636717957</v>
      </c>
    </row>
    <row r="68" spans="2:18">
      <c r="J68" s="67">
        <f>(J67-I67)/I67</f>
        <v>1.5681944778203637E-2</v>
      </c>
      <c r="K68" s="67">
        <f t="shared" ref="K68:O68" si="12">(K67-J67)/J67</f>
        <v>1.1643749844102902E-2</v>
      </c>
      <c r="L68" s="67">
        <f t="shared" si="12"/>
        <v>1.2785295584806209E-2</v>
      </c>
      <c r="M68" s="67">
        <f t="shared" si="12"/>
        <v>1.2010452566836244E-2</v>
      </c>
      <c r="N68" s="67">
        <f t="shared" si="12"/>
        <v>1.3794362465860421E-2</v>
      </c>
      <c r="O68" s="67">
        <f t="shared" si="12"/>
        <v>1.522671784874231E-2</v>
      </c>
    </row>
    <row r="69" spans="2:18">
      <c r="D69" s="186"/>
      <c r="E69" s="186"/>
      <c r="F69" s="186"/>
      <c r="G69" s="186"/>
      <c r="H69" s="186"/>
      <c r="I69" s="186"/>
      <c r="J69" s="186"/>
      <c r="K69" s="186"/>
      <c r="L69" s="186"/>
      <c r="M69" s="186"/>
      <c r="N69" s="186"/>
      <c r="O69" s="186"/>
    </row>
    <row r="70" spans="2:18" ht="13.5" thickBot="1">
      <c r="B70" s="66" t="s">
        <v>99</v>
      </c>
      <c r="C70" s="66"/>
      <c r="D70" s="68" t="s">
        <v>100</v>
      </c>
      <c r="E70" s="188">
        <f t="shared" ref="E70:H70" si="13">SUM(D67:E67)/2</f>
        <v>852447</v>
      </c>
      <c r="F70" s="188">
        <f t="shared" si="13"/>
        <v>858751</v>
      </c>
      <c r="G70" s="188">
        <f t="shared" si="13"/>
        <v>867306.5</v>
      </c>
      <c r="H70" s="188">
        <f t="shared" si="13"/>
        <v>875859.5</v>
      </c>
      <c r="I70" s="188">
        <f>SUM(H67:I67)/2</f>
        <v>891081.5</v>
      </c>
      <c r="J70" s="188">
        <f>SUM(I67:J67)/2</f>
        <v>910093.5</v>
      </c>
      <c r="K70" s="188">
        <f t="shared" ref="K70:O70" si="14">SUM(J67:K67)/2</f>
        <v>922513.67230975768</v>
      </c>
      <c r="L70" s="188">
        <f t="shared" si="14"/>
        <v>933784.78425467107</v>
      </c>
      <c r="M70" s="188">
        <f t="shared" si="14"/>
        <v>945359.43245648441</v>
      </c>
      <c r="N70" s="188">
        <f t="shared" si="14"/>
        <v>957561.87859127391</v>
      </c>
      <c r="O70" s="188">
        <f t="shared" si="14"/>
        <v>971461.31626329268</v>
      </c>
    </row>
    <row r="72" spans="2:18" s="69" customFormat="1">
      <c r="B72" s="78" t="s">
        <v>99</v>
      </c>
      <c r="C72" s="76"/>
      <c r="D72" s="76"/>
      <c r="E72" s="76"/>
      <c r="F72" s="76"/>
      <c r="G72" s="76"/>
      <c r="H72" s="77"/>
      <c r="I72" s="77"/>
      <c r="J72" s="77"/>
      <c r="K72" s="77"/>
      <c r="L72" s="77"/>
      <c r="M72" s="77"/>
      <c r="N72" s="77"/>
      <c r="O72" s="77"/>
      <c r="R72" s="48"/>
    </row>
    <row r="73" spans="2:18">
      <c r="B73" s="57" t="s">
        <v>61</v>
      </c>
      <c r="C73" s="57"/>
      <c r="D73" s="57"/>
      <c r="E73" s="57"/>
      <c r="F73" s="57"/>
      <c r="G73" s="57"/>
      <c r="H73" s="54"/>
      <c r="I73" s="54"/>
      <c r="J73" s="54"/>
    </row>
    <row r="74" spans="2:18">
      <c r="B74" s="58" t="s">
        <v>62</v>
      </c>
      <c r="C74" s="58" t="s">
        <v>167</v>
      </c>
      <c r="D74" s="300"/>
      <c r="E74" s="181">
        <f t="shared" ref="E74:E91" si="15">AVERAGE(D23:E23)</f>
        <v>424014.5</v>
      </c>
      <c r="F74" s="181">
        <f t="shared" ref="F74:F91" si="16">AVERAGE(E23:F23)</f>
        <v>396490.5</v>
      </c>
      <c r="G74" s="181">
        <f t="shared" ref="G74:G91" si="17">AVERAGE(F23:G23)</f>
        <v>367323</v>
      </c>
      <c r="H74" s="181">
        <f t="shared" ref="H74:H91" si="18">AVERAGE(G23:H23)</f>
        <v>324869.5</v>
      </c>
      <c r="I74" s="181">
        <f t="shared" ref="I74:O83" si="19">AVERAGE(H23:I23)</f>
        <v>148768</v>
      </c>
      <c r="J74" s="181">
        <f t="shared" si="19"/>
        <v>2</v>
      </c>
      <c r="K74" s="181">
        <f t="shared" si="19"/>
        <v>0</v>
      </c>
      <c r="L74" s="181">
        <f t="shared" si="19"/>
        <v>0</v>
      </c>
      <c r="M74" s="181">
        <f t="shared" si="19"/>
        <v>0</v>
      </c>
      <c r="N74" s="181">
        <f t="shared" si="19"/>
        <v>0</v>
      </c>
      <c r="O74" s="181">
        <f t="shared" si="19"/>
        <v>0</v>
      </c>
    </row>
    <row r="75" spans="2:18">
      <c r="B75" s="58" t="s">
        <v>63</v>
      </c>
      <c r="C75" s="58" t="s">
        <v>167</v>
      </c>
      <c r="D75" s="300"/>
      <c r="E75" s="181">
        <f t="shared" si="15"/>
        <v>339535.5</v>
      </c>
      <c r="F75" s="181">
        <f t="shared" si="16"/>
        <v>373572</v>
      </c>
      <c r="G75" s="181">
        <f t="shared" si="17"/>
        <v>411250.5</v>
      </c>
      <c r="H75" s="181">
        <f t="shared" si="18"/>
        <v>458977.5</v>
      </c>
      <c r="I75" s="181">
        <f t="shared" si="19"/>
        <v>642096</v>
      </c>
      <c r="J75" s="181">
        <f>AVERAGE(I24:J24)</f>
        <v>802281.5</v>
      </c>
      <c r="K75" s="181">
        <f t="shared" si="19"/>
        <v>813141.02449089498</v>
      </c>
      <c r="L75" s="181">
        <f t="shared" si="19"/>
        <v>823906.6545550169</v>
      </c>
      <c r="M75" s="181">
        <f t="shared" si="19"/>
        <v>833312.16648979462</v>
      </c>
      <c r="N75" s="181">
        <f t="shared" si="19"/>
        <v>843381.48258878663</v>
      </c>
      <c r="O75" s="181">
        <f t="shared" si="19"/>
        <v>854914.48660994018</v>
      </c>
    </row>
    <row r="76" spans="2:18">
      <c r="B76" s="58" t="s">
        <v>64</v>
      </c>
      <c r="C76" s="58" t="s">
        <v>269</v>
      </c>
      <c r="D76" s="300"/>
      <c r="E76" s="181">
        <f t="shared" si="15"/>
        <v>4.5</v>
      </c>
      <c r="F76" s="181">
        <f t="shared" si="16"/>
        <v>5.5</v>
      </c>
      <c r="G76" s="181">
        <f t="shared" si="17"/>
        <v>6</v>
      </c>
      <c r="H76" s="181">
        <f t="shared" si="18"/>
        <v>5.5</v>
      </c>
      <c r="I76" s="181">
        <f t="shared" si="19"/>
        <v>2.5</v>
      </c>
      <c r="J76" s="181">
        <f t="shared" si="19"/>
        <v>0</v>
      </c>
      <c r="K76" s="181">
        <f t="shared" si="19"/>
        <v>0</v>
      </c>
      <c r="L76" s="181">
        <f t="shared" si="19"/>
        <v>0</v>
      </c>
      <c r="M76" s="181">
        <f t="shared" si="19"/>
        <v>0</v>
      </c>
      <c r="N76" s="181">
        <f t="shared" si="19"/>
        <v>0</v>
      </c>
      <c r="O76" s="181">
        <f t="shared" si="19"/>
        <v>0</v>
      </c>
    </row>
    <row r="77" spans="2:18">
      <c r="B77" s="58" t="s">
        <v>65</v>
      </c>
      <c r="C77" s="58" t="s">
        <v>269</v>
      </c>
      <c r="D77" s="300"/>
      <c r="E77" s="181">
        <f t="shared" si="15"/>
        <v>1438.5</v>
      </c>
      <c r="F77" s="181">
        <f t="shared" si="16"/>
        <v>811.5</v>
      </c>
      <c r="G77" s="181">
        <f t="shared" si="17"/>
        <v>1</v>
      </c>
      <c r="H77" s="181">
        <f t="shared" si="18"/>
        <v>1.5</v>
      </c>
      <c r="I77" s="181">
        <f t="shared" si="19"/>
        <v>4</v>
      </c>
      <c r="J77" s="181">
        <f t="shared" si="19"/>
        <v>13</v>
      </c>
      <c r="K77" s="181">
        <f t="shared" si="19"/>
        <v>13.581642453460056</v>
      </c>
      <c r="L77" s="181">
        <f t="shared" si="19"/>
        <v>7.2049683208886748</v>
      </c>
      <c r="M77" s="181">
        <f t="shared" si="19"/>
        <v>7.2872184340018098</v>
      </c>
      <c r="N77" s="181">
        <f t="shared" si="19"/>
        <v>7.3752734376908302</v>
      </c>
      <c r="O77" s="181">
        <f t="shared" si="19"/>
        <v>7.4761282228266204</v>
      </c>
    </row>
    <row r="78" spans="2:18">
      <c r="B78" s="58" t="s">
        <v>66</v>
      </c>
      <c r="C78" s="58" t="s">
        <v>168</v>
      </c>
      <c r="D78" s="300"/>
      <c r="E78" s="181">
        <f t="shared" si="15"/>
        <v>10015</v>
      </c>
      <c r="F78" s="181">
        <f t="shared" si="16"/>
        <v>10113.5</v>
      </c>
      <c r="G78" s="181">
        <f t="shared" si="17"/>
        <v>10281</v>
      </c>
      <c r="H78" s="181">
        <f t="shared" si="18"/>
        <v>10277</v>
      </c>
      <c r="I78" s="181">
        <f t="shared" si="19"/>
        <v>10080.5</v>
      </c>
      <c r="J78" s="181">
        <f t="shared" si="19"/>
        <v>9936</v>
      </c>
      <c r="K78" s="181">
        <f t="shared" si="19"/>
        <v>10023.908957498006</v>
      </c>
      <c r="L78" s="181">
        <f t="shared" si="19"/>
        <v>10228.996453284522</v>
      </c>
      <c r="M78" s="181">
        <f t="shared" si="19"/>
        <v>10345.768113872857</v>
      </c>
      <c r="N78" s="181">
        <f t="shared" si="19"/>
        <v>10470.781060538784</v>
      </c>
      <c r="O78" s="181">
        <f t="shared" si="19"/>
        <v>10613.96603977871</v>
      </c>
    </row>
    <row r="79" spans="2:18">
      <c r="B79" s="58" t="s">
        <v>67</v>
      </c>
      <c r="C79" s="58" t="s">
        <v>168</v>
      </c>
      <c r="D79" s="300"/>
      <c r="E79" s="181">
        <f t="shared" si="15"/>
        <v>2802</v>
      </c>
      <c r="F79" s="181">
        <f t="shared" si="16"/>
        <v>2915.5</v>
      </c>
      <c r="G79" s="181">
        <f t="shared" si="17"/>
        <v>3052.5</v>
      </c>
      <c r="H79" s="181">
        <f t="shared" si="18"/>
        <v>3124</v>
      </c>
      <c r="I79" s="181">
        <f t="shared" si="19"/>
        <v>3150.5</v>
      </c>
      <c r="J79" s="181">
        <f t="shared" si="19"/>
        <v>3155</v>
      </c>
      <c r="K79" s="181">
        <f t="shared" si="19"/>
        <v>3193.8673993410343</v>
      </c>
      <c r="L79" s="181">
        <f t="shared" si="19"/>
        <v>3253.5578374755869</v>
      </c>
      <c r="M79" s="181">
        <f t="shared" si="19"/>
        <v>3290.6996385542466</v>
      </c>
      <c r="N79" s="181">
        <f t="shared" si="19"/>
        <v>3330.4627623629603</v>
      </c>
      <c r="O79" s="181">
        <f t="shared" si="19"/>
        <v>3376.0059017649937</v>
      </c>
    </row>
    <row r="80" spans="2:18">
      <c r="B80" s="58" t="s">
        <v>68</v>
      </c>
      <c r="C80" s="58" t="s">
        <v>169</v>
      </c>
      <c r="D80" s="300"/>
      <c r="E80" s="181">
        <f t="shared" si="15"/>
        <v>0</v>
      </c>
      <c r="F80" s="181">
        <f t="shared" si="16"/>
        <v>0</v>
      </c>
      <c r="G80" s="181">
        <f t="shared" si="17"/>
        <v>2.5</v>
      </c>
      <c r="H80" s="181">
        <f t="shared" si="18"/>
        <v>2778.5</v>
      </c>
      <c r="I80" s="181">
        <f t="shared" si="19"/>
        <v>9345</v>
      </c>
      <c r="J80" s="181">
        <f t="shared" si="19"/>
        <v>15269</v>
      </c>
      <c r="K80" s="181">
        <f t="shared" si="19"/>
        <v>16217.35584660502</v>
      </c>
      <c r="L80" s="181">
        <f t="shared" si="19"/>
        <v>15122.199224356627</v>
      </c>
      <c r="M80" s="181">
        <f t="shared" si="19"/>
        <v>15294.830461764939</v>
      </c>
      <c r="N80" s="181">
        <f t="shared" si="19"/>
        <v>15479.645335221954</v>
      </c>
      <c r="O80" s="181">
        <f t="shared" si="19"/>
        <v>15691.325121395528</v>
      </c>
    </row>
    <row r="81" spans="2:15">
      <c r="B81" s="58" t="s">
        <v>69</v>
      </c>
      <c r="C81" s="58" t="s">
        <v>169</v>
      </c>
      <c r="D81" s="300"/>
      <c r="E81" s="181">
        <f t="shared" si="15"/>
        <v>0</v>
      </c>
      <c r="F81" s="181">
        <f t="shared" si="16"/>
        <v>0</v>
      </c>
      <c r="G81" s="181">
        <f t="shared" si="17"/>
        <v>0</v>
      </c>
      <c r="H81" s="181">
        <f t="shared" si="18"/>
        <v>0</v>
      </c>
      <c r="I81" s="181">
        <f t="shared" si="19"/>
        <v>0.5</v>
      </c>
      <c r="J81" s="181">
        <f t="shared" si="19"/>
        <v>1</v>
      </c>
      <c r="K81" s="181">
        <f t="shared" si="19"/>
        <v>1.0116632076371508</v>
      </c>
      <c r="L81" s="181">
        <f t="shared" si="19"/>
        <v>1.0292811886983819</v>
      </c>
      <c r="M81" s="181">
        <f t="shared" si="19"/>
        <v>1.0410312048574011</v>
      </c>
      <c r="N81" s="181">
        <f t="shared" si="19"/>
        <v>1.0536104910986901</v>
      </c>
      <c r="O81" s="181">
        <f t="shared" si="19"/>
        <v>1.06801831754666</v>
      </c>
    </row>
    <row r="82" spans="2:15">
      <c r="B82" s="58" t="s">
        <v>70</v>
      </c>
      <c r="C82" s="58" t="s">
        <v>170</v>
      </c>
      <c r="D82" s="300"/>
      <c r="E82" s="181">
        <f t="shared" si="15"/>
        <v>55079.5</v>
      </c>
      <c r="F82" s="181">
        <f t="shared" si="16"/>
        <v>52645.5</v>
      </c>
      <c r="G82" s="181">
        <f t="shared" si="17"/>
        <v>48874.5</v>
      </c>
      <c r="H82" s="181">
        <f t="shared" si="18"/>
        <v>44916.5</v>
      </c>
      <c r="I82" s="181">
        <f t="shared" si="19"/>
        <v>20902</v>
      </c>
      <c r="J82" s="181">
        <f t="shared" si="19"/>
        <v>0.5</v>
      </c>
      <c r="K82" s="181">
        <f t="shared" si="19"/>
        <v>0</v>
      </c>
      <c r="L82" s="181">
        <f t="shared" si="19"/>
        <v>0</v>
      </c>
      <c r="M82" s="181">
        <f t="shared" si="19"/>
        <v>0</v>
      </c>
      <c r="N82" s="181">
        <f t="shared" si="19"/>
        <v>0</v>
      </c>
      <c r="O82" s="181">
        <f t="shared" si="19"/>
        <v>0</v>
      </c>
    </row>
    <row r="83" spans="2:15">
      <c r="B83" s="58" t="s">
        <v>71</v>
      </c>
      <c r="C83" s="58" t="s">
        <v>170</v>
      </c>
      <c r="D83" s="300"/>
      <c r="E83" s="181">
        <f t="shared" si="15"/>
        <v>17732.5</v>
      </c>
      <c r="F83" s="181">
        <f t="shared" si="16"/>
        <v>20423.5</v>
      </c>
      <c r="G83" s="181">
        <f t="shared" si="17"/>
        <v>24692.5</v>
      </c>
      <c r="H83" s="181">
        <f t="shared" si="18"/>
        <v>28948</v>
      </c>
      <c r="I83" s="181">
        <f t="shared" si="19"/>
        <v>54538.5</v>
      </c>
      <c r="J83" s="181">
        <f t="shared" si="19"/>
        <v>76923.5</v>
      </c>
      <c r="K83" s="181">
        <f t="shared" si="19"/>
        <v>77364.166800115709</v>
      </c>
      <c r="L83" s="181">
        <f t="shared" si="19"/>
        <v>78790.209203554288</v>
      </c>
      <c r="M83" s="181">
        <f t="shared" si="19"/>
        <v>80576.615426147662</v>
      </c>
      <c r="N83" s="181">
        <f t="shared" si="19"/>
        <v>82305.760481126839</v>
      </c>
      <c r="O83" s="181">
        <f t="shared" si="19"/>
        <v>84211.822547091695</v>
      </c>
    </row>
    <row r="84" spans="2:15">
      <c r="B84" s="58" t="s">
        <v>72</v>
      </c>
      <c r="C84" s="58" t="s">
        <v>171</v>
      </c>
      <c r="D84" s="300"/>
      <c r="E84" s="181">
        <f t="shared" si="15"/>
        <v>49.5</v>
      </c>
      <c r="F84" s="181">
        <f t="shared" si="16"/>
        <v>48</v>
      </c>
      <c r="G84" s="181">
        <f t="shared" si="17"/>
        <v>46.5</v>
      </c>
      <c r="H84" s="181">
        <f t="shared" si="18"/>
        <v>46</v>
      </c>
      <c r="I84" s="181">
        <f t="shared" ref="I84:O90" si="20">AVERAGE(H33:I33)</f>
        <v>46</v>
      </c>
      <c r="J84" s="181">
        <f t="shared" si="20"/>
        <v>45.5</v>
      </c>
      <c r="K84" s="181">
        <f t="shared" si="20"/>
        <v>45.276894831442235</v>
      </c>
      <c r="L84" s="181">
        <f t="shared" si="20"/>
        <v>47.133384344187391</v>
      </c>
      <c r="M84" s="181">
        <f t="shared" si="20"/>
        <v>48.202037060501574</v>
      </c>
      <c r="N84" s="181">
        <f t="shared" si="20"/>
        <v>49.23643536058259</v>
      </c>
      <c r="O84" s="181">
        <f t="shared" si="20"/>
        <v>50.376667844378886</v>
      </c>
    </row>
    <row r="85" spans="2:15">
      <c r="B85" s="58" t="s">
        <v>73</v>
      </c>
      <c r="C85" s="58" t="s">
        <v>171</v>
      </c>
      <c r="D85" s="300"/>
      <c r="E85" s="181">
        <f t="shared" si="15"/>
        <v>10.5</v>
      </c>
      <c r="F85" s="181">
        <f t="shared" si="16"/>
        <v>12.5</v>
      </c>
      <c r="G85" s="181">
        <f t="shared" si="17"/>
        <v>17</v>
      </c>
      <c r="H85" s="181">
        <f t="shared" si="18"/>
        <v>20.5</v>
      </c>
      <c r="I85" s="181">
        <f t="shared" si="20"/>
        <v>20.5</v>
      </c>
      <c r="J85" s="181">
        <f t="shared" si="20"/>
        <v>19</v>
      </c>
      <c r="K85" s="181">
        <f t="shared" si="20"/>
        <v>18.108350151433925</v>
      </c>
      <c r="L85" s="181">
        <f t="shared" si="20"/>
        <v>18.443498221638553</v>
      </c>
      <c r="M85" s="181">
        <f t="shared" si="20"/>
        <v>18.861666675848451</v>
      </c>
      <c r="N85" s="181">
        <f t="shared" si="20"/>
        <v>19.266431228054067</v>
      </c>
      <c r="O85" s="181">
        <f t="shared" si="20"/>
        <v>19.712609156496093</v>
      </c>
    </row>
    <row r="86" spans="2:15">
      <c r="B86" s="58" t="s">
        <v>74</v>
      </c>
      <c r="C86" s="58" t="s">
        <v>172</v>
      </c>
      <c r="D86" s="300"/>
      <c r="E86" s="181">
        <f t="shared" si="15"/>
        <v>0</v>
      </c>
      <c r="F86" s="181">
        <f t="shared" si="16"/>
        <v>0</v>
      </c>
      <c r="G86" s="181">
        <f t="shared" si="17"/>
        <v>58.5</v>
      </c>
      <c r="H86" s="181">
        <f t="shared" si="18"/>
        <v>173.5</v>
      </c>
      <c r="I86" s="181">
        <f t="shared" si="20"/>
        <v>315.5</v>
      </c>
      <c r="J86" s="181">
        <f t="shared" si="20"/>
        <v>460.5</v>
      </c>
      <c r="K86" s="181">
        <f t="shared" si="20"/>
        <v>490.23885105013517</v>
      </c>
      <c r="L86" s="181">
        <f t="shared" si="20"/>
        <v>466.21064949141868</v>
      </c>
      <c r="M86" s="181">
        <f t="shared" si="20"/>
        <v>476.78101875061333</v>
      </c>
      <c r="N86" s="181">
        <f t="shared" si="20"/>
        <v>487.01256715358863</v>
      </c>
      <c r="O86" s="181">
        <f t="shared" si="20"/>
        <v>498.29095367809538</v>
      </c>
    </row>
    <row r="87" spans="2:15">
      <c r="B87" s="58" t="s">
        <v>75</v>
      </c>
      <c r="C87" s="58" t="s">
        <v>270</v>
      </c>
      <c r="D87" s="300"/>
      <c r="E87" s="181">
        <f t="shared" si="15"/>
        <v>343.5</v>
      </c>
      <c r="F87" s="181">
        <f t="shared" si="16"/>
        <v>324</v>
      </c>
      <c r="G87" s="181">
        <f t="shared" si="17"/>
        <v>285.5</v>
      </c>
      <c r="H87" s="181">
        <f t="shared" si="18"/>
        <v>244</v>
      </c>
      <c r="I87" s="181">
        <f t="shared" si="20"/>
        <v>111</v>
      </c>
      <c r="J87" s="181">
        <f t="shared" si="20"/>
        <v>0</v>
      </c>
      <c r="K87" s="181">
        <f t="shared" si="20"/>
        <v>0</v>
      </c>
      <c r="L87" s="181">
        <f t="shared" si="20"/>
        <v>0</v>
      </c>
      <c r="M87" s="181">
        <f t="shared" si="20"/>
        <v>0</v>
      </c>
      <c r="N87" s="181">
        <f t="shared" si="20"/>
        <v>0</v>
      </c>
      <c r="O87" s="181">
        <f t="shared" si="20"/>
        <v>0</v>
      </c>
    </row>
    <row r="88" spans="2:15">
      <c r="B88" s="58" t="s">
        <v>76</v>
      </c>
      <c r="C88" s="58" t="s">
        <v>270</v>
      </c>
      <c r="D88" s="300"/>
      <c r="E88" s="181">
        <f t="shared" si="15"/>
        <v>1023.5</v>
      </c>
      <c r="F88" s="181">
        <f t="shared" si="16"/>
        <v>995.5</v>
      </c>
      <c r="G88" s="181">
        <f t="shared" si="17"/>
        <v>1024</v>
      </c>
      <c r="H88" s="181">
        <f t="shared" si="18"/>
        <v>1087.5</v>
      </c>
      <c r="I88" s="181">
        <f t="shared" si="20"/>
        <v>1315.5</v>
      </c>
      <c r="J88" s="181">
        <f t="shared" si="20"/>
        <v>1588.5</v>
      </c>
      <c r="K88" s="181">
        <f t="shared" si="20"/>
        <v>1605.5087264558745</v>
      </c>
      <c r="L88" s="181">
        <f t="shared" si="20"/>
        <v>1555.1408702005001</v>
      </c>
      <c r="M88" s="181">
        <f t="shared" si="20"/>
        <v>1590.4004964360161</v>
      </c>
      <c r="N88" s="181">
        <f t="shared" si="20"/>
        <v>1624.5299164830681</v>
      </c>
      <c r="O88" s="181">
        <f t="shared" si="20"/>
        <v>1662.151278957976</v>
      </c>
    </row>
    <row r="89" spans="2:15">
      <c r="B89" s="58" t="s">
        <v>77</v>
      </c>
      <c r="C89" s="58" t="s">
        <v>273</v>
      </c>
      <c r="D89" s="300"/>
      <c r="E89" s="181">
        <f t="shared" si="15"/>
        <v>0</v>
      </c>
      <c r="F89" s="181">
        <f t="shared" si="16"/>
        <v>0.5</v>
      </c>
      <c r="G89" s="181">
        <f t="shared" si="17"/>
        <v>1</v>
      </c>
      <c r="H89" s="181">
        <f t="shared" si="18"/>
        <v>2</v>
      </c>
      <c r="I89" s="181">
        <f t="shared" si="20"/>
        <v>3.5</v>
      </c>
      <c r="J89" s="181">
        <f t="shared" si="20"/>
        <v>24</v>
      </c>
      <c r="K89" s="181">
        <f t="shared" si="20"/>
        <v>25.009806096895925</v>
      </c>
      <c r="L89" s="181">
        <f t="shared" si="20"/>
        <v>6.0945563656045616</v>
      </c>
      <c r="M89" s="181">
        <f t="shared" si="20"/>
        <v>6.2327379179257969</v>
      </c>
      <c r="N89" s="181">
        <f t="shared" si="20"/>
        <v>6.3664902217767878</v>
      </c>
      <c r="O89" s="181">
        <f t="shared" si="20"/>
        <v>6.5139273566034284</v>
      </c>
    </row>
    <row r="90" spans="2:15">
      <c r="B90" s="58" t="s">
        <v>78</v>
      </c>
      <c r="C90" s="58" t="s">
        <v>271</v>
      </c>
      <c r="D90" s="300"/>
      <c r="E90" s="181">
        <f t="shared" si="15"/>
        <v>397</v>
      </c>
      <c r="F90" s="181">
        <f t="shared" si="16"/>
        <v>392</v>
      </c>
      <c r="G90" s="181">
        <f t="shared" si="17"/>
        <v>390</v>
      </c>
      <c r="H90" s="181">
        <f t="shared" si="18"/>
        <v>388</v>
      </c>
      <c r="I90" s="181">
        <f t="shared" si="20"/>
        <v>382</v>
      </c>
      <c r="J90" s="181">
        <f t="shared" si="20"/>
        <v>374</v>
      </c>
      <c r="K90" s="181">
        <f t="shared" si="20"/>
        <v>373.61288105599544</v>
      </c>
      <c r="L90" s="181">
        <f t="shared" si="20"/>
        <v>380.90977285028509</v>
      </c>
      <c r="M90" s="181">
        <f t="shared" si="20"/>
        <v>389.5461198703623</v>
      </c>
      <c r="N90" s="181">
        <f t="shared" si="20"/>
        <v>397.90563886104923</v>
      </c>
      <c r="O90" s="181">
        <f t="shared" si="20"/>
        <v>407.1204597877142</v>
      </c>
    </row>
    <row r="91" spans="2:15">
      <c r="B91" s="58" t="s">
        <v>79</v>
      </c>
      <c r="C91" s="58" t="s">
        <v>272</v>
      </c>
      <c r="D91" s="300"/>
      <c r="E91" s="181">
        <f t="shared" si="15"/>
        <v>1</v>
      </c>
      <c r="F91" s="181">
        <f t="shared" si="16"/>
        <v>1</v>
      </c>
      <c r="G91" s="181">
        <f t="shared" si="17"/>
        <v>0.5</v>
      </c>
      <c r="H91" s="181">
        <f t="shared" si="18"/>
        <v>0</v>
      </c>
      <c r="I91" s="181">
        <f t="shared" ref="I91" si="21">AVERAGE(H40:I40)</f>
        <v>0</v>
      </c>
      <c r="J91" s="181">
        <f t="shared" ref="J91:O91" si="22">AVERAGE(I40:J40)</f>
        <v>0.5</v>
      </c>
      <c r="K91" s="181">
        <f t="shared" si="22"/>
        <v>1</v>
      </c>
      <c r="L91" s="181">
        <f t="shared" si="22"/>
        <v>1</v>
      </c>
      <c r="M91" s="181">
        <f t="shared" si="22"/>
        <v>1</v>
      </c>
      <c r="N91" s="181">
        <f t="shared" si="22"/>
        <v>1</v>
      </c>
      <c r="O91" s="181">
        <f t="shared" si="22"/>
        <v>1</v>
      </c>
    </row>
    <row r="92" spans="2:15">
      <c r="B92" s="58"/>
      <c r="C92" s="58"/>
      <c r="D92" s="300"/>
      <c r="E92" s="181"/>
      <c r="F92" s="181"/>
      <c r="G92" s="181"/>
      <c r="H92" s="181"/>
      <c r="I92" s="181"/>
      <c r="J92" s="181"/>
      <c r="K92" s="181"/>
      <c r="L92" s="181"/>
      <c r="M92" s="181"/>
      <c r="N92" s="181"/>
      <c r="O92" s="181"/>
    </row>
    <row r="93" spans="2:15">
      <c r="B93" s="60" t="s">
        <v>80</v>
      </c>
      <c r="C93" s="60"/>
      <c r="D93" s="301"/>
      <c r="E93" s="183">
        <f t="shared" ref="E93:H93" si="23">SUM(E74:E91)</f>
        <v>852447</v>
      </c>
      <c r="F93" s="183">
        <f t="shared" si="23"/>
        <v>858751</v>
      </c>
      <c r="G93" s="183">
        <f t="shared" si="23"/>
        <v>867306.5</v>
      </c>
      <c r="H93" s="183">
        <f t="shared" si="23"/>
        <v>875859.5</v>
      </c>
      <c r="I93" s="183">
        <f t="shared" ref="I93" si="24">SUM(I74:I91)</f>
        <v>891081.5</v>
      </c>
      <c r="J93" s="183">
        <f t="shared" ref="J93:O93" si="25">SUM(J74:J91)</f>
        <v>910093.5</v>
      </c>
      <c r="K93" s="183">
        <f t="shared" si="25"/>
        <v>922513.67230975779</v>
      </c>
      <c r="L93" s="183">
        <f t="shared" si="25"/>
        <v>933784.78425467131</v>
      </c>
      <c r="M93" s="183">
        <f t="shared" si="25"/>
        <v>945359.43245648465</v>
      </c>
      <c r="N93" s="183">
        <f t="shared" si="25"/>
        <v>957561.87859127403</v>
      </c>
      <c r="O93" s="183">
        <f t="shared" si="25"/>
        <v>971461.31626329257</v>
      </c>
    </row>
    <row r="94" spans="2:15">
      <c r="B94" s="58"/>
      <c r="C94" s="58"/>
      <c r="D94" s="300"/>
      <c r="E94" s="181"/>
      <c r="F94" s="181"/>
      <c r="G94" s="181"/>
      <c r="H94" s="181"/>
      <c r="I94" s="181"/>
      <c r="J94" s="181"/>
      <c r="K94" s="181"/>
      <c r="L94" s="181"/>
      <c r="M94" s="181"/>
      <c r="N94" s="181"/>
      <c r="O94" s="181"/>
    </row>
    <row r="95" spans="2:15">
      <c r="B95" s="62" t="s">
        <v>81</v>
      </c>
      <c r="C95" s="62"/>
      <c r="D95" s="302"/>
      <c r="E95" s="181"/>
      <c r="F95" s="181"/>
      <c r="G95" s="181"/>
      <c r="H95" s="181"/>
      <c r="I95" s="181"/>
      <c r="J95" s="181"/>
      <c r="K95" s="181"/>
      <c r="L95" s="181"/>
      <c r="M95" s="181"/>
      <c r="N95" s="181"/>
      <c r="O95" s="181"/>
    </row>
    <row r="96" spans="2:15">
      <c r="B96" s="58" t="s">
        <v>82</v>
      </c>
      <c r="C96" s="58" t="s">
        <v>105</v>
      </c>
      <c r="D96" s="300"/>
      <c r="E96" s="181">
        <f t="shared" ref="E96:E99" si="26">AVERAGE(D45:E45)</f>
        <v>147262.5</v>
      </c>
      <c r="F96" s="181">
        <f t="shared" ref="F96:F99" si="27">AVERAGE(E45:F45)</f>
        <v>134787</v>
      </c>
      <c r="G96" s="181">
        <f t="shared" ref="G96:G99" si="28">AVERAGE(F45:G45)</f>
        <v>123244.5</v>
      </c>
      <c r="H96" s="181">
        <f t="shared" ref="H96:H99" si="29">AVERAGE(G45:H45)</f>
        <v>108794</v>
      </c>
      <c r="I96" s="181">
        <f t="shared" ref="I96" si="30">AVERAGE(H45:I45)</f>
        <v>49911</v>
      </c>
      <c r="J96" s="181">
        <f t="shared" ref="J96:O99" si="31">AVERAGE(I45:J45)</f>
        <v>0</v>
      </c>
      <c r="K96" s="181">
        <f t="shared" si="31"/>
        <v>0</v>
      </c>
      <c r="L96" s="181">
        <f t="shared" si="31"/>
        <v>0</v>
      </c>
      <c r="M96" s="181">
        <f t="shared" si="31"/>
        <v>0</v>
      </c>
      <c r="N96" s="181">
        <f t="shared" si="31"/>
        <v>0</v>
      </c>
      <c r="O96" s="181">
        <f t="shared" si="31"/>
        <v>0</v>
      </c>
    </row>
    <row r="97" spans="2:15">
      <c r="B97" s="58" t="s">
        <v>83</v>
      </c>
      <c r="C97" s="58" t="s">
        <v>105</v>
      </c>
      <c r="D97" s="300"/>
      <c r="E97" s="181">
        <f t="shared" si="26"/>
        <v>96240</v>
      </c>
      <c r="F97" s="181">
        <f t="shared" si="27"/>
        <v>107232</v>
      </c>
      <c r="G97" s="181">
        <f t="shared" si="28"/>
        <v>116182</v>
      </c>
      <c r="H97" s="181">
        <f t="shared" si="29"/>
        <v>128258.5</v>
      </c>
      <c r="I97" s="181">
        <f t="shared" ref="I97" si="32">AVERAGE(H46:I46)</f>
        <v>188027.5</v>
      </c>
      <c r="J97" s="181">
        <f t="shared" si="31"/>
        <v>239291</v>
      </c>
      <c r="K97" s="181">
        <f t="shared" si="31"/>
        <v>235616.16886901681</v>
      </c>
      <c r="L97" s="181">
        <f t="shared" si="31"/>
        <v>230105.57969839135</v>
      </c>
      <c r="M97" s="181">
        <f t="shared" si="31"/>
        <v>225735.66344216157</v>
      </c>
      <c r="N97" s="181">
        <f t="shared" si="31"/>
        <v>220997.49466809275</v>
      </c>
      <c r="O97" s="181">
        <f t="shared" si="31"/>
        <v>215807.74055922878</v>
      </c>
    </row>
    <row r="98" spans="2:15">
      <c r="B98" s="58" t="s">
        <v>84</v>
      </c>
      <c r="C98" s="58" t="s">
        <v>105</v>
      </c>
      <c r="D98" s="300"/>
      <c r="E98" s="181">
        <f t="shared" si="26"/>
        <v>51820.5</v>
      </c>
      <c r="F98" s="181">
        <f t="shared" si="27"/>
        <v>50350.5</v>
      </c>
      <c r="G98" s="181">
        <f t="shared" si="28"/>
        <v>47697.5</v>
      </c>
      <c r="H98" s="181">
        <f t="shared" si="29"/>
        <v>42309</v>
      </c>
      <c r="I98" s="181">
        <f t="shared" ref="I98" si="33">AVERAGE(H47:I47)</f>
        <v>19341.5</v>
      </c>
      <c r="J98" s="181">
        <f t="shared" si="31"/>
        <v>0.5</v>
      </c>
      <c r="K98" s="181">
        <f t="shared" si="31"/>
        <v>0</v>
      </c>
      <c r="L98" s="181">
        <f t="shared" si="31"/>
        <v>0</v>
      </c>
      <c r="M98" s="181">
        <f t="shared" si="31"/>
        <v>0</v>
      </c>
      <c r="N98" s="181">
        <f t="shared" si="31"/>
        <v>0</v>
      </c>
      <c r="O98" s="181">
        <f t="shared" si="31"/>
        <v>0</v>
      </c>
    </row>
    <row r="99" spans="2:15">
      <c r="B99" s="58" t="s">
        <v>85</v>
      </c>
      <c r="C99" s="58" t="s">
        <v>105</v>
      </c>
      <c r="D99" s="300"/>
      <c r="E99" s="181">
        <f t="shared" si="26"/>
        <v>48485.5</v>
      </c>
      <c r="F99" s="181">
        <f t="shared" si="27"/>
        <v>51413.5</v>
      </c>
      <c r="G99" s="181">
        <f t="shared" si="28"/>
        <v>55300.5</v>
      </c>
      <c r="H99" s="181">
        <f t="shared" si="29"/>
        <v>60489.5</v>
      </c>
      <c r="I99" s="181">
        <f t="shared" ref="I99" si="34">AVERAGE(H48:I48)</f>
        <v>83690</v>
      </c>
      <c r="J99" s="181">
        <f t="shared" si="31"/>
        <v>103541.5</v>
      </c>
      <c r="K99" s="181">
        <f t="shared" si="31"/>
        <v>102109.45094348319</v>
      </c>
      <c r="L99" s="181">
        <f t="shared" si="31"/>
        <v>99749.007769983698</v>
      </c>
      <c r="M99" s="181">
        <f t="shared" si="31"/>
        <v>97854.682516470988</v>
      </c>
      <c r="N99" s="181">
        <f t="shared" si="31"/>
        <v>95800.722614761631</v>
      </c>
      <c r="O99" s="181">
        <f t="shared" si="31"/>
        <v>93551.003926462508</v>
      </c>
    </row>
    <row r="100" spans="2:15">
      <c r="B100" s="58"/>
      <c r="C100" s="58"/>
      <c r="D100" s="300"/>
      <c r="E100" s="181"/>
      <c r="F100" s="181"/>
      <c r="G100" s="181"/>
      <c r="H100" s="181"/>
      <c r="I100" s="181"/>
      <c r="J100" s="181"/>
      <c r="K100" s="181"/>
      <c r="L100" s="181"/>
      <c r="M100" s="181"/>
      <c r="N100" s="181"/>
      <c r="O100" s="181"/>
    </row>
    <row r="101" spans="2:15">
      <c r="B101" s="60" t="s">
        <v>86</v>
      </c>
      <c r="C101" s="60"/>
      <c r="D101" s="301"/>
      <c r="E101" s="183">
        <f t="shared" ref="E101:H101" si="35">SUM(E96:E99)</f>
        <v>343808.5</v>
      </c>
      <c r="F101" s="183">
        <f t="shared" si="35"/>
        <v>343783</v>
      </c>
      <c r="G101" s="183">
        <f t="shared" si="35"/>
        <v>342424.5</v>
      </c>
      <c r="H101" s="183">
        <f t="shared" si="35"/>
        <v>339851</v>
      </c>
      <c r="I101" s="183">
        <f t="shared" ref="I101" si="36">SUM(I96:I99)</f>
        <v>340970</v>
      </c>
      <c r="J101" s="183">
        <f t="shared" ref="J101:O101" si="37">SUM(J96:J99)</f>
        <v>342833</v>
      </c>
      <c r="K101" s="183">
        <f t="shared" si="37"/>
        <v>337725.61981249996</v>
      </c>
      <c r="L101" s="183">
        <f t="shared" si="37"/>
        <v>329854.58746837504</v>
      </c>
      <c r="M101" s="183">
        <f t="shared" si="37"/>
        <v>323590.34595863253</v>
      </c>
      <c r="N101" s="183">
        <f t="shared" si="37"/>
        <v>316798.21728285437</v>
      </c>
      <c r="O101" s="183">
        <f t="shared" si="37"/>
        <v>309358.74448569131</v>
      </c>
    </row>
    <row r="102" spans="2:15">
      <c r="B102" s="58"/>
      <c r="C102" s="58"/>
      <c r="D102" s="300"/>
      <c r="E102" s="181"/>
      <c r="F102" s="181"/>
      <c r="G102" s="181"/>
      <c r="H102" s="181"/>
      <c r="I102" s="181"/>
      <c r="J102" s="181"/>
      <c r="K102" s="181"/>
      <c r="L102" s="181"/>
      <c r="M102" s="181"/>
      <c r="N102" s="181"/>
      <c r="O102" s="181"/>
    </row>
    <row r="103" spans="2:15">
      <c r="B103" s="62" t="s">
        <v>87</v>
      </c>
      <c r="C103" s="62"/>
      <c r="D103" s="302"/>
      <c r="E103" s="181"/>
      <c r="F103" s="181"/>
      <c r="G103" s="181"/>
      <c r="H103" s="181"/>
      <c r="I103" s="181"/>
      <c r="J103" s="181"/>
      <c r="K103" s="181"/>
      <c r="L103" s="181"/>
      <c r="M103" s="181"/>
      <c r="N103" s="181"/>
      <c r="O103" s="181"/>
    </row>
    <row r="104" spans="2:15">
      <c r="B104" s="63" t="s">
        <v>88</v>
      </c>
      <c r="C104" s="63" t="s">
        <v>173</v>
      </c>
      <c r="D104" s="300"/>
      <c r="E104" s="181">
        <f t="shared" ref="E104:E110" si="38">AVERAGE(D54:E54)</f>
        <v>0</v>
      </c>
      <c r="F104" s="181">
        <f t="shared" ref="F104:F110" si="39">AVERAGE(E54:F54)</f>
        <v>2880.5</v>
      </c>
      <c r="G104" s="181">
        <f t="shared" ref="G104:G110" si="40">AVERAGE(F54:G54)</f>
        <v>19948.5</v>
      </c>
      <c r="H104" s="181">
        <f t="shared" ref="H104:H110" si="41">AVERAGE(G54:H54)</f>
        <v>35174.5</v>
      </c>
      <c r="I104" s="181">
        <f t="shared" ref="I104" si="42">AVERAGE(H54:I54)</f>
        <v>36149</v>
      </c>
      <c r="J104" s="181">
        <f t="shared" ref="J104:O110" si="43">AVERAGE(I54:J54)</f>
        <v>35979.5</v>
      </c>
      <c r="K104" s="181">
        <f t="shared" si="43"/>
        <v>35943</v>
      </c>
      <c r="L104" s="181">
        <f t="shared" si="43"/>
        <v>36012</v>
      </c>
      <c r="M104" s="181">
        <f t="shared" si="43"/>
        <v>18006</v>
      </c>
      <c r="N104" s="181">
        <f t="shared" si="43"/>
        <v>0</v>
      </c>
      <c r="O104" s="181">
        <f t="shared" si="43"/>
        <v>0</v>
      </c>
    </row>
    <row r="105" spans="2:15">
      <c r="B105" s="63" t="s">
        <v>89</v>
      </c>
      <c r="C105" s="63" t="s">
        <v>173</v>
      </c>
      <c r="D105" s="300"/>
      <c r="E105" s="181">
        <f t="shared" si="38"/>
        <v>0</v>
      </c>
      <c r="F105" s="181">
        <f t="shared" si="39"/>
        <v>0</v>
      </c>
      <c r="G105" s="181">
        <f t="shared" si="40"/>
        <v>1417.5</v>
      </c>
      <c r="H105" s="181">
        <f t="shared" si="41"/>
        <v>4841</v>
      </c>
      <c r="I105" s="181">
        <f t="shared" ref="I105" si="44">AVERAGE(H55:I55)</f>
        <v>6968</v>
      </c>
      <c r="J105" s="181">
        <f t="shared" si="43"/>
        <v>7157</v>
      </c>
      <c r="K105" s="181">
        <f t="shared" si="43"/>
        <v>7184</v>
      </c>
      <c r="L105" s="181">
        <f t="shared" si="43"/>
        <v>7143</v>
      </c>
      <c r="M105" s="181">
        <f t="shared" si="43"/>
        <v>3571.5</v>
      </c>
      <c r="N105" s="181">
        <f t="shared" si="43"/>
        <v>0</v>
      </c>
      <c r="O105" s="181">
        <f t="shared" si="43"/>
        <v>0</v>
      </c>
    </row>
    <row r="106" spans="2:15">
      <c r="B106" s="63" t="s">
        <v>90</v>
      </c>
      <c r="C106" s="63" t="s">
        <v>173</v>
      </c>
      <c r="D106" s="300"/>
      <c r="E106" s="181">
        <f t="shared" si="38"/>
        <v>0</v>
      </c>
      <c r="F106" s="181">
        <f t="shared" si="39"/>
        <v>0</v>
      </c>
      <c r="G106" s="181">
        <f t="shared" si="40"/>
        <v>0.5</v>
      </c>
      <c r="H106" s="181">
        <f t="shared" si="41"/>
        <v>5.5</v>
      </c>
      <c r="I106" s="181">
        <f t="shared" ref="I106" si="45">AVERAGE(H56:I56)</f>
        <v>11.5</v>
      </c>
      <c r="J106" s="181">
        <f t="shared" si="43"/>
        <v>15.5</v>
      </c>
      <c r="K106" s="181">
        <f t="shared" si="43"/>
        <v>17.5</v>
      </c>
      <c r="L106" s="181">
        <f t="shared" si="43"/>
        <v>17</v>
      </c>
      <c r="M106" s="181">
        <f t="shared" si="43"/>
        <v>8.5</v>
      </c>
      <c r="N106" s="181">
        <f t="shared" si="43"/>
        <v>0</v>
      </c>
      <c r="O106" s="181">
        <f t="shared" si="43"/>
        <v>0</v>
      </c>
    </row>
    <row r="107" spans="2:15">
      <c r="B107" s="63" t="s">
        <v>91</v>
      </c>
      <c r="C107" s="63" t="s">
        <v>173</v>
      </c>
      <c r="D107" s="300"/>
      <c r="E107" s="181">
        <f t="shared" si="38"/>
        <v>0</v>
      </c>
      <c r="F107" s="181">
        <f t="shared" si="39"/>
        <v>0</v>
      </c>
      <c r="G107" s="181">
        <f t="shared" si="40"/>
        <v>0</v>
      </c>
      <c r="H107" s="181">
        <f t="shared" si="41"/>
        <v>83</v>
      </c>
      <c r="I107" s="181">
        <f t="shared" ref="I107" si="46">AVERAGE(H57:I57)</f>
        <v>234.5</v>
      </c>
      <c r="J107" s="181">
        <f t="shared" si="43"/>
        <v>306</v>
      </c>
      <c r="K107" s="181">
        <f t="shared" si="43"/>
        <v>307.5</v>
      </c>
      <c r="L107" s="181">
        <f t="shared" si="43"/>
        <v>306</v>
      </c>
      <c r="M107" s="181">
        <f t="shared" si="43"/>
        <v>153</v>
      </c>
      <c r="N107" s="181">
        <f t="shared" si="43"/>
        <v>0</v>
      </c>
      <c r="O107" s="181">
        <f t="shared" si="43"/>
        <v>0</v>
      </c>
    </row>
    <row r="108" spans="2:15">
      <c r="B108" s="63" t="s">
        <v>92</v>
      </c>
      <c r="C108" s="63" t="s">
        <v>173</v>
      </c>
      <c r="D108" s="300"/>
      <c r="E108" s="181">
        <f t="shared" si="38"/>
        <v>0</v>
      </c>
      <c r="F108" s="181">
        <f t="shared" si="39"/>
        <v>0</v>
      </c>
      <c r="G108" s="181">
        <f t="shared" si="40"/>
        <v>0</v>
      </c>
      <c r="H108" s="181">
        <f t="shared" si="41"/>
        <v>27.5</v>
      </c>
      <c r="I108" s="181">
        <f t="shared" ref="I108" si="47">AVERAGE(H58:I58)</f>
        <v>58.5</v>
      </c>
      <c r="J108" s="181">
        <f t="shared" si="43"/>
        <v>61</v>
      </c>
      <c r="K108" s="181">
        <f t="shared" si="43"/>
        <v>59.5</v>
      </c>
      <c r="L108" s="181">
        <f t="shared" si="43"/>
        <v>59</v>
      </c>
      <c r="M108" s="181">
        <f t="shared" si="43"/>
        <v>59</v>
      </c>
      <c r="N108" s="181">
        <f t="shared" si="43"/>
        <v>59</v>
      </c>
      <c r="O108" s="181">
        <f t="shared" si="43"/>
        <v>59</v>
      </c>
    </row>
    <row r="109" spans="2:15">
      <c r="B109" s="63" t="s">
        <v>93</v>
      </c>
      <c r="C109" s="63" t="s">
        <v>173</v>
      </c>
      <c r="D109" s="300"/>
      <c r="E109" s="181">
        <f t="shared" si="38"/>
        <v>0</v>
      </c>
      <c r="F109" s="181">
        <f t="shared" si="39"/>
        <v>0</v>
      </c>
      <c r="G109" s="181">
        <f t="shared" si="40"/>
        <v>0</v>
      </c>
      <c r="H109" s="181">
        <f t="shared" si="41"/>
        <v>2602.5</v>
      </c>
      <c r="I109" s="181">
        <f t="shared" ref="I109" si="48">AVERAGE(H59:I59)</f>
        <v>9491.5</v>
      </c>
      <c r="J109" s="181">
        <f t="shared" si="43"/>
        <v>15878</v>
      </c>
      <c r="K109" s="181">
        <f t="shared" si="43"/>
        <v>18729.5</v>
      </c>
      <c r="L109" s="181">
        <f t="shared" si="43"/>
        <v>21581</v>
      </c>
      <c r="M109" s="181">
        <f t="shared" si="43"/>
        <v>47520</v>
      </c>
      <c r="N109" s="181">
        <f t="shared" si="43"/>
        <v>73459</v>
      </c>
      <c r="O109" s="181">
        <f t="shared" si="43"/>
        <v>77659</v>
      </c>
    </row>
    <row r="110" spans="2:15">
      <c r="B110" s="63" t="s">
        <v>94</v>
      </c>
      <c r="C110" s="63" t="s">
        <v>173</v>
      </c>
      <c r="D110" s="300"/>
      <c r="E110" s="181">
        <f t="shared" si="38"/>
        <v>223</v>
      </c>
      <c r="F110" s="181">
        <f t="shared" si="39"/>
        <v>191.5</v>
      </c>
      <c r="G110" s="181">
        <f t="shared" si="40"/>
        <v>14.5</v>
      </c>
      <c r="H110" s="181">
        <f t="shared" si="41"/>
        <v>1684.5</v>
      </c>
      <c r="I110" s="181">
        <f t="shared" ref="I110" si="49">AVERAGE(H60:I60)</f>
        <v>3311</v>
      </c>
      <c r="J110" s="181">
        <f t="shared" si="43"/>
        <v>3260</v>
      </c>
      <c r="K110" s="181">
        <f t="shared" si="43"/>
        <v>3256.5</v>
      </c>
      <c r="L110" s="181">
        <f t="shared" si="43"/>
        <v>3262</v>
      </c>
      <c r="M110" s="181">
        <f t="shared" si="43"/>
        <v>3262</v>
      </c>
      <c r="N110" s="181">
        <f t="shared" si="43"/>
        <v>3262</v>
      </c>
      <c r="O110" s="181">
        <f t="shared" si="43"/>
        <v>3262</v>
      </c>
    </row>
    <row r="111" spans="2:15">
      <c r="D111" s="79"/>
      <c r="E111" s="186"/>
      <c r="F111" s="186"/>
      <c r="G111" s="186"/>
      <c r="H111" s="186"/>
      <c r="I111" s="186"/>
      <c r="J111" s="186"/>
      <c r="K111" s="186"/>
      <c r="L111" s="186"/>
      <c r="M111" s="186"/>
      <c r="N111" s="186"/>
      <c r="O111" s="186"/>
    </row>
    <row r="112" spans="2:15">
      <c r="B112" s="60" t="s">
        <v>95</v>
      </c>
      <c r="C112" s="60"/>
      <c r="D112" s="301"/>
      <c r="E112" s="183">
        <f t="shared" ref="E112:H112" si="50">SUM(E104:E110)</f>
        <v>223</v>
      </c>
      <c r="F112" s="183">
        <f t="shared" si="50"/>
        <v>3072</v>
      </c>
      <c r="G112" s="183">
        <f t="shared" si="50"/>
        <v>21381</v>
      </c>
      <c r="H112" s="183">
        <f t="shared" si="50"/>
        <v>44418.5</v>
      </c>
      <c r="I112" s="183">
        <f t="shared" ref="I112" si="51">SUM(I104:I110)</f>
        <v>56224</v>
      </c>
      <c r="J112" s="183">
        <f t="shared" ref="J112:O112" si="52">SUM(J104:J110)</f>
        <v>62657</v>
      </c>
      <c r="K112" s="183">
        <f t="shared" si="52"/>
        <v>65497.5</v>
      </c>
      <c r="L112" s="183">
        <f t="shared" si="52"/>
        <v>68380</v>
      </c>
      <c r="M112" s="183">
        <f t="shared" si="52"/>
        <v>72580</v>
      </c>
      <c r="N112" s="183">
        <f t="shared" si="52"/>
        <v>76780</v>
      </c>
      <c r="O112" s="183">
        <f t="shared" si="52"/>
        <v>80980</v>
      </c>
    </row>
    <row r="113" spans="2:15">
      <c r="B113" s="58"/>
      <c r="C113" s="58"/>
      <c r="D113" s="300"/>
      <c r="E113" s="181"/>
      <c r="F113" s="181"/>
      <c r="G113" s="181"/>
      <c r="H113" s="181"/>
      <c r="I113" s="181"/>
      <c r="J113" s="181"/>
      <c r="K113" s="181"/>
      <c r="L113" s="181"/>
      <c r="M113" s="181"/>
      <c r="N113" s="181"/>
      <c r="O113" s="181"/>
    </row>
    <row r="114" spans="2:15">
      <c r="B114" s="65" t="s">
        <v>96</v>
      </c>
      <c r="C114" s="65"/>
      <c r="D114" s="303"/>
      <c r="E114" s="187">
        <f t="shared" ref="E114:H114" si="53">SUM(E112,E101,E93)</f>
        <v>1196478.5</v>
      </c>
      <c r="F114" s="187">
        <f t="shared" si="53"/>
        <v>1205606</v>
      </c>
      <c r="G114" s="187">
        <f t="shared" si="53"/>
        <v>1231112</v>
      </c>
      <c r="H114" s="187">
        <f t="shared" si="53"/>
        <v>1260129</v>
      </c>
      <c r="I114" s="187">
        <f>SUM(I112,I101,I93)</f>
        <v>1288275.5</v>
      </c>
      <c r="J114" s="187">
        <f>SUM(J112,J101,J93)</f>
        <v>1315583.5</v>
      </c>
      <c r="K114" s="187">
        <f t="shared" ref="K114:O114" si="54">SUM(K112,K101,K93)</f>
        <v>1325736.7921222579</v>
      </c>
      <c r="L114" s="187">
        <f t="shared" si="54"/>
        <v>1332019.3717230463</v>
      </c>
      <c r="M114" s="187">
        <f t="shared" si="54"/>
        <v>1341529.7784151172</v>
      </c>
      <c r="N114" s="187">
        <f t="shared" si="54"/>
        <v>1351140.0958741284</v>
      </c>
      <c r="O114" s="187">
        <f t="shared" si="54"/>
        <v>1361800.0607489839</v>
      </c>
    </row>
    <row r="115" spans="2:15">
      <c r="B115" s="51" t="s">
        <v>97</v>
      </c>
      <c r="D115" s="79"/>
      <c r="E115" s="186">
        <f t="shared" ref="E115:H115" si="55">-SUM(E112,E101)</f>
        <v>-344031.5</v>
      </c>
      <c r="F115" s="186">
        <f t="shared" si="55"/>
        <v>-346855</v>
      </c>
      <c r="G115" s="186">
        <f t="shared" si="55"/>
        <v>-363805.5</v>
      </c>
      <c r="H115" s="186">
        <f t="shared" si="55"/>
        <v>-384269.5</v>
      </c>
      <c r="I115" s="186">
        <f>-SUM(I112,I101)</f>
        <v>-397194</v>
      </c>
      <c r="J115" s="186">
        <f>-SUM(J112,J101)</f>
        <v>-405490</v>
      </c>
      <c r="K115" s="186">
        <f t="shared" ref="K115:O115" si="56">-SUM(K112,K101)</f>
        <v>-403223.11981249996</v>
      </c>
      <c r="L115" s="186">
        <f t="shared" si="56"/>
        <v>-398234.58746837504</v>
      </c>
      <c r="M115" s="186">
        <f t="shared" si="56"/>
        <v>-396170.34595863253</v>
      </c>
      <c r="N115" s="186">
        <f t="shared" si="56"/>
        <v>-393578.21728285437</v>
      </c>
      <c r="O115" s="186">
        <f t="shared" si="56"/>
        <v>-390338.74448569131</v>
      </c>
    </row>
    <row r="116" spans="2:15" ht="13.5" thickBot="1">
      <c r="B116" s="66" t="s">
        <v>98</v>
      </c>
      <c r="C116" s="66"/>
      <c r="D116" s="304"/>
      <c r="E116" s="188">
        <f t="shared" ref="E116:H116" si="57">SUM(E114:E115)</f>
        <v>852447</v>
      </c>
      <c r="F116" s="188">
        <f t="shared" si="57"/>
        <v>858751</v>
      </c>
      <c r="G116" s="188">
        <f t="shared" si="57"/>
        <v>867306.5</v>
      </c>
      <c r="H116" s="188">
        <f t="shared" si="57"/>
        <v>875859.5</v>
      </c>
      <c r="I116" s="188">
        <f t="shared" ref="I116" si="58">SUM(I114:I115)</f>
        <v>891081.5</v>
      </c>
      <c r="J116" s="188">
        <f t="shared" ref="J116:O116" si="59">SUM(J114:J115)</f>
        <v>910093.5</v>
      </c>
      <c r="K116" s="188">
        <f t="shared" si="59"/>
        <v>922513.67230975791</v>
      </c>
      <c r="L116" s="188">
        <f t="shared" si="59"/>
        <v>933784.78425467131</v>
      </c>
      <c r="M116" s="188">
        <f t="shared" si="59"/>
        <v>945359.43245648465</v>
      </c>
      <c r="N116" s="188">
        <f t="shared" si="59"/>
        <v>957561.87859127403</v>
      </c>
      <c r="O116" s="188">
        <f t="shared" si="59"/>
        <v>971461.31626329257</v>
      </c>
    </row>
    <row r="118" spans="2:15">
      <c r="B118" s="55" t="s">
        <v>479</v>
      </c>
      <c r="C118" s="55"/>
      <c r="D118" s="55"/>
      <c r="E118" s="55"/>
      <c r="F118" s="55"/>
      <c r="G118" s="55"/>
      <c r="H118" s="56"/>
      <c r="I118" s="56"/>
      <c r="J118" s="56"/>
      <c r="K118" s="56"/>
      <c r="L118" s="56"/>
      <c r="M118" s="56"/>
      <c r="N118" s="56"/>
      <c r="O118" s="56"/>
    </row>
    <row r="119" spans="2:15" s="50" customFormat="1">
      <c r="B119" s="74"/>
      <c r="C119" s="74"/>
      <c r="D119" s="74"/>
      <c r="E119" s="74"/>
      <c r="F119" s="74"/>
      <c r="G119" s="74"/>
      <c r="H119" s="75"/>
      <c r="I119" s="75"/>
      <c r="J119" s="75"/>
      <c r="K119" s="75"/>
      <c r="L119" s="75"/>
      <c r="M119" s="75"/>
      <c r="N119" s="75"/>
      <c r="O119" s="75"/>
    </row>
    <row r="120" spans="2:15" s="50" customFormat="1">
      <c r="B120" s="78" t="s">
        <v>174</v>
      </c>
      <c r="C120" s="76"/>
      <c r="D120" s="76"/>
      <c r="E120" s="76"/>
      <c r="F120" s="76"/>
      <c r="G120" s="76"/>
      <c r="H120" s="77"/>
      <c r="I120" s="77"/>
      <c r="J120" s="77"/>
      <c r="K120" s="77"/>
      <c r="L120" s="77"/>
      <c r="M120" s="77"/>
      <c r="N120" s="77"/>
      <c r="O120" s="77"/>
    </row>
    <row r="121" spans="2:15">
      <c r="B121" s="57" t="s">
        <v>61</v>
      </c>
      <c r="C121" s="57"/>
      <c r="D121" s="57"/>
      <c r="E121" s="57"/>
      <c r="F121" s="57"/>
      <c r="G121" s="57"/>
      <c r="H121" s="54"/>
      <c r="I121" s="54"/>
      <c r="J121" s="54"/>
      <c r="K121" s="54"/>
      <c r="L121" s="54"/>
      <c r="M121" s="54"/>
      <c r="N121" s="54"/>
      <c r="O121" s="54"/>
    </row>
    <row r="122" spans="2:15">
      <c r="B122" s="58" t="s">
        <v>62</v>
      </c>
      <c r="C122" s="58"/>
      <c r="D122" s="59">
        <v>1</v>
      </c>
      <c r="E122" s="59">
        <v>1</v>
      </c>
      <c r="F122" s="59">
        <v>1</v>
      </c>
      <c r="G122" s="59">
        <v>1</v>
      </c>
      <c r="H122" s="59">
        <v>1</v>
      </c>
      <c r="I122" s="59">
        <v>1</v>
      </c>
      <c r="J122" s="59">
        <v>1</v>
      </c>
      <c r="K122" s="59">
        <v>1</v>
      </c>
      <c r="L122" s="59">
        <v>1</v>
      </c>
      <c r="M122" s="59">
        <v>1</v>
      </c>
      <c r="N122" s="59">
        <v>1</v>
      </c>
      <c r="O122" s="59">
        <v>1</v>
      </c>
    </row>
    <row r="123" spans="2:15">
      <c r="B123" s="58" t="s">
        <v>63</v>
      </c>
      <c r="C123" s="58"/>
      <c r="D123" s="59">
        <v>1</v>
      </c>
      <c r="E123" s="59">
        <v>1</v>
      </c>
      <c r="F123" s="59">
        <v>1</v>
      </c>
      <c r="G123" s="59">
        <v>1</v>
      </c>
      <c r="H123" s="59">
        <v>1</v>
      </c>
      <c r="I123" s="59">
        <v>1</v>
      </c>
      <c r="J123" s="59">
        <v>1</v>
      </c>
      <c r="K123" s="59">
        <v>1</v>
      </c>
      <c r="L123" s="59">
        <v>1</v>
      </c>
      <c r="M123" s="59">
        <v>1</v>
      </c>
      <c r="N123" s="59">
        <v>1</v>
      </c>
      <c r="O123" s="59">
        <v>1</v>
      </c>
    </row>
    <row r="124" spans="2:15">
      <c r="B124" s="58" t="s">
        <v>64</v>
      </c>
      <c r="C124" s="58"/>
      <c r="D124" s="59">
        <v>1</v>
      </c>
      <c r="E124" s="59">
        <v>1</v>
      </c>
      <c r="F124" s="59">
        <v>1</v>
      </c>
      <c r="G124" s="59">
        <v>1</v>
      </c>
      <c r="H124" s="59">
        <v>1</v>
      </c>
      <c r="I124" s="59">
        <v>1</v>
      </c>
      <c r="J124" s="59">
        <v>1</v>
      </c>
      <c r="K124" s="59">
        <v>1</v>
      </c>
      <c r="L124" s="59">
        <v>1</v>
      </c>
      <c r="M124" s="59">
        <v>1</v>
      </c>
      <c r="N124" s="59">
        <v>1</v>
      </c>
      <c r="O124" s="59">
        <v>1</v>
      </c>
    </row>
    <row r="125" spans="2:15">
      <c r="B125" s="58" t="s">
        <v>65</v>
      </c>
      <c r="C125" s="58"/>
      <c r="D125" s="59">
        <v>1</v>
      </c>
      <c r="E125" s="59">
        <v>1</v>
      </c>
      <c r="F125" s="59">
        <v>1</v>
      </c>
      <c r="G125" s="59">
        <v>1</v>
      </c>
      <c r="H125" s="59">
        <v>1</v>
      </c>
      <c r="I125" s="59">
        <v>1</v>
      </c>
      <c r="J125" s="59">
        <v>1</v>
      </c>
      <c r="K125" s="59">
        <v>1</v>
      </c>
      <c r="L125" s="59">
        <v>1</v>
      </c>
      <c r="M125" s="59">
        <v>1</v>
      </c>
      <c r="N125" s="59">
        <v>1</v>
      </c>
      <c r="O125" s="59">
        <v>1</v>
      </c>
    </row>
    <row r="126" spans="2:15">
      <c r="B126" s="58" t="s">
        <v>66</v>
      </c>
      <c r="C126" s="58"/>
      <c r="D126" s="59">
        <v>2</v>
      </c>
      <c r="E126" s="59">
        <v>2</v>
      </c>
      <c r="F126" s="59">
        <v>2</v>
      </c>
      <c r="G126" s="59">
        <v>2</v>
      </c>
      <c r="H126" s="59">
        <v>2</v>
      </c>
      <c r="I126" s="59">
        <v>2</v>
      </c>
      <c r="J126" s="59">
        <v>2</v>
      </c>
      <c r="K126" s="59">
        <v>2</v>
      </c>
      <c r="L126" s="59">
        <v>2</v>
      </c>
      <c r="M126" s="59">
        <v>2</v>
      </c>
      <c r="N126" s="59">
        <v>2</v>
      </c>
      <c r="O126" s="59">
        <v>2</v>
      </c>
    </row>
    <row r="127" spans="2:15">
      <c r="B127" s="58" t="s">
        <v>67</v>
      </c>
      <c r="C127" s="58"/>
      <c r="D127" s="59">
        <v>2</v>
      </c>
      <c r="E127" s="59">
        <v>2</v>
      </c>
      <c r="F127" s="59">
        <v>2</v>
      </c>
      <c r="G127" s="59">
        <v>2</v>
      </c>
      <c r="H127" s="59">
        <v>2</v>
      </c>
      <c r="I127" s="59">
        <v>2</v>
      </c>
      <c r="J127" s="59">
        <v>2</v>
      </c>
      <c r="K127" s="59">
        <v>2</v>
      </c>
      <c r="L127" s="59">
        <v>2</v>
      </c>
      <c r="M127" s="59">
        <v>2</v>
      </c>
      <c r="N127" s="59">
        <v>2</v>
      </c>
      <c r="O127" s="59">
        <v>2</v>
      </c>
    </row>
    <row r="128" spans="2:15">
      <c r="B128" s="58" t="s">
        <v>68</v>
      </c>
      <c r="C128" s="58"/>
      <c r="D128" s="59">
        <v>2</v>
      </c>
      <c r="E128" s="59">
        <v>2</v>
      </c>
      <c r="F128" s="59">
        <v>2</v>
      </c>
      <c r="G128" s="59">
        <v>2</v>
      </c>
      <c r="H128" s="59">
        <v>2</v>
      </c>
      <c r="I128" s="59">
        <v>2</v>
      </c>
      <c r="J128" s="59">
        <v>2</v>
      </c>
      <c r="K128" s="59">
        <v>2</v>
      </c>
      <c r="L128" s="59">
        <v>2</v>
      </c>
      <c r="M128" s="59">
        <v>2</v>
      </c>
      <c r="N128" s="59">
        <v>2</v>
      </c>
      <c r="O128" s="59">
        <v>2</v>
      </c>
    </row>
    <row r="129" spans="2:15">
      <c r="B129" s="58" t="s">
        <v>69</v>
      </c>
      <c r="C129" s="58"/>
      <c r="D129" s="59">
        <v>2</v>
      </c>
      <c r="E129" s="59">
        <v>2</v>
      </c>
      <c r="F129" s="59">
        <v>2</v>
      </c>
      <c r="G129" s="59">
        <v>2</v>
      </c>
      <c r="H129" s="59">
        <v>2</v>
      </c>
      <c r="I129" s="59">
        <v>2</v>
      </c>
      <c r="J129" s="59">
        <v>2</v>
      </c>
      <c r="K129" s="59">
        <v>2</v>
      </c>
      <c r="L129" s="59">
        <v>2</v>
      </c>
      <c r="M129" s="59">
        <v>2</v>
      </c>
      <c r="N129" s="59">
        <v>2</v>
      </c>
      <c r="O129" s="59">
        <v>2</v>
      </c>
    </row>
    <row r="130" spans="2:15">
      <c r="B130" s="58" t="s">
        <v>70</v>
      </c>
      <c r="C130" s="58"/>
      <c r="D130" s="59">
        <v>1</v>
      </c>
      <c r="E130" s="59">
        <v>1</v>
      </c>
      <c r="F130" s="59">
        <v>1</v>
      </c>
      <c r="G130" s="59">
        <v>1</v>
      </c>
      <c r="H130" s="59">
        <v>1</v>
      </c>
      <c r="I130" s="59">
        <v>1</v>
      </c>
      <c r="J130" s="59">
        <v>1</v>
      </c>
      <c r="K130" s="59">
        <v>1</v>
      </c>
      <c r="L130" s="59">
        <v>1</v>
      </c>
      <c r="M130" s="59">
        <v>1</v>
      </c>
      <c r="N130" s="59">
        <v>1</v>
      </c>
      <c r="O130" s="59">
        <v>1</v>
      </c>
    </row>
    <row r="131" spans="2:15">
      <c r="B131" s="58" t="s">
        <v>71</v>
      </c>
      <c r="C131" s="58"/>
      <c r="D131" s="59">
        <v>1</v>
      </c>
      <c r="E131" s="59">
        <v>1</v>
      </c>
      <c r="F131" s="59">
        <v>1</v>
      </c>
      <c r="G131" s="59">
        <v>1</v>
      </c>
      <c r="H131" s="59">
        <v>1</v>
      </c>
      <c r="I131" s="59">
        <v>1</v>
      </c>
      <c r="J131" s="59">
        <v>1</v>
      </c>
      <c r="K131" s="59">
        <v>1</v>
      </c>
      <c r="L131" s="59">
        <v>1</v>
      </c>
      <c r="M131" s="59">
        <v>1</v>
      </c>
      <c r="N131" s="59">
        <v>1</v>
      </c>
      <c r="O131" s="59">
        <v>1</v>
      </c>
    </row>
    <row r="132" spans="2:15">
      <c r="B132" s="58" t="s">
        <v>72</v>
      </c>
      <c r="C132" s="58"/>
      <c r="D132" s="59">
        <v>2</v>
      </c>
      <c r="E132" s="59">
        <v>2</v>
      </c>
      <c r="F132" s="59">
        <v>2</v>
      </c>
      <c r="G132" s="59">
        <v>2</v>
      </c>
      <c r="H132" s="59">
        <v>2</v>
      </c>
      <c r="I132" s="59">
        <v>2</v>
      </c>
      <c r="J132" s="59">
        <v>2</v>
      </c>
      <c r="K132" s="59">
        <v>2</v>
      </c>
      <c r="L132" s="59">
        <v>2</v>
      </c>
      <c r="M132" s="59">
        <v>2</v>
      </c>
      <c r="N132" s="59">
        <v>2</v>
      </c>
      <c r="O132" s="59">
        <v>2</v>
      </c>
    </row>
    <row r="133" spans="2:15">
      <c r="B133" s="58" t="s">
        <v>73</v>
      </c>
      <c r="C133" s="58"/>
      <c r="D133" s="59">
        <v>2</v>
      </c>
      <c r="E133" s="59">
        <v>2</v>
      </c>
      <c r="F133" s="59">
        <v>2</v>
      </c>
      <c r="G133" s="59">
        <v>2</v>
      </c>
      <c r="H133" s="59">
        <v>2</v>
      </c>
      <c r="I133" s="59">
        <v>2</v>
      </c>
      <c r="J133" s="59">
        <v>2</v>
      </c>
      <c r="K133" s="59">
        <v>2</v>
      </c>
      <c r="L133" s="59">
        <v>2</v>
      </c>
      <c r="M133" s="59">
        <v>2</v>
      </c>
      <c r="N133" s="59">
        <v>2</v>
      </c>
      <c r="O133" s="59">
        <v>2</v>
      </c>
    </row>
    <row r="134" spans="2:15">
      <c r="B134" s="58" t="s">
        <v>74</v>
      </c>
      <c r="C134" s="58"/>
      <c r="D134" s="59">
        <v>2</v>
      </c>
      <c r="E134" s="59">
        <v>2</v>
      </c>
      <c r="F134" s="59">
        <v>2</v>
      </c>
      <c r="G134" s="59">
        <v>2</v>
      </c>
      <c r="H134" s="59">
        <v>2</v>
      </c>
      <c r="I134" s="59">
        <v>2</v>
      </c>
      <c r="J134" s="59">
        <v>2</v>
      </c>
      <c r="K134" s="59">
        <v>2</v>
      </c>
      <c r="L134" s="59">
        <v>2</v>
      </c>
      <c r="M134" s="59">
        <v>2</v>
      </c>
      <c r="N134" s="59">
        <v>2</v>
      </c>
      <c r="O134" s="59">
        <v>2</v>
      </c>
    </row>
    <row r="135" spans="2:15">
      <c r="B135" s="58" t="s">
        <v>75</v>
      </c>
      <c r="C135" s="58"/>
      <c r="D135" s="59">
        <v>1</v>
      </c>
      <c r="E135" s="59">
        <v>1</v>
      </c>
      <c r="F135" s="59">
        <v>1</v>
      </c>
      <c r="G135" s="59">
        <v>1</v>
      </c>
      <c r="H135" s="59">
        <v>1</v>
      </c>
      <c r="I135" s="59">
        <v>1</v>
      </c>
      <c r="J135" s="59">
        <v>1</v>
      </c>
      <c r="K135" s="59">
        <v>1</v>
      </c>
      <c r="L135" s="59">
        <v>1</v>
      </c>
      <c r="M135" s="59">
        <v>1</v>
      </c>
      <c r="N135" s="59">
        <v>1</v>
      </c>
      <c r="O135" s="59">
        <v>1</v>
      </c>
    </row>
    <row r="136" spans="2:15">
      <c r="B136" s="58" t="s">
        <v>76</v>
      </c>
      <c r="C136" s="58"/>
      <c r="D136" s="59">
        <v>1</v>
      </c>
      <c r="E136" s="59">
        <v>1</v>
      </c>
      <c r="F136" s="59">
        <v>1</v>
      </c>
      <c r="G136" s="59">
        <v>1</v>
      </c>
      <c r="H136" s="59">
        <v>1</v>
      </c>
      <c r="I136" s="59">
        <v>1</v>
      </c>
      <c r="J136" s="59">
        <v>1</v>
      </c>
      <c r="K136" s="59">
        <v>1</v>
      </c>
      <c r="L136" s="59">
        <v>1</v>
      </c>
      <c r="M136" s="59">
        <v>1</v>
      </c>
      <c r="N136" s="59">
        <v>1</v>
      </c>
      <c r="O136" s="59">
        <v>1</v>
      </c>
    </row>
    <row r="137" spans="2:15">
      <c r="B137" s="58" t="s">
        <v>77</v>
      </c>
      <c r="C137" s="58"/>
      <c r="D137" s="59">
        <v>2</v>
      </c>
      <c r="E137" s="59">
        <v>2</v>
      </c>
      <c r="F137" s="59">
        <v>2</v>
      </c>
      <c r="G137" s="59">
        <v>2</v>
      </c>
      <c r="H137" s="59">
        <v>2</v>
      </c>
      <c r="I137" s="59">
        <v>2</v>
      </c>
      <c r="J137" s="59">
        <v>2</v>
      </c>
      <c r="K137" s="59">
        <v>2</v>
      </c>
      <c r="L137" s="59">
        <v>2</v>
      </c>
      <c r="M137" s="59">
        <v>2</v>
      </c>
      <c r="N137" s="59">
        <v>2</v>
      </c>
      <c r="O137" s="59">
        <v>2</v>
      </c>
    </row>
    <row r="138" spans="2:15">
      <c r="B138" s="58" t="s">
        <v>78</v>
      </c>
      <c r="C138" s="58"/>
      <c r="D138" s="59">
        <v>1</v>
      </c>
      <c r="E138" s="59">
        <v>1</v>
      </c>
      <c r="F138" s="59">
        <v>1</v>
      </c>
      <c r="G138" s="59">
        <v>1</v>
      </c>
      <c r="H138" s="59">
        <v>1</v>
      </c>
      <c r="I138" s="59">
        <v>1</v>
      </c>
      <c r="J138" s="59">
        <v>1</v>
      </c>
      <c r="K138" s="59">
        <v>1</v>
      </c>
      <c r="L138" s="59">
        <v>1</v>
      </c>
      <c r="M138" s="59">
        <v>1</v>
      </c>
      <c r="N138" s="59">
        <v>1</v>
      </c>
      <c r="O138" s="59">
        <v>1</v>
      </c>
    </row>
    <row r="139" spans="2:15">
      <c r="B139" s="58" t="s">
        <v>79</v>
      </c>
      <c r="C139" s="58"/>
      <c r="D139" s="59">
        <v>1</v>
      </c>
      <c r="E139" s="59">
        <v>1</v>
      </c>
      <c r="F139" s="59">
        <v>1</v>
      </c>
      <c r="G139" s="59">
        <v>1</v>
      </c>
      <c r="H139" s="59">
        <v>1</v>
      </c>
      <c r="I139" s="59">
        <v>1</v>
      </c>
      <c r="J139" s="59">
        <v>1</v>
      </c>
      <c r="K139" s="59">
        <v>1</v>
      </c>
      <c r="L139" s="59">
        <v>1</v>
      </c>
      <c r="M139" s="59">
        <v>1</v>
      </c>
      <c r="N139" s="59">
        <v>1</v>
      </c>
      <c r="O139" s="59">
        <v>1</v>
      </c>
    </row>
    <row r="140" spans="2:15">
      <c r="B140" s="58"/>
      <c r="C140" s="58"/>
      <c r="D140" s="59"/>
      <c r="E140" s="59"/>
      <c r="F140" s="59"/>
      <c r="G140" s="59"/>
      <c r="H140" s="59"/>
      <c r="I140" s="59"/>
      <c r="J140" s="59"/>
      <c r="K140" s="59"/>
      <c r="L140" s="59"/>
      <c r="M140" s="59"/>
      <c r="N140" s="59"/>
      <c r="O140" s="59"/>
    </row>
    <row r="141" spans="2:15">
      <c r="B141" s="60"/>
      <c r="C141" s="60"/>
      <c r="D141" s="61"/>
      <c r="E141" s="61"/>
      <c r="F141" s="61"/>
      <c r="G141" s="61"/>
      <c r="H141" s="61"/>
      <c r="I141" s="61"/>
      <c r="J141" s="61"/>
      <c r="K141" s="61"/>
      <c r="L141" s="61"/>
      <c r="M141" s="61"/>
      <c r="N141" s="61"/>
      <c r="O141" s="61"/>
    </row>
    <row r="142" spans="2:15">
      <c r="B142" s="58"/>
      <c r="C142" s="58"/>
      <c r="D142" s="59"/>
      <c r="E142" s="59"/>
      <c r="F142" s="59"/>
      <c r="G142" s="59"/>
      <c r="H142" s="59"/>
      <c r="I142" s="59"/>
      <c r="J142" s="59"/>
      <c r="K142" s="59"/>
      <c r="L142" s="59"/>
      <c r="M142" s="59"/>
      <c r="N142" s="59"/>
      <c r="O142" s="59"/>
    </row>
    <row r="143" spans="2:15">
      <c r="B143" s="62" t="s">
        <v>81</v>
      </c>
      <c r="C143" s="62"/>
      <c r="D143" s="59"/>
      <c r="E143" s="59"/>
      <c r="F143" s="59"/>
      <c r="G143" s="59"/>
      <c r="H143" s="59"/>
      <c r="I143" s="59"/>
      <c r="J143" s="59"/>
      <c r="K143" s="59"/>
      <c r="L143" s="59"/>
      <c r="M143" s="59"/>
      <c r="N143" s="59"/>
      <c r="O143" s="59"/>
    </row>
    <row r="144" spans="2:15">
      <c r="B144" s="58" t="s">
        <v>82</v>
      </c>
      <c r="C144" s="58"/>
      <c r="D144" s="59">
        <v>1</v>
      </c>
      <c r="E144" s="59">
        <v>1</v>
      </c>
      <c r="F144" s="59">
        <v>1</v>
      </c>
      <c r="G144" s="59">
        <v>1</v>
      </c>
      <c r="H144" s="59">
        <v>1</v>
      </c>
      <c r="I144" s="59">
        <v>1</v>
      </c>
      <c r="J144" s="59">
        <v>1</v>
      </c>
      <c r="K144" s="59">
        <v>1</v>
      </c>
      <c r="L144" s="59">
        <v>1</v>
      </c>
      <c r="M144" s="59">
        <v>1</v>
      </c>
      <c r="N144" s="59">
        <v>1</v>
      </c>
      <c r="O144" s="59">
        <v>1</v>
      </c>
    </row>
    <row r="145" spans="2:15">
      <c r="B145" s="58" t="s">
        <v>83</v>
      </c>
      <c r="C145" s="58"/>
      <c r="D145" s="59">
        <v>1</v>
      </c>
      <c r="E145" s="59">
        <v>1</v>
      </c>
      <c r="F145" s="59">
        <v>1</v>
      </c>
      <c r="G145" s="59">
        <v>1</v>
      </c>
      <c r="H145" s="59">
        <v>1</v>
      </c>
      <c r="I145" s="59">
        <v>1</v>
      </c>
      <c r="J145" s="59">
        <v>1</v>
      </c>
      <c r="K145" s="59">
        <v>1</v>
      </c>
      <c r="L145" s="59">
        <v>1</v>
      </c>
      <c r="M145" s="59">
        <v>1</v>
      </c>
      <c r="N145" s="59">
        <v>1</v>
      </c>
      <c r="O145" s="59">
        <v>1</v>
      </c>
    </row>
    <row r="146" spans="2:15">
      <c r="B146" s="58" t="s">
        <v>84</v>
      </c>
      <c r="C146" s="58"/>
      <c r="D146" s="59">
        <v>1</v>
      </c>
      <c r="E146" s="59">
        <v>1</v>
      </c>
      <c r="F146" s="59">
        <v>1</v>
      </c>
      <c r="G146" s="59">
        <v>1</v>
      </c>
      <c r="H146" s="59">
        <v>1</v>
      </c>
      <c r="I146" s="59">
        <v>1</v>
      </c>
      <c r="J146" s="59">
        <v>1</v>
      </c>
      <c r="K146" s="59">
        <v>1</v>
      </c>
      <c r="L146" s="59">
        <v>1</v>
      </c>
      <c r="M146" s="59">
        <v>1</v>
      </c>
      <c r="N146" s="59">
        <v>1</v>
      </c>
      <c r="O146" s="59">
        <v>1</v>
      </c>
    </row>
    <row r="147" spans="2:15">
      <c r="B147" s="58" t="s">
        <v>85</v>
      </c>
      <c r="C147" s="58"/>
      <c r="D147" s="59">
        <v>1</v>
      </c>
      <c r="E147" s="59">
        <v>1</v>
      </c>
      <c r="F147" s="59">
        <v>1</v>
      </c>
      <c r="G147" s="59">
        <v>1</v>
      </c>
      <c r="H147" s="59">
        <v>1</v>
      </c>
      <c r="I147" s="59">
        <v>1</v>
      </c>
      <c r="J147" s="59">
        <v>1</v>
      </c>
      <c r="K147" s="59">
        <v>1</v>
      </c>
      <c r="L147" s="59">
        <v>1</v>
      </c>
      <c r="M147" s="59">
        <v>1</v>
      </c>
      <c r="N147" s="59">
        <v>1</v>
      </c>
      <c r="O147" s="59">
        <v>1</v>
      </c>
    </row>
    <row r="148" spans="2:15">
      <c r="B148" s="58"/>
      <c r="C148" s="58"/>
      <c r="D148" s="59"/>
      <c r="E148" s="59"/>
      <c r="F148" s="59"/>
      <c r="G148" s="59"/>
      <c r="H148" s="59"/>
      <c r="I148" s="59"/>
      <c r="J148" s="59"/>
      <c r="K148" s="59"/>
      <c r="L148" s="59"/>
      <c r="M148" s="59"/>
      <c r="N148" s="59"/>
      <c r="O148" s="59"/>
    </row>
    <row r="149" spans="2:15">
      <c r="B149" s="60"/>
      <c r="C149" s="60"/>
      <c r="D149" s="61"/>
      <c r="E149" s="61"/>
      <c r="F149" s="61"/>
      <c r="G149" s="61"/>
      <c r="H149" s="61"/>
      <c r="I149" s="61"/>
      <c r="J149" s="61"/>
      <c r="K149" s="61"/>
      <c r="L149" s="61"/>
      <c r="M149" s="61"/>
      <c r="N149" s="61"/>
      <c r="O149" s="61"/>
    </row>
    <row r="150" spans="2:15">
      <c r="B150" s="58"/>
      <c r="C150" s="58"/>
      <c r="D150" s="59"/>
      <c r="E150" s="59"/>
      <c r="F150" s="59"/>
      <c r="G150" s="59"/>
      <c r="H150" s="59"/>
      <c r="I150" s="59"/>
      <c r="J150" s="59"/>
      <c r="K150" s="59"/>
      <c r="L150" s="59"/>
      <c r="M150" s="59"/>
      <c r="N150" s="59"/>
      <c r="O150" s="59"/>
    </row>
    <row r="151" spans="2:15">
      <c r="B151" s="62" t="s">
        <v>87</v>
      </c>
      <c r="C151" s="62"/>
      <c r="D151" s="59"/>
      <c r="E151" s="59"/>
      <c r="F151" s="59"/>
      <c r="G151" s="59"/>
      <c r="H151" s="59"/>
      <c r="I151" s="59"/>
      <c r="J151" s="59"/>
      <c r="K151" s="59"/>
      <c r="L151" s="59"/>
      <c r="M151" s="59"/>
      <c r="N151" s="59"/>
      <c r="O151" s="59"/>
    </row>
    <row r="152" spans="2:15">
      <c r="B152" s="63" t="s">
        <v>88</v>
      </c>
      <c r="C152" s="63"/>
      <c r="D152" s="64">
        <v>1</v>
      </c>
      <c r="E152" s="64">
        <v>1</v>
      </c>
      <c r="F152" s="64">
        <v>1</v>
      </c>
      <c r="G152" s="64">
        <v>1</v>
      </c>
      <c r="H152" s="64">
        <v>1</v>
      </c>
      <c r="I152" s="64">
        <v>1</v>
      </c>
      <c r="J152" s="64">
        <v>1</v>
      </c>
      <c r="K152" s="64">
        <v>1</v>
      </c>
      <c r="L152" s="64">
        <v>1</v>
      </c>
      <c r="M152" s="64">
        <v>1</v>
      </c>
      <c r="N152" s="64">
        <v>1</v>
      </c>
      <c r="O152" s="64">
        <v>1</v>
      </c>
    </row>
    <row r="153" spans="2:15">
      <c r="B153" s="63" t="s">
        <v>89</v>
      </c>
      <c r="C153" s="63"/>
      <c r="D153" s="64">
        <v>1</v>
      </c>
      <c r="E153" s="64">
        <v>1</v>
      </c>
      <c r="F153" s="64">
        <v>1</v>
      </c>
      <c r="G153" s="64">
        <v>1</v>
      </c>
      <c r="H153" s="64">
        <v>1</v>
      </c>
      <c r="I153" s="64">
        <v>1</v>
      </c>
      <c r="J153" s="64">
        <v>1</v>
      </c>
      <c r="K153" s="64">
        <v>1</v>
      </c>
      <c r="L153" s="64">
        <v>1</v>
      </c>
      <c r="M153" s="64">
        <v>1</v>
      </c>
      <c r="N153" s="64">
        <v>1</v>
      </c>
      <c r="O153" s="64">
        <v>1</v>
      </c>
    </row>
    <row r="154" spans="2:15">
      <c r="B154" s="63" t="s">
        <v>90</v>
      </c>
      <c r="C154" s="63"/>
      <c r="D154" s="64">
        <v>1</v>
      </c>
      <c r="E154" s="64">
        <v>1</v>
      </c>
      <c r="F154" s="64">
        <v>1</v>
      </c>
      <c r="G154" s="64">
        <v>1</v>
      </c>
      <c r="H154" s="64">
        <v>1</v>
      </c>
      <c r="I154" s="64">
        <v>1</v>
      </c>
      <c r="J154" s="64">
        <v>1</v>
      </c>
      <c r="K154" s="64">
        <v>1</v>
      </c>
      <c r="L154" s="64">
        <v>1</v>
      </c>
      <c r="M154" s="64">
        <v>1</v>
      </c>
      <c r="N154" s="64">
        <v>1</v>
      </c>
      <c r="O154" s="64">
        <v>1</v>
      </c>
    </row>
    <row r="155" spans="2:15">
      <c r="B155" s="63" t="s">
        <v>91</v>
      </c>
      <c r="C155" s="63"/>
      <c r="D155" s="64">
        <v>1</v>
      </c>
      <c r="E155" s="64">
        <v>1</v>
      </c>
      <c r="F155" s="64">
        <v>1</v>
      </c>
      <c r="G155" s="64">
        <v>1</v>
      </c>
      <c r="H155" s="64">
        <v>1</v>
      </c>
      <c r="I155" s="64">
        <v>1</v>
      </c>
      <c r="J155" s="64">
        <v>1</v>
      </c>
      <c r="K155" s="64">
        <v>1</v>
      </c>
      <c r="L155" s="64">
        <v>1</v>
      </c>
      <c r="M155" s="64">
        <v>1</v>
      </c>
      <c r="N155" s="64">
        <v>1</v>
      </c>
      <c r="O155" s="64">
        <v>1</v>
      </c>
    </row>
    <row r="156" spans="2:15">
      <c r="B156" s="63" t="s">
        <v>92</v>
      </c>
      <c r="C156" s="63"/>
      <c r="D156" s="64">
        <v>1</v>
      </c>
      <c r="E156" s="64">
        <v>1</v>
      </c>
      <c r="F156" s="64">
        <v>1</v>
      </c>
      <c r="G156" s="64">
        <v>1</v>
      </c>
      <c r="H156" s="64">
        <v>1</v>
      </c>
      <c r="I156" s="64">
        <v>1</v>
      </c>
      <c r="J156" s="64">
        <v>1</v>
      </c>
      <c r="K156" s="64">
        <v>1</v>
      </c>
      <c r="L156" s="64">
        <v>1</v>
      </c>
      <c r="M156" s="64">
        <v>1</v>
      </c>
      <c r="N156" s="64">
        <v>1</v>
      </c>
      <c r="O156" s="64">
        <v>1</v>
      </c>
    </row>
    <row r="157" spans="2:15">
      <c r="B157" s="63" t="s">
        <v>93</v>
      </c>
      <c r="C157" s="63"/>
      <c r="D157" s="64">
        <v>1</v>
      </c>
      <c r="E157" s="64">
        <v>1</v>
      </c>
      <c r="F157" s="64">
        <v>1</v>
      </c>
      <c r="G157" s="64">
        <v>1</v>
      </c>
      <c r="H157" s="64">
        <v>1</v>
      </c>
      <c r="I157" s="64">
        <v>1</v>
      </c>
      <c r="J157" s="64">
        <v>1</v>
      </c>
      <c r="K157" s="64">
        <v>1</v>
      </c>
      <c r="L157" s="64">
        <v>1</v>
      </c>
      <c r="M157" s="64">
        <v>1</v>
      </c>
      <c r="N157" s="64">
        <v>1</v>
      </c>
      <c r="O157" s="64">
        <v>1</v>
      </c>
    </row>
    <row r="158" spans="2:15">
      <c r="B158" s="63" t="s">
        <v>94</v>
      </c>
      <c r="C158" s="63"/>
      <c r="D158" s="64">
        <v>1</v>
      </c>
      <c r="E158" s="64">
        <v>1</v>
      </c>
      <c r="F158" s="64">
        <v>1</v>
      </c>
      <c r="G158" s="64">
        <v>1</v>
      </c>
      <c r="H158" s="64">
        <v>1</v>
      </c>
      <c r="I158" s="64">
        <v>1</v>
      </c>
      <c r="J158" s="64">
        <v>1</v>
      </c>
      <c r="K158" s="64">
        <v>1</v>
      </c>
      <c r="L158" s="64">
        <v>1</v>
      </c>
      <c r="M158" s="64">
        <v>1</v>
      </c>
      <c r="N158" s="64">
        <v>1</v>
      </c>
      <c r="O158" s="64">
        <v>1</v>
      </c>
    </row>
    <row r="160" spans="2:15">
      <c r="B160" s="60"/>
      <c r="C160" s="60"/>
      <c r="D160" s="61"/>
      <c r="E160" s="61"/>
      <c r="F160" s="61"/>
      <c r="G160" s="61"/>
      <c r="H160" s="61"/>
      <c r="I160" s="61"/>
      <c r="J160" s="61"/>
      <c r="K160" s="61"/>
      <c r="L160" s="61"/>
      <c r="M160" s="61"/>
      <c r="N160" s="61"/>
      <c r="O160" s="61"/>
    </row>
    <row r="161" spans="2:15">
      <c r="B161" s="58"/>
      <c r="C161" s="58"/>
      <c r="D161" s="59"/>
      <c r="E161" s="59"/>
      <c r="F161" s="59"/>
      <c r="G161" s="59"/>
      <c r="H161" s="59"/>
      <c r="I161" s="59"/>
      <c r="J161" s="59"/>
      <c r="K161" s="59"/>
      <c r="L161" s="59"/>
      <c r="M161" s="59"/>
      <c r="N161" s="59"/>
      <c r="O161" s="59"/>
    </row>
    <row r="162" spans="2:15">
      <c r="B162" s="78" t="s">
        <v>176</v>
      </c>
      <c r="C162" s="76"/>
      <c r="D162" s="77"/>
      <c r="E162" s="77"/>
      <c r="F162" s="77"/>
      <c r="G162" s="77"/>
      <c r="H162" s="77"/>
      <c r="I162" s="77"/>
      <c r="J162" s="77"/>
      <c r="K162" s="77"/>
      <c r="L162" s="77"/>
      <c r="M162" s="77"/>
      <c r="N162" s="77"/>
      <c r="O162" s="77"/>
    </row>
    <row r="163" spans="2:15">
      <c r="B163" s="57" t="s">
        <v>61</v>
      </c>
      <c r="C163" s="57"/>
      <c r="D163" s="54"/>
      <c r="E163" s="54"/>
      <c r="F163" s="54"/>
      <c r="G163" s="54"/>
      <c r="H163" s="54"/>
      <c r="I163" s="54"/>
      <c r="J163" s="54"/>
      <c r="K163" s="54"/>
      <c r="L163" s="54"/>
      <c r="M163" s="54"/>
      <c r="N163" s="54"/>
      <c r="O163" s="54"/>
    </row>
    <row r="164" spans="2:15">
      <c r="B164" s="58" t="s">
        <v>62</v>
      </c>
      <c r="C164" s="58" t="s">
        <v>167</v>
      </c>
      <c r="D164" s="181">
        <f t="shared" ref="D164" si="60">D23*D122</f>
        <v>437487</v>
      </c>
      <c r="E164" s="181">
        <f t="shared" ref="E164:G164" si="61">E23*E122</f>
        <v>410542</v>
      </c>
      <c r="F164" s="181">
        <f t="shared" si="61"/>
        <v>382439</v>
      </c>
      <c r="G164" s="181">
        <f t="shared" si="61"/>
        <v>352207</v>
      </c>
      <c r="H164" s="181">
        <f t="shared" ref="H164:O173" si="62">H23*H122</f>
        <v>297532</v>
      </c>
      <c r="I164" s="181">
        <f t="shared" si="62"/>
        <v>4</v>
      </c>
      <c r="J164" s="181">
        <f t="shared" si="62"/>
        <v>0</v>
      </c>
      <c r="K164" s="181">
        <f t="shared" si="62"/>
        <v>0</v>
      </c>
      <c r="L164" s="181">
        <f t="shared" si="62"/>
        <v>0</v>
      </c>
      <c r="M164" s="181">
        <f t="shared" si="62"/>
        <v>0</v>
      </c>
      <c r="N164" s="181">
        <f t="shared" si="62"/>
        <v>0</v>
      </c>
      <c r="O164" s="181">
        <f t="shared" si="62"/>
        <v>0</v>
      </c>
    </row>
    <row r="165" spans="2:15">
      <c r="B165" s="58" t="s">
        <v>63</v>
      </c>
      <c r="C165" s="58" t="s">
        <v>167</v>
      </c>
      <c r="D165" s="181">
        <f t="shared" ref="D165" si="63">D24*D123</f>
        <v>323244</v>
      </c>
      <c r="E165" s="181">
        <f t="shared" ref="E165:G165" si="64">E24*E123</f>
        <v>355827</v>
      </c>
      <c r="F165" s="181">
        <f t="shared" si="64"/>
        <v>391317</v>
      </c>
      <c r="G165" s="181">
        <f t="shared" si="64"/>
        <v>431184</v>
      </c>
      <c r="H165" s="181">
        <f t="shared" si="62"/>
        <v>486771</v>
      </c>
      <c r="I165" s="181">
        <f t="shared" si="62"/>
        <v>797421</v>
      </c>
      <c r="J165" s="181">
        <f t="shared" si="62"/>
        <v>807142</v>
      </c>
      <c r="K165" s="181">
        <f t="shared" si="62"/>
        <v>819140.04898179008</v>
      </c>
      <c r="L165" s="181">
        <f t="shared" si="62"/>
        <v>828673.26012824359</v>
      </c>
      <c r="M165" s="181">
        <f t="shared" si="62"/>
        <v>837951.07285134576</v>
      </c>
      <c r="N165" s="181">
        <f t="shared" si="62"/>
        <v>848811.89232622739</v>
      </c>
      <c r="O165" s="181">
        <f t="shared" si="62"/>
        <v>861017.08089365298</v>
      </c>
    </row>
    <row r="166" spans="2:15">
      <c r="B166" s="58" t="s">
        <v>64</v>
      </c>
      <c r="C166" s="58" t="s">
        <v>269</v>
      </c>
      <c r="D166" s="181">
        <f t="shared" ref="D166" si="65">D25*D124</f>
        <v>4</v>
      </c>
      <c r="E166" s="181">
        <f t="shared" ref="E166:G166" si="66">E25*E124</f>
        <v>5</v>
      </c>
      <c r="F166" s="181">
        <f t="shared" si="66"/>
        <v>6</v>
      </c>
      <c r="G166" s="181">
        <f t="shared" si="66"/>
        <v>6</v>
      </c>
      <c r="H166" s="181">
        <f t="shared" si="62"/>
        <v>5</v>
      </c>
      <c r="I166" s="181">
        <f t="shared" si="62"/>
        <v>0</v>
      </c>
      <c r="J166" s="181">
        <f t="shared" si="62"/>
        <v>0</v>
      </c>
      <c r="K166" s="181">
        <f t="shared" si="62"/>
        <v>0</v>
      </c>
      <c r="L166" s="181">
        <f t="shared" si="62"/>
        <v>0</v>
      </c>
      <c r="M166" s="181">
        <f t="shared" si="62"/>
        <v>0</v>
      </c>
      <c r="N166" s="181">
        <f t="shared" si="62"/>
        <v>0</v>
      </c>
      <c r="O166" s="181">
        <f t="shared" si="62"/>
        <v>0</v>
      </c>
    </row>
    <row r="167" spans="2:15">
      <c r="B167" s="58" t="s">
        <v>65</v>
      </c>
      <c r="C167" s="58" t="s">
        <v>269</v>
      </c>
      <c r="D167" s="181">
        <f t="shared" ref="D167" si="67">D26*D125</f>
        <v>1255</v>
      </c>
      <c r="E167" s="181">
        <f t="shared" ref="E167:G167" si="68">E26*E125</f>
        <v>1622</v>
      </c>
      <c r="F167" s="181">
        <f t="shared" si="68"/>
        <v>1</v>
      </c>
      <c r="G167" s="181">
        <f t="shared" si="68"/>
        <v>1</v>
      </c>
      <c r="H167" s="181">
        <f t="shared" si="62"/>
        <v>2</v>
      </c>
      <c r="I167" s="181">
        <f t="shared" si="62"/>
        <v>6</v>
      </c>
      <c r="J167" s="181">
        <f t="shared" si="62"/>
        <v>20</v>
      </c>
      <c r="K167" s="181">
        <f t="shared" si="62"/>
        <v>7.1632849069201123</v>
      </c>
      <c r="L167" s="181">
        <f t="shared" si="62"/>
        <v>7.2466517348572372</v>
      </c>
      <c r="M167" s="181">
        <f t="shared" si="62"/>
        <v>7.3277851331463815</v>
      </c>
      <c r="N167" s="181">
        <f t="shared" si="62"/>
        <v>7.422761742235279</v>
      </c>
      <c r="O167" s="181">
        <f t="shared" si="62"/>
        <v>7.5294947034179609</v>
      </c>
    </row>
    <row r="168" spans="2:15">
      <c r="B168" s="58" t="s">
        <v>66</v>
      </c>
      <c r="C168" s="58" t="s">
        <v>168</v>
      </c>
      <c r="D168" s="181">
        <f t="shared" ref="D168" si="69">D27*D126</f>
        <v>19956</v>
      </c>
      <c r="E168" s="181">
        <f t="shared" ref="E168:G168" si="70">E27*E126</f>
        <v>20104</v>
      </c>
      <c r="F168" s="181">
        <f t="shared" si="70"/>
        <v>20350</v>
      </c>
      <c r="G168" s="181">
        <f t="shared" si="70"/>
        <v>20774</v>
      </c>
      <c r="H168" s="181">
        <f t="shared" si="62"/>
        <v>20334</v>
      </c>
      <c r="I168" s="181">
        <f t="shared" si="62"/>
        <v>19988</v>
      </c>
      <c r="J168" s="181">
        <f t="shared" si="62"/>
        <v>19756</v>
      </c>
      <c r="K168" s="181">
        <f t="shared" si="62"/>
        <v>20339.635829992025</v>
      </c>
      <c r="L168" s="181">
        <f t="shared" si="62"/>
        <v>20576.349983146069</v>
      </c>
      <c r="M168" s="181">
        <f t="shared" si="62"/>
        <v>20806.722472345358</v>
      </c>
      <c r="N168" s="181">
        <f t="shared" si="62"/>
        <v>21076.401769809778</v>
      </c>
      <c r="O168" s="181">
        <f t="shared" si="62"/>
        <v>21379.462389305063</v>
      </c>
    </row>
    <row r="169" spans="2:15">
      <c r="B169" s="58" t="s">
        <v>67</v>
      </c>
      <c r="C169" s="58" t="s">
        <v>168</v>
      </c>
      <c r="D169" s="181">
        <f t="shared" ref="D169" si="71">D28*D127</f>
        <v>5548</v>
      </c>
      <c r="E169" s="181">
        <f t="shared" ref="E169:G169" si="72">E28*E127</f>
        <v>5660</v>
      </c>
      <c r="F169" s="181">
        <f t="shared" si="72"/>
        <v>6002</v>
      </c>
      <c r="G169" s="181">
        <f t="shared" si="72"/>
        <v>6208</v>
      </c>
      <c r="H169" s="181">
        <f t="shared" si="62"/>
        <v>6288</v>
      </c>
      <c r="I169" s="181">
        <f t="shared" si="62"/>
        <v>6314</v>
      </c>
      <c r="J169" s="181">
        <f t="shared" si="62"/>
        <v>6306</v>
      </c>
      <c r="K169" s="181">
        <f t="shared" si="62"/>
        <v>6469.4695973641374</v>
      </c>
      <c r="L169" s="181">
        <f t="shared" si="62"/>
        <v>6544.7617525382093</v>
      </c>
      <c r="M169" s="181">
        <f t="shared" si="62"/>
        <v>6618.036801678777</v>
      </c>
      <c r="N169" s="181">
        <f t="shared" si="62"/>
        <v>6703.8142477730644</v>
      </c>
      <c r="O169" s="181">
        <f t="shared" si="62"/>
        <v>6800.2093592869096</v>
      </c>
    </row>
    <row r="170" spans="2:15">
      <c r="B170" s="58" t="s">
        <v>68</v>
      </c>
      <c r="C170" s="58" t="s">
        <v>169</v>
      </c>
      <c r="D170" s="181">
        <f t="shared" ref="D170" si="73">D29*D128</f>
        <v>0</v>
      </c>
      <c r="E170" s="181">
        <f t="shared" ref="E170:G170" si="74">E29*E128</f>
        <v>0</v>
      </c>
      <c r="F170" s="181">
        <f t="shared" si="74"/>
        <v>0</v>
      </c>
      <c r="G170" s="181">
        <f t="shared" si="74"/>
        <v>10</v>
      </c>
      <c r="H170" s="181">
        <f t="shared" si="62"/>
        <v>11104</v>
      </c>
      <c r="I170" s="181">
        <f t="shared" si="62"/>
        <v>26276</v>
      </c>
      <c r="J170" s="181">
        <f t="shared" si="62"/>
        <v>34800</v>
      </c>
      <c r="K170" s="181">
        <f t="shared" si="62"/>
        <v>30069.42338642008</v>
      </c>
      <c r="L170" s="181">
        <f t="shared" si="62"/>
        <v>30419.373511006434</v>
      </c>
      <c r="M170" s="181">
        <f t="shared" si="62"/>
        <v>30759.948336053323</v>
      </c>
      <c r="N170" s="181">
        <f t="shared" si="62"/>
        <v>31158.63300483449</v>
      </c>
      <c r="O170" s="181">
        <f t="shared" si="62"/>
        <v>31606.667480747623</v>
      </c>
    </row>
    <row r="171" spans="2:15">
      <c r="B171" s="58" t="s">
        <v>69</v>
      </c>
      <c r="C171" s="58" t="s">
        <v>169</v>
      </c>
      <c r="D171" s="181">
        <f t="shared" ref="D171" si="75">D30*D129</f>
        <v>0</v>
      </c>
      <c r="E171" s="181">
        <f t="shared" ref="E171:G171" si="76">E30*E129</f>
        <v>0</v>
      </c>
      <c r="F171" s="181">
        <f t="shared" si="76"/>
        <v>0</v>
      </c>
      <c r="G171" s="181">
        <f t="shared" si="76"/>
        <v>0</v>
      </c>
      <c r="H171" s="181">
        <f t="shared" si="62"/>
        <v>0</v>
      </c>
      <c r="I171" s="181">
        <f t="shared" si="62"/>
        <v>2</v>
      </c>
      <c r="J171" s="181">
        <f t="shared" si="62"/>
        <v>2</v>
      </c>
      <c r="K171" s="181">
        <f t="shared" si="62"/>
        <v>2.0466528305486031</v>
      </c>
      <c r="L171" s="181">
        <f t="shared" si="62"/>
        <v>2.0704719242449245</v>
      </c>
      <c r="M171" s="181">
        <f t="shared" si="62"/>
        <v>2.0936528951846802</v>
      </c>
      <c r="N171" s="181">
        <f t="shared" si="62"/>
        <v>2.1207890692100797</v>
      </c>
      <c r="O171" s="181">
        <f t="shared" si="62"/>
        <v>2.1512842009765603</v>
      </c>
    </row>
    <row r="172" spans="2:15">
      <c r="B172" s="58" t="s">
        <v>70</v>
      </c>
      <c r="C172" s="58" t="s">
        <v>170</v>
      </c>
      <c r="D172" s="181">
        <f t="shared" ref="D172" si="77">D31*D130</f>
        <v>54587</v>
      </c>
      <c r="E172" s="181">
        <f t="shared" ref="E172:G172" si="78">E31*E130</f>
        <v>55572</v>
      </c>
      <c r="F172" s="181">
        <f t="shared" si="78"/>
        <v>49719</v>
      </c>
      <c r="G172" s="181">
        <f t="shared" si="78"/>
        <v>48030</v>
      </c>
      <c r="H172" s="181">
        <f t="shared" si="62"/>
        <v>41803</v>
      </c>
      <c r="I172" s="181">
        <f t="shared" si="62"/>
        <v>1</v>
      </c>
      <c r="J172" s="181">
        <f t="shared" si="62"/>
        <v>0</v>
      </c>
      <c r="K172" s="181">
        <f t="shared" si="62"/>
        <v>0</v>
      </c>
      <c r="L172" s="181">
        <f t="shared" si="62"/>
        <v>0</v>
      </c>
      <c r="M172" s="181">
        <f t="shared" si="62"/>
        <v>0</v>
      </c>
      <c r="N172" s="181">
        <f t="shared" si="62"/>
        <v>0</v>
      </c>
      <c r="O172" s="181">
        <f t="shared" si="62"/>
        <v>0</v>
      </c>
    </row>
    <row r="173" spans="2:15">
      <c r="B173" s="58" t="s">
        <v>71</v>
      </c>
      <c r="C173" s="58" t="s">
        <v>170</v>
      </c>
      <c r="D173" s="181">
        <f t="shared" ref="D173" si="79">D32*D131</f>
        <v>18244</v>
      </c>
      <c r="E173" s="181">
        <f t="shared" ref="E173:G173" si="80">E32*E131</f>
        <v>17221</v>
      </c>
      <c r="F173" s="181">
        <f t="shared" si="80"/>
        <v>23626</v>
      </c>
      <c r="G173" s="181">
        <f t="shared" si="80"/>
        <v>25759</v>
      </c>
      <c r="H173" s="181">
        <f t="shared" si="62"/>
        <v>32137</v>
      </c>
      <c r="I173" s="181">
        <f t="shared" si="62"/>
        <v>76940</v>
      </c>
      <c r="J173" s="181">
        <f t="shared" si="62"/>
        <v>76907</v>
      </c>
      <c r="K173" s="181">
        <f t="shared" si="62"/>
        <v>77821.333600231417</v>
      </c>
      <c r="L173" s="181">
        <f t="shared" si="62"/>
        <v>79759.084806877174</v>
      </c>
      <c r="M173" s="181">
        <f t="shared" si="62"/>
        <v>81394.146045418151</v>
      </c>
      <c r="N173" s="181">
        <f t="shared" si="62"/>
        <v>83217.374916835513</v>
      </c>
      <c r="O173" s="181">
        <f t="shared" si="62"/>
        <v>85206.270177347891</v>
      </c>
    </row>
    <row r="174" spans="2:15">
      <c r="B174" s="58" t="s">
        <v>72</v>
      </c>
      <c r="C174" s="58" t="s">
        <v>171</v>
      </c>
      <c r="D174" s="181">
        <f t="shared" ref="D174" si="81">D33*D132</f>
        <v>98</v>
      </c>
      <c r="E174" s="181">
        <f t="shared" ref="E174:G174" si="82">E33*E132</f>
        <v>100</v>
      </c>
      <c r="F174" s="181">
        <f t="shared" si="82"/>
        <v>92</v>
      </c>
      <c r="G174" s="181">
        <f t="shared" si="82"/>
        <v>94</v>
      </c>
      <c r="H174" s="181">
        <f t="shared" ref="H174:O180" si="83">H33*H132</f>
        <v>90</v>
      </c>
      <c r="I174" s="181">
        <f t="shared" si="83"/>
        <v>94</v>
      </c>
      <c r="J174" s="181">
        <f t="shared" si="83"/>
        <v>88</v>
      </c>
      <c r="K174" s="181">
        <f t="shared" si="83"/>
        <v>93.107579325768953</v>
      </c>
      <c r="L174" s="181">
        <f t="shared" si="83"/>
        <v>95.425958050980597</v>
      </c>
      <c r="M174" s="181">
        <f t="shared" si="83"/>
        <v>97.3821901910257</v>
      </c>
      <c r="N174" s="181">
        <f t="shared" si="83"/>
        <v>99.563551251304673</v>
      </c>
      <c r="O174" s="181">
        <f t="shared" si="83"/>
        <v>101.94312012621086</v>
      </c>
    </row>
    <row r="175" spans="2:15">
      <c r="B175" s="58" t="s">
        <v>73</v>
      </c>
      <c r="C175" s="58" t="s">
        <v>171</v>
      </c>
      <c r="D175" s="181">
        <f t="shared" ref="D175" si="84">D34*D133</f>
        <v>20</v>
      </c>
      <c r="E175" s="181">
        <f t="shared" ref="E175:G175" si="85">E34*E133</f>
        <v>22</v>
      </c>
      <c r="F175" s="181">
        <f t="shared" si="85"/>
        <v>28</v>
      </c>
      <c r="G175" s="181">
        <f t="shared" si="85"/>
        <v>40</v>
      </c>
      <c r="H175" s="181">
        <f t="shared" si="83"/>
        <v>42</v>
      </c>
      <c r="I175" s="181">
        <f t="shared" si="83"/>
        <v>40</v>
      </c>
      <c r="J175" s="181">
        <f t="shared" si="83"/>
        <v>36</v>
      </c>
      <c r="K175" s="181">
        <f t="shared" si="83"/>
        <v>36.433400605735699</v>
      </c>
      <c r="L175" s="181">
        <f t="shared" si="83"/>
        <v>37.340592280818512</v>
      </c>
      <c r="M175" s="181">
        <f t="shared" si="83"/>
        <v>38.10607442257529</v>
      </c>
      <c r="N175" s="181">
        <f t="shared" si="83"/>
        <v>38.959650489640978</v>
      </c>
      <c r="O175" s="181">
        <f t="shared" si="83"/>
        <v>39.890786136343401</v>
      </c>
    </row>
    <row r="176" spans="2:15">
      <c r="B176" s="58" t="s">
        <v>74</v>
      </c>
      <c r="C176" s="58" t="s">
        <v>172</v>
      </c>
      <c r="D176" s="181">
        <f t="shared" ref="D176" si="86">D35*D134</f>
        <v>0</v>
      </c>
      <c r="E176" s="181">
        <f t="shared" ref="E176:G176" si="87">E35*E134</f>
        <v>0</v>
      </c>
      <c r="F176" s="181">
        <f t="shared" si="87"/>
        <v>0</v>
      </c>
      <c r="G176" s="181">
        <f t="shared" si="87"/>
        <v>234</v>
      </c>
      <c r="H176" s="181">
        <f t="shared" si="83"/>
        <v>460</v>
      </c>
      <c r="I176" s="181">
        <f t="shared" si="83"/>
        <v>802</v>
      </c>
      <c r="J176" s="181">
        <f t="shared" si="83"/>
        <v>1040</v>
      </c>
      <c r="K176" s="181">
        <f t="shared" si="83"/>
        <v>920.95540420054067</v>
      </c>
      <c r="L176" s="181">
        <f t="shared" si="83"/>
        <v>943.88719376513404</v>
      </c>
      <c r="M176" s="181">
        <f t="shared" si="83"/>
        <v>963.23688123731927</v>
      </c>
      <c r="N176" s="181">
        <f t="shared" si="83"/>
        <v>984.81338737703516</v>
      </c>
      <c r="O176" s="181">
        <f t="shared" si="83"/>
        <v>1008.3504273353464</v>
      </c>
    </row>
    <row r="177" spans="2:15">
      <c r="B177" s="58" t="s">
        <v>75</v>
      </c>
      <c r="C177" s="58" t="s">
        <v>270</v>
      </c>
      <c r="D177" s="181">
        <f t="shared" ref="D177" si="88">D36*D135</f>
        <v>344</v>
      </c>
      <c r="E177" s="181">
        <f t="shared" ref="E177:G177" si="89">E36*E135</f>
        <v>343</v>
      </c>
      <c r="F177" s="181">
        <f t="shared" si="89"/>
        <v>305</v>
      </c>
      <c r="G177" s="181">
        <f t="shared" si="89"/>
        <v>266</v>
      </c>
      <c r="H177" s="181">
        <f t="shared" si="83"/>
        <v>222</v>
      </c>
      <c r="I177" s="181">
        <f t="shared" si="83"/>
        <v>0</v>
      </c>
      <c r="J177" s="181">
        <f t="shared" si="83"/>
        <v>0</v>
      </c>
      <c r="K177" s="181">
        <f t="shared" si="83"/>
        <v>0</v>
      </c>
      <c r="L177" s="181">
        <f t="shared" si="83"/>
        <v>0</v>
      </c>
      <c r="M177" s="181">
        <f t="shared" si="83"/>
        <v>0</v>
      </c>
      <c r="N177" s="181">
        <f t="shared" si="83"/>
        <v>0</v>
      </c>
      <c r="O177" s="181">
        <f t="shared" si="83"/>
        <v>0</v>
      </c>
    </row>
    <row r="178" spans="2:15">
      <c r="B178" s="58" t="s">
        <v>76</v>
      </c>
      <c r="C178" s="58" t="s">
        <v>270</v>
      </c>
      <c r="D178" s="181">
        <f t="shared" ref="D178" si="90">D37*D136</f>
        <v>1058</v>
      </c>
      <c r="E178" s="181">
        <f t="shared" ref="E178:G178" si="91">E37*E136</f>
        <v>989</v>
      </c>
      <c r="F178" s="181">
        <f t="shared" si="91"/>
        <v>1002</v>
      </c>
      <c r="G178" s="181">
        <f t="shared" si="91"/>
        <v>1046</v>
      </c>
      <c r="H178" s="181">
        <f t="shared" si="83"/>
        <v>1129</v>
      </c>
      <c r="I178" s="181">
        <f t="shared" si="83"/>
        <v>1502</v>
      </c>
      <c r="J178" s="181">
        <f t="shared" si="83"/>
        <v>1675</v>
      </c>
      <c r="K178" s="181">
        <f t="shared" si="83"/>
        <v>1536.0174529117489</v>
      </c>
      <c r="L178" s="181">
        <f t="shared" si="83"/>
        <v>1574.2642874892513</v>
      </c>
      <c r="M178" s="181">
        <f t="shared" si="83"/>
        <v>1606.5367053827808</v>
      </c>
      <c r="N178" s="181">
        <f t="shared" si="83"/>
        <v>1642.5231275833551</v>
      </c>
      <c r="O178" s="181">
        <f t="shared" si="83"/>
        <v>1681.7794303325973</v>
      </c>
    </row>
    <row r="179" spans="2:15">
      <c r="B179" s="58" t="s">
        <v>77</v>
      </c>
      <c r="C179" s="58" t="s">
        <v>273</v>
      </c>
      <c r="D179" s="181">
        <f t="shared" ref="D179" si="92">D38*D137</f>
        <v>0</v>
      </c>
      <c r="E179" s="181">
        <f t="shared" ref="E179:G179" si="93">E38*E137</f>
        <v>0</v>
      </c>
      <c r="F179" s="181">
        <f t="shared" si="93"/>
        <v>2</v>
      </c>
      <c r="G179" s="181">
        <f t="shared" si="93"/>
        <v>2</v>
      </c>
      <c r="H179" s="181">
        <f t="shared" si="83"/>
        <v>6</v>
      </c>
      <c r="I179" s="181">
        <f t="shared" si="83"/>
        <v>8</v>
      </c>
      <c r="J179" s="181">
        <f t="shared" si="83"/>
        <v>88</v>
      </c>
      <c r="K179" s="181">
        <f t="shared" si="83"/>
        <v>12.039224387583706</v>
      </c>
      <c r="L179" s="181">
        <f t="shared" si="83"/>
        <v>12.33900107483454</v>
      </c>
      <c r="M179" s="181">
        <f t="shared" si="83"/>
        <v>12.591950596868648</v>
      </c>
      <c r="N179" s="181">
        <f t="shared" si="83"/>
        <v>12.874010290238505</v>
      </c>
      <c r="O179" s="181">
        <f t="shared" si="83"/>
        <v>13.181699136175206</v>
      </c>
    </row>
    <row r="180" spans="2:15">
      <c r="B180" s="58" t="s">
        <v>78</v>
      </c>
      <c r="C180" s="58" t="s">
        <v>271</v>
      </c>
      <c r="D180" s="181">
        <f t="shared" ref="D180" si="94">D39*D138</f>
        <v>401</v>
      </c>
      <c r="E180" s="181">
        <f t="shared" ref="E180:G180" si="95">E39*E138</f>
        <v>393</v>
      </c>
      <c r="F180" s="181">
        <f t="shared" si="95"/>
        <v>391</v>
      </c>
      <c r="G180" s="181">
        <f t="shared" si="95"/>
        <v>389</v>
      </c>
      <c r="H180" s="181">
        <f t="shared" si="83"/>
        <v>387</v>
      </c>
      <c r="I180" s="181">
        <f t="shared" si="83"/>
        <v>377</v>
      </c>
      <c r="J180" s="181">
        <f t="shared" si="83"/>
        <v>371</v>
      </c>
      <c r="K180" s="181">
        <f t="shared" si="83"/>
        <v>376.22576211199083</v>
      </c>
      <c r="L180" s="181">
        <f t="shared" si="83"/>
        <v>385.59378358857936</v>
      </c>
      <c r="M180" s="181">
        <f t="shared" si="83"/>
        <v>393.4984561521452</v>
      </c>
      <c r="N180" s="181">
        <f t="shared" si="83"/>
        <v>402.31282156995326</v>
      </c>
      <c r="O180" s="181">
        <f t="shared" si="83"/>
        <v>411.92809800547514</v>
      </c>
    </row>
    <row r="181" spans="2:15">
      <c r="B181" s="58" t="s">
        <v>79</v>
      </c>
      <c r="C181" s="58" t="s">
        <v>272</v>
      </c>
      <c r="D181" s="181">
        <f t="shared" ref="D181" si="96">D40*D139</f>
        <v>1</v>
      </c>
      <c r="E181" s="181">
        <f t="shared" ref="E181:G181" si="97">E40*E139</f>
        <v>1</v>
      </c>
      <c r="F181" s="181">
        <f t="shared" si="97"/>
        <v>1</v>
      </c>
      <c r="G181" s="181">
        <f t="shared" si="97"/>
        <v>0</v>
      </c>
      <c r="H181" s="181">
        <f t="shared" ref="H181:O181" si="98">H40*H139</f>
        <v>0</v>
      </c>
      <c r="I181" s="181">
        <f t="shared" si="98"/>
        <v>0</v>
      </c>
      <c r="J181" s="181">
        <f t="shared" si="98"/>
        <v>1</v>
      </c>
      <c r="K181" s="181">
        <f t="shared" si="98"/>
        <v>1</v>
      </c>
      <c r="L181" s="181">
        <f t="shared" si="98"/>
        <v>1</v>
      </c>
      <c r="M181" s="181">
        <f t="shared" si="98"/>
        <v>1</v>
      </c>
      <c r="N181" s="181">
        <f t="shared" si="98"/>
        <v>1</v>
      </c>
      <c r="O181" s="181">
        <f t="shared" si="98"/>
        <v>1</v>
      </c>
    </row>
    <row r="182" spans="2:15">
      <c r="B182" s="58"/>
      <c r="C182" s="58"/>
      <c r="D182" s="181"/>
      <c r="E182" s="181"/>
      <c r="F182" s="181"/>
      <c r="G182" s="181"/>
      <c r="H182" s="181"/>
      <c r="I182" s="181"/>
      <c r="J182" s="181"/>
      <c r="K182" s="181"/>
      <c r="L182" s="181"/>
      <c r="M182" s="181"/>
      <c r="N182" s="181"/>
      <c r="O182" s="181"/>
    </row>
    <row r="183" spans="2:15">
      <c r="B183" s="60" t="s">
        <v>80</v>
      </c>
      <c r="C183" s="60"/>
      <c r="D183" s="183">
        <f t="shared" ref="D183" si="99">SUM(D164:D181)</f>
        <v>862247</v>
      </c>
      <c r="E183" s="183">
        <f t="shared" ref="E183:G183" si="100">SUM(E164:E181)</f>
        <v>868401</v>
      </c>
      <c r="F183" s="183">
        <f t="shared" si="100"/>
        <v>875281</v>
      </c>
      <c r="G183" s="183">
        <f t="shared" si="100"/>
        <v>886250</v>
      </c>
      <c r="H183" s="183">
        <f>SUM(H164:H181)</f>
        <v>898312</v>
      </c>
      <c r="I183" s="183">
        <f>SUM(I164:I181)</f>
        <v>929775</v>
      </c>
      <c r="J183" s="183">
        <f t="shared" ref="J183:O183" si="101">SUM(J164:J181)</f>
        <v>948232</v>
      </c>
      <c r="K183" s="183">
        <f t="shared" si="101"/>
        <v>956824.90015707863</v>
      </c>
      <c r="L183" s="183">
        <f t="shared" si="101"/>
        <v>969031.99812172027</v>
      </c>
      <c r="M183" s="183">
        <f t="shared" si="101"/>
        <v>980651.70020285249</v>
      </c>
      <c r="N183" s="183">
        <f t="shared" si="101"/>
        <v>994159.70636485319</v>
      </c>
      <c r="O183" s="183">
        <f t="shared" si="101"/>
        <v>1009277.4446403171</v>
      </c>
    </row>
    <row r="184" spans="2:15">
      <c r="B184" s="58"/>
      <c r="C184" s="58"/>
      <c r="D184" s="181"/>
      <c r="E184" s="181"/>
      <c r="F184" s="181"/>
      <c r="G184" s="181"/>
      <c r="H184" s="181"/>
      <c r="I184" s="181"/>
      <c r="J184" s="181"/>
      <c r="K184" s="181"/>
      <c r="L184" s="181"/>
      <c r="M184" s="181"/>
      <c r="N184" s="181"/>
      <c r="O184" s="181"/>
    </row>
    <row r="185" spans="2:15">
      <c r="B185" s="62" t="s">
        <v>81</v>
      </c>
      <c r="C185" s="62"/>
      <c r="D185" s="181"/>
      <c r="E185" s="181"/>
      <c r="F185" s="181"/>
      <c r="G185" s="181"/>
      <c r="H185" s="181"/>
      <c r="I185" s="181"/>
      <c r="J185" s="181"/>
      <c r="K185" s="181"/>
      <c r="L185" s="181"/>
      <c r="M185" s="181"/>
      <c r="N185" s="181"/>
      <c r="O185" s="181"/>
    </row>
    <row r="186" spans="2:15">
      <c r="B186" s="58" t="s">
        <v>82</v>
      </c>
      <c r="C186" s="58" t="s">
        <v>105</v>
      </c>
      <c r="D186" s="181">
        <f t="shared" ref="D186" si="102">D45*D144</f>
        <v>153674</v>
      </c>
      <c r="E186" s="181">
        <f t="shared" ref="E186:G186" si="103">E45*E144</f>
        <v>140851</v>
      </c>
      <c r="F186" s="181">
        <f t="shared" si="103"/>
        <v>128723</v>
      </c>
      <c r="G186" s="181">
        <f t="shared" si="103"/>
        <v>117766</v>
      </c>
      <c r="H186" s="181">
        <f t="shared" ref="H186:O189" si="104">H45*H144</f>
        <v>99822</v>
      </c>
      <c r="I186" s="181">
        <f t="shared" si="104"/>
        <v>0</v>
      </c>
      <c r="J186" s="181">
        <f t="shared" si="104"/>
        <v>0</v>
      </c>
      <c r="K186" s="181">
        <f t="shared" si="104"/>
        <v>0</v>
      </c>
      <c r="L186" s="181">
        <f t="shared" si="104"/>
        <v>0</v>
      </c>
      <c r="M186" s="181">
        <f t="shared" si="104"/>
        <v>0</v>
      </c>
      <c r="N186" s="181">
        <f t="shared" si="104"/>
        <v>0</v>
      </c>
      <c r="O186" s="181">
        <f t="shared" si="104"/>
        <v>0</v>
      </c>
    </row>
    <row r="187" spans="2:15">
      <c r="B187" s="58" t="s">
        <v>83</v>
      </c>
      <c r="C187" s="58" t="s">
        <v>105</v>
      </c>
      <c r="D187" s="181">
        <f t="shared" ref="D187" si="105">D46*D145</f>
        <v>90373</v>
      </c>
      <c r="E187" s="181">
        <f t="shared" ref="E187:G187" si="106">E46*E145</f>
        <v>102107</v>
      </c>
      <c r="F187" s="181">
        <f t="shared" si="106"/>
        <v>112357</v>
      </c>
      <c r="G187" s="181">
        <f t="shared" si="106"/>
        <v>120007</v>
      </c>
      <c r="H187" s="181">
        <f t="shared" si="104"/>
        <v>136510</v>
      </c>
      <c r="I187" s="181">
        <f t="shared" si="104"/>
        <v>239545</v>
      </c>
      <c r="J187" s="181">
        <f t="shared" si="104"/>
        <v>239037</v>
      </c>
      <c r="K187" s="181">
        <f t="shared" si="104"/>
        <v>232195.33773803365</v>
      </c>
      <c r="L187" s="181">
        <f t="shared" si="104"/>
        <v>228015.82165874905</v>
      </c>
      <c r="M187" s="181">
        <f t="shared" si="104"/>
        <v>223455.50522557407</v>
      </c>
      <c r="N187" s="181">
        <f t="shared" si="104"/>
        <v>218539.48411061143</v>
      </c>
      <c r="O187" s="181">
        <f t="shared" si="104"/>
        <v>213075.99700784613</v>
      </c>
    </row>
    <row r="188" spans="2:15">
      <c r="B188" s="58" t="s">
        <v>84</v>
      </c>
      <c r="C188" s="58" t="s">
        <v>105</v>
      </c>
      <c r="D188" s="181">
        <f t="shared" ref="D188" si="107">D47*D146</f>
        <v>52399</v>
      </c>
      <c r="E188" s="181">
        <f t="shared" ref="E188:G188" si="108">E47*E146</f>
        <v>51242</v>
      </c>
      <c r="F188" s="181">
        <f t="shared" si="108"/>
        <v>49459</v>
      </c>
      <c r="G188" s="181">
        <f t="shared" si="108"/>
        <v>45936</v>
      </c>
      <c r="H188" s="181">
        <f t="shared" si="104"/>
        <v>38682</v>
      </c>
      <c r="I188" s="181">
        <f t="shared" si="104"/>
        <v>1</v>
      </c>
      <c r="J188" s="181">
        <f t="shared" si="104"/>
        <v>0</v>
      </c>
      <c r="K188" s="181">
        <f t="shared" si="104"/>
        <v>0</v>
      </c>
      <c r="L188" s="181">
        <f t="shared" si="104"/>
        <v>0</v>
      </c>
      <c r="M188" s="181">
        <f t="shared" si="104"/>
        <v>0</v>
      </c>
      <c r="N188" s="181">
        <f t="shared" si="104"/>
        <v>0</v>
      </c>
      <c r="O188" s="181">
        <f t="shared" si="104"/>
        <v>0</v>
      </c>
    </row>
    <row r="189" spans="2:15">
      <c r="B189" s="58" t="s">
        <v>85</v>
      </c>
      <c r="C189" s="58" t="s">
        <v>105</v>
      </c>
      <c r="D189" s="181">
        <f t="shared" ref="D189" si="109">D48*D147</f>
        <v>47627</v>
      </c>
      <c r="E189" s="181">
        <f t="shared" ref="E189:G189" si="110">E48*E147</f>
        <v>49344</v>
      </c>
      <c r="F189" s="181">
        <f t="shared" si="110"/>
        <v>53483</v>
      </c>
      <c r="G189" s="181">
        <f t="shared" si="110"/>
        <v>57118</v>
      </c>
      <c r="H189" s="181">
        <f t="shared" si="104"/>
        <v>63861</v>
      </c>
      <c r="I189" s="181">
        <f t="shared" si="104"/>
        <v>103519</v>
      </c>
      <c r="J189" s="181">
        <f t="shared" si="104"/>
        <v>103564</v>
      </c>
      <c r="K189" s="181">
        <f t="shared" si="104"/>
        <v>100654.90188696639</v>
      </c>
      <c r="L189" s="181">
        <f t="shared" si="104"/>
        <v>98843.113653000997</v>
      </c>
      <c r="M189" s="181">
        <f t="shared" si="104"/>
        <v>96866.251379940979</v>
      </c>
      <c r="N189" s="181">
        <f t="shared" si="104"/>
        <v>94735.193849582283</v>
      </c>
      <c r="O189" s="181">
        <f t="shared" si="104"/>
        <v>92366.814003342733</v>
      </c>
    </row>
    <row r="190" spans="2:15">
      <c r="B190" s="58"/>
      <c r="C190" s="58"/>
      <c r="D190" s="181"/>
      <c r="E190" s="181"/>
      <c r="F190" s="181"/>
      <c r="G190" s="181"/>
      <c r="H190" s="181"/>
      <c r="I190" s="181"/>
      <c r="J190" s="181"/>
      <c r="K190" s="181"/>
      <c r="L190" s="181"/>
      <c r="M190" s="181"/>
      <c r="N190" s="181"/>
      <c r="O190" s="181"/>
    </row>
    <row r="191" spans="2:15">
      <c r="B191" s="60" t="s">
        <v>86</v>
      </c>
      <c r="C191" s="60"/>
      <c r="D191" s="183">
        <f t="shared" ref="D191" si="111">SUM(D186:D189)</f>
        <v>344073</v>
      </c>
      <c r="E191" s="183">
        <f t="shared" ref="E191:G191" si="112">SUM(E186:E189)</f>
        <v>343544</v>
      </c>
      <c r="F191" s="183">
        <f t="shared" si="112"/>
        <v>344022</v>
      </c>
      <c r="G191" s="183">
        <f t="shared" si="112"/>
        <v>340827</v>
      </c>
      <c r="H191" s="183">
        <f>SUM(H186:H189)</f>
        <v>338875</v>
      </c>
      <c r="I191" s="183">
        <f>SUM(I186:I189)</f>
        <v>343065</v>
      </c>
      <c r="J191" s="183">
        <f t="shared" ref="J191:O191" si="113">SUM(J186:J189)</f>
        <v>342601</v>
      </c>
      <c r="K191" s="183">
        <f t="shared" si="113"/>
        <v>332850.23962500005</v>
      </c>
      <c r="L191" s="183">
        <f t="shared" si="113"/>
        <v>326858.93531175004</v>
      </c>
      <c r="M191" s="183">
        <f t="shared" si="113"/>
        <v>320321.75660551502</v>
      </c>
      <c r="N191" s="183">
        <f t="shared" si="113"/>
        <v>313274.67796019372</v>
      </c>
      <c r="O191" s="183">
        <f t="shared" si="113"/>
        <v>305442.8110111889</v>
      </c>
    </row>
    <row r="192" spans="2:15">
      <c r="B192" s="58"/>
      <c r="C192" s="73"/>
      <c r="D192" s="181"/>
      <c r="E192" s="181"/>
      <c r="F192" s="181"/>
      <c r="G192" s="181"/>
      <c r="H192" s="181"/>
      <c r="I192" s="181"/>
      <c r="J192" s="181"/>
      <c r="K192" s="181"/>
      <c r="L192" s="181"/>
      <c r="M192" s="181"/>
      <c r="N192" s="181"/>
      <c r="O192" s="181"/>
    </row>
    <row r="193" spans="2:15">
      <c r="B193" s="62" t="s">
        <v>87</v>
      </c>
      <c r="C193" s="58"/>
      <c r="D193" s="181"/>
      <c r="E193" s="181"/>
      <c r="F193" s="181"/>
      <c r="G193" s="181"/>
      <c r="H193" s="181"/>
      <c r="I193" s="181"/>
      <c r="J193" s="181"/>
      <c r="K193" s="181"/>
      <c r="L193" s="181"/>
      <c r="M193" s="181"/>
      <c r="N193" s="181"/>
      <c r="O193" s="181"/>
    </row>
    <row r="194" spans="2:15">
      <c r="B194" s="63" t="s">
        <v>88</v>
      </c>
      <c r="C194" s="58" t="s">
        <v>173</v>
      </c>
      <c r="D194" s="181">
        <f t="shared" ref="D194" si="114">D54*D152</f>
        <v>0</v>
      </c>
      <c r="E194" s="181">
        <f t="shared" ref="E194:G194" si="115">E54*E152</f>
        <v>0</v>
      </c>
      <c r="F194" s="181">
        <f t="shared" si="115"/>
        <v>5761</v>
      </c>
      <c r="G194" s="181">
        <f t="shared" si="115"/>
        <v>34136</v>
      </c>
      <c r="H194" s="181">
        <f t="shared" ref="H194:O200" si="116">H54*H152</f>
        <v>36213</v>
      </c>
      <c r="I194" s="181">
        <f t="shared" si="116"/>
        <v>36085</v>
      </c>
      <c r="J194" s="181">
        <f t="shared" si="116"/>
        <v>35874</v>
      </c>
      <c r="K194" s="181">
        <f t="shared" si="116"/>
        <v>36012</v>
      </c>
      <c r="L194" s="181">
        <f t="shared" si="116"/>
        <v>36012</v>
      </c>
      <c r="M194" s="181">
        <f t="shared" si="116"/>
        <v>0</v>
      </c>
      <c r="N194" s="181">
        <f t="shared" si="116"/>
        <v>0</v>
      </c>
      <c r="O194" s="181">
        <f t="shared" si="116"/>
        <v>0</v>
      </c>
    </row>
    <row r="195" spans="2:15">
      <c r="B195" s="63" t="s">
        <v>89</v>
      </c>
      <c r="C195" s="63" t="s">
        <v>173</v>
      </c>
      <c r="D195" s="181">
        <f t="shared" ref="D195" si="117">D55*D153</f>
        <v>0</v>
      </c>
      <c r="E195" s="181">
        <f t="shared" ref="E195:G195" si="118">E55*E153</f>
        <v>0</v>
      </c>
      <c r="F195" s="181">
        <f t="shared" si="118"/>
        <v>0</v>
      </c>
      <c r="G195" s="181">
        <f t="shared" si="118"/>
        <v>2835</v>
      </c>
      <c r="H195" s="181">
        <f t="shared" si="116"/>
        <v>6847</v>
      </c>
      <c r="I195" s="181">
        <f t="shared" si="116"/>
        <v>7089</v>
      </c>
      <c r="J195" s="181">
        <f t="shared" si="116"/>
        <v>7225</v>
      </c>
      <c r="K195" s="181">
        <f t="shared" si="116"/>
        <v>7143</v>
      </c>
      <c r="L195" s="181">
        <f t="shared" si="116"/>
        <v>7143</v>
      </c>
      <c r="M195" s="181">
        <f t="shared" si="116"/>
        <v>0</v>
      </c>
      <c r="N195" s="181">
        <f t="shared" si="116"/>
        <v>0</v>
      </c>
      <c r="O195" s="181">
        <f t="shared" si="116"/>
        <v>0</v>
      </c>
    </row>
    <row r="196" spans="2:15">
      <c r="B196" s="63" t="s">
        <v>90</v>
      </c>
      <c r="C196" s="63" t="s">
        <v>173</v>
      </c>
      <c r="D196" s="181">
        <f t="shared" ref="D196" si="119">D56*D154</f>
        <v>0</v>
      </c>
      <c r="E196" s="181">
        <f t="shared" ref="E196:G196" si="120">E56*E154</f>
        <v>0</v>
      </c>
      <c r="F196" s="181">
        <f t="shared" si="120"/>
        <v>0</v>
      </c>
      <c r="G196" s="181">
        <f t="shared" si="120"/>
        <v>1</v>
      </c>
      <c r="H196" s="181">
        <f t="shared" si="116"/>
        <v>10</v>
      </c>
      <c r="I196" s="181">
        <f t="shared" si="116"/>
        <v>13</v>
      </c>
      <c r="J196" s="181">
        <f t="shared" si="116"/>
        <v>18</v>
      </c>
      <c r="K196" s="181">
        <f t="shared" si="116"/>
        <v>17</v>
      </c>
      <c r="L196" s="181">
        <f t="shared" si="116"/>
        <v>17</v>
      </c>
      <c r="M196" s="181">
        <f t="shared" si="116"/>
        <v>0</v>
      </c>
      <c r="N196" s="181">
        <f t="shared" si="116"/>
        <v>0</v>
      </c>
      <c r="O196" s="181">
        <f t="shared" si="116"/>
        <v>0</v>
      </c>
    </row>
    <row r="197" spans="2:15">
      <c r="B197" s="63" t="s">
        <v>91</v>
      </c>
      <c r="C197" s="63" t="s">
        <v>173</v>
      </c>
      <c r="D197" s="181">
        <f t="shared" ref="D197" si="121">D57*D155</f>
        <v>0</v>
      </c>
      <c r="E197" s="181">
        <f t="shared" ref="E197:G197" si="122">E57*E155</f>
        <v>0</v>
      </c>
      <c r="F197" s="181">
        <f t="shared" si="122"/>
        <v>0</v>
      </c>
      <c r="G197" s="181">
        <f t="shared" si="122"/>
        <v>0</v>
      </c>
      <c r="H197" s="181">
        <f t="shared" si="116"/>
        <v>166</v>
      </c>
      <c r="I197" s="181">
        <f t="shared" si="116"/>
        <v>303</v>
      </c>
      <c r="J197" s="181">
        <f t="shared" si="116"/>
        <v>309</v>
      </c>
      <c r="K197" s="181">
        <f t="shared" si="116"/>
        <v>306</v>
      </c>
      <c r="L197" s="181">
        <f t="shared" si="116"/>
        <v>306</v>
      </c>
      <c r="M197" s="181">
        <f t="shared" si="116"/>
        <v>0</v>
      </c>
      <c r="N197" s="181">
        <f t="shared" si="116"/>
        <v>0</v>
      </c>
      <c r="O197" s="181">
        <f t="shared" si="116"/>
        <v>0</v>
      </c>
    </row>
    <row r="198" spans="2:15">
      <c r="B198" s="63" t="s">
        <v>92</v>
      </c>
      <c r="C198" s="63" t="s">
        <v>173</v>
      </c>
      <c r="D198" s="181">
        <f t="shared" ref="D198" si="123">D58*D156</f>
        <v>0</v>
      </c>
      <c r="E198" s="181">
        <f t="shared" ref="E198:G198" si="124">E58*E156</f>
        <v>0</v>
      </c>
      <c r="F198" s="181">
        <f t="shared" si="124"/>
        <v>0</v>
      </c>
      <c r="G198" s="181">
        <f t="shared" si="124"/>
        <v>0</v>
      </c>
      <c r="H198" s="181">
        <f t="shared" si="116"/>
        <v>55</v>
      </c>
      <c r="I198" s="181">
        <f t="shared" si="116"/>
        <v>62</v>
      </c>
      <c r="J198" s="181">
        <f t="shared" si="116"/>
        <v>60</v>
      </c>
      <c r="K198" s="181">
        <f t="shared" si="116"/>
        <v>59</v>
      </c>
      <c r="L198" s="181">
        <f t="shared" si="116"/>
        <v>59</v>
      </c>
      <c r="M198" s="181">
        <f t="shared" si="116"/>
        <v>59</v>
      </c>
      <c r="N198" s="181">
        <f t="shared" si="116"/>
        <v>59</v>
      </c>
      <c r="O198" s="181">
        <f t="shared" si="116"/>
        <v>59</v>
      </c>
    </row>
    <row r="199" spans="2:15">
      <c r="B199" s="63" t="s">
        <v>93</v>
      </c>
      <c r="C199" s="63" t="s">
        <v>173</v>
      </c>
      <c r="D199" s="181">
        <f t="shared" ref="D199" si="125">D59*D157</f>
        <v>0</v>
      </c>
      <c r="E199" s="181">
        <f t="shared" ref="E199:G199" si="126">E59*E157</f>
        <v>0</v>
      </c>
      <c r="F199" s="181">
        <f t="shared" si="126"/>
        <v>0</v>
      </c>
      <c r="G199" s="181">
        <f t="shared" si="126"/>
        <v>0</v>
      </c>
      <c r="H199" s="181">
        <f t="shared" si="116"/>
        <v>5205</v>
      </c>
      <c r="I199" s="181">
        <f t="shared" si="116"/>
        <v>13778</v>
      </c>
      <c r="J199" s="181">
        <f t="shared" si="116"/>
        <v>17978</v>
      </c>
      <c r="K199" s="181">
        <f t="shared" si="116"/>
        <v>19481</v>
      </c>
      <c r="L199" s="181">
        <f t="shared" si="116"/>
        <v>23681</v>
      </c>
      <c r="M199" s="181">
        <f t="shared" si="116"/>
        <v>71359</v>
      </c>
      <c r="N199" s="181">
        <f t="shared" si="116"/>
        <v>75559</v>
      </c>
      <c r="O199" s="181">
        <f t="shared" si="116"/>
        <v>79759</v>
      </c>
    </row>
    <row r="200" spans="2:15">
      <c r="B200" s="63" t="s">
        <v>94</v>
      </c>
      <c r="C200" s="63" t="s">
        <v>173</v>
      </c>
      <c r="D200" s="181">
        <f t="shared" ref="D200" si="127">D60*D158</f>
        <v>76</v>
      </c>
      <c r="E200" s="181">
        <f t="shared" ref="E200:G200" si="128">E60*E158</f>
        <v>370</v>
      </c>
      <c r="F200" s="181">
        <f t="shared" si="128"/>
        <v>13</v>
      </c>
      <c r="G200" s="181">
        <f t="shared" si="128"/>
        <v>16</v>
      </c>
      <c r="H200" s="181">
        <f t="shared" si="116"/>
        <v>3353</v>
      </c>
      <c r="I200" s="181">
        <f t="shared" si="116"/>
        <v>3269</v>
      </c>
      <c r="J200" s="181">
        <f t="shared" si="116"/>
        <v>3251</v>
      </c>
      <c r="K200" s="181">
        <f t="shared" si="116"/>
        <v>3262</v>
      </c>
      <c r="L200" s="181">
        <f t="shared" si="116"/>
        <v>3262</v>
      </c>
      <c r="M200" s="181">
        <f t="shared" si="116"/>
        <v>3262</v>
      </c>
      <c r="N200" s="181">
        <f t="shared" si="116"/>
        <v>3262</v>
      </c>
      <c r="O200" s="181">
        <f t="shared" si="116"/>
        <v>3262</v>
      </c>
    </row>
    <row r="201" spans="2:15">
      <c r="C201" s="63"/>
      <c r="D201" s="186"/>
      <c r="E201" s="186"/>
      <c r="F201" s="186"/>
      <c r="G201" s="186"/>
      <c r="H201" s="186"/>
      <c r="I201" s="186"/>
      <c r="J201" s="186"/>
      <c r="K201" s="186"/>
      <c r="L201" s="186"/>
      <c r="M201" s="186"/>
      <c r="N201" s="186"/>
      <c r="O201" s="186"/>
    </row>
    <row r="202" spans="2:15">
      <c r="B202" s="60" t="s">
        <v>95</v>
      </c>
      <c r="C202" s="60"/>
      <c r="D202" s="183">
        <f t="shared" ref="D202" si="129">SUM(D194:D200)</f>
        <v>76</v>
      </c>
      <c r="E202" s="183">
        <f t="shared" ref="E202:G202" si="130">SUM(E194:E200)</f>
        <v>370</v>
      </c>
      <c r="F202" s="183">
        <f t="shared" si="130"/>
        <v>5774</v>
      </c>
      <c r="G202" s="183">
        <f t="shared" si="130"/>
        <v>36988</v>
      </c>
      <c r="H202" s="183">
        <f>SUM(H194:H200)</f>
        <v>51849</v>
      </c>
      <c r="I202" s="183">
        <f>SUM(I194:I200)</f>
        <v>60599</v>
      </c>
      <c r="J202" s="183">
        <f t="shared" ref="J202:O202" si="131">SUM(J194:J200)</f>
        <v>64715</v>
      </c>
      <c r="K202" s="183">
        <f t="shared" si="131"/>
        <v>66280</v>
      </c>
      <c r="L202" s="183">
        <f t="shared" si="131"/>
        <v>70480</v>
      </c>
      <c r="M202" s="183">
        <f t="shared" si="131"/>
        <v>74680</v>
      </c>
      <c r="N202" s="183">
        <f t="shared" si="131"/>
        <v>78880</v>
      </c>
      <c r="O202" s="183">
        <f t="shared" si="131"/>
        <v>83080</v>
      </c>
    </row>
    <row r="203" spans="2:15">
      <c r="B203" s="58"/>
      <c r="C203" s="58"/>
      <c r="D203" s="181"/>
      <c r="E203" s="181"/>
      <c r="F203" s="181"/>
      <c r="G203" s="181"/>
      <c r="H203" s="181"/>
      <c r="I203" s="181"/>
      <c r="J203" s="181"/>
      <c r="K203" s="181"/>
      <c r="L203" s="181"/>
      <c r="M203" s="181"/>
      <c r="N203" s="181"/>
      <c r="O203" s="181"/>
    </row>
    <row r="204" spans="2:15" ht="13.5" thickBot="1">
      <c r="B204" s="66" t="s">
        <v>101</v>
      </c>
      <c r="C204" s="66"/>
      <c r="D204" s="188">
        <f t="shared" ref="D204" si="132">SUM(D202,D191,D183)</f>
        <v>1206396</v>
      </c>
      <c r="E204" s="188">
        <f t="shared" ref="E204:G204" si="133">SUM(E202,E191,E183)</f>
        <v>1212315</v>
      </c>
      <c r="F204" s="188">
        <f t="shared" si="133"/>
        <v>1225077</v>
      </c>
      <c r="G204" s="188">
        <f t="shared" si="133"/>
        <v>1264065</v>
      </c>
      <c r="H204" s="188">
        <f>SUM(H202,H191,H183)</f>
        <v>1289036</v>
      </c>
      <c r="I204" s="188">
        <f>SUM(I202,I191,I183)</f>
        <v>1333439</v>
      </c>
      <c r="J204" s="188">
        <f t="shared" ref="J204:O204" si="134">SUM(J202,J191,J183)</f>
        <v>1355548</v>
      </c>
      <c r="K204" s="188">
        <f t="shared" si="134"/>
        <v>1355955.1397820786</v>
      </c>
      <c r="L204" s="188">
        <f t="shared" si="134"/>
        <v>1366370.9334334703</v>
      </c>
      <c r="M204" s="188">
        <f t="shared" si="134"/>
        <v>1375653.4568083675</v>
      </c>
      <c r="N204" s="188">
        <f t="shared" si="134"/>
        <v>1386314.384325047</v>
      </c>
      <c r="O204" s="188">
        <f t="shared" si="134"/>
        <v>1397800.2556515061</v>
      </c>
    </row>
    <row r="205" spans="2:15">
      <c r="H205" s="186"/>
      <c r="I205" s="186"/>
      <c r="J205" s="189">
        <f>(J204-I204)/I204</f>
        <v>1.6580436000446966E-2</v>
      </c>
      <c r="K205" s="189">
        <f t="shared" ref="K205:O205" si="135">(K204-J204)/J204</f>
        <v>3.0035069365198737E-4</v>
      </c>
      <c r="L205" s="189">
        <f t="shared" si="135"/>
        <v>7.681517880499881E-3</v>
      </c>
      <c r="M205" s="189">
        <f t="shared" si="135"/>
        <v>6.7935603339948887E-3</v>
      </c>
      <c r="N205" s="189">
        <f t="shared" si="135"/>
        <v>7.7497188437368279E-3</v>
      </c>
      <c r="O205" s="189">
        <f t="shared" si="135"/>
        <v>8.285185132845041E-3</v>
      </c>
    </row>
    <row r="206" spans="2:15">
      <c r="H206" s="186"/>
      <c r="I206" s="186"/>
      <c r="J206" s="186"/>
      <c r="K206" s="186"/>
      <c r="L206" s="186"/>
      <c r="M206" s="186"/>
      <c r="N206" s="186"/>
      <c r="O206" s="186"/>
    </row>
    <row r="207" spans="2:15" ht="13.5" thickBot="1">
      <c r="B207" s="66" t="s">
        <v>102</v>
      </c>
      <c r="C207" s="66"/>
      <c r="D207" s="304"/>
      <c r="E207" s="188">
        <f t="shared" ref="E207:H207" si="136">SUM(D204:E204)/2</f>
        <v>1209355.5</v>
      </c>
      <c r="F207" s="188">
        <f t="shared" si="136"/>
        <v>1218696</v>
      </c>
      <c r="G207" s="188">
        <f t="shared" si="136"/>
        <v>1244571</v>
      </c>
      <c r="H207" s="188">
        <f t="shared" si="136"/>
        <v>1276550.5</v>
      </c>
      <c r="I207" s="188">
        <f>SUM(H204:I204)/2</f>
        <v>1311237.5</v>
      </c>
      <c r="J207" s="188">
        <f>SUM(I204:J204)/2</f>
        <v>1344493.5</v>
      </c>
      <c r="K207" s="188">
        <f t="shared" ref="K207:O207" si="137">SUM(J204:K204)/2</f>
        <v>1355751.5698910393</v>
      </c>
      <c r="L207" s="188">
        <f t="shared" si="137"/>
        <v>1361163.0366077744</v>
      </c>
      <c r="M207" s="188">
        <f t="shared" si="137"/>
        <v>1371012.195120919</v>
      </c>
      <c r="N207" s="188">
        <f t="shared" si="137"/>
        <v>1380983.9205667074</v>
      </c>
      <c r="O207" s="188">
        <f t="shared" si="137"/>
        <v>1392057.3199882766</v>
      </c>
    </row>
    <row r="208" spans="2:15">
      <c r="H208" s="186"/>
      <c r="I208" s="186"/>
      <c r="J208" s="186"/>
      <c r="K208" s="186"/>
      <c r="L208" s="186"/>
      <c r="M208" s="186"/>
      <c r="N208" s="186"/>
      <c r="O208" s="186"/>
    </row>
    <row r="209" spans="2:15">
      <c r="B209" s="78" t="s">
        <v>102</v>
      </c>
      <c r="C209" s="76"/>
      <c r="D209" s="76"/>
      <c r="E209" s="76"/>
      <c r="F209" s="76"/>
      <c r="G209" s="76"/>
      <c r="H209" s="190"/>
      <c r="I209" s="190"/>
      <c r="J209" s="190"/>
      <c r="K209" s="190"/>
      <c r="L209" s="190"/>
      <c r="M209" s="190"/>
      <c r="N209" s="190"/>
      <c r="O209" s="190"/>
    </row>
    <row r="210" spans="2:15">
      <c r="B210" s="57" t="s">
        <v>61</v>
      </c>
      <c r="C210" s="57"/>
      <c r="D210" s="57"/>
      <c r="E210" s="57"/>
      <c r="F210" s="57"/>
      <c r="G210" s="57"/>
      <c r="H210" s="191"/>
      <c r="I210" s="191"/>
      <c r="J210" s="191"/>
      <c r="K210" s="191"/>
      <c r="L210" s="191"/>
      <c r="M210" s="191"/>
      <c r="N210" s="191"/>
      <c r="O210" s="191"/>
    </row>
    <row r="211" spans="2:15">
      <c r="B211" s="58" t="s">
        <v>62</v>
      </c>
      <c r="C211" s="58" t="s">
        <v>167</v>
      </c>
      <c r="D211" s="300"/>
      <c r="E211" s="181">
        <f t="shared" ref="E211:E228" si="138">AVERAGE(D164:E164)</f>
        <v>424014.5</v>
      </c>
      <c r="F211" s="181">
        <f t="shared" ref="F211:F228" si="139">AVERAGE(E164:F164)</f>
        <v>396490.5</v>
      </c>
      <c r="G211" s="181">
        <f t="shared" ref="G211:G228" si="140">AVERAGE(F164:G164)</f>
        <v>367323</v>
      </c>
      <c r="H211" s="181">
        <f t="shared" ref="H211:H228" si="141">AVERAGE(G164:H164)</f>
        <v>324869.5</v>
      </c>
      <c r="I211" s="181">
        <f t="shared" ref="I211:O211" si="142">AVERAGE(H164:I164)</f>
        <v>148768</v>
      </c>
      <c r="J211" s="181">
        <f t="shared" si="142"/>
        <v>2</v>
      </c>
      <c r="K211" s="181">
        <f t="shared" si="142"/>
        <v>0</v>
      </c>
      <c r="L211" s="181">
        <f t="shared" si="142"/>
        <v>0</v>
      </c>
      <c r="M211" s="181">
        <f t="shared" si="142"/>
        <v>0</v>
      </c>
      <c r="N211" s="181">
        <f t="shared" si="142"/>
        <v>0</v>
      </c>
      <c r="O211" s="181">
        <f t="shared" si="142"/>
        <v>0</v>
      </c>
    </row>
    <row r="212" spans="2:15">
      <c r="B212" s="58" t="s">
        <v>63</v>
      </c>
      <c r="C212" s="58" t="s">
        <v>167</v>
      </c>
      <c r="D212" s="300"/>
      <c r="E212" s="181">
        <f t="shared" si="138"/>
        <v>339535.5</v>
      </c>
      <c r="F212" s="181">
        <f t="shared" si="139"/>
        <v>373572</v>
      </c>
      <c r="G212" s="181">
        <f t="shared" si="140"/>
        <v>411250.5</v>
      </c>
      <c r="H212" s="181">
        <f t="shared" si="141"/>
        <v>458977.5</v>
      </c>
      <c r="I212" s="181">
        <f t="shared" ref="I212" si="143">AVERAGE(H165:I165)</f>
        <v>642096</v>
      </c>
      <c r="J212" s="181">
        <f t="shared" ref="J212:K228" si="144">AVERAGE(I165:J165)</f>
        <v>802281.5</v>
      </c>
      <c r="K212" s="181">
        <f t="shared" si="144"/>
        <v>813141.02449089498</v>
      </c>
      <c r="L212" s="181">
        <f t="shared" ref="L212:O212" si="145">AVERAGE(K165:L165)</f>
        <v>823906.6545550169</v>
      </c>
      <c r="M212" s="181">
        <f t="shared" si="145"/>
        <v>833312.16648979462</v>
      </c>
      <c r="N212" s="181">
        <f t="shared" si="145"/>
        <v>843381.48258878663</v>
      </c>
      <c r="O212" s="181">
        <f t="shared" si="145"/>
        <v>854914.48660994018</v>
      </c>
    </row>
    <row r="213" spans="2:15">
      <c r="B213" s="58" t="s">
        <v>64</v>
      </c>
      <c r="C213" s="58" t="s">
        <v>269</v>
      </c>
      <c r="D213" s="300"/>
      <c r="E213" s="181">
        <f t="shared" si="138"/>
        <v>4.5</v>
      </c>
      <c r="F213" s="181">
        <f t="shared" si="139"/>
        <v>5.5</v>
      </c>
      <c r="G213" s="181">
        <f t="shared" si="140"/>
        <v>6</v>
      </c>
      <c r="H213" s="181">
        <f t="shared" si="141"/>
        <v>5.5</v>
      </c>
      <c r="I213" s="181">
        <f t="shared" ref="I213" si="146">AVERAGE(H166:I166)</f>
        <v>2.5</v>
      </c>
      <c r="J213" s="181">
        <f t="shared" si="144"/>
        <v>0</v>
      </c>
      <c r="K213" s="181">
        <f t="shared" si="144"/>
        <v>0</v>
      </c>
      <c r="L213" s="181">
        <f t="shared" ref="L213:O213" si="147">AVERAGE(K166:L166)</f>
        <v>0</v>
      </c>
      <c r="M213" s="181">
        <f t="shared" si="147"/>
        <v>0</v>
      </c>
      <c r="N213" s="181">
        <f t="shared" si="147"/>
        <v>0</v>
      </c>
      <c r="O213" s="181">
        <f t="shared" si="147"/>
        <v>0</v>
      </c>
    </row>
    <row r="214" spans="2:15">
      <c r="B214" s="58" t="s">
        <v>65</v>
      </c>
      <c r="C214" s="58" t="s">
        <v>269</v>
      </c>
      <c r="D214" s="300"/>
      <c r="E214" s="181">
        <f t="shared" si="138"/>
        <v>1438.5</v>
      </c>
      <c r="F214" s="181">
        <f t="shared" si="139"/>
        <v>811.5</v>
      </c>
      <c r="G214" s="181">
        <f t="shared" si="140"/>
        <v>1</v>
      </c>
      <c r="H214" s="181">
        <f t="shared" si="141"/>
        <v>1.5</v>
      </c>
      <c r="I214" s="181">
        <f t="shared" ref="I214" si="148">AVERAGE(H167:I167)</f>
        <v>4</v>
      </c>
      <c r="J214" s="181">
        <f t="shared" si="144"/>
        <v>13</v>
      </c>
      <c r="K214" s="181">
        <f t="shared" si="144"/>
        <v>13.581642453460056</v>
      </c>
      <c r="L214" s="181">
        <f t="shared" ref="L214:O214" si="149">AVERAGE(K167:L167)</f>
        <v>7.2049683208886748</v>
      </c>
      <c r="M214" s="181">
        <f t="shared" si="149"/>
        <v>7.2872184340018098</v>
      </c>
      <c r="N214" s="181">
        <f t="shared" si="149"/>
        <v>7.3752734376908302</v>
      </c>
      <c r="O214" s="181">
        <f t="shared" si="149"/>
        <v>7.4761282228266204</v>
      </c>
    </row>
    <row r="215" spans="2:15">
      <c r="B215" s="58" t="s">
        <v>66</v>
      </c>
      <c r="C215" s="58" t="s">
        <v>168</v>
      </c>
      <c r="D215" s="300"/>
      <c r="E215" s="181">
        <f t="shared" si="138"/>
        <v>20030</v>
      </c>
      <c r="F215" s="181">
        <f t="shared" si="139"/>
        <v>20227</v>
      </c>
      <c r="G215" s="181">
        <f t="shared" si="140"/>
        <v>20562</v>
      </c>
      <c r="H215" s="181">
        <f t="shared" si="141"/>
        <v>20554</v>
      </c>
      <c r="I215" s="181">
        <f t="shared" ref="I215" si="150">AVERAGE(H168:I168)</f>
        <v>20161</v>
      </c>
      <c r="J215" s="181">
        <f t="shared" si="144"/>
        <v>19872</v>
      </c>
      <c r="K215" s="181">
        <f t="shared" si="144"/>
        <v>20047.817914996012</v>
      </c>
      <c r="L215" s="181">
        <f t="shared" ref="L215:O215" si="151">AVERAGE(K168:L168)</f>
        <v>20457.992906569045</v>
      </c>
      <c r="M215" s="181">
        <f t="shared" si="151"/>
        <v>20691.536227745713</v>
      </c>
      <c r="N215" s="181">
        <f t="shared" si="151"/>
        <v>20941.562121077568</v>
      </c>
      <c r="O215" s="181">
        <f t="shared" si="151"/>
        <v>21227.93207955742</v>
      </c>
    </row>
    <row r="216" spans="2:15">
      <c r="B216" s="58" t="s">
        <v>67</v>
      </c>
      <c r="C216" s="58" t="s">
        <v>168</v>
      </c>
      <c r="D216" s="300"/>
      <c r="E216" s="181">
        <f t="shared" si="138"/>
        <v>5604</v>
      </c>
      <c r="F216" s="181">
        <f t="shared" si="139"/>
        <v>5831</v>
      </c>
      <c r="G216" s="181">
        <f t="shared" si="140"/>
        <v>6105</v>
      </c>
      <c r="H216" s="181">
        <f t="shared" si="141"/>
        <v>6248</v>
      </c>
      <c r="I216" s="181">
        <f t="shared" ref="I216" si="152">AVERAGE(H169:I169)</f>
        <v>6301</v>
      </c>
      <c r="J216" s="181">
        <f t="shared" si="144"/>
        <v>6310</v>
      </c>
      <c r="K216" s="181">
        <f t="shared" si="144"/>
        <v>6387.7347986820687</v>
      </c>
      <c r="L216" s="181">
        <f t="shared" ref="L216:O216" si="153">AVERAGE(K169:L169)</f>
        <v>6507.1156749511738</v>
      </c>
      <c r="M216" s="181">
        <f t="shared" si="153"/>
        <v>6581.3992771084932</v>
      </c>
      <c r="N216" s="181">
        <f t="shared" si="153"/>
        <v>6660.9255247259207</v>
      </c>
      <c r="O216" s="181">
        <f t="shared" si="153"/>
        <v>6752.0118035299874</v>
      </c>
    </row>
    <row r="217" spans="2:15">
      <c r="B217" s="58" t="s">
        <v>68</v>
      </c>
      <c r="C217" s="58" t="s">
        <v>169</v>
      </c>
      <c r="D217" s="300"/>
      <c r="E217" s="181">
        <f t="shared" si="138"/>
        <v>0</v>
      </c>
      <c r="F217" s="181">
        <f t="shared" si="139"/>
        <v>0</v>
      </c>
      <c r="G217" s="181">
        <f t="shared" si="140"/>
        <v>5</v>
      </c>
      <c r="H217" s="181">
        <f t="shared" si="141"/>
        <v>5557</v>
      </c>
      <c r="I217" s="181">
        <f t="shared" ref="I217" si="154">AVERAGE(H170:I170)</f>
        <v>18690</v>
      </c>
      <c r="J217" s="181">
        <f t="shared" si="144"/>
        <v>30538</v>
      </c>
      <c r="K217" s="181">
        <f t="shared" si="144"/>
        <v>32434.71169321004</v>
      </c>
      <c r="L217" s="181">
        <f t="shared" ref="L217:O217" si="155">AVERAGE(K170:L170)</f>
        <v>30244.398448713255</v>
      </c>
      <c r="M217" s="181">
        <f t="shared" si="155"/>
        <v>30589.660923529878</v>
      </c>
      <c r="N217" s="181">
        <f t="shared" si="155"/>
        <v>30959.290670443908</v>
      </c>
      <c r="O217" s="181">
        <f t="shared" si="155"/>
        <v>31382.650242791056</v>
      </c>
    </row>
    <row r="218" spans="2:15">
      <c r="B218" s="58" t="s">
        <v>69</v>
      </c>
      <c r="C218" s="58" t="s">
        <v>169</v>
      </c>
      <c r="D218" s="300"/>
      <c r="E218" s="181">
        <f t="shared" si="138"/>
        <v>0</v>
      </c>
      <c r="F218" s="181">
        <f t="shared" si="139"/>
        <v>0</v>
      </c>
      <c r="G218" s="181">
        <f t="shared" si="140"/>
        <v>0</v>
      </c>
      <c r="H218" s="181">
        <f t="shared" si="141"/>
        <v>0</v>
      </c>
      <c r="I218" s="181">
        <f t="shared" ref="I218" si="156">AVERAGE(H171:I171)</f>
        <v>1</v>
      </c>
      <c r="J218" s="181">
        <f t="shared" si="144"/>
        <v>2</v>
      </c>
      <c r="K218" s="181">
        <f t="shared" si="144"/>
        <v>2.0233264152743016</v>
      </c>
      <c r="L218" s="181">
        <f t="shared" ref="L218:O218" si="157">AVERAGE(K171:L171)</f>
        <v>2.0585623773967638</v>
      </c>
      <c r="M218" s="181">
        <f t="shared" si="157"/>
        <v>2.0820624097148022</v>
      </c>
      <c r="N218" s="181">
        <f t="shared" si="157"/>
        <v>2.1072209821973802</v>
      </c>
      <c r="O218" s="181">
        <f t="shared" si="157"/>
        <v>2.13603663509332</v>
      </c>
    </row>
    <row r="219" spans="2:15">
      <c r="B219" s="58" t="s">
        <v>70</v>
      </c>
      <c r="C219" s="58" t="s">
        <v>170</v>
      </c>
      <c r="D219" s="300"/>
      <c r="E219" s="181">
        <f t="shared" si="138"/>
        <v>55079.5</v>
      </c>
      <c r="F219" s="181">
        <f t="shared" si="139"/>
        <v>52645.5</v>
      </c>
      <c r="G219" s="181">
        <f t="shared" si="140"/>
        <v>48874.5</v>
      </c>
      <c r="H219" s="181">
        <f t="shared" si="141"/>
        <v>44916.5</v>
      </c>
      <c r="I219" s="181">
        <f t="shared" ref="I219" si="158">AVERAGE(H172:I172)</f>
        <v>20902</v>
      </c>
      <c r="J219" s="181">
        <f t="shared" si="144"/>
        <v>0.5</v>
      </c>
      <c r="K219" s="181">
        <f t="shared" si="144"/>
        <v>0</v>
      </c>
      <c r="L219" s="181">
        <f t="shared" ref="L219:O219" si="159">AVERAGE(K172:L172)</f>
        <v>0</v>
      </c>
      <c r="M219" s="181">
        <f t="shared" si="159"/>
        <v>0</v>
      </c>
      <c r="N219" s="181">
        <f t="shared" si="159"/>
        <v>0</v>
      </c>
      <c r="O219" s="181">
        <f t="shared" si="159"/>
        <v>0</v>
      </c>
    </row>
    <row r="220" spans="2:15">
      <c r="B220" s="58" t="s">
        <v>71</v>
      </c>
      <c r="C220" s="58" t="s">
        <v>170</v>
      </c>
      <c r="D220" s="300"/>
      <c r="E220" s="181">
        <f t="shared" si="138"/>
        <v>17732.5</v>
      </c>
      <c r="F220" s="181">
        <f t="shared" si="139"/>
        <v>20423.5</v>
      </c>
      <c r="G220" s="181">
        <f t="shared" si="140"/>
        <v>24692.5</v>
      </c>
      <c r="H220" s="181">
        <f t="shared" si="141"/>
        <v>28948</v>
      </c>
      <c r="I220" s="181">
        <f t="shared" ref="I220" si="160">AVERAGE(H173:I173)</f>
        <v>54538.5</v>
      </c>
      <c r="J220" s="181">
        <f t="shared" si="144"/>
        <v>76923.5</v>
      </c>
      <c r="K220" s="181">
        <f t="shared" si="144"/>
        <v>77364.166800115709</v>
      </c>
      <c r="L220" s="181">
        <f t="shared" ref="L220:O220" si="161">AVERAGE(K173:L173)</f>
        <v>78790.209203554288</v>
      </c>
      <c r="M220" s="181">
        <f t="shared" si="161"/>
        <v>80576.615426147662</v>
      </c>
      <c r="N220" s="181">
        <f t="shared" si="161"/>
        <v>82305.760481126839</v>
      </c>
      <c r="O220" s="181">
        <f t="shared" si="161"/>
        <v>84211.822547091695</v>
      </c>
    </row>
    <row r="221" spans="2:15">
      <c r="B221" s="58" t="s">
        <v>72</v>
      </c>
      <c r="C221" s="58" t="s">
        <v>171</v>
      </c>
      <c r="D221" s="300"/>
      <c r="E221" s="181">
        <f t="shared" si="138"/>
        <v>99</v>
      </c>
      <c r="F221" s="181">
        <f t="shared" si="139"/>
        <v>96</v>
      </c>
      <c r="G221" s="181">
        <f t="shared" si="140"/>
        <v>93</v>
      </c>
      <c r="H221" s="181">
        <f t="shared" si="141"/>
        <v>92</v>
      </c>
      <c r="I221" s="181">
        <f t="shared" ref="I221" si="162">AVERAGE(H174:I174)</f>
        <v>92</v>
      </c>
      <c r="J221" s="181">
        <f t="shared" si="144"/>
        <v>91</v>
      </c>
      <c r="K221" s="181">
        <f t="shared" si="144"/>
        <v>90.553789662884469</v>
      </c>
      <c r="L221" s="181">
        <f t="shared" ref="L221:O221" si="163">AVERAGE(K174:L174)</f>
        <v>94.266768688374782</v>
      </c>
      <c r="M221" s="181">
        <f t="shared" si="163"/>
        <v>96.404074121003148</v>
      </c>
      <c r="N221" s="181">
        <f t="shared" si="163"/>
        <v>98.472870721165179</v>
      </c>
      <c r="O221" s="181">
        <f t="shared" si="163"/>
        <v>100.75333568875777</v>
      </c>
    </row>
    <row r="222" spans="2:15">
      <c r="B222" s="58" t="s">
        <v>73</v>
      </c>
      <c r="C222" s="58" t="s">
        <v>171</v>
      </c>
      <c r="D222" s="300"/>
      <c r="E222" s="181">
        <f t="shared" si="138"/>
        <v>21</v>
      </c>
      <c r="F222" s="181">
        <f t="shared" si="139"/>
        <v>25</v>
      </c>
      <c r="G222" s="181">
        <f t="shared" si="140"/>
        <v>34</v>
      </c>
      <c r="H222" s="181">
        <f t="shared" si="141"/>
        <v>41</v>
      </c>
      <c r="I222" s="181">
        <f t="shared" ref="I222" si="164">AVERAGE(H175:I175)</f>
        <v>41</v>
      </c>
      <c r="J222" s="181">
        <f t="shared" si="144"/>
        <v>38</v>
      </c>
      <c r="K222" s="181">
        <f t="shared" si="144"/>
        <v>36.216700302867849</v>
      </c>
      <c r="L222" s="181">
        <f t="shared" ref="L222:O222" si="165">AVERAGE(K175:L175)</f>
        <v>36.886996443277106</v>
      </c>
      <c r="M222" s="181">
        <f t="shared" si="165"/>
        <v>37.723333351696901</v>
      </c>
      <c r="N222" s="181">
        <f t="shared" si="165"/>
        <v>38.532862456108134</v>
      </c>
      <c r="O222" s="181">
        <f t="shared" si="165"/>
        <v>39.425218312992186</v>
      </c>
    </row>
    <row r="223" spans="2:15">
      <c r="B223" s="58" t="s">
        <v>74</v>
      </c>
      <c r="C223" s="58" t="s">
        <v>172</v>
      </c>
      <c r="D223" s="300"/>
      <c r="E223" s="181">
        <f t="shared" si="138"/>
        <v>0</v>
      </c>
      <c r="F223" s="181">
        <f t="shared" si="139"/>
        <v>0</v>
      </c>
      <c r="G223" s="181">
        <f t="shared" si="140"/>
        <v>117</v>
      </c>
      <c r="H223" s="181">
        <f t="shared" si="141"/>
        <v>347</v>
      </c>
      <c r="I223" s="181">
        <f t="shared" ref="I223" si="166">AVERAGE(H176:I176)</f>
        <v>631</v>
      </c>
      <c r="J223" s="181">
        <f t="shared" si="144"/>
        <v>921</v>
      </c>
      <c r="K223" s="181">
        <f t="shared" si="144"/>
        <v>980.47770210027033</v>
      </c>
      <c r="L223" s="181">
        <f t="shared" ref="L223:O223" si="167">AVERAGE(K176:L176)</f>
        <v>932.42129898283736</v>
      </c>
      <c r="M223" s="181">
        <f t="shared" si="167"/>
        <v>953.56203750122665</v>
      </c>
      <c r="N223" s="181">
        <f t="shared" si="167"/>
        <v>974.02513430717727</v>
      </c>
      <c r="O223" s="181">
        <f t="shared" si="167"/>
        <v>996.58190735619075</v>
      </c>
    </row>
    <row r="224" spans="2:15">
      <c r="B224" s="58" t="s">
        <v>75</v>
      </c>
      <c r="C224" s="58" t="s">
        <v>270</v>
      </c>
      <c r="D224" s="300"/>
      <c r="E224" s="181">
        <f t="shared" si="138"/>
        <v>343.5</v>
      </c>
      <c r="F224" s="181">
        <f t="shared" si="139"/>
        <v>324</v>
      </c>
      <c r="G224" s="181">
        <f t="shared" si="140"/>
        <v>285.5</v>
      </c>
      <c r="H224" s="181">
        <f t="shared" si="141"/>
        <v>244</v>
      </c>
      <c r="I224" s="181">
        <f t="shared" ref="I224" si="168">AVERAGE(H177:I177)</f>
        <v>111</v>
      </c>
      <c r="J224" s="181">
        <f t="shared" si="144"/>
        <v>0</v>
      </c>
      <c r="K224" s="181">
        <f t="shared" si="144"/>
        <v>0</v>
      </c>
      <c r="L224" s="181">
        <f t="shared" ref="L224:O224" si="169">AVERAGE(K177:L177)</f>
        <v>0</v>
      </c>
      <c r="M224" s="181">
        <f t="shared" si="169"/>
        <v>0</v>
      </c>
      <c r="N224" s="181">
        <f t="shared" si="169"/>
        <v>0</v>
      </c>
      <c r="O224" s="181">
        <f t="shared" si="169"/>
        <v>0</v>
      </c>
    </row>
    <row r="225" spans="2:15">
      <c r="B225" s="58" t="s">
        <v>76</v>
      </c>
      <c r="C225" s="58" t="s">
        <v>270</v>
      </c>
      <c r="D225" s="300"/>
      <c r="E225" s="181">
        <f t="shared" si="138"/>
        <v>1023.5</v>
      </c>
      <c r="F225" s="181">
        <f t="shared" si="139"/>
        <v>995.5</v>
      </c>
      <c r="G225" s="181">
        <f t="shared" si="140"/>
        <v>1024</v>
      </c>
      <c r="H225" s="181">
        <f t="shared" si="141"/>
        <v>1087.5</v>
      </c>
      <c r="I225" s="181">
        <f t="shared" ref="I225" si="170">AVERAGE(H178:I178)</f>
        <v>1315.5</v>
      </c>
      <c r="J225" s="181">
        <f t="shared" si="144"/>
        <v>1588.5</v>
      </c>
      <c r="K225" s="181">
        <f t="shared" si="144"/>
        <v>1605.5087264558745</v>
      </c>
      <c r="L225" s="181">
        <f t="shared" ref="L225:O225" si="171">AVERAGE(K178:L178)</f>
        <v>1555.1408702005001</v>
      </c>
      <c r="M225" s="181">
        <f t="shared" si="171"/>
        <v>1590.4004964360161</v>
      </c>
      <c r="N225" s="181">
        <f t="shared" si="171"/>
        <v>1624.5299164830681</v>
      </c>
      <c r="O225" s="181">
        <f t="shared" si="171"/>
        <v>1662.151278957976</v>
      </c>
    </row>
    <row r="226" spans="2:15">
      <c r="B226" s="58" t="s">
        <v>77</v>
      </c>
      <c r="C226" s="58" t="s">
        <v>273</v>
      </c>
      <c r="D226" s="300"/>
      <c r="E226" s="181">
        <f t="shared" si="138"/>
        <v>0</v>
      </c>
      <c r="F226" s="181">
        <f t="shared" si="139"/>
        <v>1</v>
      </c>
      <c r="G226" s="181">
        <f t="shared" si="140"/>
        <v>2</v>
      </c>
      <c r="H226" s="181">
        <f t="shared" si="141"/>
        <v>4</v>
      </c>
      <c r="I226" s="181">
        <f t="shared" ref="I226" si="172">AVERAGE(H179:I179)</f>
        <v>7</v>
      </c>
      <c r="J226" s="181">
        <f t="shared" si="144"/>
        <v>48</v>
      </c>
      <c r="K226" s="181">
        <f t="shared" si="144"/>
        <v>50.019612193791851</v>
      </c>
      <c r="L226" s="181">
        <f t="shared" ref="L226:O226" si="173">AVERAGE(K179:L179)</f>
        <v>12.189112731209123</v>
      </c>
      <c r="M226" s="181">
        <f t="shared" si="173"/>
        <v>12.465475835851594</v>
      </c>
      <c r="N226" s="181">
        <f t="shared" si="173"/>
        <v>12.732980443553576</v>
      </c>
      <c r="O226" s="181">
        <f t="shared" si="173"/>
        <v>13.027854713206857</v>
      </c>
    </row>
    <row r="227" spans="2:15">
      <c r="B227" s="58" t="s">
        <v>78</v>
      </c>
      <c r="C227" s="58" t="s">
        <v>271</v>
      </c>
      <c r="D227" s="300"/>
      <c r="E227" s="181">
        <f t="shared" si="138"/>
        <v>397</v>
      </c>
      <c r="F227" s="181">
        <f t="shared" si="139"/>
        <v>392</v>
      </c>
      <c r="G227" s="181">
        <f t="shared" si="140"/>
        <v>390</v>
      </c>
      <c r="H227" s="181">
        <f t="shared" si="141"/>
        <v>388</v>
      </c>
      <c r="I227" s="181">
        <f t="shared" ref="I227" si="174">AVERAGE(H180:I180)</f>
        <v>382</v>
      </c>
      <c r="J227" s="181">
        <f t="shared" si="144"/>
        <v>374</v>
      </c>
      <c r="K227" s="181">
        <f t="shared" si="144"/>
        <v>373.61288105599544</v>
      </c>
      <c r="L227" s="181">
        <f t="shared" ref="L227:O227" si="175">AVERAGE(K180:L180)</f>
        <v>380.90977285028509</v>
      </c>
      <c r="M227" s="181">
        <f t="shared" si="175"/>
        <v>389.5461198703623</v>
      </c>
      <c r="N227" s="181">
        <f t="shared" si="175"/>
        <v>397.90563886104923</v>
      </c>
      <c r="O227" s="181">
        <f t="shared" si="175"/>
        <v>407.1204597877142</v>
      </c>
    </row>
    <row r="228" spans="2:15">
      <c r="B228" s="58" t="s">
        <v>79</v>
      </c>
      <c r="C228" s="58" t="s">
        <v>272</v>
      </c>
      <c r="D228" s="300"/>
      <c r="E228" s="181">
        <f t="shared" si="138"/>
        <v>1</v>
      </c>
      <c r="F228" s="181">
        <f t="shared" si="139"/>
        <v>1</v>
      </c>
      <c r="G228" s="181">
        <f t="shared" si="140"/>
        <v>0.5</v>
      </c>
      <c r="H228" s="181">
        <f t="shared" si="141"/>
        <v>0</v>
      </c>
      <c r="I228" s="181">
        <f t="shared" ref="I228" si="176">AVERAGE(H181:I181)</f>
        <v>0</v>
      </c>
      <c r="J228" s="181">
        <f t="shared" si="144"/>
        <v>0.5</v>
      </c>
      <c r="K228" s="181">
        <f t="shared" si="144"/>
        <v>1</v>
      </c>
      <c r="L228" s="181">
        <f t="shared" ref="L228:O228" si="177">AVERAGE(K181:L181)</f>
        <v>1</v>
      </c>
      <c r="M228" s="181">
        <f t="shared" si="177"/>
        <v>1</v>
      </c>
      <c r="N228" s="181">
        <f t="shared" si="177"/>
        <v>1</v>
      </c>
      <c r="O228" s="181">
        <f t="shared" si="177"/>
        <v>1</v>
      </c>
    </row>
    <row r="229" spans="2:15">
      <c r="B229" s="58"/>
      <c r="C229" s="58"/>
      <c r="D229" s="300"/>
      <c r="E229" s="181"/>
      <c r="F229" s="181"/>
      <c r="G229" s="181"/>
      <c r="H229" s="181"/>
      <c r="I229" s="181"/>
      <c r="J229" s="181"/>
      <c r="K229" s="181"/>
      <c r="L229" s="181"/>
      <c r="M229" s="181"/>
      <c r="N229" s="181"/>
      <c r="O229" s="181"/>
    </row>
    <row r="230" spans="2:15">
      <c r="B230" s="60" t="s">
        <v>80</v>
      </c>
      <c r="C230" s="60"/>
      <c r="D230" s="301"/>
      <c r="E230" s="183">
        <f t="shared" ref="E230:H230" si="178">SUM(E211:E228)</f>
        <v>865324</v>
      </c>
      <c r="F230" s="183">
        <f t="shared" si="178"/>
        <v>871841</v>
      </c>
      <c r="G230" s="183">
        <f t="shared" si="178"/>
        <v>880765.5</v>
      </c>
      <c r="H230" s="183">
        <f t="shared" si="178"/>
        <v>892281</v>
      </c>
      <c r="I230" s="183">
        <f t="shared" ref="I230:J230" si="179">SUM(I211:I228)</f>
        <v>914043.5</v>
      </c>
      <c r="J230" s="183">
        <f t="shared" si="179"/>
        <v>939003.5</v>
      </c>
      <c r="K230" s="183">
        <f t="shared" ref="K230:O230" si="180">SUM(K211:K228)</f>
        <v>952528.45007853932</v>
      </c>
      <c r="L230" s="183">
        <f t="shared" si="180"/>
        <v>962928.44913939945</v>
      </c>
      <c r="M230" s="183">
        <f t="shared" si="180"/>
        <v>974841.84916228638</v>
      </c>
      <c r="N230" s="183">
        <f t="shared" si="180"/>
        <v>987405.7032838529</v>
      </c>
      <c r="O230" s="183">
        <f t="shared" si="180"/>
        <v>1001718.5755025852</v>
      </c>
    </row>
    <row r="231" spans="2:15">
      <c r="B231" s="58"/>
      <c r="C231" s="58"/>
      <c r="D231" s="300"/>
      <c r="E231" s="181"/>
      <c r="F231" s="181"/>
      <c r="G231" s="181"/>
      <c r="H231" s="181"/>
      <c r="I231" s="181"/>
      <c r="J231" s="181"/>
      <c r="K231" s="181"/>
      <c r="L231" s="181"/>
      <c r="M231" s="181"/>
      <c r="N231" s="181"/>
      <c r="O231" s="181"/>
    </row>
    <row r="232" spans="2:15">
      <c r="B232" s="62" t="s">
        <v>81</v>
      </c>
      <c r="C232" s="62"/>
      <c r="D232" s="302"/>
      <c r="E232" s="181"/>
      <c r="F232" s="181"/>
      <c r="G232" s="181"/>
      <c r="H232" s="181"/>
      <c r="I232" s="181"/>
      <c r="J232" s="181"/>
      <c r="K232" s="181"/>
      <c r="L232" s="181"/>
      <c r="M232" s="181"/>
      <c r="N232" s="181"/>
      <c r="O232" s="181"/>
    </row>
    <row r="233" spans="2:15">
      <c r="B233" s="58" t="s">
        <v>82</v>
      </c>
      <c r="C233" s="58" t="s">
        <v>105</v>
      </c>
      <c r="D233" s="300"/>
      <c r="E233" s="181">
        <f t="shared" ref="E233:E236" si="181">AVERAGE(D186:E186)</f>
        <v>147262.5</v>
      </c>
      <c r="F233" s="181">
        <f t="shared" ref="F233:F236" si="182">AVERAGE(E186:F186)</f>
        <v>134787</v>
      </c>
      <c r="G233" s="181">
        <f t="shared" ref="G233:G236" si="183">AVERAGE(F186:G186)</f>
        <v>123244.5</v>
      </c>
      <c r="H233" s="181">
        <f t="shared" ref="H233:H236" si="184">AVERAGE(G186:H186)</f>
        <v>108794</v>
      </c>
      <c r="I233" s="181">
        <f t="shared" ref="I233" si="185">AVERAGE(H186:I186)</f>
        <v>49911</v>
      </c>
      <c r="J233" s="181">
        <f t="shared" ref="J233:K236" si="186">AVERAGE(I186:J186)</f>
        <v>0</v>
      </c>
      <c r="K233" s="181">
        <f t="shared" si="186"/>
        <v>0</v>
      </c>
      <c r="L233" s="181">
        <f t="shared" ref="L233:O233" si="187">AVERAGE(K186:L186)</f>
        <v>0</v>
      </c>
      <c r="M233" s="181">
        <f t="shared" si="187"/>
        <v>0</v>
      </c>
      <c r="N233" s="181">
        <f t="shared" si="187"/>
        <v>0</v>
      </c>
      <c r="O233" s="181">
        <f t="shared" si="187"/>
        <v>0</v>
      </c>
    </row>
    <row r="234" spans="2:15">
      <c r="B234" s="58" t="s">
        <v>83</v>
      </c>
      <c r="C234" s="58" t="s">
        <v>105</v>
      </c>
      <c r="D234" s="300"/>
      <c r="E234" s="181">
        <f t="shared" si="181"/>
        <v>96240</v>
      </c>
      <c r="F234" s="181">
        <f t="shared" si="182"/>
        <v>107232</v>
      </c>
      <c r="G234" s="181">
        <f t="shared" si="183"/>
        <v>116182</v>
      </c>
      <c r="H234" s="181">
        <f t="shared" si="184"/>
        <v>128258.5</v>
      </c>
      <c r="I234" s="181">
        <f t="shared" ref="I234" si="188">AVERAGE(H187:I187)</f>
        <v>188027.5</v>
      </c>
      <c r="J234" s="181">
        <f t="shared" si="186"/>
        <v>239291</v>
      </c>
      <c r="K234" s="181">
        <f t="shared" si="186"/>
        <v>235616.16886901681</v>
      </c>
      <c r="L234" s="181">
        <f t="shared" ref="L234:O234" si="189">AVERAGE(K187:L187)</f>
        <v>230105.57969839135</v>
      </c>
      <c r="M234" s="181">
        <f t="shared" si="189"/>
        <v>225735.66344216157</v>
      </c>
      <c r="N234" s="181">
        <f t="shared" si="189"/>
        <v>220997.49466809275</v>
      </c>
      <c r="O234" s="181">
        <f t="shared" si="189"/>
        <v>215807.74055922878</v>
      </c>
    </row>
    <row r="235" spans="2:15">
      <c r="B235" s="58" t="s">
        <v>84</v>
      </c>
      <c r="C235" s="58" t="s">
        <v>105</v>
      </c>
      <c r="D235" s="300"/>
      <c r="E235" s="181">
        <f t="shared" si="181"/>
        <v>51820.5</v>
      </c>
      <c r="F235" s="181">
        <f t="shared" si="182"/>
        <v>50350.5</v>
      </c>
      <c r="G235" s="181">
        <f t="shared" si="183"/>
        <v>47697.5</v>
      </c>
      <c r="H235" s="181">
        <f t="shared" si="184"/>
        <v>42309</v>
      </c>
      <c r="I235" s="181">
        <f t="shared" ref="I235" si="190">AVERAGE(H188:I188)</f>
        <v>19341.5</v>
      </c>
      <c r="J235" s="181">
        <f t="shared" si="186"/>
        <v>0.5</v>
      </c>
      <c r="K235" s="181">
        <f t="shared" si="186"/>
        <v>0</v>
      </c>
      <c r="L235" s="181">
        <f t="shared" ref="L235:O235" si="191">AVERAGE(K188:L188)</f>
        <v>0</v>
      </c>
      <c r="M235" s="181">
        <f t="shared" si="191"/>
        <v>0</v>
      </c>
      <c r="N235" s="181">
        <f t="shared" si="191"/>
        <v>0</v>
      </c>
      <c r="O235" s="181">
        <f t="shared" si="191"/>
        <v>0</v>
      </c>
    </row>
    <row r="236" spans="2:15">
      <c r="B236" s="58" t="s">
        <v>85</v>
      </c>
      <c r="C236" s="58" t="s">
        <v>105</v>
      </c>
      <c r="D236" s="300"/>
      <c r="E236" s="181">
        <f t="shared" si="181"/>
        <v>48485.5</v>
      </c>
      <c r="F236" s="181">
        <f t="shared" si="182"/>
        <v>51413.5</v>
      </c>
      <c r="G236" s="181">
        <f t="shared" si="183"/>
        <v>55300.5</v>
      </c>
      <c r="H236" s="181">
        <f t="shared" si="184"/>
        <v>60489.5</v>
      </c>
      <c r="I236" s="181">
        <f t="shared" ref="I236" si="192">AVERAGE(H189:I189)</f>
        <v>83690</v>
      </c>
      <c r="J236" s="181">
        <f t="shared" si="186"/>
        <v>103541.5</v>
      </c>
      <c r="K236" s="181">
        <f t="shared" si="186"/>
        <v>102109.45094348319</v>
      </c>
      <c r="L236" s="181">
        <f t="shared" ref="L236:O236" si="193">AVERAGE(K189:L189)</f>
        <v>99749.007769983698</v>
      </c>
      <c r="M236" s="181">
        <f t="shared" si="193"/>
        <v>97854.682516470988</v>
      </c>
      <c r="N236" s="181">
        <f t="shared" si="193"/>
        <v>95800.722614761631</v>
      </c>
      <c r="O236" s="181">
        <f t="shared" si="193"/>
        <v>93551.003926462508</v>
      </c>
    </row>
    <row r="237" spans="2:15">
      <c r="B237" s="58"/>
      <c r="C237" s="58"/>
      <c r="D237" s="300"/>
      <c r="E237" s="181"/>
      <c r="F237" s="181"/>
      <c r="G237" s="181"/>
      <c r="H237" s="181"/>
      <c r="I237" s="181"/>
      <c r="J237" s="181"/>
      <c r="K237" s="181"/>
      <c r="L237" s="181"/>
      <c r="M237" s="181"/>
      <c r="N237" s="181"/>
      <c r="O237" s="181"/>
    </row>
    <row r="238" spans="2:15">
      <c r="B238" s="60" t="s">
        <v>86</v>
      </c>
      <c r="C238" s="60"/>
      <c r="D238" s="301"/>
      <c r="E238" s="183">
        <f t="shared" ref="E238:H238" si="194">SUM(E233:E236)</f>
        <v>343808.5</v>
      </c>
      <c r="F238" s="183">
        <f t="shared" si="194"/>
        <v>343783</v>
      </c>
      <c r="G238" s="183">
        <f t="shared" si="194"/>
        <v>342424.5</v>
      </c>
      <c r="H238" s="183">
        <f t="shared" si="194"/>
        <v>339851</v>
      </c>
      <c r="I238" s="183">
        <f t="shared" ref="I238:J238" si="195">SUM(I233:I236)</f>
        <v>340970</v>
      </c>
      <c r="J238" s="183">
        <f t="shared" si="195"/>
        <v>342833</v>
      </c>
      <c r="K238" s="183">
        <f t="shared" ref="K238:O238" si="196">SUM(K233:K236)</f>
        <v>337725.61981249996</v>
      </c>
      <c r="L238" s="183">
        <f t="shared" si="196"/>
        <v>329854.58746837504</v>
      </c>
      <c r="M238" s="183">
        <f t="shared" si="196"/>
        <v>323590.34595863253</v>
      </c>
      <c r="N238" s="183">
        <f t="shared" si="196"/>
        <v>316798.21728285437</v>
      </c>
      <c r="O238" s="183">
        <f t="shared" si="196"/>
        <v>309358.74448569131</v>
      </c>
    </row>
    <row r="239" spans="2:15">
      <c r="B239" s="58"/>
      <c r="C239" s="73"/>
      <c r="D239" s="305"/>
      <c r="E239" s="181"/>
      <c r="F239" s="181"/>
      <c r="G239" s="181"/>
      <c r="H239" s="181"/>
      <c r="I239" s="181"/>
      <c r="J239" s="181"/>
      <c r="K239" s="181"/>
      <c r="L239" s="181"/>
      <c r="M239" s="181"/>
      <c r="N239" s="181"/>
      <c r="O239" s="181"/>
    </row>
    <row r="240" spans="2:15">
      <c r="B240" s="62" t="s">
        <v>87</v>
      </c>
      <c r="C240" s="58"/>
      <c r="D240" s="300"/>
      <c r="E240" s="181"/>
      <c r="F240" s="181"/>
      <c r="G240" s="181"/>
      <c r="H240" s="181"/>
      <c r="I240" s="181"/>
      <c r="J240" s="181"/>
      <c r="K240" s="181"/>
      <c r="L240" s="181"/>
      <c r="M240" s="181"/>
      <c r="N240" s="181"/>
      <c r="O240" s="181"/>
    </row>
    <row r="241" spans="2:15">
      <c r="B241" s="63" t="s">
        <v>88</v>
      </c>
      <c r="C241" s="58" t="s">
        <v>173</v>
      </c>
      <c r="D241" s="300"/>
      <c r="E241" s="181">
        <f t="shared" ref="E241:E247" si="197">AVERAGE(D194:E194)</f>
        <v>0</v>
      </c>
      <c r="F241" s="181">
        <f t="shared" ref="F241:F247" si="198">AVERAGE(E194:F194)</f>
        <v>2880.5</v>
      </c>
      <c r="G241" s="181">
        <f t="shared" ref="G241:G247" si="199">AVERAGE(F194:G194)</f>
        <v>19948.5</v>
      </c>
      <c r="H241" s="181">
        <f t="shared" ref="H241:H247" si="200">AVERAGE(G194:H194)</f>
        <v>35174.5</v>
      </c>
      <c r="I241" s="181">
        <f t="shared" ref="I241" si="201">AVERAGE(H194:I194)</f>
        <v>36149</v>
      </c>
      <c r="J241" s="181">
        <f t="shared" ref="J241:K247" si="202">AVERAGE(I194:J194)</f>
        <v>35979.5</v>
      </c>
      <c r="K241" s="181">
        <f t="shared" si="202"/>
        <v>35943</v>
      </c>
      <c r="L241" s="181">
        <f t="shared" ref="L241:O241" si="203">AVERAGE(K194:L194)</f>
        <v>36012</v>
      </c>
      <c r="M241" s="181">
        <f t="shared" si="203"/>
        <v>18006</v>
      </c>
      <c r="N241" s="181">
        <f t="shared" si="203"/>
        <v>0</v>
      </c>
      <c r="O241" s="181">
        <f t="shared" si="203"/>
        <v>0</v>
      </c>
    </row>
    <row r="242" spans="2:15">
      <c r="B242" s="63" t="s">
        <v>89</v>
      </c>
      <c r="C242" s="63" t="s">
        <v>173</v>
      </c>
      <c r="D242" s="300"/>
      <c r="E242" s="181">
        <f t="shared" si="197"/>
        <v>0</v>
      </c>
      <c r="F242" s="181">
        <f t="shared" si="198"/>
        <v>0</v>
      </c>
      <c r="G242" s="181">
        <f t="shared" si="199"/>
        <v>1417.5</v>
      </c>
      <c r="H242" s="181">
        <f t="shared" si="200"/>
        <v>4841</v>
      </c>
      <c r="I242" s="181">
        <f t="shared" ref="I242" si="204">AVERAGE(H195:I195)</f>
        <v>6968</v>
      </c>
      <c r="J242" s="181">
        <f t="shared" si="202"/>
        <v>7157</v>
      </c>
      <c r="K242" s="181">
        <f t="shared" si="202"/>
        <v>7184</v>
      </c>
      <c r="L242" s="181">
        <f t="shared" ref="L242:O242" si="205">AVERAGE(K195:L195)</f>
        <v>7143</v>
      </c>
      <c r="M242" s="181">
        <f t="shared" si="205"/>
        <v>3571.5</v>
      </c>
      <c r="N242" s="181">
        <f t="shared" si="205"/>
        <v>0</v>
      </c>
      <c r="O242" s="181">
        <f t="shared" si="205"/>
        <v>0</v>
      </c>
    </row>
    <row r="243" spans="2:15">
      <c r="B243" s="63" t="s">
        <v>90</v>
      </c>
      <c r="C243" s="63" t="s">
        <v>173</v>
      </c>
      <c r="D243" s="300"/>
      <c r="E243" s="181">
        <f t="shared" si="197"/>
        <v>0</v>
      </c>
      <c r="F243" s="181">
        <f t="shared" si="198"/>
        <v>0</v>
      </c>
      <c r="G243" s="181">
        <f t="shared" si="199"/>
        <v>0.5</v>
      </c>
      <c r="H243" s="181">
        <f t="shared" si="200"/>
        <v>5.5</v>
      </c>
      <c r="I243" s="181">
        <f t="shared" ref="I243" si="206">AVERAGE(H196:I196)</f>
        <v>11.5</v>
      </c>
      <c r="J243" s="181">
        <f t="shared" si="202"/>
        <v>15.5</v>
      </c>
      <c r="K243" s="181">
        <f t="shared" si="202"/>
        <v>17.5</v>
      </c>
      <c r="L243" s="181">
        <f t="shared" ref="L243:O243" si="207">AVERAGE(K196:L196)</f>
        <v>17</v>
      </c>
      <c r="M243" s="181">
        <f t="shared" si="207"/>
        <v>8.5</v>
      </c>
      <c r="N243" s="181">
        <f t="shared" si="207"/>
        <v>0</v>
      </c>
      <c r="O243" s="181">
        <f t="shared" si="207"/>
        <v>0</v>
      </c>
    </row>
    <row r="244" spans="2:15">
      <c r="B244" s="63" t="s">
        <v>91</v>
      </c>
      <c r="C244" s="63" t="s">
        <v>173</v>
      </c>
      <c r="D244" s="300"/>
      <c r="E244" s="181">
        <f t="shared" si="197"/>
        <v>0</v>
      </c>
      <c r="F244" s="181">
        <f t="shared" si="198"/>
        <v>0</v>
      </c>
      <c r="G244" s="181">
        <f t="shared" si="199"/>
        <v>0</v>
      </c>
      <c r="H244" s="181">
        <f t="shared" si="200"/>
        <v>83</v>
      </c>
      <c r="I244" s="181">
        <f t="shared" ref="I244" si="208">AVERAGE(H197:I197)</f>
        <v>234.5</v>
      </c>
      <c r="J244" s="181">
        <f t="shared" si="202"/>
        <v>306</v>
      </c>
      <c r="K244" s="181">
        <f t="shared" si="202"/>
        <v>307.5</v>
      </c>
      <c r="L244" s="181">
        <f t="shared" ref="L244:O244" si="209">AVERAGE(K197:L197)</f>
        <v>306</v>
      </c>
      <c r="M244" s="181">
        <f t="shared" si="209"/>
        <v>153</v>
      </c>
      <c r="N244" s="181">
        <f t="shared" si="209"/>
        <v>0</v>
      </c>
      <c r="O244" s="181">
        <f t="shared" si="209"/>
        <v>0</v>
      </c>
    </row>
    <row r="245" spans="2:15">
      <c r="B245" s="63" t="s">
        <v>92</v>
      </c>
      <c r="C245" s="63" t="s">
        <v>173</v>
      </c>
      <c r="D245" s="300"/>
      <c r="E245" s="181">
        <f t="shared" si="197"/>
        <v>0</v>
      </c>
      <c r="F245" s="181">
        <f t="shared" si="198"/>
        <v>0</v>
      </c>
      <c r="G245" s="181">
        <f t="shared" si="199"/>
        <v>0</v>
      </c>
      <c r="H245" s="181">
        <f t="shared" si="200"/>
        <v>27.5</v>
      </c>
      <c r="I245" s="181">
        <f t="shared" ref="I245" si="210">AVERAGE(H198:I198)</f>
        <v>58.5</v>
      </c>
      <c r="J245" s="181">
        <f t="shared" si="202"/>
        <v>61</v>
      </c>
      <c r="K245" s="181">
        <f t="shared" si="202"/>
        <v>59.5</v>
      </c>
      <c r="L245" s="181">
        <f t="shared" ref="L245:O245" si="211">AVERAGE(K198:L198)</f>
        <v>59</v>
      </c>
      <c r="M245" s="181">
        <f t="shared" si="211"/>
        <v>59</v>
      </c>
      <c r="N245" s="181">
        <f t="shared" si="211"/>
        <v>59</v>
      </c>
      <c r="O245" s="181">
        <f t="shared" si="211"/>
        <v>59</v>
      </c>
    </row>
    <row r="246" spans="2:15">
      <c r="B246" s="63" t="s">
        <v>93</v>
      </c>
      <c r="C246" s="63" t="s">
        <v>173</v>
      </c>
      <c r="D246" s="300"/>
      <c r="E246" s="181">
        <f t="shared" si="197"/>
        <v>0</v>
      </c>
      <c r="F246" s="181">
        <f t="shared" si="198"/>
        <v>0</v>
      </c>
      <c r="G246" s="181">
        <f t="shared" si="199"/>
        <v>0</v>
      </c>
      <c r="H246" s="181">
        <f t="shared" si="200"/>
        <v>2602.5</v>
      </c>
      <c r="I246" s="181">
        <f t="shared" ref="I246" si="212">AVERAGE(H199:I199)</f>
        <v>9491.5</v>
      </c>
      <c r="J246" s="181">
        <f t="shared" si="202"/>
        <v>15878</v>
      </c>
      <c r="K246" s="181">
        <f t="shared" si="202"/>
        <v>18729.5</v>
      </c>
      <c r="L246" s="181">
        <f t="shared" ref="L246:O246" si="213">AVERAGE(K199:L199)</f>
        <v>21581</v>
      </c>
      <c r="M246" s="181">
        <f t="shared" si="213"/>
        <v>47520</v>
      </c>
      <c r="N246" s="181">
        <f t="shared" si="213"/>
        <v>73459</v>
      </c>
      <c r="O246" s="181">
        <f t="shared" si="213"/>
        <v>77659</v>
      </c>
    </row>
    <row r="247" spans="2:15">
      <c r="B247" s="63" t="s">
        <v>94</v>
      </c>
      <c r="C247" s="63" t="s">
        <v>173</v>
      </c>
      <c r="D247" s="300"/>
      <c r="E247" s="181">
        <f t="shared" si="197"/>
        <v>223</v>
      </c>
      <c r="F247" s="181">
        <f t="shared" si="198"/>
        <v>191.5</v>
      </c>
      <c r="G247" s="181">
        <f t="shared" si="199"/>
        <v>14.5</v>
      </c>
      <c r="H247" s="181">
        <f t="shared" si="200"/>
        <v>1684.5</v>
      </c>
      <c r="I247" s="181">
        <f t="shared" ref="I247" si="214">AVERAGE(H200:I200)</f>
        <v>3311</v>
      </c>
      <c r="J247" s="181">
        <f t="shared" si="202"/>
        <v>3260</v>
      </c>
      <c r="K247" s="181">
        <f t="shared" si="202"/>
        <v>3256.5</v>
      </c>
      <c r="L247" s="181">
        <f t="shared" ref="L247:O247" si="215">AVERAGE(K200:L200)</f>
        <v>3262</v>
      </c>
      <c r="M247" s="181">
        <f t="shared" si="215"/>
        <v>3262</v>
      </c>
      <c r="N247" s="181">
        <f t="shared" si="215"/>
        <v>3262</v>
      </c>
      <c r="O247" s="181">
        <f t="shared" si="215"/>
        <v>3262</v>
      </c>
    </row>
    <row r="248" spans="2:15">
      <c r="C248" s="63"/>
      <c r="D248" s="300"/>
      <c r="E248" s="186"/>
      <c r="F248" s="186"/>
      <c r="G248" s="186"/>
      <c r="H248" s="186"/>
      <c r="I248" s="186"/>
      <c r="J248" s="186"/>
      <c r="K248" s="186"/>
      <c r="L248" s="186"/>
      <c r="M248" s="186"/>
      <c r="N248" s="186"/>
      <c r="O248" s="186"/>
    </row>
    <row r="249" spans="2:15">
      <c r="B249" s="60" t="s">
        <v>95</v>
      </c>
      <c r="C249" s="60"/>
      <c r="D249" s="301"/>
      <c r="E249" s="183">
        <f t="shared" ref="E249:H249" si="216">SUM(E241:E247)</f>
        <v>223</v>
      </c>
      <c r="F249" s="183">
        <f t="shared" si="216"/>
        <v>3072</v>
      </c>
      <c r="G249" s="183">
        <f t="shared" si="216"/>
        <v>21381</v>
      </c>
      <c r="H249" s="183">
        <f t="shared" si="216"/>
        <v>44418.5</v>
      </c>
      <c r="I249" s="183">
        <f t="shared" ref="I249:J249" si="217">SUM(I241:I247)</f>
        <v>56224</v>
      </c>
      <c r="J249" s="183">
        <f t="shared" si="217"/>
        <v>62657</v>
      </c>
      <c r="K249" s="183">
        <f t="shared" ref="K249:O249" si="218">SUM(K241:K247)</f>
        <v>65497.5</v>
      </c>
      <c r="L249" s="183">
        <f t="shared" si="218"/>
        <v>68380</v>
      </c>
      <c r="M249" s="183">
        <f t="shared" si="218"/>
        <v>72580</v>
      </c>
      <c r="N249" s="183">
        <f t="shared" si="218"/>
        <v>76780</v>
      </c>
      <c r="O249" s="183">
        <f t="shared" si="218"/>
        <v>80980</v>
      </c>
    </row>
    <row r="250" spans="2:15">
      <c r="B250" s="58"/>
      <c r="C250" s="58"/>
      <c r="D250" s="300"/>
      <c r="E250" s="181"/>
      <c r="F250" s="181"/>
      <c r="G250" s="181"/>
      <c r="H250" s="181"/>
      <c r="I250" s="181"/>
      <c r="J250" s="181"/>
      <c r="K250" s="181"/>
      <c r="L250" s="181"/>
      <c r="M250" s="181"/>
      <c r="N250" s="181"/>
      <c r="O250" s="181"/>
    </row>
    <row r="251" spans="2:15" ht="13.5" thickBot="1">
      <c r="B251" s="66" t="s">
        <v>102</v>
      </c>
      <c r="C251" s="66"/>
      <c r="D251" s="304"/>
      <c r="E251" s="188">
        <f t="shared" ref="E251:H251" si="219">SUM(E249,E238,E230)</f>
        <v>1209355.5</v>
      </c>
      <c r="F251" s="188">
        <f t="shared" si="219"/>
        <v>1218696</v>
      </c>
      <c r="G251" s="188">
        <f t="shared" si="219"/>
        <v>1244571</v>
      </c>
      <c r="H251" s="188">
        <f t="shared" si="219"/>
        <v>1276550.5</v>
      </c>
      <c r="I251" s="188">
        <f t="shared" ref="I251:J251" si="220">SUM(I249,I238,I230)</f>
        <v>1311237.5</v>
      </c>
      <c r="J251" s="188">
        <f t="shared" si="220"/>
        <v>1344493.5</v>
      </c>
      <c r="K251" s="188">
        <f t="shared" ref="K251:O251" si="221">SUM(K249,K238,K230)</f>
        <v>1355751.5698910393</v>
      </c>
      <c r="L251" s="188">
        <f t="shared" si="221"/>
        <v>1361163.0366077744</v>
      </c>
      <c r="M251" s="188">
        <f t="shared" si="221"/>
        <v>1371012.195120919</v>
      </c>
      <c r="N251" s="188">
        <f t="shared" si="221"/>
        <v>1380983.9205667074</v>
      </c>
      <c r="O251" s="188">
        <f t="shared" si="221"/>
        <v>1392057.3199882763</v>
      </c>
    </row>
    <row r="252" spans="2:15">
      <c r="H252" s="186"/>
      <c r="I252" s="186"/>
      <c r="J252" s="186"/>
      <c r="K252" s="186"/>
      <c r="L252" s="186"/>
      <c r="M252" s="186"/>
      <c r="N252" s="186"/>
      <c r="O252" s="186"/>
    </row>
    <row r="253" spans="2:15">
      <c r="B253" s="504" t="s">
        <v>481</v>
      </c>
      <c r="C253" s="504"/>
      <c r="D253" s="504"/>
      <c r="E253" s="504"/>
      <c r="F253" s="504"/>
      <c r="G253" s="504"/>
      <c r="H253" s="504"/>
      <c r="I253" s="504"/>
      <c r="J253" s="504"/>
      <c r="K253" s="504"/>
      <c r="L253" s="504"/>
      <c r="M253" s="504"/>
      <c r="N253" s="504"/>
      <c r="O253" s="504"/>
    </row>
    <row r="254" spans="2:15">
      <c r="H254" s="186"/>
      <c r="I254" s="186"/>
      <c r="J254" s="186"/>
      <c r="K254" s="186"/>
      <c r="L254" s="186"/>
      <c r="M254" s="186"/>
      <c r="N254" s="186"/>
      <c r="O254" s="186"/>
    </row>
    <row r="255" spans="2:15" ht="12.75" customHeight="1">
      <c r="E255" s="508" t="s">
        <v>177</v>
      </c>
      <c r="F255" s="509"/>
      <c r="G255" s="509"/>
      <c r="H255" s="509"/>
      <c r="I255" s="509"/>
      <c r="J255" s="509"/>
      <c r="K255" s="509"/>
      <c r="L255" s="509"/>
      <c r="M255" s="509"/>
      <c r="N255" s="509"/>
      <c r="O255" s="510"/>
    </row>
    <row r="256" spans="2:15">
      <c r="E256" s="224" t="s">
        <v>7</v>
      </c>
      <c r="F256" s="224" t="s">
        <v>8</v>
      </c>
      <c r="G256" s="224" t="s">
        <v>9</v>
      </c>
      <c r="H256" s="52" t="s">
        <v>10</v>
      </c>
      <c r="I256" s="52" t="s">
        <v>11</v>
      </c>
      <c r="J256" s="52" t="s">
        <v>29</v>
      </c>
      <c r="K256" s="52" t="s">
        <v>42</v>
      </c>
      <c r="L256" s="52" t="s">
        <v>43</v>
      </c>
      <c r="M256" s="52" t="s">
        <v>44</v>
      </c>
      <c r="N256" s="52" t="s">
        <v>45</v>
      </c>
      <c r="O256" s="52" t="s">
        <v>46</v>
      </c>
    </row>
    <row r="257" spans="2:15">
      <c r="E257" s="186"/>
      <c r="F257" s="186"/>
      <c r="G257" s="186"/>
      <c r="H257" s="186"/>
      <c r="I257" s="186"/>
      <c r="J257" s="186"/>
      <c r="K257" s="186"/>
      <c r="L257" s="186"/>
      <c r="M257" s="186"/>
      <c r="N257" s="186"/>
      <c r="O257" s="186"/>
    </row>
    <row r="258" spans="2:15">
      <c r="B258" s="58" t="s">
        <v>167</v>
      </c>
      <c r="E258" s="186">
        <f t="shared" ref="E258:H258" si="222">SUM(E74:E75,E78:E81)</f>
        <v>776367</v>
      </c>
      <c r="F258" s="186">
        <f t="shared" si="222"/>
        <v>783091.5</v>
      </c>
      <c r="G258" s="186">
        <f t="shared" si="222"/>
        <v>791909.5</v>
      </c>
      <c r="H258" s="186">
        <f t="shared" si="222"/>
        <v>800026.5</v>
      </c>
      <c r="I258" s="186">
        <f>SUM(I74:I75,I78:I81)</f>
        <v>813440.5</v>
      </c>
      <c r="J258" s="186">
        <f>SUM(J74:J75,J78:J81)</f>
        <v>830644.5</v>
      </c>
      <c r="K258" s="186">
        <f t="shared" ref="K258:O258" si="223">SUM(K74:K75,K78:K81)</f>
        <v>842577.16835754679</v>
      </c>
      <c r="L258" s="186">
        <f>SUM(L74:L75,L78:L81)</f>
        <v>852512.43735132238</v>
      </c>
      <c r="M258" s="186">
        <f t="shared" si="223"/>
        <v>862244.50573519152</v>
      </c>
      <c r="N258" s="186">
        <f t="shared" si="223"/>
        <v>872663.42535740137</v>
      </c>
      <c r="O258" s="186">
        <f t="shared" si="223"/>
        <v>884596.85169119691</v>
      </c>
    </row>
    <row r="259" spans="2:15">
      <c r="B259" s="58" t="s">
        <v>269</v>
      </c>
      <c r="E259" s="186">
        <f t="shared" ref="E259:H259" si="224">SUM(E76:E77)</f>
        <v>1443</v>
      </c>
      <c r="F259" s="186">
        <f t="shared" si="224"/>
        <v>817</v>
      </c>
      <c r="G259" s="186">
        <f t="shared" si="224"/>
        <v>7</v>
      </c>
      <c r="H259" s="186">
        <f t="shared" si="224"/>
        <v>7</v>
      </c>
      <c r="I259" s="186">
        <f>SUM(I76:I77)</f>
        <v>6.5</v>
      </c>
      <c r="J259" s="186">
        <f>SUM(J76:J77)</f>
        <v>13</v>
      </c>
      <c r="K259" s="186">
        <f t="shared" ref="K259:O259" si="225">SUM(K76:K77)</f>
        <v>13.581642453460056</v>
      </c>
      <c r="L259" s="186">
        <f t="shared" si="225"/>
        <v>7.2049683208886748</v>
      </c>
      <c r="M259" s="186">
        <f t="shared" si="225"/>
        <v>7.2872184340018098</v>
      </c>
      <c r="N259" s="186">
        <f t="shared" si="225"/>
        <v>7.3752734376908302</v>
      </c>
      <c r="O259" s="186">
        <f t="shared" si="225"/>
        <v>7.4761282228266204</v>
      </c>
    </row>
    <row r="260" spans="2:15">
      <c r="B260" s="58" t="s">
        <v>272</v>
      </c>
      <c r="E260" s="186">
        <f t="shared" ref="E260:H260" si="226">SUM(E91)</f>
        <v>1</v>
      </c>
      <c r="F260" s="186">
        <f t="shared" si="226"/>
        <v>1</v>
      </c>
      <c r="G260" s="186">
        <f t="shared" si="226"/>
        <v>0.5</v>
      </c>
      <c r="H260" s="186">
        <f t="shared" si="226"/>
        <v>0</v>
      </c>
      <c r="I260" s="186">
        <f>SUM(I91)</f>
        <v>0</v>
      </c>
      <c r="J260" s="186">
        <f t="shared" ref="J260:O260" si="227">SUM(J91)</f>
        <v>0.5</v>
      </c>
      <c r="K260" s="186">
        <f t="shared" si="227"/>
        <v>1</v>
      </c>
      <c r="L260" s="186">
        <f t="shared" si="227"/>
        <v>1</v>
      </c>
      <c r="M260" s="186">
        <f t="shared" si="227"/>
        <v>1</v>
      </c>
      <c r="N260" s="186">
        <f t="shared" si="227"/>
        <v>1</v>
      </c>
      <c r="O260" s="186">
        <f t="shared" si="227"/>
        <v>1</v>
      </c>
    </row>
    <row r="261" spans="2:15">
      <c r="B261" s="58" t="s">
        <v>170</v>
      </c>
      <c r="E261" s="186">
        <f t="shared" ref="E261:H261" si="228">SUM(E82:E86)</f>
        <v>72872</v>
      </c>
      <c r="F261" s="186">
        <f t="shared" si="228"/>
        <v>73129.5</v>
      </c>
      <c r="G261" s="186">
        <f t="shared" si="228"/>
        <v>73689</v>
      </c>
      <c r="H261" s="186">
        <f t="shared" si="228"/>
        <v>74104.5</v>
      </c>
      <c r="I261" s="186">
        <f>SUM(I82:I86)</f>
        <v>75822.5</v>
      </c>
      <c r="J261" s="186">
        <f>SUM(J82:J86)</f>
        <v>77449</v>
      </c>
      <c r="K261" s="186">
        <f t="shared" ref="K261:O261" si="229">SUM(K82:K86)</f>
        <v>77917.790896148726</v>
      </c>
      <c r="L261" s="186">
        <f t="shared" si="229"/>
        <v>79321.996735611523</v>
      </c>
      <c r="M261" s="186">
        <f t="shared" si="229"/>
        <v>81120.460148634622</v>
      </c>
      <c r="N261" s="186">
        <f t="shared" si="229"/>
        <v>82861.275914869067</v>
      </c>
      <c r="O261" s="186">
        <f t="shared" si="229"/>
        <v>84780.202777770668</v>
      </c>
    </row>
    <row r="262" spans="2:15">
      <c r="B262" s="58" t="s">
        <v>270</v>
      </c>
      <c r="E262" s="186">
        <f t="shared" ref="E262:H262" si="230">SUM(E87:E89)</f>
        <v>1367</v>
      </c>
      <c r="F262" s="186">
        <f t="shared" si="230"/>
        <v>1320</v>
      </c>
      <c r="G262" s="186">
        <f t="shared" si="230"/>
        <v>1310.5</v>
      </c>
      <c r="H262" s="186">
        <f t="shared" si="230"/>
        <v>1333.5</v>
      </c>
      <c r="I262" s="186">
        <f>SUM(I87:I89)</f>
        <v>1430</v>
      </c>
      <c r="J262" s="186">
        <f t="shared" ref="J262:O262" si="231">SUM(J87:J89)</f>
        <v>1612.5</v>
      </c>
      <c r="K262" s="186">
        <f t="shared" si="231"/>
        <v>1630.5185325527705</v>
      </c>
      <c r="L262" s="186">
        <f t="shared" si="231"/>
        <v>1561.2354265661047</v>
      </c>
      <c r="M262" s="186">
        <f t="shared" si="231"/>
        <v>1596.6332343539418</v>
      </c>
      <c r="N262" s="186">
        <f t="shared" si="231"/>
        <v>1630.8964067048448</v>
      </c>
      <c r="O262" s="186">
        <f t="shared" si="231"/>
        <v>1668.6652063145796</v>
      </c>
    </row>
    <row r="263" spans="2:15">
      <c r="B263" s="58" t="s">
        <v>271</v>
      </c>
      <c r="E263" s="186">
        <f t="shared" ref="E263:H263" si="232">SUM(E90)</f>
        <v>397</v>
      </c>
      <c r="F263" s="186">
        <f t="shared" si="232"/>
        <v>392</v>
      </c>
      <c r="G263" s="186">
        <f t="shared" si="232"/>
        <v>390</v>
      </c>
      <c r="H263" s="186">
        <f t="shared" si="232"/>
        <v>388</v>
      </c>
      <c r="I263" s="186">
        <f>SUM(I90)</f>
        <v>382</v>
      </c>
      <c r="J263" s="186">
        <f t="shared" ref="J263:O263" si="233">SUM(J90)</f>
        <v>374</v>
      </c>
      <c r="K263" s="186">
        <f t="shared" si="233"/>
        <v>373.61288105599544</v>
      </c>
      <c r="L263" s="186">
        <f t="shared" si="233"/>
        <v>380.90977285028509</v>
      </c>
      <c r="M263" s="186">
        <f t="shared" si="233"/>
        <v>389.5461198703623</v>
      </c>
      <c r="N263" s="186">
        <f t="shared" si="233"/>
        <v>397.90563886104923</v>
      </c>
      <c r="O263" s="186">
        <f t="shared" si="233"/>
        <v>407.1204597877142</v>
      </c>
    </row>
    <row r="264" spans="2:15">
      <c r="B264" s="58" t="s">
        <v>105</v>
      </c>
      <c r="E264" s="186">
        <f t="shared" ref="E264:H264" si="234">SUM(E78:E79,E84:E85,E96:E99)</f>
        <v>356685.5</v>
      </c>
      <c r="F264" s="186">
        <f t="shared" si="234"/>
        <v>356872.5</v>
      </c>
      <c r="G264" s="186">
        <f t="shared" si="234"/>
        <v>355821.5</v>
      </c>
      <c r="H264" s="186">
        <f t="shared" si="234"/>
        <v>353318.5</v>
      </c>
      <c r="I264" s="186">
        <f>SUM(I78:I79,I84:I85,I96:I99)</f>
        <v>354267.5</v>
      </c>
      <c r="J264" s="186">
        <f>SUM(J78:J79,J84:J85,J96:J99)</f>
        <v>355988.5</v>
      </c>
      <c r="K264" s="186">
        <f t="shared" ref="K264:O264" si="235">SUM(K78:K79,K84:K85,K96:K99)</f>
        <v>351006.78141432191</v>
      </c>
      <c r="L264" s="186">
        <f t="shared" si="235"/>
        <v>343402.71864170098</v>
      </c>
      <c r="M264" s="186">
        <f t="shared" si="235"/>
        <v>337293.87741479604</v>
      </c>
      <c r="N264" s="186">
        <f t="shared" si="235"/>
        <v>330667.96397234476</v>
      </c>
      <c r="O264" s="186">
        <f t="shared" si="235"/>
        <v>323418.80570423586</v>
      </c>
    </row>
    <row r="265" spans="2:15">
      <c r="B265" s="58" t="s">
        <v>173</v>
      </c>
      <c r="E265" s="186">
        <f t="shared" ref="E265:H265" si="236">SUM(E80:E81,E86,E89,E104:E110)</f>
        <v>223</v>
      </c>
      <c r="F265" s="186">
        <f t="shared" si="236"/>
        <v>3072.5</v>
      </c>
      <c r="G265" s="186">
        <f t="shared" si="236"/>
        <v>21443</v>
      </c>
      <c r="H265" s="186">
        <f t="shared" si="236"/>
        <v>47372.5</v>
      </c>
      <c r="I265" s="186">
        <f>SUM(I80:I81,I86,I89,I104:I110)</f>
        <v>65888.5</v>
      </c>
      <c r="J265" s="186">
        <f>SUM(J80:J81,J86,J89,J104:J110)</f>
        <v>78411.5</v>
      </c>
      <c r="K265" s="186">
        <f t="shared" ref="K265:O265" si="237">SUM(K80:K81,K86,K89,K104:K110)</f>
        <v>82231.116166959691</v>
      </c>
      <c r="L265" s="186">
        <f t="shared" si="237"/>
        <v>83975.533711402357</v>
      </c>
      <c r="M265" s="186">
        <f t="shared" si="237"/>
        <v>88358.885249638333</v>
      </c>
      <c r="N265" s="186">
        <f t="shared" si="237"/>
        <v>92754.07800308842</v>
      </c>
      <c r="O265" s="186">
        <f t="shared" si="237"/>
        <v>97177.198020747775</v>
      </c>
    </row>
    <row r="266" spans="2:15" ht="13.5" thickBot="1">
      <c r="B266" s="66" t="s">
        <v>101</v>
      </c>
      <c r="C266" s="80"/>
      <c r="D266" s="80"/>
      <c r="E266" s="188">
        <f t="shared" ref="E266:H266" si="238">SUM(E258:E265)</f>
        <v>1209355.5</v>
      </c>
      <c r="F266" s="188">
        <f t="shared" si="238"/>
        <v>1218696</v>
      </c>
      <c r="G266" s="188">
        <f t="shared" si="238"/>
        <v>1244571</v>
      </c>
      <c r="H266" s="188">
        <f t="shared" si="238"/>
        <v>1276550.5</v>
      </c>
      <c r="I266" s="188">
        <f>SUM(I258:I265)</f>
        <v>1311237.5</v>
      </c>
      <c r="J266" s="188">
        <f>SUM(J258:J265)</f>
        <v>1344493.5</v>
      </c>
      <c r="K266" s="188">
        <f t="shared" ref="K266:O266" si="239">SUM(K258:K265)</f>
        <v>1355751.5698910395</v>
      </c>
      <c r="L266" s="188">
        <f t="shared" si="239"/>
        <v>1361163.0366077747</v>
      </c>
      <c r="M266" s="188">
        <f t="shared" si="239"/>
        <v>1371012.1951209188</v>
      </c>
      <c r="N266" s="188">
        <f t="shared" si="239"/>
        <v>1380983.9205667072</v>
      </c>
      <c r="O266" s="188">
        <f t="shared" si="239"/>
        <v>1392057.3199882763</v>
      </c>
    </row>
    <row r="267" spans="2:15" s="72" customFormat="1">
      <c r="B267" s="81" t="s">
        <v>37</v>
      </c>
      <c r="C267" s="81"/>
      <c r="D267" s="81"/>
      <c r="E267" s="192">
        <f t="shared" ref="E267:H267" si="240">E266-E251</f>
        <v>0</v>
      </c>
      <c r="F267" s="192">
        <f t="shared" si="240"/>
        <v>0</v>
      </c>
      <c r="G267" s="192">
        <f t="shared" si="240"/>
        <v>0</v>
      </c>
      <c r="H267" s="192">
        <f t="shared" si="240"/>
        <v>0</v>
      </c>
      <c r="I267" s="192">
        <f>I266-I251</f>
        <v>0</v>
      </c>
      <c r="J267" s="192">
        <f>J266-J251</f>
        <v>0</v>
      </c>
      <c r="K267" s="192">
        <f t="shared" ref="K267:O267" si="241">K266-K251</f>
        <v>0</v>
      </c>
      <c r="L267" s="192">
        <f t="shared" si="241"/>
        <v>0</v>
      </c>
      <c r="M267" s="192">
        <f t="shared" si="241"/>
        <v>0</v>
      </c>
      <c r="N267" s="192">
        <f t="shared" si="241"/>
        <v>0</v>
      </c>
      <c r="O267" s="192">
        <f t="shared" si="241"/>
        <v>0</v>
      </c>
    </row>
    <row r="269" spans="2:15">
      <c r="B269" s="200" t="s">
        <v>333</v>
      </c>
      <c r="J269" s="46"/>
    </row>
    <row r="270" spans="2:15">
      <c r="B270" s="200" t="s">
        <v>339</v>
      </c>
      <c r="J270" s="46"/>
    </row>
    <row r="271" spans="2:15">
      <c r="J271" s="46"/>
    </row>
    <row r="272" spans="2:15">
      <c r="J272" s="46"/>
    </row>
    <row r="273" spans="2:15">
      <c r="J273" s="46"/>
    </row>
    <row r="274" spans="2:15">
      <c r="J274" s="46"/>
    </row>
    <row r="275" spans="2:15">
      <c r="J275" s="46"/>
    </row>
    <row r="283" spans="2:15">
      <c r="B283" s="48"/>
      <c r="C283" s="48"/>
      <c r="D283" s="48"/>
      <c r="E283" s="48"/>
      <c r="F283" s="48"/>
      <c r="G283" s="48"/>
      <c r="H283" s="48"/>
      <c r="I283" s="48"/>
      <c r="J283" s="83"/>
      <c r="K283" s="48"/>
      <c r="L283" s="48"/>
      <c r="M283" s="48"/>
      <c r="N283" s="48"/>
      <c r="O283" s="48"/>
    </row>
    <row r="284" spans="2:15">
      <c r="B284" s="48"/>
      <c r="C284" s="48"/>
      <c r="D284" s="48"/>
      <c r="E284" s="48"/>
      <c r="F284" s="48"/>
      <c r="G284" s="48"/>
      <c r="H284" s="48"/>
      <c r="I284" s="48"/>
      <c r="J284" s="83"/>
      <c r="K284" s="48"/>
      <c r="L284" s="48"/>
      <c r="M284" s="48"/>
      <c r="N284" s="48"/>
      <c r="O284" s="48"/>
    </row>
    <row r="285" spans="2:15">
      <c r="B285" s="48"/>
      <c r="C285" s="48"/>
      <c r="D285" s="48"/>
      <c r="E285" s="48"/>
      <c r="F285" s="48"/>
      <c r="G285" s="48"/>
      <c r="H285" s="48"/>
      <c r="I285" s="48"/>
      <c r="J285" s="83"/>
      <c r="K285" s="48"/>
      <c r="L285" s="48"/>
      <c r="M285" s="48"/>
      <c r="N285" s="48"/>
      <c r="O285" s="48"/>
    </row>
    <row r="286" spans="2:15">
      <c r="B286" s="48"/>
      <c r="C286" s="48"/>
      <c r="D286" s="48"/>
      <c r="E286" s="48"/>
      <c r="F286" s="48"/>
      <c r="G286" s="48"/>
      <c r="H286" s="48"/>
      <c r="I286" s="48"/>
      <c r="J286" s="83"/>
      <c r="K286" s="48"/>
      <c r="L286" s="48"/>
      <c r="M286" s="48"/>
      <c r="N286" s="48"/>
      <c r="O286" s="48"/>
    </row>
    <row r="287" spans="2:15">
      <c r="B287" s="48"/>
      <c r="C287" s="48"/>
      <c r="D287" s="48"/>
      <c r="E287" s="48"/>
      <c r="F287" s="48"/>
      <c r="G287" s="48"/>
      <c r="H287" s="48"/>
      <c r="I287" s="48"/>
      <c r="J287" s="83"/>
      <c r="K287" s="48"/>
      <c r="L287" s="48"/>
      <c r="M287" s="48"/>
      <c r="N287" s="48"/>
      <c r="O287" s="48"/>
    </row>
    <row r="288" spans="2:15">
      <c r="B288" s="48"/>
      <c r="C288" s="48"/>
      <c r="D288" s="48"/>
      <c r="E288" s="48"/>
      <c r="F288" s="48"/>
      <c r="G288" s="48"/>
      <c r="H288" s="48"/>
      <c r="I288" s="48"/>
      <c r="J288" s="83"/>
      <c r="K288" s="48"/>
      <c r="L288" s="48"/>
      <c r="M288" s="48"/>
      <c r="N288" s="48"/>
      <c r="O288" s="48"/>
    </row>
    <row r="289" spans="2:15">
      <c r="B289" s="48"/>
      <c r="C289" s="48"/>
      <c r="D289" s="48"/>
      <c r="E289" s="48"/>
      <c r="F289" s="48"/>
      <c r="G289" s="48"/>
      <c r="H289" s="48"/>
      <c r="I289" s="48"/>
      <c r="J289" s="84"/>
      <c r="K289" s="48"/>
      <c r="L289" s="48"/>
      <c r="M289" s="48"/>
      <c r="N289" s="48"/>
      <c r="O289" s="48"/>
    </row>
    <row r="291" spans="2:15">
      <c r="B291" s="48"/>
      <c r="C291" s="48"/>
      <c r="D291" s="48"/>
      <c r="E291" s="48"/>
      <c r="F291" s="48"/>
      <c r="G291" s="48"/>
      <c r="H291" s="48"/>
      <c r="I291" s="48"/>
      <c r="J291" s="46"/>
      <c r="K291" s="48"/>
      <c r="L291" s="48"/>
      <c r="M291" s="48"/>
      <c r="N291" s="48"/>
      <c r="O291" s="48"/>
    </row>
    <row r="292" spans="2:15">
      <c r="B292" s="48"/>
      <c r="C292" s="48"/>
      <c r="D292" s="48"/>
      <c r="E292" s="48"/>
      <c r="F292" s="48"/>
      <c r="G292" s="48"/>
      <c r="H292" s="48"/>
      <c r="I292" s="48"/>
      <c r="J292" s="46"/>
      <c r="K292" s="48"/>
      <c r="L292" s="48"/>
      <c r="M292" s="48"/>
      <c r="N292" s="48"/>
      <c r="O292" s="48"/>
    </row>
    <row r="293" spans="2:15">
      <c r="B293" s="48"/>
      <c r="C293" s="48"/>
      <c r="D293" s="48"/>
      <c r="E293" s="48"/>
      <c r="F293" s="48"/>
      <c r="G293" s="48"/>
      <c r="H293" s="48"/>
      <c r="I293" s="48"/>
      <c r="J293" s="46"/>
      <c r="K293" s="48"/>
      <c r="L293" s="48"/>
      <c r="M293" s="48"/>
      <c r="N293" s="48"/>
      <c r="O293" s="48"/>
    </row>
    <row r="294" spans="2:15">
      <c r="B294" s="48"/>
      <c r="C294" s="48"/>
      <c r="D294" s="48"/>
      <c r="E294" s="48"/>
      <c r="F294" s="48"/>
      <c r="G294" s="48"/>
      <c r="H294" s="48"/>
      <c r="I294" s="48"/>
      <c r="J294" s="46"/>
      <c r="K294" s="48"/>
      <c r="L294" s="48"/>
      <c r="M294" s="48"/>
      <c r="N294" s="48"/>
      <c r="O294" s="48"/>
    </row>
    <row r="295" spans="2:15">
      <c r="B295" s="48"/>
      <c r="C295" s="48"/>
      <c r="D295" s="48"/>
      <c r="E295" s="48"/>
      <c r="F295" s="48"/>
      <c r="G295" s="48"/>
      <c r="H295" s="48"/>
      <c r="I295" s="48"/>
      <c r="J295" s="46"/>
      <c r="K295" s="48"/>
      <c r="L295" s="48"/>
      <c r="M295" s="48"/>
      <c r="N295" s="48"/>
      <c r="O295" s="48"/>
    </row>
    <row r="296" spans="2:15">
      <c r="B296" s="48"/>
      <c r="C296" s="48"/>
      <c r="D296" s="48"/>
      <c r="E296" s="48"/>
      <c r="F296" s="48"/>
      <c r="G296" s="48"/>
      <c r="H296" s="48"/>
      <c r="I296" s="48"/>
      <c r="J296" s="46"/>
      <c r="K296" s="48"/>
      <c r="L296" s="48"/>
      <c r="M296" s="48"/>
      <c r="N296" s="48"/>
      <c r="O296" s="48"/>
    </row>
    <row r="297" spans="2:15">
      <c r="B297" s="48"/>
      <c r="C297" s="48"/>
      <c r="D297" s="48"/>
      <c r="E297" s="48"/>
      <c r="F297" s="48"/>
      <c r="G297" s="48"/>
      <c r="H297" s="48"/>
      <c r="I297" s="48"/>
      <c r="J297" s="46"/>
      <c r="K297" s="48"/>
      <c r="L297" s="48"/>
      <c r="M297" s="48"/>
      <c r="N297" s="48"/>
      <c r="O297" s="48"/>
    </row>
  </sheetData>
  <mergeCells count="10">
    <mergeCell ref="B6:O6"/>
    <mergeCell ref="B8:O8"/>
    <mergeCell ref="B9:O9"/>
    <mergeCell ref="B10:O10"/>
    <mergeCell ref="B11:O11"/>
    <mergeCell ref="B13:O13"/>
    <mergeCell ref="B19:O19"/>
    <mergeCell ref="B253:O253"/>
    <mergeCell ref="K15:O15"/>
    <mergeCell ref="E255:O25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2"/>
  <sheetViews>
    <sheetView showGridLines="0" topLeftCell="A32" workbookViewId="0"/>
  </sheetViews>
  <sheetFormatPr defaultRowHeight="12.75" outlineLevelRow="1"/>
  <cols>
    <col min="1" max="1" width="2.85546875" style="1" customWidth="1"/>
    <col min="2" max="2" width="51.7109375" style="1" bestFit="1" customWidth="1"/>
    <col min="3" max="14" width="14.28515625" style="1" customWidth="1"/>
    <col min="15" max="25" width="18.42578125" style="1" bestFit="1" customWidth="1"/>
    <col min="26" max="16384" width="9.140625" style="1"/>
  </cols>
  <sheetData>
    <row r="1" spans="1:14">
      <c r="N1" s="197"/>
    </row>
    <row r="2" spans="1:14" ht="15.75">
      <c r="A2" s="5" t="s">
        <v>503</v>
      </c>
    </row>
    <row r="3" spans="1:14" ht="15.75">
      <c r="A3" s="5" t="s">
        <v>60</v>
      </c>
    </row>
    <row r="4" spans="1:14" ht="15.75">
      <c r="A4" s="229" t="s">
        <v>499</v>
      </c>
    </row>
    <row r="6" spans="1:14" ht="15" customHeight="1">
      <c r="B6" s="514" t="s">
        <v>477</v>
      </c>
      <c r="C6" s="515"/>
      <c r="D6" s="515"/>
      <c r="E6" s="515"/>
      <c r="F6" s="515"/>
      <c r="G6" s="515"/>
      <c r="H6" s="515"/>
      <c r="I6" s="515"/>
      <c r="J6" s="515"/>
      <c r="K6" s="515"/>
      <c r="L6" s="515"/>
      <c r="M6" s="515"/>
      <c r="N6" s="516"/>
    </row>
    <row r="7" spans="1:14">
      <c r="B7" s="216"/>
      <c r="C7" s="216"/>
      <c r="D7" s="216"/>
      <c r="E7" s="216"/>
      <c r="F7" s="216"/>
      <c r="G7" s="216"/>
      <c r="H7" s="216"/>
      <c r="I7" s="216"/>
      <c r="J7" s="216"/>
      <c r="K7" s="216"/>
      <c r="L7" s="216"/>
      <c r="M7" s="216"/>
      <c r="N7" s="216"/>
    </row>
    <row r="8" spans="1:14">
      <c r="B8" s="514" t="s">
        <v>20</v>
      </c>
      <c r="C8" s="515"/>
      <c r="D8" s="515"/>
      <c r="E8" s="515"/>
      <c r="F8" s="515"/>
      <c r="G8" s="515"/>
      <c r="H8" s="515"/>
      <c r="I8" s="515"/>
      <c r="J8" s="515"/>
      <c r="K8" s="515"/>
      <c r="L8" s="515"/>
      <c r="M8" s="515"/>
      <c r="N8" s="516"/>
    </row>
    <row r="9" spans="1:14" ht="28.5" customHeight="1">
      <c r="B9" s="448" t="s">
        <v>739</v>
      </c>
      <c r="C9" s="512"/>
      <c r="D9" s="512"/>
      <c r="E9" s="512"/>
      <c r="F9" s="512"/>
      <c r="G9" s="512"/>
      <c r="H9" s="512"/>
      <c r="I9" s="512"/>
      <c r="J9" s="512"/>
      <c r="K9" s="512"/>
      <c r="L9" s="512"/>
      <c r="M9" s="512"/>
      <c r="N9" s="513"/>
    </row>
    <row r="10" spans="1:14">
      <c r="B10" s="216"/>
      <c r="C10" s="216"/>
      <c r="D10" s="216"/>
      <c r="E10" s="216"/>
      <c r="F10" s="216"/>
      <c r="G10" s="216"/>
      <c r="H10" s="216"/>
      <c r="I10" s="216"/>
      <c r="J10" s="216"/>
      <c r="K10" s="216"/>
      <c r="L10" s="216"/>
      <c r="M10" s="216"/>
      <c r="N10" s="216"/>
    </row>
    <row r="11" spans="1:14" s="48" customFormat="1">
      <c r="B11" s="445" t="s">
        <v>21</v>
      </c>
      <c r="C11" s="446"/>
      <c r="D11" s="446"/>
      <c r="E11" s="446"/>
      <c r="F11" s="446"/>
      <c r="G11" s="446"/>
      <c r="H11" s="446"/>
      <c r="I11" s="446"/>
      <c r="J11" s="446"/>
      <c r="K11" s="446"/>
      <c r="L11" s="446"/>
      <c r="M11" s="446"/>
      <c r="N11" s="447"/>
    </row>
    <row r="12" spans="1:14" s="48" customFormat="1">
      <c r="B12" s="51"/>
      <c r="C12" s="51"/>
      <c r="D12" s="51"/>
      <c r="E12" s="51"/>
      <c r="F12" s="51"/>
      <c r="G12" s="51"/>
      <c r="H12" s="51"/>
      <c r="I12" s="51"/>
      <c r="J12" s="51"/>
      <c r="K12" s="51"/>
      <c r="L12" s="51"/>
      <c r="M12" s="51"/>
      <c r="N12" s="51"/>
    </row>
    <row r="13" spans="1:14">
      <c r="B13" s="217" t="s">
        <v>476</v>
      </c>
      <c r="C13" s="217"/>
      <c r="D13" s="217"/>
      <c r="E13" s="217"/>
      <c r="F13" s="217"/>
      <c r="G13" s="217"/>
      <c r="H13" s="217"/>
      <c r="I13" s="217"/>
      <c r="J13" s="217"/>
      <c r="K13" s="217"/>
      <c r="L13" s="217"/>
      <c r="M13" s="217"/>
      <c r="N13" s="217"/>
    </row>
    <row r="15" spans="1:14" hidden="1" outlineLevel="1">
      <c r="B15" s="3" t="s">
        <v>26</v>
      </c>
    </row>
    <row r="16" spans="1:14" hidden="1" outlineLevel="1">
      <c r="B16" s="138" t="s">
        <v>0</v>
      </c>
      <c r="C16" s="137" t="s">
        <v>830</v>
      </c>
      <c r="D16" s="137" t="s">
        <v>830</v>
      </c>
      <c r="E16" s="137" t="s">
        <v>830</v>
      </c>
      <c r="F16" s="137" t="s">
        <v>830</v>
      </c>
      <c r="G16" s="137" t="s">
        <v>830</v>
      </c>
    </row>
    <row r="17" spans="2:25" hidden="1" outlineLevel="1">
      <c r="B17" s="138" t="s">
        <v>32</v>
      </c>
      <c r="C17" s="137" t="s">
        <v>831</v>
      </c>
      <c r="D17" s="137" t="s">
        <v>831</v>
      </c>
      <c r="E17" s="137" t="s">
        <v>831</v>
      </c>
      <c r="F17" s="137" t="s">
        <v>831</v>
      </c>
      <c r="G17" s="137" t="s">
        <v>831</v>
      </c>
    </row>
    <row r="18" spans="2:25" hidden="1" outlineLevel="1">
      <c r="B18" s="138" t="s">
        <v>267</v>
      </c>
      <c r="C18" s="137" t="s">
        <v>832</v>
      </c>
      <c r="D18" s="137" t="s">
        <v>832</v>
      </c>
      <c r="E18" s="137" t="s">
        <v>832</v>
      </c>
      <c r="F18" s="137" t="s">
        <v>832</v>
      </c>
      <c r="G18" s="137" t="s">
        <v>832</v>
      </c>
    </row>
    <row r="19" spans="2:25" hidden="1" outlineLevel="1"/>
    <row r="20" spans="2:25" ht="25.5" collapsed="1">
      <c r="C20" s="166" t="s">
        <v>60</v>
      </c>
      <c r="D20" s="166" t="s">
        <v>60</v>
      </c>
      <c r="E20" s="166" t="s">
        <v>60</v>
      </c>
      <c r="F20" s="166" t="s">
        <v>60</v>
      </c>
      <c r="G20" s="166" t="s">
        <v>60</v>
      </c>
      <c r="H20" s="166" t="s">
        <v>60</v>
      </c>
      <c r="I20" s="166" t="s">
        <v>60</v>
      </c>
      <c r="J20" s="166" t="s">
        <v>60</v>
      </c>
      <c r="K20" s="166" t="s">
        <v>60</v>
      </c>
      <c r="L20" s="166" t="s">
        <v>60</v>
      </c>
      <c r="M20" s="166" t="s">
        <v>60</v>
      </c>
      <c r="N20" s="166" t="s">
        <v>60</v>
      </c>
    </row>
    <row r="21" spans="2:25">
      <c r="C21" s="224" t="s">
        <v>6</v>
      </c>
      <c r="D21" s="224" t="s">
        <v>7</v>
      </c>
      <c r="E21" s="224" t="s">
        <v>8</v>
      </c>
      <c r="F21" s="224" t="s">
        <v>9</v>
      </c>
      <c r="G21" s="154" t="s">
        <v>10</v>
      </c>
      <c r="H21" s="154" t="s">
        <v>11</v>
      </c>
      <c r="I21" s="154" t="s">
        <v>29</v>
      </c>
      <c r="J21" s="154" t="s">
        <v>42</v>
      </c>
      <c r="K21" s="194" t="s">
        <v>43</v>
      </c>
      <c r="L21" s="194" t="s">
        <v>44</v>
      </c>
      <c r="M21" s="194" t="s">
        <v>45</v>
      </c>
      <c r="N21" s="194" t="s">
        <v>46</v>
      </c>
    </row>
    <row r="22" spans="2:25">
      <c r="C22" s="224" t="s">
        <v>2</v>
      </c>
      <c r="D22" s="224" t="s">
        <v>2</v>
      </c>
      <c r="E22" s="224" t="s">
        <v>2</v>
      </c>
      <c r="F22" s="224" t="s">
        <v>2</v>
      </c>
      <c r="G22" s="154" t="s">
        <v>2</v>
      </c>
      <c r="H22" s="154" t="s">
        <v>2</v>
      </c>
      <c r="I22" s="224" t="s">
        <v>2</v>
      </c>
      <c r="J22" s="154" t="s">
        <v>337</v>
      </c>
      <c r="K22" s="194" t="s">
        <v>338</v>
      </c>
      <c r="L22" s="213" t="s">
        <v>338</v>
      </c>
      <c r="M22" s="213" t="s">
        <v>338</v>
      </c>
      <c r="N22" s="213" t="s">
        <v>338</v>
      </c>
    </row>
    <row r="23" spans="2:25">
      <c r="C23" s="167" t="s">
        <v>315</v>
      </c>
      <c r="D23" s="167" t="s">
        <v>315</v>
      </c>
      <c r="E23" s="167" t="s">
        <v>315</v>
      </c>
      <c r="F23" s="167" t="s">
        <v>315</v>
      </c>
      <c r="G23" s="167" t="s">
        <v>315</v>
      </c>
      <c r="H23" s="167" t="s">
        <v>315</v>
      </c>
      <c r="I23" s="167" t="s">
        <v>315</v>
      </c>
      <c r="J23" s="167" t="s">
        <v>316</v>
      </c>
      <c r="K23" s="167" t="s">
        <v>316</v>
      </c>
      <c r="L23" s="167" t="s">
        <v>316</v>
      </c>
      <c r="M23" s="167" t="s">
        <v>316</v>
      </c>
      <c r="N23" s="167" t="s">
        <v>316</v>
      </c>
    </row>
    <row r="24" spans="2:25" s="2" customFormat="1">
      <c r="B24" s="168" t="s">
        <v>317</v>
      </c>
      <c r="C24" s="169">
        <v>1197489</v>
      </c>
      <c r="D24" s="169">
        <v>1203657</v>
      </c>
      <c r="E24" s="169">
        <v>1216551</v>
      </c>
      <c r="F24" s="169">
        <v>1255209</v>
      </c>
      <c r="G24" s="169">
        <v>1274817</v>
      </c>
      <c r="H24" s="169">
        <v>1311671</v>
      </c>
      <c r="I24" s="169">
        <v>1329532</v>
      </c>
      <c r="J24" s="169">
        <v>1332445.3000367777</v>
      </c>
      <c r="K24" s="169">
        <v>1342652.1247170663</v>
      </c>
      <c r="L24" s="169">
        <v>1351715.4859372142</v>
      </c>
      <c r="M24" s="169">
        <v>1362114.1388062676</v>
      </c>
      <c r="N24" s="169">
        <v>1373301.4915030487</v>
      </c>
      <c r="O24" s="170"/>
      <c r="P24" s="170"/>
      <c r="Q24" s="170"/>
      <c r="R24" s="170"/>
      <c r="S24" s="170"/>
      <c r="T24" s="170"/>
      <c r="U24" s="170"/>
      <c r="V24" s="170"/>
      <c r="W24" s="170"/>
      <c r="X24" s="170"/>
      <c r="Y24" s="170"/>
    </row>
    <row r="25" spans="2:25" s="2" customFormat="1">
      <c r="B25" s="171" t="s">
        <v>103</v>
      </c>
      <c r="C25" s="172">
        <v>1118892</v>
      </c>
      <c r="D25" s="172">
        <v>1124793</v>
      </c>
      <c r="E25" s="172">
        <v>1136736</v>
      </c>
      <c r="F25" s="172">
        <v>1174709</v>
      </c>
      <c r="G25" s="172">
        <v>1193897</v>
      </c>
      <c r="H25" s="172">
        <v>1227385</v>
      </c>
      <c r="I25" s="172">
        <v>1244910</v>
      </c>
      <c r="J25" s="172">
        <v>1246717.7396250006</v>
      </c>
      <c r="K25" s="172">
        <v>1254790.7199510362</v>
      </c>
      <c r="L25" s="172">
        <v>1262053.55787348</v>
      </c>
      <c r="M25" s="172">
        <v>1270444.4779539066</v>
      </c>
      <c r="N25" s="172">
        <v>1279441.6666563158</v>
      </c>
      <c r="O25" s="170"/>
      <c r="P25" s="170"/>
      <c r="Q25" s="170"/>
      <c r="R25" s="170"/>
      <c r="S25" s="170"/>
      <c r="T25" s="170"/>
      <c r="U25" s="170"/>
      <c r="V25" s="170"/>
      <c r="W25" s="170"/>
      <c r="X25" s="170"/>
      <c r="Y25" s="170"/>
    </row>
    <row r="26" spans="2:25" s="2" customFormat="1">
      <c r="B26" s="173" t="s">
        <v>104</v>
      </c>
      <c r="C26" s="174">
        <v>774743</v>
      </c>
      <c r="D26" s="174">
        <v>780879</v>
      </c>
      <c r="E26" s="174">
        <v>786940</v>
      </c>
      <c r="F26" s="174">
        <v>796894</v>
      </c>
      <c r="G26" s="174">
        <v>803173</v>
      </c>
      <c r="H26" s="174">
        <v>823721</v>
      </c>
      <c r="I26" s="174">
        <v>837594</v>
      </c>
      <c r="J26" s="174">
        <v>847587.50000000035</v>
      </c>
      <c r="K26" s="174">
        <v>857451.78463928588</v>
      </c>
      <c r="L26" s="174">
        <v>867051.80126796535</v>
      </c>
      <c r="M26" s="174">
        <v>878289.79999371292</v>
      </c>
      <c r="N26" s="174">
        <v>890918.85564512666</v>
      </c>
      <c r="O26" s="170"/>
      <c r="P26" s="170"/>
      <c r="Q26" s="170"/>
      <c r="R26" s="170"/>
      <c r="S26" s="170"/>
      <c r="T26" s="170"/>
      <c r="U26" s="170"/>
      <c r="V26" s="170"/>
      <c r="W26" s="170"/>
      <c r="X26" s="170"/>
      <c r="Y26" s="170"/>
    </row>
    <row r="27" spans="2:25">
      <c r="B27" s="175" t="s">
        <v>62</v>
      </c>
      <c r="C27" s="176">
        <v>437487</v>
      </c>
      <c r="D27" s="176">
        <v>410542</v>
      </c>
      <c r="E27" s="176">
        <v>382439</v>
      </c>
      <c r="F27" s="176">
        <v>352207</v>
      </c>
      <c r="G27" s="176">
        <v>297532</v>
      </c>
      <c r="H27" s="176">
        <v>4</v>
      </c>
      <c r="I27" s="176">
        <v>0</v>
      </c>
      <c r="J27" s="176">
        <v>0</v>
      </c>
      <c r="K27" s="176">
        <v>0</v>
      </c>
      <c r="L27" s="176">
        <v>0</v>
      </c>
      <c r="M27" s="176">
        <v>0</v>
      </c>
      <c r="N27" s="176">
        <v>0</v>
      </c>
      <c r="O27" s="177"/>
      <c r="P27" s="177"/>
      <c r="Q27" s="177"/>
      <c r="R27" s="177"/>
      <c r="S27" s="177"/>
      <c r="T27" s="177"/>
      <c r="U27" s="177"/>
      <c r="V27" s="177"/>
      <c r="W27" s="177"/>
      <c r="X27" s="177"/>
      <c r="Y27" s="177"/>
    </row>
    <row r="28" spans="2:25">
      <c r="B28" s="175" t="s">
        <v>64</v>
      </c>
      <c r="C28" s="176">
        <v>4</v>
      </c>
      <c r="D28" s="176">
        <v>5</v>
      </c>
      <c r="E28" s="176">
        <v>6</v>
      </c>
      <c r="F28" s="176">
        <v>6</v>
      </c>
      <c r="G28" s="176">
        <v>5</v>
      </c>
      <c r="H28" s="176">
        <v>0</v>
      </c>
      <c r="I28" s="176">
        <v>0</v>
      </c>
      <c r="J28" s="176">
        <v>0</v>
      </c>
      <c r="K28" s="176">
        <v>0</v>
      </c>
      <c r="L28" s="176">
        <v>0</v>
      </c>
      <c r="M28" s="176">
        <v>0</v>
      </c>
      <c r="N28" s="176">
        <v>0</v>
      </c>
      <c r="O28" s="177"/>
      <c r="P28" s="177"/>
      <c r="Q28" s="177"/>
      <c r="R28" s="177"/>
      <c r="S28" s="177"/>
      <c r="T28" s="177"/>
      <c r="U28" s="177"/>
      <c r="V28" s="177"/>
      <c r="W28" s="177"/>
      <c r="X28" s="177"/>
      <c r="Y28" s="177"/>
    </row>
    <row r="29" spans="2:25">
      <c r="B29" s="175" t="s">
        <v>63</v>
      </c>
      <c r="C29" s="176">
        <v>323244</v>
      </c>
      <c r="D29" s="176">
        <v>355827</v>
      </c>
      <c r="E29" s="176">
        <v>391317</v>
      </c>
      <c r="F29" s="176">
        <v>431184</v>
      </c>
      <c r="G29" s="176">
        <v>486771</v>
      </c>
      <c r="H29" s="176">
        <v>797421</v>
      </c>
      <c r="I29" s="176">
        <v>807142</v>
      </c>
      <c r="J29" s="176">
        <v>819140.04898179008</v>
      </c>
      <c r="K29" s="176">
        <v>828673.26012824359</v>
      </c>
      <c r="L29" s="176">
        <v>837951.07285134576</v>
      </c>
      <c r="M29" s="176">
        <v>848811.89232622739</v>
      </c>
      <c r="N29" s="176">
        <v>861017.08089365298</v>
      </c>
      <c r="O29" s="177"/>
      <c r="P29" s="177"/>
      <c r="Q29" s="177"/>
      <c r="R29" s="177"/>
      <c r="S29" s="177"/>
      <c r="T29" s="177"/>
      <c r="U29" s="177"/>
      <c r="V29" s="177"/>
      <c r="W29" s="177"/>
      <c r="X29" s="177"/>
      <c r="Y29" s="177"/>
    </row>
    <row r="30" spans="2:25">
      <c r="B30" s="175" t="s">
        <v>79</v>
      </c>
      <c r="C30" s="176">
        <v>1</v>
      </c>
      <c r="D30" s="176">
        <v>1</v>
      </c>
      <c r="E30" s="176">
        <v>1</v>
      </c>
      <c r="F30" s="176">
        <v>0</v>
      </c>
      <c r="G30" s="176">
        <v>0</v>
      </c>
      <c r="H30" s="176">
        <v>0</v>
      </c>
      <c r="I30" s="176">
        <v>0</v>
      </c>
      <c r="J30" s="176">
        <v>0</v>
      </c>
      <c r="K30" s="176">
        <v>0</v>
      </c>
      <c r="L30" s="176">
        <v>0</v>
      </c>
      <c r="M30" s="176">
        <v>0</v>
      </c>
      <c r="N30" s="176">
        <v>0</v>
      </c>
      <c r="O30" s="177"/>
      <c r="P30" s="177"/>
      <c r="Q30" s="177"/>
      <c r="R30" s="177"/>
      <c r="S30" s="177"/>
      <c r="T30" s="177"/>
      <c r="U30" s="177"/>
      <c r="V30" s="177"/>
      <c r="W30" s="177"/>
      <c r="X30" s="177"/>
      <c r="Y30" s="177"/>
    </row>
    <row r="31" spans="2:25">
      <c r="B31" s="175" t="s">
        <v>65</v>
      </c>
      <c r="C31" s="176">
        <v>1255</v>
      </c>
      <c r="D31" s="176">
        <v>1622</v>
      </c>
      <c r="E31" s="176">
        <v>1</v>
      </c>
      <c r="F31" s="176">
        <v>1</v>
      </c>
      <c r="G31" s="176">
        <v>2</v>
      </c>
      <c r="H31" s="176">
        <v>6</v>
      </c>
      <c r="I31" s="176">
        <v>20</v>
      </c>
      <c r="J31" s="176">
        <v>7.1632849069201123</v>
      </c>
      <c r="K31" s="176">
        <v>7.2466517348572372</v>
      </c>
      <c r="L31" s="176">
        <v>7.3277851331463815</v>
      </c>
      <c r="M31" s="176">
        <v>7.422761742235279</v>
      </c>
      <c r="N31" s="176">
        <v>7.5294947034179609</v>
      </c>
      <c r="O31" s="177"/>
      <c r="P31" s="177"/>
      <c r="Q31" s="177"/>
      <c r="R31" s="177"/>
      <c r="S31" s="177"/>
      <c r="T31" s="177"/>
      <c r="U31" s="177"/>
      <c r="V31" s="177"/>
      <c r="W31" s="177"/>
      <c r="X31" s="177"/>
      <c r="Y31" s="177"/>
    </row>
    <row r="32" spans="2:25">
      <c r="B32" s="175" t="s">
        <v>66</v>
      </c>
      <c r="C32" s="176">
        <v>9978</v>
      </c>
      <c r="D32" s="176">
        <v>10052</v>
      </c>
      <c r="E32" s="176">
        <v>10175</v>
      </c>
      <c r="F32" s="176">
        <v>10387</v>
      </c>
      <c r="G32" s="176">
        <v>10167</v>
      </c>
      <c r="H32" s="176">
        <v>9994</v>
      </c>
      <c r="I32" s="176">
        <v>9878</v>
      </c>
      <c r="J32" s="176">
        <v>10169.817914996012</v>
      </c>
      <c r="K32" s="176">
        <v>10288.174991573034</v>
      </c>
      <c r="L32" s="176">
        <v>10403.361236172679</v>
      </c>
      <c r="M32" s="176">
        <v>10538.200884904889</v>
      </c>
      <c r="N32" s="176">
        <v>10689.731194652531</v>
      </c>
      <c r="O32" s="177"/>
      <c r="P32" s="177"/>
      <c r="Q32" s="177"/>
      <c r="R32" s="177"/>
      <c r="S32" s="177"/>
      <c r="T32" s="177"/>
      <c r="U32" s="177"/>
      <c r="V32" s="177"/>
      <c r="W32" s="177"/>
      <c r="X32" s="177"/>
      <c r="Y32" s="177"/>
    </row>
    <row r="33" spans="2:25">
      <c r="B33" s="175" t="s">
        <v>67</v>
      </c>
      <c r="C33" s="176">
        <v>2774</v>
      </c>
      <c r="D33" s="176">
        <v>2830</v>
      </c>
      <c r="E33" s="176">
        <v>3001</v>
      </c>
      <c r="F33" s="176">
        <v>3104</v>
      </c>
      <c r="G33" s="176">
        <v>3144</v>
      </c>
      <c r="H33" s="176">
        <v>3157</v>
      </c>
      <c r="I33" s="176">
        <v>3153</v>
      </c>
      <c r="J33" s="176">
        <v>3234.7347986820687</v>
      </c>
      <c r="K33" s="176">
        <v>3272.3808762691046</v>
      </c>
      <c r="L33" s="176">
        <v>3309.0184008393885</v>
      </c>
      <c r="M33" s="176">
        <v>3351.9071238865322</v>
      </c>
      <c r="N33" s="176">
        <v>3400.1046796434548</v>
      </c>
      <c r="O33" s="177"/>
      <c r="P33" s="177"/>
      <c r="Q33" s="177"/>
      <c r="R33" s="177"/>
      <c r="S33" s="177"/>
      <c r="T33" s="177"/>
      <c r="U33" s="177"/>
      <c r="V33" s="177"/>
      <c r="W33" s="177"/>
      <c r="X33" s="177"/>
      <c r="Y33" s="177"/>
    </row>
    <row r="34" spans="2:25">
      <c r="B34" s="175" t="s">
        <v>68</v>
      </c>
      <c r="C34" s="176">
        <v>0</v>
      </c>
      <c r="D34" s="176">
        <v>0</v>
      </c>
      <c r="E34" s="176">
        <v>0</v>
      </c>
      <c r="F34" s="176">
        <v>5</v>
      </c>
      <c r="G34" s="176">
        <v>5552</v>
      </c>
      <c r="H34" s="176">
        <v>13138</v>
      </c>
      <c r="I34" s="176">
        <v>17400</v>
      </c>
      <c r="J34" s="176">
        <v>15034.71169321004</v>
      </c>
      <c r="K34" s="176">
        <v>15209.686755503217</v>
      </c>
      <c r="L34" s="176">
        <v>15379.974168026662</v>
      </c>
      <c r="M34" s="176">
        <v>15579.316502417245</v>
      </c>
      <c r="N34" s="176">
        <v>15803.333740373811</v>
      </c>
      <c r="O34" s="177"/>
      <c r="P34" s="177"/>
      <c r="Q34" s="177"/>
      <c r="R34" s="177"/>
      <c r="S34" s="177"/>
      <c r="T34" s="177"/>
      <c r="U34" s="177"/>
      <c r="V34" s="177"/>
      <c r="W34" s="177"/>
      <c r="X34" s="177"/>
      <c r="Y34" s="177"/>
    </row>
    <row r="35" spans="2:25">
      <c r="B35" s="175" t="s">
        <v>69</v>
      </c>
      <c r="C35" s="176">
        <v>0</v>
      </c>
      <c r="D35" s="176">
        <v>0</v>
      </c>
      <c r="E35" s="176">
        <v>0</v>
      </c>
      <c r="F35" s="176">
        <v>0</v>
      </c>
      <c r="G35" s="176">
        <v>0</v>
      </c>
      <c r="H35" s="176">
        <v>1</v>
      </c>
      <c r="I35" s="176">
        <v>1</v>
      </c>
      <c r="J35" s="176">
        <v>1.0233264152743016</v>
      </c>
      <c r="K35" s="176">
        <v>1.0352359621224623</v>
      </c>
      <c r="L35" s="176">
        <v>1.0468264475923401</v>
      </c>
      <c r="M35" s="176">
        <v>1.0603945346050399</v>
      </c>
      <c r="N35" s="176">
        <v>1.0756421004882801</v>
      </c>
      <c r="O35" s="177"/>
      <c r="P35" s="177"/>
      <c r="Q35" s="177"/>
      <c r="R35" s="177"/>
      <c r="S35" s="177"/>
      <c r="T35" s="177"/>
      <c r="U35" s="177"/>
      <c r="V35" s="177"/>
      <c r="W35" s="177"/>
      <c r="X35" s="177"/>
      <c r="Y35" s="177"/>
    </row>
    <row r="36" spans="2:25" s="2" customFormat="1">
      <c r="B36" s="173" t="s">
        <v>105</v>
      </c>
      <c r="C36" s="174">
        <v>344073</v>
      </c>
      <c r="D36" s="174">
        <v>343544</v>
      </c>
      <c r="E36" s="174">
        <v>344022</v>
      </c>
      <c r="F36" s="174">
        <v>340827</v>
      </c>
      <c r="G36" s="174">
        <v>338875</v>
      </c>
      <c r="H36" s="174">
        <v>343065</v>
      </c>
      <c r="I36" s="174">
        <v>342601</v>
      </c>
      <c r="J36" s="174">
        <v>332850.23962500005</v>
      </c>
      <c r="K36" s="174">
        <v>326858.93531175004</v>
      </c>
      <c r="L36" s="174">
        <v>320321.75660551502</v>
      </c>
      <c r="M36" s="174">
        <v>313274.67796019372</v>
      </c>
      <c r="N36" s="174">
        <v>305442.8110111889</v>
      </c>
      <c r="O36" s="170"/>
      <c r="P36" s="170"/>
      <c r="Q36" s="170"/>
      <c r="R36" s="170"/>
      <c r="S36" s="170"/>
      <c r="T36" s="170"/>
      <c r="U36" s="170"/>
      <c r="V36" s="170"/>
      <c r="W36" s="170"/>
      <c r="X36" s="170"/>
      <c r="Y36" s="170"/>
    </row>
    <row r="37" spans="2:25">
      <c r="B37" s="175" t="s">
        <v>82</v>
      </c>
      <c r="C37" s="176">
        <v>153674</v>
      </c>
      <c r="D37" s="176">
        <v>140851</v>
      </c>
      <c r="E37" s="176">
        <v>128723</v>
      </c>
      <c r="F37" s="176">
        <v>117766</v>
      </c>
      <c r="G37" s="176">
        <v>99822</v>
      </c>
      <c r="H37" s="176">
        <v>0</v>
      </c>
      <c r="I37" s="176">
        <v>0</v>
      </c>
      <c r="J37" s="176">
        <v>0</v>
      </c>
      <c r="K37" s="176">
        <v>0</v>
      </c>
      <c r="L37" s="176">
        <v>0</v>
      </c>
      <c r="M37" s="176">
        <v>0</v>
      </c>
      <c r="N37" s="176">
        <v>0</v>
      </c>
      <c r="O37" s="177"/>
      <c r="P37" s="177"/>
      <c r="Q37" s="177"/>
      <c r="R37" s="177"/>
      <c r="S37" s="177"/>
      <c r="T37" s="177"/>
      <c r="U37" s="177"/>
      <c r="V37" s="177"/>
      <c r="W37" s="177"/>
      <c r="X37" s="177"/>
      <c r="Y37" s="177"/>
    </row>
    <row r="38" spans="2:25">
      <c r="B38" s="175" t="s">
        <v>83</v>
      </c>
      <c r="C38" s="176">
        <v>90373</v>
      </c>
      <c r="D38" s="176">
        <v>102107</v>
      </c>
      <c r="E38" s="176">
        <v>112357</v>
      </c>
      <c r="F38" s="176">
        <v>120007</v>
      </c>
      <c r="G38" s="176">
        <v>136510</v>
      </c>
      <c r="H38" s="176">
        <v>239545</v>
      </c>
      <c r="I38" s="176">
        <v>239037</v>
      </c>
      <c r="J38" s="176">
        <v>232195.33773803365</v>
      </c>
      <c r="K38" s="176">
        <v>228015.82165874905</v>
      </c>
      <c r="L38" s="176">
        <v>223455.50522557407</v>
      </c>
      <c r="M38" s="176">
        <v>218539.48411061143</v>
      </c>
      <c r="N38" s="176">
        <v>213075.99700784613</v>
      </c>
      <c r="O38" s="177"/>
      <c r="P38" s="177"/>
      <c r="Q38" s="177"/>
      <c r="R38" s="177"/>
      <c r="S38" s="177"/>
      <c r="T38" s="177"/>
      <c r="U38" s="177"/>
      <c r="V38" s="177"/>
      <c r="W38" s="177"/>
      <c r="X38" s="177"/>
      <c r="Y38" s="177"/>
    </row>
    <row r="39" spans="2:25">
      <c r="B39" s="175" t="s">
        <v>84</v>
      </c>
      <c r="C39" s="176">
        <v>52399</v>
      </c>
      <c r="D39" s="176">
        <v>51242</v>
      </c>
      <c r="E39" s="176">
        <v>49459</v>
      </c>
      <c r="F39" s="176">
        <v>45936</v>
      </c>
      <c r="G39" s="176">
        <v>38682</v>
      </c>
      <c r="H39" s="176">
        <v>1</v>
      </c>
      <c r="I39" s="176">
        <v>0</v>
      </c>
      <c r="J39" s="176">
        <v>0</v>
      </c>
      <c r="K39" s="176">
        <v>0</v>
      </c>
      <c r="L39" s="176">
        <v>0</v>
      </c>
      <c r="M39" s="176">
        <v>0</v>
      </c>
      <c r="N39" s="176">
        <v>0</v>
      </c>
      <c r="O39" s="177"/>
      <c r="P39" s="177"/>
      <c r="Q39" s="177"/>
      <c r="R39" s="177"/>
      <c r="S39" s="177"/>
      <c r="T39" s="177"/>
      <c r="U39" s="177"/>
      <c r="V39" s="177"/>
      <c r="W39" s="177"/>
      <c r="X39" s="177"/>
      <c r="Y39" s="177"/>
    </row>
    <row r="40" spans="2:25">
      <c r="B40" s="175" t="s">
        <v>85</v>
      </c>
      <c r="C40" s="176">
        <v>47627</v>
      </c>
      <c r="D40" s="176">
        <v>49344</v>
      </c>
      <c r="E40" s="176">
        <v>53483</v>
      </c>
      <c r="F40" s="176">
        <v>57118</v>
      </c>
      <c r="G40" s="176">
        <v>63861</v>
      </c>
      <c r="H40" s="176">
        <v>103519</v>
      </c>
      <c r="I40" s="176">
        <v>103564</v>
      </c>
      <c r="J40" s="176">
        <v>100654.90188696639</v>
      </c>
      <c r="K40" s="176">
        <v>98843.113653000997</v>
      </c>
      <c r="L40" s="176">
        <v>96866.251379940979</v>
      </c>
      <c r="M40" s="176">
        <v>94735.193849582283</v>
      </c>
      <c r="N40" s="176">
        <v>92366.814003342733</v>
      </c>
      <c r="O40" s="177"/>
      <c r="P40" s="177"/>
      <c r="Q40" s="177"/>
      <c r="R40" s="177"/>
      <c r="S40" s="177"/>
      <c r="T40" s="177"/>
      <c r="U40" s="177"/>
      <c r="V40" s="177"/>
      <c r="W40" s="177"/>
      <c r="X40" s="177"/>
      <c r="Y40" s="177"/>
    </row>
    <row r="41" spans="2:25" s="2" customFormat="1">
      <c r="B41" s="173" t="s">
        <v>318</v>
      </c>
      <c r="C41" s="174">
        <v>76</v>
      </c>
      <c r="D41" s="174">
        <v>370</v>
      </c>
      <c r="E41" s="174">
        <v>5774</v>
      </c>
      <c r="F41" s="174">
        <v>36988</v>
      </c>
      <c r="G41" s="174">
        <v>51849</v>
      </c>
      <c r="H41" s="174">
        <v>60599</v>
      </c>
      <c r="I41" s="174">
        <v>64715</v>
      </c>
      <c r="J41" s="174">
        <v>66280</v>
      </c>
      <c r="K41" s="174">
        <v>70480</v>
      </c>
      <c r="L41" s="174">
        <v>74680</v>
      </c>
      <c r="M41" s="174">
        <v>78880</v>
      </c>
      <c r="N41" s="174">
        <v>83080</v>
      </c>
      <c r="O41" s="170"/>
      <c r="P41" s="170"/>
      <c r="Q41" s="170"/>
      <c r="R41" s="170"/>
      <c r="S41" s="170"/>
      <c r="T41" s="170"/>
      <c r="U41" s="170"/>
      <c r="V41" s="170"/>
      <c r="W41" s="170"/>
      <c r="X41" s="170"/>
      <c r="Y41" s="170"/>
    </row>
    <row r="42" spans="2:25">
      <c r="B42" s="175" t="s">
        <v>88</v>
      </c>
      <c r="C42" s="176">
        <v>0</v>
      </c>
      <c r="D42" s="176">
        <v>0</v>
      </c>
      <c r="E42" s="176">
        <v>5761</v>
      </c>
      <c r="F42" s="176">
        <v>34136</v>
      </c>
      <c r="G42" s="176">
        <v>36213</v>
      </c>
      <c r="H42" s="176">
        <v>36085</v>
      </c>
      <c r="I42" s="176">
        <v>35874</v>
      </c>
      <c r="J42" s="176">
        <v>36012</v>
      </c>
      <c r="K42" s="176">
        <v>36012</v>
      </c>
      <c r="L42" s="176">
        <v>0</v>
      </c>
      <c r="M42" s="176">
        <v>0</v>
      </c>
      <c r="N42" s="176">
        <v>0</v>
      </c>
      <c r="O42" s="177"/>
      <c r="P42" s="177"/>
      <c r="Q42" s="177"/>
      <c r="R42" s="177"/>
      <c r="S42" s="177"/>
      <c r="T42" s="177"/>
      <c r="U42" s="177"/>
      <c r="V42" s="177"/>
      <c r="W42" s="177"/>
      <c r="X42" s="177"/>
      <c r="Y42" s="177"/>
    </row>
    <row r="43" spans="2:25">
      <c r="B43" s="175" t="s">
        <v>89</v>
      </c>
      <c r="C43" s="176">
        <v>0</v>
      </c>
      <c r="D43" s="176">
        <v>0</v>
      </c>
      <c r="E43" s="176">
        <v>0</v>
      </c>
      <c r="F43" s="176">
        <v>2835</v>
      </c>
      <c r="G43" s="176">
        <v>6847</v>
      </c>
      <c r="H43" s="176">
        <v>7089</v>
      </c>
      <c r="I43" s="176">
        <v>7225</v>
      </c>
      <c r="J43" s="176">
        <v>7143</v>
      </c>
      <c r="K43" s="176">
        <v>7143</v>
      </c>
      <c r="L43" s="176">
        <v>0</v>
      </c>
      <c r="M43" s="176">
        <v>0</v>
      </c>
      <c r="N43" s="176">
        <v>0</v>
      </c>
      <c r="O43" s="177"/>
      <c r="P43" s="177"/>
      <c r="Q43" s="177"/>
      <c r="R43" s="177"/>
      <c r="S43" s="177"/>
      <c r="T43" s="177"/>
      <c r="U43" s="177"/>
      <c r="V43" s="177"/>
      <c r="W43" s="177"/>
      <c r="X43" s="177"/>
      <c r="Y43" s="177"/>
    </row>
    <row r="44" spans="2:25">
      <c r="B44" s="175" t="s">
        <v>90</v>
      </c>
      <c r="C44" s="176">
        <v>0</v>
      </c>
      <c r="D44" s="176">
        <v>0</v>
      </c>
      <c r="E44" s="176">
        <v>0</v>
      </c>
      <c r="F44" s="176">
        <v>1</v>
      </c>
      <c r="G44" s="176">
        <v>10</v>
      </c>
      <c r="H44" s="176">
        <v>13</v>
      </c>
      <c r="I44" s="176">
        <v>18</v>
      </c>
      <c r="J44" s="176">
        <v>17</v>
      </c>
      <c r="K44" s="176">
        <v>17</v>
      </c>
      <c r="L44" s="176">
        <v>0</v>
      </c>
      <c r="M44" s="176">
        <v>0</v>
      </c>
      <c r="N44" s="176">
        <v>0</v>
      </c>
      <c r="O44" s="177"/>
      <c r="P44" s="177"/>
      <c r="Q44" s="177"/>
      <c r="R44" s="177"/>
      <c r="S44" s="177"/>
      <c r="T44" s="177"/>
      <c r="U44" s="177"/>
      <c r="V44" s="177"/>
      <c r="W44" s="177"/>
      <c r="X44" s="177"/>
      <c r="Y44" s="177"/>
    </row>
    <row r="45" spans="2:25">
      <c r="B45" s="175" t="s">
        <v>91</v>
      </c>
      <c r="C45" s="176">
        <v>0</v>
      </c>
      <c r="D45" s="176">
        <v>0</v>
      </c>
      <c r="E45" s="176">
        <v>0</v>
      </c>
      <c r="F45" s="176">
        <v>0</v>
      </c>
      <c r="G45" s="176">
        <v>166</v>
      </c>
      <c r="H45" s="176">
        <v>303</v>
      </c>
      <c r="I45" s="176">
        <v>309</v>
      </c>
      <c r="J45" s="176">
        <v>306</v>
      </c>
      <c r="K45" s="176">
        <v>306</v>
      </c>
      <c r="L45" s="176">
        <v>0</v>
      </c>
      <c r="M45" s="176">
        <v>0</v>
      </c>
      <c r="N45" s="176">
        <v>0</v>
      </c>
      <c r="O45" s="177"/>
      <c r="P45" s="177"/>
      <c r="Q45" s="177"/>
      <c r="R45" s="177"/>
      <c r="S45" s="177"/>
      <c r="T45" s="177"/>
      <c r="U45" s="177"/>
      <c r="V45" s="177"/>
      <c r="W45" s="177"/>
      <c r="X45" s="177"/>
      <c r="Y45" s="177"/>
    </row>
    <row r="46" spans="2:25">
      <c r="B46" s="175" t="s">
        <v>92</v>
      </c>
      <c r="C46" s="176">
        <v>0</v>
      </c>
      <c r="D46" s="176">
        <v>0</v>
      </c>
      <c r="E46" s="176">
        <v>0</v>
      </c>
      <c r="F46" s="176">
        <v>0</v>
      </c>
      <c r="G46" s="176">
        <v>55</v>
      </c>
      <c r="H46" s="176">
        <v>62</v>
      </c>
      <c r="I46" s="176">
        <v>60</v>
      </c>
      <c r="J46" s="176">
        <v>59</v>
      </c>
      <c r="K46" s="176">
        <v>59</v>
      </c>
      <c r="L46" s="176">
        <v>59</v>
      </c>
      <c r="M46" s="176">
        <v>59</v>
      </c>
      <c r="N46" s="176">
        <v>59</v>
      </c>
      <c r="O46" s="177"/>
      <c r="P46" s="177"/>
      <c r="Q46" s="177"/>
      <c r="R46" s="177"/>
      <c r="S46" s="177"/>
      <c r="T46" s="177"/>
      <c r="U46" s="177"/>
      <c r="V46" s="177"/>
      <c r="W46" s="177"/>
      <c r="X46" s="177"/>
      <c r="Y46" s="177"/>
    </row>
    <row r="47" spans="2:25">
      <c r="B47" s="175" t="s">
        <v>93</v>
      </c>
      <c r="C47" s="176">
        <v>0</v>
      </c>
      <c r="D47" s="176">
        <v>0</v>
      </c>
      <c r="E47" s="176">
        <v>0</v>
      </c>
      <c r="F47" s="176">
        <v>0</v>
      </c>
      <c r="G47" s="176">
        <v>5205</v>
      </c>
      <c r="H47" s="176">
        <v>13778</v>
      </c>
      <c r="I47" s="176">
        <v>17978</v>
      </c>
      <c r="J47" s="176">
        <v>19481</v>
      </c>
      <c r="K47" s="176">
        <v>23681</v>
      </c>
      <c r="L47" s="176">
        <v>71359</v>
      </c>
      <c r="M47" s="176">
        <v>75559</v>
      </c>
      <c r="N47" s="176">
        <v>79759</v>
      </c>
      <c r="O47" s="177"/>
      <c r="P47" s="177"/>
      <c r="Q47" s="177"/>
      <c r="R47" s="177"/>
      <c r="S47" s="177"/>
      <c r="T47" s="177"/>
      <c r="U47" s="177"/>
      <c r="V47" s="177"/>
      <c r="W47" s="177"/>
      <c r="X47" s="177"/>
      <c r="Y47" s="177"/>
    </row>
    <row r="48" spans="2:25">
      <c r="B48" s="175" t="s">
        <v>94</v>
      </c>
      <c r="C48" s="176">
        <v>76</v>
      </c>
      <c r="D48" s="176">
        <v>370</v>
      </c>
      <c r="E48" s="176">
        <v>13</v>
      </c>
      <c r="F48" s="176">
        <v>16</v>
      </c>
      <c r="G48" s="176">
        <v>3353</v>
      </c>
      <c r="H48" s="176">
        <v>3269</v>
      </c>
      <c r="I48" s="176">
        <v>3251</v>
      </c>
      <c r="J48" s="176">
        <v>3262</v>
      </c>
      <c r="K48" s="176">
        <v>3262</v>
      </c>
      <c r="L48" s="176">
        <v>3262</v>
      </c>
      <c r="M48" s="176">
        <v>3262</v>
      </c>
      <c r="N48" s="176">
        <v>3262</v>
      </c>
      <c r="O48" s="177"/>
      <c r="P48" s="177"/>
      <c r="Q48" s="177"/>
      <c r="R48" s="177"/>
      <c r="S48" s="177"/>
      <c r="T48" s="177"/>
      <c r="U48" s="177"/>
      <c r="V48" s="177"/>
      <c r="W48" s="177"/>
      <c r="X48" s="177"/>
      <c r="Y48" s="177"/>
    </row>
    <row r="49" spans="2:25" s="2" customFormat="1">
      <c r="B49" s="171" t="s">
        <v>106</v>
      </c>
      <c r="C49" s="172">
        <v>74873</v>
      </c>
      <c r="D49" s="172">
        <v>75045</v>
      </c>
      <c r="E49" s="172">
        <v>75557</v>
      </c>
      <c r="F49" s="172">
        <v>76116</v>
      </c>
      <c r="G49" s="172">
        <v>76421</v>
      </c>
      <c r="H49" s="172">
        <v>79746</v>
      </c>
      <c r="I49" s="172">
        <v>80033</v>
      </c>
      <c r="J49" s="172">
        <v>80728.282847059716</v>
      </c>
      <c r="K49" s="172">
        <v>82738.0435899515</v>
      </c>
      <c r="L49" s="172">
        <v>84433.865983545475</v>
      </c>
      <c r="M49" s="172">
        <v>86324.848581576924</v>
      </c>
      <c r="N49" s="172">
        <v>88387.653962676603</v>
      </c>
      <c r="O49" s="170"/>
      <c r="P49" s="170"/>
      <c r="Q49" s="170"/>
      <c r="R49" s="170"/>
      <c r="S49" s="170"/>
      <c r="T49" s="170"/>
      <c r="U49" s="170"/>
      <c r="V49" s="170"/>
      <c r="W49" s="170"/>
      <c r="X49" s="170"/>
      <c r="Y49" s="170"/>
    </row>
    <row r="50" spans="2:25" s="2" customFormat="1">
      <c r="B50" s="173" t="s">
        <v>107</v>
      </c>
      <c r="C50" s="174">
        <v>72890</v>
      </c>
      <c r="D50" s="174">
        <v>72854</v>
      </c>
      <c r="E50" s="174">
        <v>73405</v>
      </c>
      <c r="F50" s="174">
        <v>73973</v>
      </c>
      <c r="G50" s="174">
        <v>74236</v>
      </c>
      <c r="H50" s="174">
        <v>77409</v>
      </c>
      <c r="I50" s="174">
        <v>77489</v>
      </c>
      <c r="J50" s="174">
        <v>78346.581792297438</v>
      </c>
      <c r="K50" s="174">
        <v>80297.411678925637</v>
      </c>
      <c r="L50" s="174">
        <v>81943.508618343607</v>
      </c>
      <c r="M50" s="174">
        <v>83779.043211394513</v>
      </c>
      <c r="N50" s="174">
        <v>85781.362344146837</v>
      </c>
      <c r="O50" s="170"/>
      <c r="P50" s="170"/>
      <c r="Q50" s="170"/>
      <c r="R50" s="170"/>
      <c r="S50" s="170"/>
      <c r="T50" s="170"/>
      <c r="U50" s="170"/>
      <c r="V50" s="170"/>
      <c r="W50" s="170"/>
      <c r="X50" s="170"/>
      <c r="Y50" s="170"/>
    </row>
    <row r="51" spans="2:25">
      <c r="B51" s="175" t="s">
        <v>70</v>
      </c>
      <c r="C51" s="176">
        <v>54587</v>
      </c>
      <c r="D51" s="176">
        <v>55572</v>
      </c>
      <c r="E51" s="176">
        <v>49719</v>
      </c>
      <c r="F51" s="176">
        <v>48030</v>
      </c>
      <c r="G51" s="176">
        <v>41803</v>
      </c>
      <c r="H51" s="176">
        <v>1</v>
      </c>
      <c r="I51" s="176">
        <v>0</v>
      </c>
      <c r="J51" s="176">
        <v>0</v>
      </c>
      <c r="K51" s="176">
        <v>0</v>
      </c>
      <c r="L51" s="176">
        <v>0</v>
      </c>
      <c r="M51" s="176">
        <v>0</v>
      </c>
      <c r="N51" s="176">
        <v>0</v>
      </c>
      <c r="O51" s="177"/>
      <c r="P51" s="177"/>
      <c r="Q51" s="177"/>
      <c r="R51" s="177"/>
      <c r="S51" s="177"/>
      <c r="T51" s="177"/>
      <c r="U51" s="177"/>
      <c r="V51" s="177"/>
      <c r="W51" s="177"/>
      <c r="X51" s="177"/>
      <c r="Y51" s="177"/>
    </row>
    <row r="52" spans="2:25">
      <c r="B52" s="175" t="s">
        <v>71</v>
      </c>
      <c r="C52" s="176">
        <v>18244</v>
      </c>
      <c r="D52" s="176">
        <v>17221</v>
      </c>
      <c r="E52" s="176">
        <v>23626</v>
      </c>
      <c r="F52" s="176">
        <v>25759</v>
      </c>
      <c r="G52" s="176">
        <v>32137</v>
      </c>
      <c r="H52" s="176">
        <v>76940</v>
      </c>
      <c r="I52" s="176">
        <v>76907</v>
      </c>
      <c r="J52" s="176">
        <v>77821.333600231417</v>
      </c>
      <c r="K52" s="176">
        <v>79759.084806877174</v>
      </c>
      <c r="L52" s="176">
        <v>81394.146045418151</v>
      </c>
      <c r="M52" s="176">
        <v>83217.374916835513</v>
      </c>
      <c r="N52" s="176">
        <v>85206.270177347891</v>
      </c>
      <c r="O52" s="177"/>
      <c r="P52" s="177"/>
      <c r="Q52" s="177"/>
      <c r="R52" s="177"/>
      <c r="S52" s="177"/>
      <c r="T52" s="177"/>
      <c r="U52" s="177"/>
      <c r="V52" s="177"/>
      <c r="W52" s="177"/>
      <c r="X52" s="177"/>
      <c r="Y52" s="177"/>
    </row>
    <row r="53" spans="2:25">
      <c r="B53" s="175" t="s">
        <v>72</v>
      </c>
      <c r="C53" s="176">
        <v>49</v>
      </c>
      <c r="D53" s="176">
        <v>50</v>
      </c>
      <c r="E53" s="176">
        <v>46</v>
      </c>
      <c r="F53" s="176">
        <v>47</v>
      </c>
      <c r="G53" s="176">
        <v>45</v>
      </c>
      <c r="H53" s="176">
        <v>47</v>
      </c>
      <c r="I53" s="176">
        <v>44</v>
      </c>
      <c r="J53" s="176">
        <v>46.553789662884476</v>
      </c>
      <c r="K53" s="176">
        <v>47.712979025490299</v>
      </c>
      <c r="L53" s="176">
        <v>48.69109509551285</v>
      </c>
      <c r="M53" s="176">
        <v>49.781775625652337</v>
      </c>
      <c r="N53" s="176">
        <v>50.971560063105429</v>
      </c>
      <c r="O53" s="177"/>
      <c r="P53" s="177"/>
      <c r="Q53" s="177"/>
      <c r="R53" s="177"/>
      <c r="S53" s="177"/>
      <c r="T53" s="177"/>
      <c r="U53" s="177"/>
      <c r="V53" s="177"/>
      <c r="W53" s="177"/>
      <c r="X53" s="177"/>
      <c r="Y53" s="177"/>
    </row>
    <row r="54" spans="2:25">
      <c r="B54" s="175" t="s">
        <v>73</v>
      </c>
      <c r="C54" s="176">
        <v>10</v>
      </c>
      <c r="D54" s="176">
        <v>11</v>
      </c>
      <c r="E54" s="176">
        <v>14</v>
      </c>
      <c r="F54" s="176">
        <v>20</v>
      </c>
      <c r="G54" s="176">
        <v>21</v>
      </c>
      <c r="H54" s="176">
        <v>20</v>
      </c>
      <c r="I54" s="176">
        <v>18</v>
      </c>
      <c r="J54" s="176">
        <v>18.216700302867849</v>
      </c>
      <c r="K54" s="176">
        <v>18.670296140409256</v>
      </c>
      <c r="L54" s="176">
        <v>19.053037211287645</v>
      </c>
      <c r="M54" s="176">
        <v>19.479825244820489</v>
      </c>
      <c r="N54" s="176">
        <v>19.9453930681717</v>
      </c>
      <c r="O54" s="177"/>
      <c r="P54" s="177"/>
      <c r="Q54" s="177"/>
      <c r="R54" s="177"/>
      <c r="S54" s="177"/>
      <c r="T54" s="177"/>
      <c r="U54" s="177"/>
      <c r="V54" s="177"/>
      <c r="W54" s="177"/>
      <c r="X54" s="177"/>
      <c r="Y54" s="177"/>
    </row>
    <row r="55" spans="2:25">
      <c r="B55" s="175" t="s">
        <v>74</v>
      </c>
      <c r="C55" s="176">
        <v>0</v>
      </c>
      <c r="D55" s="176">
        <v>0</v>
      </c>
      <c r="E55" s="176">
        <v>0</v>
      </c>
      <c r="F55" s="176">
        <v>117</v>
      </c>
      <c r="G55" s="176">
        <v>230</v>
      </c>
      <c r="H55" s="176">
        <v>401</v>
      </c>
      <c r="I55" s="176">
        <v>520</v>
      </c>
      <c r="J55" s="176">
        <v>460.47770210027033</v>
      </c>
      <c r="K55" s="176">
        <v>471.94359688256702</v>
      </c>
      <c r="L55" s="176">
        <v>481.61844061865963</v>
      </c>
      <c r="M55" s="176">
        <v>492.40669368851758</v>
      </c>
      <c r="N55" s="176">
        <v>504.17521366767318</v>
      </c>
      <c r="O55" s="177"/>
      <c r="P55" s="177"/>
      <c r="Q55" s="177"/>
      <c r="R55" s="177"/>
      <c r="S55" s="177"/>
      <c r="T55" s="177"/>
      <c r="U55" s="177"/>
      <c r="V55" s="177"/>
      <c r="W55" s="177"/>
      <c r="X55" s="177"/>
      <c r="Y55" s="177"/>
    </row>
    <row r="56" spans="2:25" s="2" customFormat="1">
      <c r="B56" s="173" t="s">
        <v>108</v>
      </c>
      <c r="C56" s="174">
        <v>1972</v>
      </c>
      <c r="D56" s="174">
        <v>2178</v>
      </c>
      <c r="E56" s="174">
        <v>2139</v>
      </c>
      <c r="F56" s="174">
        <v>2137</v>
      </c>
      <c r="G56" s="174">
        <v>2182</v>
      </c>
      <c r="H56" s="174">
        <v>2323</v>
      </c>
      <c r="I56" s="174">
        <v>2527</v>
      </c>
      <c r="J56" s="174">
        <v>2366.7010547622676</v>
      </c>
      <c r="K56" s="174">
        <v>2425.6319110258473</v>
      </c>
      <c r="L56" s="174">
        <v>2475.3573652018772</v>
      </c>
      <c r="M56" s="174">
        <v>2530.8053701823992</v>
      </c>
      <c r="N56" s="174">
        <v>2591.2916185297581</v>
      </c>
      <c r="O56" s="170"/>
      <c r="P56" s="170"/>
      <c r="Q56" s="170"/>
      <c r="R56" s="170"/>
      <c r="S56" s="170"/>
      <c r="T56" s="170"/>
      <c r="U56" s="170"/>
      <c r="V56" s="170"/>
      <c r="W56" s="170"/>
      <c r="X56" s="170"/>
      <c r="Y56" s="170"/>
    </row>
    <row r="57" spans="2:25">
      <c r="B57" s="175" t="s">
        <v>319</v>
      </c>
      <c r="C57" s="176">
        <v>344</v>
      </c>
      <c r="D57" s="176">
        <v>343</v>
      </c>
      <c r="E57" s="176">
        <v>305</v>
      </c>
      <c r="F57" s="176">
        <v>266</v>
      </c>
      <c r="G57" s="176">
        <v>222</v>
      </c>
      <c r="H57" s="176">
        <v>0</v>
      </c>
      <c r="I57" s="176">
        <v>0</v>
      </c>
      <c r="J57" s="176">
        <v>0</v>
      </c>
      <c r="K57" s="176">
        <v>0</v>
      </c>
      <c r="L57" s="176">
        <v>0</v>
      </c>
      <c r="M57" s="176">
        <v>0</v>
      </c>
      <c r="N57" s="176">
        <v>0</v>
      </c>
      <c r="O57" s="177"/>
      <c r="P57" s="177"/>
      <c r="Q57" s="177"/>
      <c r="R57" s="177"/>
      <c r="S57" s="177"/>
      <c r="T57" s="177"/>
      <c r="U57" s="177"/>
      <c r="V57" s="177"/>
      <c r="W57" s="177"/>
      <c r="X57" s="177"/>
      <c r="Y57" s="177"/>
    </row>
    <row r="58" spans="2:25">
      <c r="B58" s="175" t="s">
        <v>76</v>
      </c>
      <c r="C58" s="176">
        <v>1058</v>
      </c>
      <c r="D58" s="176">
        <v>989</v>
      </c>
      <c r="E58" s="176">
        <v>1002</v>
      </c>
      <c r="F58" s="176">
        <v>1046</v>
      </c>
      <c r="G58" s="176">
        <v>1129</v>
      </c>
      <c r="H58" s="176">
        <v>1502</v>
      </c>
      <c r="I58" s="176">
        <v>1675</v>
      </c>
      <c r="J58" s="176">
        <v>1536.0174529117489</v>
      </c>
      <c r="K58" s="176">
        <v>1574.2642874892513</v>
      </c>
      <c r="L58" s="176">
        <v>1606.5367053827808</v>
      </c>
      <c r="M58" s="176">
        <v>1642.5231275833551</v>
      </c>
      <c r="N58" s="176">
        <v>1681.7794303325973</v>
      </c>
      <c r="O58" s="177"/>
      <c r="P58" s="177"/>
      <c r="Q58" s="177"/>
      <c r="R58" s="177"/>
      <c r="S58" s="177"/>
      <c r="T58" s="177"/>
      <c r="U58" s="177"/>
      <c r="V58" s="177"/>
      <c r="W58" s="177"/>
      <c r="X58" s="177"/>
      <c r="Y58" s="177"/>
    </row>
    <row r="59" spans="2:25">
      <c r="B59" s="175" t="s">
        <v>77</v>
      </c>
      <c r="C59" s="176">
        <v>0</v>
      </c>
      <c r="D59" s="176">
        <v>0</v>
      </c>
      <c r="E59" s="176">
        <v>1</v>
      </c>
      <c r="F59" s="176">
        <v>1</v>
      </c>
      <c r="G59" s="176">
        <v>3</v>
      </c>
      <c r="H59" s="176">
        <v>4</v>
      </c>
      <c r="I59" s="176">
        <v>44</v>
      </c>
      <c r="J59" s="176">
        <v>6.0196121937918532</v>
      </c>
      <c r="K59" s="176">
        <v>6.16950053741727</v>
      </c>
      <c r="L59" s="176">
        <v>6.2959752984343238</v>
      </c>
      <c r="M59" s="176">
        <v>6.4370051451192527</v>
      </c>
      <c r="N59" s="176">
        <v>6.5908495680876031</v>
      </c>
      <c r="O59" s="177"/>
      <c r="P59" s="177"/>
      <c r="Q59" s="177"/>
      <c r="R59" s="177"/>
      <c r="S59" s="177"/>
      <c r="T59" s="177"/>
      <c r="U59" s="177"/>
      <c r="V59" s="177"/>
      <c r="W59" s="177"/>
      <c r="X59" s="177"/>
      <c r="Y59" s="177"/>
    </row>
    <row r="60" spans="2:25">
      <c r="B60" s="175" t="s">
        <v>78</v>
      </c>
      <c r="C60" s="176">
        <v>401</v>
      </c>
      <c r="D60" s="176">
        <v>393</v>
      </c>
      <c r="E60" s="176">
        <v>391</v>
      </c>
      <c r="F60" s="176">
        <v>389</v>
      </c>
      <c r="G60" s="176">
        <v>387</v>
      </c>
      <c r="H60" s="176">
        <v>377</v>
      </c>
      <c r="I60" s="176">
        <v>371</v>
      </c>
      <c r="J60" s="176">
        <v>376.22576211199083</v>
      </c>
      <c r="K60" s="176">
        <v>385.59378358857936</v>
      </c>
      <c r="L60" s="176">
        <v>393.4984561521452</v>
      </c>
      <c r="M60" s="176">
        <v>402.31282156995326</v>
      </c>
      <c r="N60" s="176">
        <v>411.92809800547514</v>
      </c>
      <c r="O60" s="177"/>
      <c r="P60" s="177"/>
      <c r="Q60" s="177"/>
      <c r="R60" s="177"/>
      <c r="S60" s="177"/>
      <c r="T60" s="177"/>
      <c r="U60" s="177"/>
      <c r="V60" s="177"/>
      <c r="W60" s="177"/>
      <c r="X60" s="177"/>
      <c r="Y60" s="177"/>
    </row>
    <row r="61" spans="2:25">
      <c r="B61" s="175" t="s">
        <v>109</v>
      </c>
      <c r="C61" s="176">
        <v>169</v>
      </c>
      <c r="D61" s="176">
        <v>453</v>
      </c>
      <c r="E61" s="176">
        <v>437</v>
      </c>
      <c r="F61" s="176">
        <v>431</v>
      </c>
      <c r="G61" s="176">
        <v>435</v>
      </c>
      <c r="H61" s="176">
        <v>434</v>
      </c>
      <c r="I61" s="176">
        <v>432</v>
      </c>
      <c r="J61" s="176">
        <v>442.41861535094404</v>
      </c>
      <c r="K61" s="176">
        <v>453.43483887318251</v>
      </c>
      <c r="L61" s="176">
        <v>462.73025307008271</v>
      </c>
      <c r="M61" s="176">
        <v>473.09541073885254</v>
      </c>
      <c r="N61" s="176">
        <v>484.40239105551115</v>
      </c>
      <c r="O61" s="177"/>
      <c r="P61" s="177"/>
      <c r="Q61" s="177"/>
      <c r="R61" s="177"/>
      <c r="S61" s="177"/>
      <c r="T61" s="177"/>
      <c r="U61" s="177"/>
      <c r="V61" s="177"/>
      <c r="W61" s="177"/>
      <c r="X61" s="177"/>
      <c r="Y61" s="177"/>
    </row>
    <row r="62" spans="2:25">
      <c r="B62" s="175" t="s">
        <v>110</v>
      </c>
      <c r="C62" s="176">
        <v>0</v>
      </c>
      <c r="D62" s="176">
        <v>0</v>
      </c>
      <c r="E62" s="176">
        <v>3</v>
      </c>
      <c r="F62" s="176">
        <v>4</v>
      </c>
      <c r="G62" s="176">
        <v>6</v>
      </c>
      <c r="H62" s="176">
        <v>6</v>
      </c>
      <c r="I62" s="176">
        <v>5</v>
      </c>
      <c r="J62" s="176">
        <v>6.0196121937918532</v>
      </c>
      <c r="K62" s="176">
        <v>6.16950053741727</v>
      </c>
      <c r="L62" s="176">
        <v>6.2959752984343238</v>
      </c>
      <c r="M62" s="176">
        <v>6.4370051451192527</v>
      </c>
      <c r="N62" s="176">
        <v>6.5908495680876031</v>
      </c>
      <c r="O62" s="177"/>
      <c r="P62" s="177"/>
      <c r="Q62" s="177"/>
      <c r="R62" s="177"/>
      <c r="S62" s="177"/>
      <c r="T62" s="177"/>
      <c r="U62" s="177"/>
      <c r="V62" s="177"/>
      <c r="W62" s="177"/>
      <c r="X62" s="177"/>
      <c r="Y62" s="177"/>
    </row>
    <row r="63" spans="2:25" s="2" customFormat="1">
      <c r="B63" s="173" t="s">
        <v>111</v>
      </c>
      <c r="C63" s="174">
        <v>11</v>
      </c>
      <c r="D63" s="174">
        <v>13</v>
      </c>
      <c r="E63" s="174">
        <v>13</v>
      </c>
      <c r="F63" s="174">
        <v>6</v>
      </c>
      <c r="G63" s="174">
        <v>3</v>
      </c>
      <c r="H63" s="174">
        <v>14</v>
      </c>
      <c r="I63" s="174">
        <v>17</v>
      </c>
      <c r="J63" s="174">
        <v>15</v>
      </c>
      <c r="K63" s="174">
        <v>15</v>
      </c>
      <c r="L63" s="174">
        <v>15</v>
      </c>
      <c r="M63" s="174">
        <v>15</v>
      </c>
      <c r="N63" s="174">
        <v>15</v>
      </c>
      <c r="O63" s="170"/>
      <c r="P63" s="170"/>
      <c r="Q63" s="170"/>
      <c r="R63" s="170"/>
      <c r="S63" s="170"/>
      <c r="T63" s="170"/>
      <c r="U63" s="170"/>
      <c r="V63" s="170"/>
      <c r="W63" s="170"/>
      <c r="X63" s="170"/>
      <c r="Y63" s="170"/>
    </row>
    <row r="64" spans="2:25">
      <c r="B64" s="175" t="s">
        <v>320</v>
      </c>
      <c r="C64" s="176">
        <v>0</v>
      </c>
      <c r="D64" s="176">
        <v>0</v>
      </c>
      <c r="E64" s="176">
        <v>0</v>
      </c>
      <c r="F64" s="176">
        <v>0</v>
      </c>
      <c r="G64" s="176">
        <v>0</v>
      </c>
      <c r="H64" s="176">
        <v>0</v>
      </c>
      <c r="I64" s="176">
        <v>0</v>
      </c>
      <c r="J64" s="176">
        <v>1</v>
      </c>
      <c r="K64" s="176">
        <v>1</v>
      </c>
      <c r="L64" s="176">
        <v>1</v>
      </c>
      <c r="M64" s="176">
        <v>1</v>
      </c>
      <c r="N64" s="176">
        <v>1</v>
      </c>
      <c r="O64" s="177"/>
      <c r="P64" s="177"/>
      <c r="Q64" s="177"/>
      <c r="R64" s="177"/>
      <c r="S64" s="177"/>
      <c r="T64" s="177"/>
      <c r="U64" s="177"/>
      <c r="V64" s="177"/>
      <c r="W64" s="177"/>
      <c r="X64" s="177"/>
      <c r="Y64" s="177"/>
    </row>
    <row r="65" spans="2:25">
      <c r="B65" s="175" t="s">
        <v>50</v>
      </c>
      <c r="C65" s="176">
        <v>1</v>
      </c>
      <c r="D65" s="176">
        <v>2</v>
      </c>
      <c r="E65" s="176">
        <v>2</v>
      </c>
      <c r="F65" s="176">
        <v>3</v>
      </c>
      <c r="G65" s="176">
        <v>2</v>
      </c>
      <c r="H65" s="176">
        <v>2</v>
      </c>
      <c r="I65" s="176">
        <v>2</v>
      </c>
      <c r="J65" s="176">
        <v>2</v>
      </c>
      <c r="K65" s="176">
        <v>2</v>
      </c>
      <c r="L65" s="176">
        <v>2</v>
      </c>
      <c r="M65" s="176">
        <v>2</v>
      </c>
      <c r="N65" s="176">
        <v>2</v>
      </c>
      <c r="O65" s="177"/>
      <c r="P65" s="177"/>
      <c r="Q65" s="177"/>
      <c r="R65" s="177"/>
      <c r="S65" s="177"/>
      <c r="T65" s="177"/>
      <c r="U65" s="177"/>
      <c r="V65" s="177"/>
      <c r="W65" s="177"/>
      <c r="X65" s="177"/>
      <c r="Y65" s="177"/>
    </row>
    <row r="66" spans="2:25">
      <c r="B66" s="175" t="s">
        <v>321</v>
      </c>
      <c r="C66" s="176">
        <v>0</v>
      </c>
      <c r="D66" s="176">
        <v>0</v>
      </c>
      <c r="E66" s="176">
        <v>0</v>
      </c>
      <c r="F66" s="176">
        <v>0</v>
      </c>
      <c r="G66" s="176">
        <v>0</v>
      </c>
      <c r="H66" s="176">
        <v>11</v>
      </c>
      <c r="I66" s="176">
        <v>12</v>
      </c>
      <c r="J66" s="176">
        <v>11</v>
      </c>
      <c r="K66" s="176">
        <v>11</v>
      </c>
      <c r="L66" s="176">
        <v>11</v>
      </c>
      <c r="M66" s="176">
        <v>11</v>
      </c>
      <c r="N66" s="176">
        <v>11</v>
      </c>
      <c r="O66" s="177"/>
      <c r="P66" s="177"/>
      <c r="Q66" s="177"/>
      <c r="R66" s="177"/>
      <c r="S66" s="177"/>
      <c r="T66" s="177"/>
      <c r="U66" s="177"/>
      <c r="V66" s="177"/>
      <c r="W66" s="177"/>
      <c r="X66" s="177"/>
      <c r="Y66" s="177"/>
    </row>
    <row r="67" spans="2:25">
      <c r="B67" s="175" t="s">
        <v>112</v>
      </c>
      <c r="C67" s="176">
        <v>0</v>
      </c>
      <c r="D67" s="176">
        <v>0</v>
      </c>
      <c r="E67" s="176">
        <v>0</v>
      </c>
      <c r="F67" s="176">
        <v>0</v>
      </c>
      <c r="G67" s="176">
        <v>0</v>
      </c>
      <c r="H67" s="176">
        <v>1</v>
      </c>
      <c r="I67" s="176">
        <v>3</v>
      </c>
      <c r="J67" s="176">
        <v>1</v>
      </c>
      <c r="K67" s="176">
        <v>1</v>
      </c>
      <c r="L67" s="176">
        <v>1</v>
      </c>
      <c r="M67" s="176">
        <v>1</v>
      </c>
      <c r="N67" s="176">
        <v>1</v>
      </c>
      <c r="O67" s="177"/>
      <c r="P67" s="177"/>
      <c r="Q67" s="177"/>
      <c r="R67" s="177"/>
      <c r="S67" s="177"/>
      <c r="T67" s="177"/>
      <c r="U67" s="177"/>
      <c r="V67" s="177"/>
      <c r="W67" s="177"/>
      <c r="X67" s="177"/>
      <c r="Y67" s="177"/>
    </row>
    <row r="68" spans="2:25">
      <c r="B68" s="175" t="s">
        <v>113</v>
      </c>
      <c r="C68" s="176">
        <v>10</v>
      </c>
      <c r="D68" s="176">
        <v>11</v>
      </c>
      <c r="E68" s="176">
        <v>11</v>
      </c>
      <c r="F68" s="176">
        <v>3</v>
      </c>
      <c r="G68" s="176">
        <v>1</v>
      </c>
      <c r="H68" s="176">
        <v>0</v>
      </c>
      <c r="I68" s="176">
        <v>0</v>
      </c>
      <c r="J68" s="176">
        <v>0</v>
      </c>
      <c r="K68" s="176">
        <v>0</v>
      </c>
      <c r="L68" s="176">
        <v>0</v>
      </c>
      <c r="M68" s="176">
        <v>0</v>
      </c>
      <c r="N68" s="176">
        <v>0</v>
      </c>
      <c r="O68" s="177"/>
      <c r="P68" s="177"/>
      <c r="Q68" s="177"/>
      <c r="R68" s="177"/>
      <c r="S68" s="177"/>
      <c r="T68" s="177"/>
      <c r="U68" s="177"/>
      <c r="V68" s="177"/>
      <c r="W68" s="177"/>
      <c r="X68" s="177"/>
      <c r="Y68" s="177"/>
    </row>
    <row r="69" spans="2:25" s="2" customFormat="1">
      <c r="B69" s="171" t="s">
        <v>114</v>
      </c>
      <c r="C69" s="172">
        <v>3724</v>
      </c>
      <c r="D69" s="172">
        <v>3819</v>
      </c>
      <c r="E69" s="172">
        <v>4258</v>
      </c>
      <c r="F69" s="172">
        <v>4384</v>
      </c>
      <c r="G69" s="172">
        <v>4499</v>
      </c>
      <c r="H69" s="172">
        <v>4540</v>
      </c>
      <c r="I69" s="172">
        <v>4589</v>
      </c>
      <c r="J69" s="172">
        <v>4999.277564717162</v>
      </c>
      <c r="K69" s="172">
        <v>5123.3611760786207</v>
      </c>
      <c r="L69" s="172">
        <v>5228.0620801882278</v>
      </c>
      <c r="M69" s="172">
        <v>5344.8122707844523</v>
      </c>
      <c r="N69" s="172">
        <v>5472.1708840561978</v>
      </c>
      <c r="O69" s="170"/>
      <c r="P69" s="170"/>
      <c r="Q69" s="170"/>
      <c r="R69" s="170"/>
      <c r="S69" s="170"/>
      <c r="T69" s="170"/>
      <c r="U69" s="170"/>
      <c r="V69" s="170"/>
      <c r="W69" s="170"/>
      <c r="X69" s="170"/>
      <c r="Y69" s="170"/>
    </row>
    <row r="70" spans="2:25" s="2" customFormat="1">
      <c r="B70" s="173" t="s">
        <v>115</v>
      </c>
      <c r="C70" s="174">
        <v>3411</v>
      </c>
      <c r="D70" s="174">
        <v>3494</v>
      </c>
      <c r="E70" s="174">
        <v>3919</v>
      </c>
      <c r="F70" s="174">
        <v>4028</v>
      </c>
      <c r="G70" s="174">
        <v>4141</v>
      </c>
      <c r="H70" s="174">
        <v>4185</v>
      </c>
      <c r="I70" s="174">
        <v>4228</v>
      </c>
      <c r="J70" s="174">
        <v>4642.277564717162</v>
      </c>
      <c r="K70" s="174">
        <v>4757.8702760786191</v>
      </c>
      <c r="L70" s="174">
        <v>4855.4066167382307</v>
      </c>
      <c r="M70" s="174">
        <v>4964.1677249531667</v>
      </c>
      <c r="N70" s="174">
        <v>5082.811333579547</v>
      </c>
      <c r="O70" s="170"/>
      <c r="P70" s="170"/>
      <c r="Q70" s="170"/>
      <c r="R70" s="170"/>
      <c r="S70" s="170"/>
      <c r="T70" s="170"/>
      <c r="U70" s="170"/>
      <c r="V70" s="170"/>
      <c r="W70" s="170"/>
      <c r="X70" s="170"/>
      <c r="Y70" s="170"/>
    </row>
    <row r="71" spans="2:25">
      <c r="B71" s="175" t="s">
        <v>116</v>
      </c>
      <c r="C71" s="176">
        <v>3411</v>
      </c>
      <c r="D71" s="176">
        <v>3494</v>
      </c>
      <c r="E71" s="176">
        <v>3914</v>
      </c>
      <c r="F71" s="176">
        <v>4021</v>
      </c>
      <c r="G71" s="176">
        <v>4130</v>
      </c>
      <c r="H71" s="176">
        <v>4173</v>
      </c>
      <c r="I71" s="176">
        <v>4216</v>
      </c>
      <c r="J71" s="176">
        <v>4631.277564717162</v>
      </c>
      <c r="K71" s="176">
        <v>4746.596376078619</v>
      </c>
      <c r="L71" s="176">
        <v>4843.9016017882304</v>
      </c>
      <c r="M71" s="176">
        <v>4952.4049976682863</v>
      </c>
      <c r="N71" s="176">
        <v>5070.7674771125585</v>
      </c>
      <c r="O71" s="177"/>
      <c r="P71" s="177"/>
      <c r="Q71" s="177"/>
      <c r="R71" s="177"/>
      <c r="S71" s="177"/>
      <c r="T71" s="177"/>
      <c r="U71" s="177"/>
      <c r="V71" s="177"/>
      <c r="W71" s="177"/>
      <c r="X71" s="177"/>
      <c r="Y71" s="177"/>
    </row>
    <row r="72" spans="2:25">
      <c r="B72" s="175" t="s">
        <v>117</v>
      </c>
      <c r="C72" s="176">
        <v>0</v>
      </c>
      <c r="D72" s="176">
        <v>0</v>
      </c>
      <c r="E72" s="176">
        <v>5</v>
      </c>
      <c r="F72" s="176">
        <v>7</v>
      </c>
      <c r="G72" s="176">
        <v>11</v>
      </c>
      <c r="H72" s="176">
        <v>12</v>
      </c>
      <c r="I72" s="176">
        <v>12</v>
      </c>
      <c r="J72" s="176">
        <v>11</v>
      </c>
      <c r="K72" s="176">
        <v>11.273899999999999</v>
      </c>
      <c r="L72" s="176">
        <v>11.50501495</v>
      </c>
      <c r="M72" s="176">
        <v>11.762727284879999</v>
      </c>
      <c r="N72" s="176">
        <v>12.043856466988631</v>
      </c>
      <c r="O72" s="177"/>
      <c r="P72" s="177"/>
      <c r="Q72" s="177"/>
      <c r="R72" s="177"/>
      <c r="S72" s="177"/>
      <c r="T72" s="177"/>
      <c r="U72" s="177"/>
      <c r="V72" s="177"/>
      <c r="W72" s="177"/>
      <c r="X72" s="177"/>
      <c r="Y72" s="177"/>
    </row>
    <row r="73" spans="2:25" s="2" customFormat="1">
      <c r="B73" s="173" t="s">
        <v>118</v>
      </c>
      <c r="C73" s="174">
        <v>247</v>
      </c>
      <c r="D73" s="174">
        <v>258</v>
      </c>
      <c r="E73" s="174">
        <v>267</v>
      </c>
      <c r="F73" s="174">
        <v>278</v>
      </c>
      <c r="G73" s="174">
        <v>278</v>
      </c>
      <c r="H73" s="174">
        <v>275</v>
      </c>
      <c r="I73" s="174">
        <v>279</v>
      </c>
      <c r="J73" s="174">
        <v>277</v>
      </c>
      <c r="K73" s="174">
        <v>283.89729999999997</v>
      </c>
      <c r="L73" s="174">
        <v>289.71719464999995</v>
      </c>
      <c r="M73" s="174">
        <v>296.20685981015993</v>
      </c>
      <c r="N73" s="174">
        <v>303.28620375962282</v>
      </c>
      <c r="O73" s="170"/>
      <c r="P73" s="170"/>
      <c r="Q73" s="170"/>
      <c r="R73" s="170"/>
      <c r="S73" s="170"/>
      <c r="T73" s="170"/>
      <c r="U73" s="170"/>
      <c r="V73" s="170"/>
      <c r="W73" s="170"/>
      <c r="X73" s="170"/>
      <c r="Y73" s="170"/>
    </row>
    <row r="74" spans="2:25">
      <c r="B74" s="175" t="s">
        <v>322</v>
      </c>
      <c r="C74" s="176">
        <v>0</v>
      </c>
      <c r="D74" s="176">
        <v>0</v>
      </c>
      <c r="E74" s="176">
        <v>0</v>
      </c>
      <c r="F74" s="176">
        <v>0</v>
      </c>
      <c r="G74" s="176">
        <v>0</v>
      </c>
      <c r="H74" s="176">
        <v>0</v>
      </c>
      <c r="I74" s="176">
        <v>0</v>
      </c>
      <c r="J74" s="176">
        <v>0</v>
      </c>
      <c r="K74" s="176">
        <v>0</v>
      </c>
      <c r="L74" s="176">
        <v>0</v>
      </c>
      <c r="M74" s="176">
        <v>0</v>
      </c>
      <c r="N74" s="176">
        <v>0</v>
      </c>
      <c r="O74" s="177"/>
      <c r="P74" s="177"/>
      <c r="Q74" s="177"/>
      <c r="R74" s="177"/>
      <c r="S74" s="177"/>
      <c r="T74" s="177"/>
      <c r="U74" s="177"/>
      <c r="V74" s="177"/>
      <c r="W74" s="177"/>
      <c r="X74" s="177"/>
      <c r="Y74" s="177"/>
    </row>
    <row r="75" spans="2:25">
      <c r="B75" s="175" t="s">
        <v>119</v>
      </c>
      <c r="C75" s="176">
        <v>1</v>
      </c>
      <c r="D75" s="176">
        <v>1</v>
      </c>
      <c r="E75" s="176">
        <v>1</v>
      </c>
      <c r="F75" s="176">
        <v>1</v>
      </c>
      <c r="G75" s="176">
        <v>1</v>
      </c>
      <c r="H75" s="176">
        <v>1</v>
      </c>
      <c r="I75" s="176">
        <v>1</v>
      </c>
      <c r="J75" s="176">
        <v>1</v>
      </c>
      <c r="K75" s="176">
        <v>1.0248999999999999</v>
      </c>
      <c r="L75" s="176">
        <v>1.0459104499999998</v>
      </c>
      <c r="M75" s="176">
        <v>1.0693388440799998</v>
      </c>
      <c r="N75" s="176">
        <v>1.0948960424535119</v>
      </c>
      <c r="O75" s="177"/>
      <c r="P75" s="177"/>
      <c r="Q75" s="177"/>
      <c r="R75" s="177"/>
      <c r="S75" s="177"/>
      <c r="T75" s="177"/>
      <c r="U75" s="177"/>
      <c r="V75" s="177"/>
      <c r="W75" s="177"/>
      <c r="X75" s="177"/>
      <c r="Y75" s="177"/>
    </row>
    <row r="76" spans="2:25">
      <c r="B76" s="175" t="s">
        <v>120</v>
      </c>
      <c r="C76" s="176">
        <v>1</v>
      </c>
      <c r="D76" s="176">
        <v>1</v>
      </c>
      <c r="E76" s="176">
        <v>2</v>
      </c>
      <c r="F76" s="176">
        <v>2</v>
      </c>
      <c r="G76" s="176">
        <v>2</v>
      </c>
      <c r="H76" s="176">
        <v>3</v>
      </c>
      <c r="I76" s="176">
        <v>2</v>
      </c>
      <c r="J76" s="176">
        <v>3</v>
      </c>
      <c r="K76" s="176">
        <v>3.0747</v>
      </c>
      <c r="L76" s="176">
        <v>3.1377313499999997</v>
      </c>
      <c r="M76" s="176">
        <v>3.2080165322399998</v>
      </c>
      <c r="N76" s="176">
        <v>3.2846881273605359</v>
      </c>
      <c r="O76" s="177"/>
      <c r="P76" s="177"/>
      <c r="Q76" s="177"/>
      <c r="R76" s="177"/>
      <c r="S76" s="177"/>
      <c r="T76" s="177"/>
      <c r="U76" s="177"/>
      <c r="V76" s="177"/>
      <c r="W76" s="177"/>
      <c r="X76" s="177"/>
      <c r="Y76" s="177"/>
    </row>
    <row r="77" spans="2:25">
      <c r="B77" s="175" t="s">
        <v>121</v>
      </c>
      <c r="C77" s="176">
        <v>1</v>
      </c>
      <c r="D77" s="176">
        <v>1</v>
      </c>
      <c r="E77" s="176">
        <v>1</v>
      </c>
      <c r="F77" s="176">
        <v>1</v>
      </c>
      <c r="G77" s="176">
        <v>1</v>
      </c>
      <c r="H77" s="176">
        <v>1</v>
      </c>
      <c r="I77" s="176">
        <v>1</v>
      </c>
      <c r="J77" s="176">
        <v>1</v>
      </c>
      <c r="K77" s="176">
        <v>1.0248999999999999</v>
      </c>
      <c r="L77" s="176">
        <v>1.0459104499999998</v>
      </c>
      <c r="M77" s="176">
        <v>1.0693388440799998</v>
      </c>
      <c r="N77" s="176">
        <v>1.0948960424535119</v>
      </c>
      <c r="O77" s="177"/>
      <c r="P77" s="177"/>
      <c r="Q77" s="177"/>
      <c r="R77" s="177"/>
      <c r="S77" s="177"/>
      <c r="T77" s="177"/>
      <c r="U77" s="177"/>
      <c r="V77" s="177"/>
      <c r="W77" s="177"/>
      <c r="X77" s="177"/>
      <c r="Y77" s="177"/>
    </row>
    <row r="78" spans="2:25">
      <c r="B78" s="175" t="s">
        <v>122</v>
      </c>
      <c r="C78" s="176">
        <v>2</v>
      </c>
      <c r="D78" s="176">
        <v>2</v>
      </c>
      <c r="E78" s="176">
        <v>2</v>
      </c>
      <c r="F78" s="176">
        <v>2</v>
      </c>
      <c r="G78" s="176">
        <v>2</v>
      </c>
      <c r="H78" s="176">
        <v>2</v>
      </c>
      <c r="I78" s="176">
        <v>2</v>
      </c>
      <c r="J78" s="176">
        <v>2</v>
      </c>
      <c r="K78" s="176">
        <v>2.0497999999999998</v>
      </c>
      <c r="L78" s="176">
        <v>2.0918208999999997</v>
      </c>
      <c r="M78" s="176">
        <v>2.1386776881599996</v>
      </c>
      <c r="N78" s="176">
        <v>2.1897920849070238</v>
      </c>
      <c r="O78" s="177"/>
      <c r="P78" s="177"/>
      <c r="Q78" s="177"/>
      <c r="R78" s="177"/>
      <c r="S78" s="177"/>
      <c r="T78" s="177"/>
      <c r="U78" s="177"/>
      <c r="V78" s="177"/>
      <c r="W78" s="177"/>
      <c r="X78" s="177"/>
      <c r="Y78" s="177"/>
    </row>
    <row r="79" spans="2:25">
      <c r="B79" s="175" t="s">
        <v>123</v>
      </c>
      <c r="C79" s="176">
        <v>1</v>
      </c>
      <c r="D79" s="176">
        <v>2</v>
      </c>
      <c r="E79" s="176">
        <v>2</v>
      </c>
      <c r="F79" s="176">
        <v>2</v>
      </c>
      <c r="G79" s="176">
        <v>2</v>
      </c>
      <c r="H79" s="176">
        <v>2</v>
      </c>
      <c r="I79" s="176">
        <v>2</v>
      </c>
      <c r="J79" s="176">
        <v>2</v>
      </c>
      <c r="K79" s="176">
        <v>2.0497999999999998</v>
      </c>
      <c r="L79" s="176">
        <v>2.0918208999999997</v>
      </c>
      <c r="M79" s="176">
        <v>2.1386776881599996</v>
      </c>
      <c r="N79" s="176">
        <v>2.1897920849070238</v>
      </c>
      <c r="O79" s="177"/>
      <c r="P79" s="177"/>
      <c r="Q79" s="177"/>
      <c r="R79" s="177"/>
      <c r="S79" s="177"/>
      <c r="T79" s="177"/>
      <c r="U79" s="177"/>
      <c r="V79" s="177"/>
      <c r="W79" s="177"/>
      <c r="X79" s="177"/>
      <c r="Y79" s="177"/>
    </row>
    <row r="80" spans="2:25">
      <c r="B80" s="175" t="s">
        <v>124</v>
      </c>
      <c r="C80" s="176">
        <v>1</v>
      </c>
      <c r="D80" s="176">
        <v>1</v>
      </c>
      <c r="E80" s="176">
        <v>1</v>
      </c>
      <c r="F80" s="176">
        <v>1</v>
      </c>
      <c r="G80" s="176">
        <v>1</v>
      </c>
      <c r="H80" s="176">
        <v>1</v>
      </c>
      <c r="I80" s="176">
        <v>1</v>
      </c>
      <c r="J80" s="176">
        <v>1</v>
      </c>
      <c r="K80" s="176">
        <v>1.0248999999999999</v>
      </c>
      <c r="L80" s="176">
        <v>1.0459104499999998</v>
      </c>
      <c r="M80" s="176">
        <v>1.0693388440799998</v>
      </c>
      <c r="N80" s="176">
        <v>1.0948960424535119</v>
      </c>
      <c r="O80" s="177"/>
      <c r="P80" s="177"/>
      <c r="Q80" s="177"/>
      <c r="R80" s="177"/>
      <c r="S80" s="177"/>
      <c r="T80" s="177"/>
      <c r="U80" s="177"/>
      <c r="V80" s="177"/>
      <c r="W80" s="177"/>
      <c r="X80" s="177"/>
      <c r="Y80" s="177"/>
    </row>
    <row r="81" spans="2:25">
      <c r="B81" s="175" t="s">
        <v>125</v>
      </c>
      <c r="C81" s="176">
        <v>1</v>
      </c>
      <c r="D81" s="176">
        <v>1</v>
      </c>
      <c r="E81" s="176">
        <v>1</v>
      </c>
      <c r="F81" s="176">
        <v>1</v>
      </c>
      <c r="G81" s="176">
        <v>1</v>
      </c>
      <c r="H81" s="176">
        <v>1</v>
      </c>
      <c r="I81" s="176">
        <v>1</v>
      </c>
      <c r="J81" s="176">
        <v>1</v>
      </c>
      <c r="K81" s="176">
        <v>1.0248999999999999</v>
      </c>
      <c r="L81" s="176">
        <v>1.0459104499999998</v>
      </c>
      <c r="M81" s="176">
        <v>1.0693388440799998</v>
      </c>
      <c r="N81" s="176">
        <v>1.0948960424535119</v>
      </c>
      <c r="O81" s="177"/>
      <c r="P81" s="177"/>
      <c r="Q81" s="177"/>
      <c r="R81" s="177"/>
      <c r="S81" s="177"/>
      <c r="T81" s="177"/>
      <c r="U81" s="177"/>
      <c r="V81" s="177"/>
      <c r="W81" s="177"/>
      <c r="X81" s="177"/>
      <c r="Y81" s="177"/>
    </row>
    <row r="82" spans="2:25">
      <c r="B82" s="175" t="s">
        <v>323</v>
      </c>
      <c r="C82" s="176">
        <v>3</v>
      </c>
      <c r="D82" s="176">
        <v>0</v>
      </c>
      <c r="E82" s="176">
        <v>0</v>
      </c>
      <c r="F82" s="176">
        <v>0</v>
      </c>
      <c r="G82" s="176">
        <v>0</v>
      </c>
      <c r="H82" s="176">
        <v>0</v>
      </c>
      <c r="I82" s="176">
        <v>0</v>
      </c>
      <c r="J82" s="176">
        <v>0</v>
      </c>
      <c r="K82" s="176">
        <v>0</v>
      </c>
      <c r="L82" s="176">
        <v>0</v>
      </c>
      <c r="M82" s="176">
        <v>0</v>
      </c>
      <c r="N82" s="176">
        <v>0</v>
      </c>
      <c r="O82" s="177"/>
      <c r="P82" s="177"/>
      <c r="Q82" s="177"/>
      <c r="R82" s="177"/>
      <c r="S82" s="177"/>
      <c r="T82" s="177"/>
      <c r="U82" s="177"/>
      <c r="V82" s="177"/>
      <c r="W82" s="177"/>
      <c r="X82" s="177"/>
      <c r="Y82" s="177"/>
    </row>
    <row r="83" spans="2:25">
      <c r="B83" s="175" t="s">
        <v>324</v>
      </c>
      <c r="C83" s="176">
        <v>2</v>
      </c>
      <c r="D83" s="176">
        <v>0</v>
      </c>
      <c r="E83" s="176">
        <v>0</v>
      </c>
      <c r="F83" s="176">
        <v>0</v>
      </c>
      <c r="G83" s="176">
        <v>0</v>
      </c>
      <c r="H83" s="176">
        <v>0</v>
      </c>
      <c r="I83" s="176">
        <v>0</v>
      </c>
      <c r="J83" s="176">
        <v>0</v>
      </c>
      <c r="K83" s="176">
        <v>0</v>
      </c>
      <c r="L83" s="176">
        <v>0</v>
      </c>
      <c r="M83" s="176">
        <v>0</v>
      </c>
      <c r="N83" s="176">
        <v>0</v>
      </c>
      <c r="O83" s="177"/>
      <c r="P83" s="177"/>
      <c r="Q83" s="177"/>
      <c r="R83" s="177"/>
      <c r="S83" s="177"/>
      <c r="T83" s="177"/>
      <c r="U83" s="177"/>
      <c r="V83" s="177"/>
      <c r="W83" s="177"/>
      <c r="X83" s="177"/>
      <c r="Y83" s="177"/>
    </row>
    <row r="84" spans="2:25">
      <c r="B84" s="175" t="s">
        <v>126</v>
      </c>
      <c r="C84" s="176">
        <v>1</v>
      </c>
      <c r="D84" s="176">
        <v>1</v>
      </c>
      <c r="E84" s="176">
        <v>1</v>
      </c>
      <c r="F84" s="176">
        <v>1</v>
      </c>
      <c r="G84" s="176">
        <v>1</v>
      </c>
      <c r="H84" s="176">
        <v>1</v>
      </c>
      <c r="I84" s="176">
        <v>1</v>
      </c>
      <c r="J84" s="176">
        <v>1</v>
      </c>
      <c r="K84" s="176">
        <v>1.0248999999999999</v>
      </c>
      <c r="L84" s="176">
        <v>1.0459104499999998</v>
      </c>
      <c r="M84" s="176">
        <v>1.0693388440799998</v>
      </c>
      <c r="N84" s="176">
        <v>1.0948960424535119</v>
      </c>
      <c r="O84" s="177"/>
      <c r="P84" s="177"/>
      <c r="Q84" s="177"/>
      <c r="R84" s="177"/>
      <c r="S84" s="177"/>
      <c r="T84" s="177"/>
      <c r="U84" s="177"/>
      <c r="V84" s="177"/>
      <c r="W84" s="177"/>
      <c r="X84" s="177"/>
      <c r="Y84" s="177"/>
    </row>
    <row r="85" spans="2:25">
      <c r="B85" s="175" t="s">
        <v>127</v>
      </c>
      <c r="C85" s="176">
        <v>1</v>
      </c>
      <c r="D85" s="176">
        <v>1</v>
      </c>
      <c r="E85" s="176">
        <v>1</v>
      </c>
      <c r="F85" s="176">
        <v>1</v>
      </c>
      <c r="G85" s="176">
        <v>1</v>
      </c>
      <c r="H85" s="176">
        <v>1</v>
      </c>
      <c r="I85" s="176">
        <v>1</v>
      </c>
      <c r="J85" s="176">
        <v>1</v>
      </c>
      <c r="K85" s="176">
        <v>1.0248999999999999</v>
      </c>
      <c r="L85" s="176">
        <v>1.0459104499999998</v>
      </c>
      <c r="M85" s="176">
        <v>1.0693388440799998</v>
      </c>
      <c r="N85" s="176">
        <v>1.0948960424535119</v>
      </c>
      <c r="O85" s="177"/>
      <c r="P85" s="177"/>
      <c r="Q85" s="177"/>
      <c r="R85" s="177"/>
      <c r="S85" s="177"/>
      <c r="T85" s="177"/>
      <c r="U85" s="177"/>
      <c r="V85" s="177"/>
      <c r="W85" s="177"/>
      <c r="X85" s="177"/>
      <c r="Y85" s="177"/>
    </row>
    <row r="86" spans="2:25">
      <c r="B86" s="175" t="s">
        <v>128</v>
      </c>
      <c r="C86" s="176">
        <v>232</v>
      </c>
      <c r="D86" s="176">
        <v>247</v>
      </c>
      <c r="E86" s="176">
        <v>255</v>
      </c>
      <c r="F86" s="176">
        <v>266</v>
      </c>
      <c r="G86" s="176">
        <v>266</v>
      </c>
      <c r="H86" s="176">
        <v>262</v>
      </c>
      <c r="I86" s="176">
        <v>267</v>
      </c>
      <c r="J86" s="176">
        <v>264</v>
      </c>
      <c r="K86" s="176">
        <v>270.5736</v>
      </c>
      <c r="L86" s="176">
        <v>276.12035879999996</v>
      </c>
      <c r="M86" s="176">
        <v>282.30545483711995</v>
      </c>
      <c r="N86" s="176">
        <v>289.05255520772715</v>
      </c>
      <c r="O86" s="177"/>
      <c r="P86" s="177"/>
      <c r="Q86" s="177"/>
      <c r="R86" s="177"/>
      <c r="S86" s="177"/>
      <c r="T86" s="177"/>
      <c r="U86" s="177"/>
      <c r="V86" s="177"/>
      <c r="W86" s="177"/>
      <c r="X86" s="177"/>
      <c r="Y86" s="177"/>
    </row>
    <row r="87" spans="2:25" s="2" customFormat="1">
      <c r="B87" s="173" t="s">
        <v>129</v>
      </c>
      <c r="C87" s="174">
        <v>50</v>
      </c>
      <c r="D87" s="174">
        <v>51</v>
      </c>
      <c r="E87" s="174">
        <v>56</v>
      </c>
      <c r="F87" s="174">
        <v>62</v>
      </c>
      <c r="G87" s="174">
        <v>64</v>
      </c>
      <c r="H87" s="174">
        <v>64</v>
      </c>
      <c r="I87" s="174">
        <v>66</v>
      </c>
      <c r="J87" s="174">
        <v>64</v>
      </c>
      <c r="K87" s="174">
        <v>65.593599999999995</v>
      </c>
      <c r="L87" s="174">
        <v>66.938268799999989</v>
      </c>
      <c r="M87" s="174">
        <v>68.437686021119987</v>
      </c>
      <c r="N87" s="174">
        <v>70.073346717024776</v>
      </c>
      <c r="O87" s="170"/>
      <c r="P87" s="170"/>
      <c r="Q87" s="170"/>
      <c r="R87" s="170"/>
      <c r="S87" s="170"/>
      <c r="T87" s="170"/>
      <c r="U87" s="170"/>
      <c r="V87" s="170"/>
      <c r="W87" s="170"/>
      <c r="X87" s="170"/>
      <c r="Y87" s="170"/>
    </row>
    <row r="88" spans="2:25">
      <c r="B88" s="175" t="s">
        <v>325</v>
      </c>
      <c r="C88" s="176">
        <v>0</v>
      </c>
      <c r="D88" s="176">
        <v>0</v>
      </c>
      <c r="E88" s="176">
        <v>0</v>
      </c>
      <c r="F88" s="176">
        <v>0</v>
      </c>
      <c r="G88" s="176">
        <v>0</v>
      </c>
      <c r="H88" s="176">
        <v>0</v>
      </c>
      <c r="I88" s="176">
        <v>0</v>
      </c>
      <c r="J88" s="176">
        <v>0</v>
      </c>
      <c r="K88" s="176">
        <v>0</v>
      </c>
      <c r="L88" s="176">
        <v>0</v>
      </c>
      <c r="M88" s="176">
        <v>0</v>
      </c>
      <c r="N88" s="176">
        <v>0</v>
      </c>
      <c r="O88" s="177"/>
      <c r="P88" s="177"/>
      <c r="Q88" s="177"/>
      <c r="R88" s="177"/>
      <c r="S88" s="177"/>
      <c r="T88" s="177"/>
      <c r="U88" s="177"/>
      <c r="V88" s="177"/>
      <c r="W88" s="177"/>
      <c r="X88" s="177"/>
      <c r="Y88" s="177"/>
    </row>
    <row r="89" spans="2:25">
      <c r="B89" s="175" t="s">
        <v>130</v>
      </c>
      <c r="C89" s="176">
        <v>1</v>
      </c>
      <c r="D89" s="176">
        <v>1</v>
      </c>
      <c r="E89" s="176">
        <v>1</v>
      </c>
      <c r="F89" s="176">
        <v>1</v>
      </c>
      <c r="G89" s="176">
        <v>1</v>
      </c>
      <c r="H89" s="176">
        <v>1</v>
      </c>
      <c r="I89" s="176">
        <v>1</v>
      </c>
      <c r="J89" s="176">
        <v>1</v>
      </c>
      <c r="K89" s="176">
        <v>1.0248999999999999</v>
      </c>
      <c r="L89" s="176">
        <v>1.0459104499999998</v>
      </c>
      <c r="M89" s="176">
        <v>1.0693388440799998</v>
      </c>
      <c r="N89" s="176">
        <v>1.0948960424535119</v>
      </c>
      <c r="O89" s="177"/>
      <c r="P89" s="177"/>
      <c r="Q89" s="177"/>
      <c r="R89" s="177"/>
      <c r="S89" s="177"/>
      <c r="T89" s="177"/>
      <c r="U89" s="177"/>
      <c r="V89" s="177"/>
      <c r="W89" s="177"/>
      <c r="X89" s="177"/>
      <c r="Y89" s="177"/>
    </row>
    <row r="90" spans="2:25">
      <c r="B90" s="175" t="s">
        <v>131</v>
      </c>
      <c r="C90" s="176">
        <v>1</v>
      </c>
      <c r="D90" s="176">
        <v>1</v>
      </c>
      <c r="E90" s="176">
        <v>1</v>
      </c>
      <c r="F90" s="176">
        <v>1</v>
      </c>
      <c r="G90" s="176">
        <v>1</v>
      </c>
      <c r="H90" s="176">
        <v>1</v>
      </c>
      <c r="I90" s="176">
        <v>1</v>
      </c>
      <c r="J90" s="176">
        <v>1</v>
      </c>
      <c r="K90" s="176">
        <v>1.0248999999999999</v>
      </c>
      <c r="L90" s="176">
        <v>1.0459104499999998</v>
      </c>
      <c r="M90" s="176">
        <v>1.0693388440799998</v>
      </c>
      <c r="N90" s="176">
        <v>1.0948960424535119</v>
      </c>
      <c r="O90" s="177"/>
      <c r="P90" s="177"/>
      <c r="Q90" s="177"/>
      <c r="R90" s="177"/>
      <c r="S90" s="177"/>
      <c r="T90" s="177"/>
      <c r="U90" s="177"/>
      <c r="V90" s="177"/>
      <c r="W90" s="177"/>
      <c r="X90" s="177"/>
      <c r="Y90" s="177"/>
    </row>
    <row r="91" spans="2:25">
      <c r="B91" s="175" t="s">
        <v>132</v>
      </c>
      <c r="C91" s="176">
        <v>0</v>
      </c>
      <c r="D91" s="176">
        <v>1</v>
      </c>
      <c r="E91" s="176">
        <v>1</v>
      </c>
      <c r="F91" s="176">
        <v>1</v>
      </c>
      <c r="G91" s="176">
        <v>1</v>
      </c>
      <c r="H91" s="176">
        <v>1</v>
      </c>
      <c r="I91" s="176">
        <v>1</v>
      </c>
      <c r="J91" s="176">
        <v>1</v>
      </c>
      <c r="K91" s="176">
        <v>1.0248999999999999</v>
      </c>
      <c r="L91" s="176">
        <v>1.0459104499999998</v>
      </c>
      <c r="M91" s="176">
        <v>1.0693388440799998</v>
      </c>
      <c r="N91" s="176">
        <v>1.0948960424535119</v>
      </c>
      <c r="O91" s="177"/>
      <c r="P91" s="177"/>
      <c r="Q91" s="177"/>
      <c r="R91" s="177"/>
      <c r="S91" s="177"/>
      <c r="T91" s="177"/>
      <c r="U91" s="177"/>
      <c r="V91" s="177"/>
      <c r="W91" s="177"/>
      <c r="X91" s="177"/>
      <c r="Y91" s="177"/>
    </row>
    <row r="92" spans="2:25">
      <c r="B92" s="175" t="s">
        <v>133</v>
      </c>
      <c r="C92" s="176">
        <v>1</v>
      </c>
      <c r="D92" s="176">
        <v>1</v>
      </c>
      <c r="E92" s="176">
        <v>1</v>
      </c>
      <c r="F92" s="176">
        <v>1</v>
      </c>
      <c r="G92" s="176">
        <v>1</v>
      </c>
      <c r="H92" s="176">
        <v>1</v>
      </c>
      <c r="I92" s="176">
        <v>1</v>
      </c>
      <c r="J92" s="176">
        <v>1</v>
      </c>
      <c r="K92" s="176">
        <v>1.0248999999999999</v>
      </c>
      <c r="L92" s="176">
        <v>1.0459104499999998</v>
      </c>
      <c r="M92" s="176">
        <v>1.0693388440799998</v>
      </c>
      <c r="N92" s="176">
        <v>1.0948960424535119</v>
      </c>
      <c r="O92" s="177"/>
      <c r="P92" s="177"/>
      <c r="Q92" s="177"/>
      <c r="R92" s="177"/>
      <c r="S92" s="177"/>
      <c r="T92" s="177"/>
      <c r="U92" s="177"/>
      <c r="V92" s="177"/>
      <c r="W92" s="177"/>
      <c r="X92" s="177"/>
      <c r="Y92" s="177"/>
    </row>
    <row r="93" spans="2:25">
      <c r="B93" s="175" t="s">
        <v>134</v>
      </c>
      <c r="C93" s="176">
        <v>1</v>
      </c>
      <c r="D93" s="176">
        <v>1</v>
      </c>
      <c r="E93" s="176">
        <v>1</v>
      </c>
      <c r="F93" s="176">
        <v>1</v>
      </c>
      <c r="G93" s="176">
        <v>1</v>
      </c>
      <c r="H93" s="176">
        <v>0</v>
      </c>
      <c r="I93" s="176">
        <v>0</v>
      </c>
      <c r="J93" s="176">
        <v>0</v>
      </c>
      <c r="K93" s="176">
        <v>0</v>
      </c>
      <c r="L93" s="176">
        <v>0</v>
      </c>
      <c r="M93" s="176">
        <v>0</v>
      </c>
      <c r="N93" s="176">
        <v>0</v>
      </c>
      <c r="O93" s="177"/>
      <c r="P93" s="177"/>
      <c r="Q93" s="177"/>
      <c r="R93" s="177"/>
      <c r="S93" s="177"/>
      <c r="T93" s="177"/>
      <c r="U93" s="177"/>
      <c r="V93" s="177"/>
      <c r="W93" s="177"/>
      <c r="X93" s="177"/>
      <c r="Y93" s="177"/>
    </row>
    <row r="94" spans="2:25">
      <c r="B94" s="175" t="s">
        <v>135</v>
      </c>
      <c r="C94" s="176">
        <v>1</v>
      </c>
      <c r="D94" s="176">
        <v>1</v>
      </c>
      <c r="E94" s="176">
        <v>1</v>
      </c>
      <c r="F94" s="176">
        <v>1</v>
      </c>
      <c r="G94" s="176">
        <v>1</v>
      </c>
      <c r="H94" s="176">
        <v>1</v>
      </c>
      <c r="I94" s="176">
        <v>1</v>
      </c>
      <c r="J94" s="176">
        <v>1</v>
      </c>
      <c r="K94" s="176">
        <v>1.0248999999999999</v>
      </c>
      <c r="L94" s="176">
        <v>1.0459104499999998</v>
      </c>
      <c r="M94" s="176">
        <v>1.0693388440799998</v>
      </c>
      <c r="N94" s="176">
        <v>1.0948960424535119</v>
      </c>
      <c r="O94" s="177"/>
      <c r="P94" s="177"/>
      <c r="Q94" s="177"/>
      <c r="R94" s="177"/>
      <c r="S94" s="177"/>
      <c r="T94" s="177"/>
      <c r="U94" s="177"/>
      <c r="V94" s="177"/>
      <c r="W94" s="177"/>
      <c r="X94" s="177"/>
      <c r="Y94" s="177"/>
    </row>
    <row r="95" spans="2:25">
      <c r="B95" s="175" t="s">
        <v>136</v>
      </c>
      <c r="C95" s="176">
        <v>1</v>
      </c>
      <c r="D95" s="176">
        <v>1</v>
      </c>
      <c r="E95" s="176">
        <v>1</v>
      </c>
      <c r="F95" s="176">
        <v>1</v>
      </c>
      <c r="G95" s="176">
        <v>1</v>
      </c>
      <c r="H95" s="176">
        <v>1</v>
      </c>
      <c r="I95" s="176">
        <v>1</v>
      </c>
      <c r="J95" s="176">
        <v>1</v>
      </c>
      <c r="K95" s="176">
        <v>1.0248999999999999</v>
      </c>
      <c r="L95" s="176">
        <v>1.0459104499999998</v>
      </c>
      <c r="M95" s="176">
        <v>1.0693388440799998</v>
      </c>
      <c r="N95" s="176">
        <v>1.0948960424535119</v>
      </c>
      <c r="O95" s="177"/>
      <c r="P95" s="177"/>
      <c r="Q95" s="177"/>
      <c r="R95" s="177"/>
      <c r="S95" s="177"/>
      <c r="T95" s="177"/>
      <c r="U95" s="177"/>
      <c r="V95" s="177"/>
      <c r="W95" s="177"/>
      <c r="X95" s="177"/>
      <c r="Y95" s="177"/>
    </row>
    <row r="96" spans="2:25">
      <c r="B96" s="175" t="s">
        <v>137</v>
      </c>
      <c r="C96" s="176">
        <v>1</v>
      </c>
      <c r="D96" s="176">
        <v>1</v>
      </c>
      <c r="E96" s="176">
        <v>1</v>
      </c>
      <c r="F96" s="176">
        <v>1</v>
      </c>
      <c r="G96" s="176">
        <v>1</v>
      </c>
      <c r="H96" s="176">
        <v>1</v>
      </c>
      <c r="I96" s="176">
        <v>1</v>
      </c>
      <c r="J96" s="176">
        <v>1</v>
      </c>
      <c r="K96" s="176">
        <v>1.0248999999999999</v>
      </c>
      <c r="L96" s="176">
        <v>1.0459104499999998</v>
      </c>
      <c r="M96" s="176">
        <v>1.0693388440799998</v>
      </c>
      <c r="N96" s="176">
        <v>1.0948960424535119</v>
      </c>
      <c r="O96" s="177"/>
      <c r="P96" s="177"/>
      <c r="Q96" s="177"/>
      <c r="R96" s="177"/>
      <c r="S96" s="177"/>
      <c r="T96" s="177"/>
      <c r="U96" s="177"/>
      <c r="V96" s="177"/>
      <c r="W96" s="177"/>
      <c r="X96" s="177"/>
      <c r="Y96" s="177"/>
    </row>
    <row r="97" spans="2:25">
      <c r="B97" s="175" t="s">
        <v>138</v>
      </c>
      <c r="C97" s="176">
        <v>2</v>
      </c>
      <c r="D97" s="176">
        <v>2</v>
      </c>
      <c r="E97" s="176">
        <v>2</v>
      </c>
      <c r="F97" s="176">
        <v>4</v>
      </c>
      <c r="G97" s="176">
        <v>4</v>
      </c>
      <c r="H97" s="176">
        <v>4</v>
      </c>
      <c r="I97" s="176">
        <v>4</v>
      </c>
      <c r="J97" s="176">
        <v>4</v>
      </c>
      <c r="K97" s="176">
        <v>4.0995999999999997</v>
      </c>
      <c r="L97" s="176">
        <v>4.1836417999999993</v>
      </c>
      <c r="M97" s="176">
        <v>4.2773553763199992</v>
      </c>
      <c r="N97" s="176">
        <v>4.3795841698140476</v>
      </c>
      <c r="O97" s="177"/>
      <c r="P97" s="177"/>
      <c r="Q97" s="177"/>
      <c r="R97" s="177"/>
      <c r="S97" s="177"/>
      <c r="T97" s="177"/>
      <c r="U97" s="177"/>
      <c r="V97" s="177"/>
      <c r="W97" s="177"/>
      <c r="X97" s="177"/>
      <c r="Y97" s="177"/>
    </row>
    <row r="98" spans="2:25">
      <c r="B98" s="175" t="s">
        <v>139</v>
      </c>
      <c r="C98" s="176">
        <v>1</v>
      </c>
      <c r="D98" s="176">
        <v>1</v>
      </c>
      <c r="E98" s="176">
        <v>1</v>
      </c>
      <c r="F98" s="176">
        <v>1</v>
      </c>
      <c r="G98" s="176">
        <v>1</v>
      </c>
      <c r="H98" s="176">
        <v>1</v>
      </c>
      <c r="I98" s="176">
        <v>1</v>
      </c>
      <c r="J98" s="176">
        <v>1</v>
      </c>
      <c r="K98" s="176">
        <v>1.0248999999999999</v>
      </c>
      <c r="L98" s="176">
        <v>1.0459104499999998</v>
      </c>
      <c r="M98" s="176">
        <v>1.0693388440799998</v>
      </c>
      <c r="N98" s="176">
        <v>1.0948960424535119</v>
      </c>
      <c r="O98" s="177"/>
      <c r="P98" s="177"/>
      <c r="Q98" s="177"/>
      <c r="R98" s="177"/>
      <c r="S98" s="177"/>
      <c r="T98" s="177"/>
      <c r="U98" s="177"/>
      <c r="V98" s="177"/>
      <c r="W98" s="177"/>
      <c r="X98" s="177"/>
      <c r="Y98" s="177"/>
    </row>
    <row r="99" spans="2:25">
      <c r="B99" s="175" t="s">
        <v>140</v>
      </c>
      <c r="C99" s="176">
        <v>1</v>
      </c>
      <c r="D99" s="176">
        <v>1</v>
      </c>
      <c r="E99" s="176">
        <v>0</v>
      </c>
      <c r="F99" s="176">
        <v>0</v>
      </c>
      <c r="G99" s="176">
        <v>0</v>
      </c>
      <c r="H99" s="176">
        <v>0</v>
      </c>
      <c r="I99" s="176">
        <v>0</v>
      </c>
      <c r="J99" s="176">
        <v>0</v>
      </c>
      <c r="K99" s="176">
        <v>0</v>
      </c>
      <c r="L99" s="176">
        <v>0</v>
      </c>
      <c r="M99" s="176">
        <v>0</v>
      </c>
      <c r="N99" s="176">
        <v>0</v>
      </c>
      <c r="O99" s="177"/>
      <c r="P99" s="177"/>
      <c r="Q99" s="177"/>
      <c r="R99" s="177"/>
      <c r="S99" s="177"/>
      <c r="T99" s="177"/>
      <c r="U99" s="177"/>
      <c r="V99" s="177"/>
      <c r="W99" s="177"/>
      <c r="X99" s="177"/>
      <c r="Y99" s="177"/>
    </row>
    <row r="100" spans="2:25">
      <c r="B100" s="175" t="s">
        <v>141</v>
      </c>
      <c r="C100" s="176">
        <v>1</v>
      </c>
      <c r="D100" s="176">
        <v>1</v>
      </c>
      <c r="E100" s="176">
        <v>1</v>
      </c>
      <c r="F100" s="176">
        <v>1</v>
      </c>
      <c r="G100" s="176">
        <v>1</v>
      </c>
      <c r="H100" s="176">
        <v>1</v>
      </c>
      <c r="I100" s="176">
        <v>1</v>
      </c>
      <c r="J100" s="176">
        <v>1</v>
      </c>
      <c r="K100" s="176">
        <v>1.0248999999999999</v>
      </c>
      <c r="L100" s="176">
        <v>1.0459104499999998</v>
      </c>
      <c r="M100" s="176">
        <v>1.0693388440799998</v>
      </c>
      <c r="N100" s="176">
        <v>1.0948960424535119</v>
      </c>
      <c r="O100" s="177"/>
      <c r="P100" s="177"/>
      <c r="Q100" s="177"/>
      <c r="R100" s="177"/>
      <c r="S100" s="177"/>
      <c r="T100" s="177"/>
      <c r="U100" s="177"/>
      <c r="V100" s="177"/>
      <c r="W100" s="177"/>
      <c r="X100" s="177"/>
      <c r="Y100" s="177"/>
    </row>
    <row r="101" spans="2:25">
      <c r="B101" s="175" t="s">
        <v>142</v>
      </c>
      <c r="C101" s="176">
        <v>1</v>
      </c>
      <c r="D101" s="176">
        <v>1</v>
      </c>
      <c r="E101" s="176">
        <v>1</v>
      </c>
      <c r="F101" s="176">
        <v>1</v>
      </c>
      <c r="G101" s="176">
        <v>1</v>
      </c>
      <c r="H101" s="176">
        <v>1</v>
      </c>
      <c r="I101" s="176">
        <v>1</v>
      </c>
      <c r="J101" s="176">
        <v>1</v>
      </c>
      <c r="K101" s="176">
        <v>1.0248999999999999</v>
      </c>
      <c r="L101" s="176">
        <v>1.0459104499999998</v>
      </c>
      <c r="M101" s="176">
        <v>1.0693388440799998</v>
      </c>
      <c r="N101" s="176">
        <v>1.0948960424535119</v>
      </c>
      <c r="O101" s="177"/>
      <c r="P101" s="177"/>
      <c r="Q101" s="177"/>
      <c r="R101" s="177"/>
      <c r="S101" s="177"/>
      <c r="T101" s="177"/>
      <c r="U101" s="177"/>
      <c r="V101" s="177"/>
      <c r="W101" s="177"/>
      <c r="X101" s="177"/>
      <c r="Y101" s="177"/>
    </row>
    <row r="102" spans="2:25">
      <c r="B102" s="175" t="s">
        <v>143</v>
      </c>
      <c r="C102" s="176">
        <v>27</v>
      </c>
      <c r="D102" s="176">
        <v>27</v>
      </c>
      <c r="E102" s="176">
        <v>32</v>
      </c>
      <c r="F102" s="176">
        <v>36</v>
      </c>
      <c r="G102" s="176">
        <v>38</v>
      </c>
      <c r="H102" s="176">
        <v>39</v>
      </c>
      <c r="I102" s="176">
        <v>41</v>
      </c>
      <c r="J102" s="176">
        <v>39</v>
      </c>
      <c r="K102" s="176">
        <v>39.9711</v>
      </c>
      <c r="L102" s="176">
        <v>40.790507550000001</v>
      </c>
      <c r="M102" s="176">
        <v>41.704214919119998</v>
      </c>
      <c r="N102" s="176">
        <v>42.700945655686965</v>
      </c>
      <c r="O102" s="177"/>
      <c r="P102" s="177"/>
      <c r="Q102" s="177"/>
      <c r="R102" s="177"/>
      <c r="S102" s="177"/>
      <c r="T102" s="177"/>
      <c r="U102" s="177"/>
      <c r="V102" s="177"/>
      <c r="W102" s="177"/>
      <c r="X102" s="177"/>
      <c r="Y102" s="177"/>
    </row>
    <row r="103" spans="2:25">
      <c r="B103" s="175" t="s">
        <v>144</v>
      </c>
      <c r="C103" s="176">
        <v>2</v>
      </c>
      <c r="D103" s="176">
        <v>2</v>
      </c>
      <c r="E103" s="176">
        <v>2</v>
      </c>
      <c r="F103" s="176">
        <v>2</v>
      </c>
      <c r="G103" s="176">
        <v>2</v>
      </c>
      <c r="H103" s="176">
        <v>2</v>
      </c>
      <c r="I103" s="176">
        <v>2</v>
      </c>
      <c r="J103" s="176">
        <v>2</v>
      </c>
      <c r="K103" s="176">
        <v>2.0497999999999998</v>
      </c>
      <c r="L103" s="176">
        <v>2.0918208999999997</v>
      </c>
      <c r="M103" s="176">
        <v>2.1386776881599996</v>
      </c>
      <c r="N103" s="176">
        <v>2.1897920849070238</v>
      </c>
      <c r="O103" s="177"/>
      <c r="P103" s="177"/>
      <c r="Q103" s="177"/>
      <c r="R103" s="177"/>
      <c r="S103" s="177"/>
      <c r="T103" s="177"/>
      <c r="U103" s="177"/>
      <c r="V103" s="177"/>
      <c r="W103" s="177"/>
      <c r="X103" s="177"/>
      <c r="Y103" s="177"/>
    </row>
    <row r="104" spans="2:25">
      <c r="B104" s="175" t="s">
        <v>145</v>
      </c>
      <c r="C104" s="176">
        <v>2</v>
      </c>
      <c r="D104" s="176">
        <v>2</v>
      </c>
      <c r="E104" s="176">
        <v>3</v>
      </c>
      <c r="F104" s="176">
        <v>2</v>
      </c>
      <c r="G104" s="176">
        <v>2</v>
      </c>
      <c r="H104" s="176">
        <v>2</v>
      </c>
      <c r="I104" s="176">
        <v>2</v>
      </c>
      <c r="J104" s="176">
        <v>2</v>
      </c>
      <c r="K104" s="176">
        <v>2.0497999999999998</v>
      </c>
      <c r="L104" s="176">
        <v>2.0918208999999997</v>
      </c>
      <c r="M104" s="176">
        <v>2.1386776881599996</v>
      </c>
      <c r="N104" s="176">
        <v>2.1897920849070238</v>
      </c>
      <c r="O104" s="177"/>
      <c r="P104" s="177"/>
      <c r="Q104" s="177"/>
      <c r="R104" s="177"/>
      <c r="S104" s="177"/>
      <c r="T104" s="177"/>
      <c r="U104" s="177"/>
      <c r="V104" s="177"/>
      <c r="W104" s="177"/>
      <c r="X104" s="177"/>
      <c r="Y104" s="177"/>
    </row>
    <row r="105" spans="2:25">
      <c r="B105" s="175" t="s">
        <v>146</v>
      </c>
      <c r="C105" s="176">
        <v>6</v>
      </c>
      <c r="D105" s="176">
        <v>6</v>
      </c>
      <c r="E105" s="176">
        <v>6</v>
      </c>
      <c r="F105" s="176">
        <v>7</v>
      </c>
      <c r="G105" s="176">
        <v>7</v>
      </c>
      <c r="H105" s="176">
        <v>7</v>
      </c>
      <c r="I105" s="176">
        <v>7</v>
      </c>
      <c r="J105" s="176">
        <v>7</v>
      </c>
      <c r="K105" s="176">
        <v>7.1742999999999997</v>
      </c>
      <c r="L105" s="176">
        <v>7.3213731499999994</v>
      </c>
      <c r="M105" s="176">
        <v>7.4853719085599995</v>
      </c>
      <c r="N105" s="176">
        <v>7.664272297174584</v>
      </c>
      <c r="O105" s="177"/>
      <c r="P105" s="177"/>
      <c r="Q105" s="177"/>
      <c r="R105" s="177"/>
      <c r="S105" s="177"/>
      <c r="T105" s="177"/>
      <c r="U105" s="177"/>
      <c r="V105" s="177"/>
      <c r="W105" s="177"/>
      <c r="X105" s="177"/>
      <c r="Y105" s="177"/>
    </row>
    <row r="106" spans="2:25" s="2" customFormat="1">
      <c r="B106" s="173" t="s">
        <v>147</v>
      </c>
      <c r="C106" s="174">
        <v>16</v>
      </c>
      <c r="D106" s="174">
        <v>16</v>
      </c>
      <c r="E106" s="174">
        <v>16</v>
      </c>
      <c r="F106" s="174">
        <v>16</v>
      </c>
      <c r="G106" s="174">
        <v>16</v>
      </c>
      <c r="H106" s="174">
        <v>16</v>
      </c>
      <c r="I106" s="174">
        <v>16</v>
      </c>
      <c r="J106" s="174">
        <v>16</v>
      </c>
      <c r="K106" s="174">
        <v>16</v>
      </c>
      <c r="L106" s="174">
        <v>16</v>
      </c>
      <c r="M106" s="174">
        <v>16</v>
      </c>
      <c r="N106" s="174">
        <v>16</v>
      </c>
      <c r="O106" s="170"/>
      <c r="P106" s="170"/>
      <c r="Q106" s="170"/>
      <c r="R106" s="170"/>
      <c r="S106" s="170"/>
      <c r="T106" s="170"/>
      <c r="U106" s="170"/>
      <c r="V106" s="170"/>
      <c r="W106" s="170"/>
      <c r="X106" s="170"/>
      <c r="Y106" s="170"/>
    </row>
    <row r="107" spans="2:25">
      <c r="B107" s="175" t="s">
        <v>148</v>
      </c>
      <c r="C107" s="176">
        <v>1</v>
      </c>
      <c r="D107" s="176">
        <v>1</v>
      </c>
      <c r="E107" s="176">
        <v>1</v>
      </c>
      <c r="F107" s="176">
        <v>1</v>
      </c>
      <c r="G107" s="176">
        <v>1</v>
      </c>
      <c r="H107" s="176">
        <v>1</v>
      </c>
      <c r="I107" s="176">
        <v>1</v>
      </c>
      <c r="J107" s="176">
        <v>1</v>
      </c>
      <c r="K107" s="176">
        <v>1</v>
      </c>
      <c r="L107" s="176">
        <v>1</v>
      </c>
      <c r="M107" s="176">
        <v>1</v>
      </c>
      <c r="N107" s="176">
        <v>1</v>
      </c>
      <c r="O107" s="177"/>
      <c r="P107" s="177"/>
      <c r="Q107" s="177"/>
      <c r="R107" s="177"/>
      <c r="S107" s="177"/>
      <c r="T107" s="177"/>
      <c r="U107" s="177"/>
      <c r="V107" s="177"/>
      <c r="W107" s="177"/>
      <c r="X107" s="177"/>
      <c r="Y107" s="177"/>
    </row>
    <row r="108" spans="2:25">
      <c r="B108" s="175" t="s">
        <v>149</v>
      </c>
      <c r="C108" s="176">
        <v>1</v>
      </c>
      <c r="D108" s="176">
        <v>1</v>
      </c>
      <c r="E108" s="176">
        <v>1</v>
      </c>
      <c r="F108" s="176">
        <v>1</v>
      </c>
      <c r="G108" s="176">
        <v>1</v>
      </c>
      <c r="H108" s="176">
        <v>1</v>
      </c>
      <c r="I108" s="176">
        <v>1</v>
      </c>
      <c r="J108" s="176">
        <v>1</v>
      </c>
      <c r="K108" s="176">
        <v>1</v>
      </c>
      <c r="L108" s="176">
        <v>1</v>
      </c>
      <c r="M108" s="176">
        <v>1</v>
      </c>
      <c r="N108" s="176">
        <v>1</v>
      </c>
      <c r="O108" s="177"/>
      <c r="P108" s="177"/>
      <c r="Q108" s="177"/>
      <c r="R108" s="177"/>
      <c r="S108" s="177"/>
      <c r="T108" s="177"/>
      <c r="U108" s="177"/>
      <c r="V108" s="177"/>
      <c r="W108" s="177"/>
      <c r="X108" s="177"/>
      <c r="Y108" s="177"/>
    </row>
    <row r="109" spans="2:25">
      <c r="B109" s="175" t="s">
        <v>150</v>
      </c>
      <c r="C109" s="176">
        <v>1</v>
      </c>
      <c r="D109" s="176">
        <v>1</v>
      </c>
      <c r="E109" s="176">
        <v>1</v>
      </c>
      <c r="F109" s="176">
        <v>1</v>
      </c>
      <c r="G109" s="176">
        <v>1</v>
      </c>
      <c r="H109" s="176">
        <v>1</v>
      </c>
      <c r="I109" s="176">
        <v>1</v>
      </c>
      <c r="J109" s="176">
        <v>1</v>
      </c>
      <c r="K109" s="176">
        <v>1</v>
      </c>
      <c r="L109" s="176">
        <v>1</v>
      </c>
      <c r="M109" s="176">
        <v>1</v>
      </c>
      <c r="N109" s="176">
        <v>1</v>
      </c>
      <c r="O109" s="177"/>
      <c r="P109" s="177"/>
      <c r="Q109" s="177"/>
      <c r="R109" s="177"/>
      <c r="S109" s="177"/>
      <c r="T109" s="177"/>
      <c r="U109" s="177"/>
      <c r="V109" s="177"/>
      <c r="W109" s="177"/>
      <c r="X109" s="177"/>
      <c r="Y109" s="177"/>
    </row>
    <row r="110" spans="2:25">
      <c r="B110" s="175" t="s">
        <v>151</v>
      </c>
      <c r="C110" s="176">
        <v>1</v>
      </c>
      <c r="D110" s="176">
        <v>1</v>
      </c>
      <c r="E110" s="176">
        <v>1</v>
      </c>
      <c r="F110" s="176">
        <v>1</v>
      </c>
      <c r="G110" s="176">
        <v>1</v>
      </c>
      <c r="H110" s="176">
        <v>1</v>
      </c>
      <c r="I110" s="176">
        <v>1</v>
      </c>
      <c r="J110" s="176">
        <v>1</v>
      </c>
      <c r="K110" s="176">
        <v>1</v>
      </c>
      <c r="L110" s="176">
        <v>1</v>
      </c>
      <c r="M110" s="176">
        <v>1</v>
      </c>
      <c r="N110" s="176">
        <v>1</v>
      </c>
      <c r="O110" s="177"/>
      <c r="P110" s="177"/>
      <c r="Q110" s="177"/>
      <c r="R110" s="177"/>
      <c r="S110" s="177"/>
      <c r="T110" s="177"/>
      <c r="U110" s="177"/>
      <c r="V110" s="177"/>
      <c r="W110" s="177"/>
      <c r="X110" s="177"/>
      <c r="Y110" s="177"/>
    </row>
    <row r="111" spans="2:25">
      <c r="B111" s="175" t="s">
        <v>326</v>
      </c>
      <c r="C111" s="176">
        <v>0</v>
      </c>
      <c r="D111" s="176">
        <v>0</v>
      </c>
      <c r="E111" s="176">
        <v>0</v>
      </c>
      <c r="F111" s="176">
        <v>0</v>
      </c>
      <c r="G111" s="176">
        <v>0</v>
      </c>
      <c r="H111" s="176">
        <v>0</v>
      </c>
      <c r="I111" s="176">
        <v>0</v>
      </c>
      <c r="J111" s="176">
        <v>0</v>
      </c>
      <c r="K111" s="176">
        <v>0</v>
      </c>
      <c r="L111" s="176">
        <v>0</v>
      </c>
      <c r="M111" s="176">
        <v>0</v>
      </c>
      <c r="N111" s="176">
        <v>0</v>
      </c>
      <c r="O111" s="177"/>
      <c r="P111" s="177"/>
      <c r="Q111" s="177"/>
      <c r="R111" s="177"/>
      <c r="S111" s="177"/>
      <c r="T111" s="177"/>
      <c r="U111" s="177"/>
      <c r="V111" s="177"/>
      <c r="W111" s="177"/>
      <c r="X111" s="177"/>
      <c r="Y111" s="177"/>
    </row>
    <row r="112" spans="2:25">
      <c r="B112" s="175" t="s">
        <v>327</v>
      </c>
      <c r="C112" s="176">
        <v>0</v>
      </c>
      <c r="D112" s="176">
        <v>0</v>
      </c>
      <c r="E112" s="176">
        <v>0</v>
      </c>
      <c r="F112" s="176">
        <v>0</v>
      </c>
      <c r="G112" s="176">
        <v>0</v>
      </c>
      <c r="H112" s="176">
        <v>0</v>
      </c>
      <c r="I112" s="176">
        <v>0</v>
      </c>
      <c r="J112" s="176">
        <v>0</v>
      </c>
      <c r="K112" s="176">
        <v>0</v>
      </c>
      <c r="L112" s="176">
        <v>0</v>
      </c>
      <c r="M112" s="176">
        <v>0</v>
      </c>
      <c r="N112" s="176">
        <v>0</v>
      </c>
      <c r="O112" s="177"/>
      <c r="P112" s="177"/>
      <c r="Q112" s="177"/>
      <c r="R112" s="177"/>
      <c r="S112" s="177"/>
      <c r="T112" s="177"/>
      <c r="U112" s="177"/>
      <c r="V112" s="177"/>
      <c r="W112" s="177"/>
      <c r="X112" s="177"/>
      <c r="Y112" s="177"/>
    </row>
    <row r="113" spans="2:25">
      <c r="B113" s="175" t="s">
        <v>328</v>
      </c>
      <c r="C113" s="176">
        <v>0</v>
      </c>
      <c r="D113" s="176">
        <v>0</v>
      </c>
      <c r="E113" s="176">
        <v>0</v>
      </c>
      <c r="F113" s="176">
        <v>0</v>
      </c>
      <c r="G113" s="176">
        <v>0</v>
      </c>
      <c r="H113" s="176">
        <v>0</v>
      </c>
      <c r="I113" s="176">
        <v>0</v>
      </c>
      <c r="J113" s="176">
        <v>0</v>
      </c>
      <c r="K113" s="176">
        <v>0</v>
      </c>
      <c r="L113" s="176">
        <v>0</v>
      </c>
      <c r="M113" s="176">
        <v>0</v>
      </c>
      <c r="N113" s="176">
        <v>0</v>
      </c>
      <c r="O113" s="177"/>
      <c r="P113" s="177"/>
      <c r="Q113" s="177"/>
      <c r="R113" s="177"/>
      <c r="S113" s="177"/>
      <c r="T113" s="177"/>
      <c r="U113" s="177"/>
      <c r="V113" s="177"/>
      <c r="W113" s="177"/>
      <c r="X113" s="177"/>
      <c r="Y113" s="177"/>
    </row>
    <row r="114" spans="2:25">
      <c r="B114" s="175" t="s">
        <v>329</v>
      </c>
      <c r="C114" s="176">
        <v>0</v>
      </c>
      <c r="D114" s="176">
        <v>0</v>
      </c>
      <c r="E114" s="176">
        <v>0</v>
      </c>
      <c r="F114" s="176">
        <v>0</v>
      </c>
      <c r="G114" s="176">
        <v>0</v>
      </c>
      <c r="H114" s="176">
        <v>0</v>
      </c>
      <c r="I114" s="176">
        <v>0</v>
      </c>
      <c r="J114" s="176">
        <v>0</v>
      </c>
      <c r="K114" s="176">
        <v>0</v>
      </c>
      <c r="L114" s="176">
        <v>0</v>
      </c>
      <c r="M114" s="176">
        <v>0</v>
      </c>
      <c r="N114" s="176">
        <v>0</v>
      </c>
      <c r="O114" s="177"/>
      <c r="P114" s="177"/>
      <c r="Q114" s="177"/>
      <c r="R114" s="177"/>
      <c r="S114" s="177"/>
      <c r="T114" s="177"/>
      <c r="U114" s="177"/>
      <c r="V114" s="177"/>
      <c r="W114" s="177"/>
      <c r="X114" s="177"/>
      <c r="Y114" s="177"/>
    </row>
    <row r="115" spans="2:25">
      <c r="B115" s="175" t="s">
        <v>330</v>
      </c>
      <c r="C115" s="176">
        <v>0</v>
      </c>
      <c r="D115" s="176">
        <v>0</v>
      </c>
      <c r="E115" s="176">
        <v>0</v>
      </c>
      <c r="F115" s="176">
        <v>0</v>
      </c>
      <c r="G115" s="176">
        <v>0</v>
      </c>
      <c r="H115" s="176">
        <v>0</v>
      </c>
      <c r="I115" s="176">
        <v>0</v>
      </c>
      <c r="J115" s="176">
        <v>0</v>
      </c>
      <c r="K115" s="176">
        <v>0</v>
      </c>
      <c r="L115" s="176">
        <v>0</v>
      </c>
      <c r="M115" s="176">
        <v>0</v>
      </c>
      <c r="N115" s="176">
        <v>0</v>
      </c>
      <c r="O115" s="177"/>
      <c r="P115" s="177"/>
      <c r="Q115" s="177"/>
      <c r="R115" s="177"/>
      <c r="S115" s="177"/>
      <c r="T115" s="177"/>
      <c r="U115" s="177"/>
      <c r="V115" s="177"/>
      <c r="W115" s="177"/>
      <c r="X115" s="177"/>
      <c r="Y115" s="177"/>
    </row>
    <row r="116" spans="2:25">
      <c r="B116" s="175" t="s">
        <v>152</v>
      </c>
      <c r="C116" s="176">
        <v>1</v>
      </c>
      <c r="D116" s="176">
        <v>1</v>
      </c>
      <c r="E116" s="176">
        <v>1</v>
      </c>
      <c r="F116" s="176">
        <v>1</v>
      </c>
      <c r="G116" s="176">
        <v>1</v>
      </c>
      <c r="H116" s="176">
        <v>1</v>
      </c>
      <c r="I116" s="176">
        <v>1</v>
      </c>
      <c r="J116" s="176">
        <v>1</v>
      </c>
      <c r="K116" s="176">
        <v>1</v>
      </c>
      <c r="L116" s="176">
        <v>1</v>
      </c>
      <c r="M116" s="176">
        <v>1</v>
      </c>
      <c r="N116" s="176">
        <v>1</v>
      </c>
      <c r="O116" s="177"/>
      <c r="P116" s="177"/>
      <c r="Q116" s="177"/>
      <c r="R116" s="177"/>
      <c r="S116" s="177"/>
      <c r="T116" s="177"/>
      <c r="U116" s="177"/>
      <c r="V116" s="177"/>
      <c r="W116" s="177"/>
      <c r="X116" s="177"/>
      <c r="Y116" s="177"/>
    </row>
    <row r="117" spans="2:25">
      <c r="B117" s="175" t="s">
        <v>153</v>
      </c>
      <c r="C117" s="176">
        <v>1</v>
      </c>
      <c r="D117" s="176">
        <v>1</v>
      </c>
      <c r="E117" s="176">
        <v>1</v>
      </c>
      <c r="F117" s="176">
        <v>1</v>
      </c>
      <c r="G117" s="176">
        <v>1</v>
      </c>
      <c r="H117" s="176">
        <v>1</v>
      </c>
      <c r="I117" s="176">
        <v>1</v>
      </c>
      <c r="J117" s="176">
        <v>1</v>
      </c>
      <c r="K117" s="176">
        <v>1</v>
      </c>
      <c r="L117" s="176">
        <v>1</v>
      </c>
      <c r="M117" s="176">
        <v>1</v>
      </c>
      <c r="N117" s="176">
        <v>1</v>
      </c>
      <c r="O117" s="177"/>
      <c r="P117" s="177"/>
      <c r="Q117" s="177"/>
      <c r="R117" s="177"/>
      <c r="S117" s="177"/>
      <c r="T117" s="177"/>
      <c r="U117" s="177"/>
      <c r="V117" s="177"/>
      <c r="W117" s="177"/>
      <c r="X117" s="177"/>
      <c r="Y117" s="177"/>
    </row>
    <row r="118" spans="2:25">
      <c r="B118" s="175" t="s">
        <v>154</v>
      </c>
      <c r="C118" s="176">
        <v>1</v>
      </c>
      <c r="D118" s="176">
        <v>1</v>
      </c>
      <c r="E118" s="176">
        <v>1</v>
      </c>
      <c r="F118" s="176">
        <v>1</v>
      </c>
      <c r="G118" s="176">
        <v>1</v>
      </c>
      <c r="H118" s="176">
        <v>1</v>
      </c>
      <c r="I118" s="176">
        <v>1</v>
      </c>
      <c r="J118" s="176">
        <v>1</v>
      </c>
      <c r="K118" s="176">
        <v>1</v>
      </c>
      <c r="L118" s="176">
        <v>1</v>
      </c>
      <c r="M118" s="176">
        <v>1</v>
      </c>
      <c r="N118" s="176">
        <v>1</v>
      </c>
      <c r="O118" s="177"/>
      <c r="P118" s="177"/>
      <c r="Q118" s="177"/>
      <c r="R118" s="177"/>
      <c r="S118" s="177"/>
      <c r="T118" s="177"/>
      <c r="U118" s="177"/>
      <c r="V118" s="177"/>
      <c r="W118" s="177"/>
      <c r="X118" s="177"/>
      <c r="Y118" s="177"/>
    </row>
    <row r="119" spans="2:25">
      <c r="B119" s="175" t="s">
        <v>155</v>
      </c>
      <c r="C119" s="176">
        <v>1</v>
      </c>
      <c r="D119" s="176">
        <v>1</v>
      </c>
      <c r="E119" s="176">
        <v>1</v>
      </c>
      <c r="F119" s="176">
        <v>1</v>
      </c>
      <c r="G119" s="176">
        <v>1</v>
      </c>
      <c r="H119" s="176">
        <v>1</v>
      </c>
      <c r="I119" s="176">
        <v>1</v>
      </c>
      <c r="J119" s="176">
        <v>1</v>
      </c>
      <c r="K119" s="176">
        <v>1</v>
      </c>
      <c r="L119" s="176">
        <v>1</v>
      </c>
      <c r="M119" s="176">
        <v>1</v>
      </c>
      <c r="N119" s="176">
        <v>1</v>
      </c>
      <c r="O119" s="177"/>
      <c r="P119" s="177"/>
      <c r="Q119" s="177"/>
      <c r="R119" s="177"/>
      <c r="S119" s="177"/>
      <c r="T119" s="177"/>
      <c r="U119" s="177"/>
      <c r="V119" s="177"/>
      <c r="W119" s="177"/>
      <c r="X119" s="177"/>
      <c r="Y119" s="177"/>
    </row>
    <row r="120" spans="2:25">
      <c r="B120" s="175" t="s">
        <v>156</v>
      </c>
      <c r="C120" s="176">
        <v>1</v>
      </c>
      <c r="D120" s="176">
        <v>1</v>
      </c>
      <c r="E120" s="176">
        <v>1</v>
      </c>
      <c r="F120" s="176">
        <v>1</v>
      </c>
      <c r="G120" s="176">
        <v>1</v>
      </c>
      <c r="H120" s="176">
        <v>1</v>
      </c>
      <c r="I120" s="176">
        <v>1</v>
      </c>
      <c r="J120" s="176">
        <v>1</v>
      </c>
      <c r="K120" s="176">
        <v>1</v>
      </c>
      <c r="L120" s="176">
        <v>1</v>
      </c>
      <c r="M120" s="176">
        <v>1</v>
      </c>
      <c r="N120" s="176">
        <v>1</v>
      </c>
      <c r="O120" s="177"/>
      <c r="P120" s="177"/>
      <c r="Q120" s="177"/>
      <c r="R120" s="177"/>
      <c r="S120" s="177"/>
      <c r="T120" s="177"/>
      <c r="U120" s="177"/>
      <c r="V120" s="177"/>
      <c r="W120" s="177"/>
      <c r="X120" s="177"/>
      <c r="Y120" s="177"/>
    </row>
    <row r="121" spans="2:25">
      <c r="B121" s="175" t="s">
        <v>157</v>
      </c>
      <c r="C121" s="176">
        <v>1</v>
      </c>
      <c r="D121" s="176">
        <v>1</v>
      </c>
      <c r="E121" s="176">
        <v>1</v>
      </c>
      <c r="F121" s="176">
        <v>1</v>
      </c>
      <c r="G121" s="176">
        <v>1</v>
      </c>
      <c r="H121" s="176">
        <v>1</v>
      </c>
      <c r="I121" s="176">
        <v>1</v>
      </c>
      <c r="J121" s="176">
        <v>1</v>
      </c>
      <c r="K121" s="176">
        <v>1</v>
      </c>
      <c r="L121" s="176">
        <v>1</v>
      </c>
      <c r="M121" s="176">
        <v>1</v>
      </c>
      <c r="N121" s="176">
        <v>1</v>
      </c>
      <c r="O121" s="177"/>
      <c r="P121" s="177"/>
      <c r="Q121" s="177"/>
      <c r="R121" s="177"/>
      <c r="S121" s="177"/>
      <c r="T121" s="177"/>
      <c r="U121" s="177"/>
      <c r="V121" s="177"/>
      <c r="W121" s="177"/>
      <c r="X121" s="177"/>
      <c r="Y121" s="177"/>
    </row>
    <row r="122" spans="2:25">
      <c r="B122" s="175" t="s">
        <v>158</v>
      </c>
      <c r="C122" s="176">
        <v>1</v>
      </c>
      <c r="D122" s="176">
        <v>1</v>
      </c>
      <c r="E122" s="176">
        <v>1</v>
      </c>
      <c r="F122" s="176">
        <v>1</v>
      </c>
      <c r="G122" s="176">
        <v>1</v>
      </c>
      <c r="H122" s="176">
        <v>1</v>
      </c>
      <c r="I122" s="176">
        <v>1</v>
      </c>
      <c r="J122" s="176">
        <v>1</v>
      </c>
      <c r="K122" s="176">
        <v>1</v>
      </c>
      <c r="L122" s="176">
        <v>1</v>
      </c>
      <c r="M122" s="176">
        <v>1</v>
      </c>
      <c r="N122" s="176">
        <v>1</v>
      </c>
      <c r="O122" s="177"/>
      <c r="P122" s="177"/>
      <c r="Q122" s="177"/>
      <c r="R122" s="177"/>
      <c r="S122" s="177"/>
      <c r="T122" s="177"/>
      <c r="U122" s="177"/>
      <c r="V122" s="177"/>
      <c r="W122" s="177"/>
      <c r="X122" s="177"/>
      <c r="Y122" s="177"/>
    </row>
    <row r="123" spans="2:25">
      <c r="B123" s="175" t="s">
        <v>159</v>
      </c>
      <c r="C123" s="176">
        <v>1</v>
      </c>
      <c r="D123" s="176">
        <v>1</v>
      </c>
      <c r="E123" s="176">
        <v>1</v>
      </c>
      <c r="F123" s="176">
        <v>1</v>
      </c>
      <c r="G123" s="176">
        <v>1</v>
      </c>
      <c r="H123" s="176">
        <v>1</v>
      </c>
      <c r="I123" s="176">
        <v>1</v>
      </c>
      <c r="J123" s="176">
        <v>1</v>
      </c>
      <c r="K123" s="176">
        <v>1</v>
      </c>
      <c r="L123" s="176">
        <v>1</v>
      </c>
      <c r="M123" s="176">
        <v>1</v>
      </c>
      <c r="N123" s="176">
        <v>1</v>
      </c>
      <c r="O123" s="177"/>
      <c r="P123" s="177"/>
      <c r="Q123" s="177"/>
      <c r="R123" s="177"/>
      <c r="S123" s="177"/>
      <c r="T123" s="177"/>
      <c r="U123" s="177"/>
      <c r="V123" s="177"/>
      <c r="W123" s="177"/>
      <c r="X123" s="177"/>
      <c r="Y123" s="177"/>
    </row>
    <row r="124" spans="2:25">
      <c r="B124" s="175" t="s">
        <v>160</v>
      </c>
      <c r="C124" s="176">
        <v>1</v>
      </c>
      <c r="D124" s="176">
        <v>1</v>
      </c>
      <c r="E124" s="176">
        <v>1</v>
      </c>
      <c r="F124" s="176">
        <v>1</v>
      </c>
      <c r="G124" s="176">
        <v>1</v>
      </c>
      <c r="H124" s="176">
        <v>1</v>
      </c>
      <c r="I124" s="176">
        <v>1</v>
      </c>
      <c r="J124" s="176">
        <v>1</v>
      </c>
      <c r="K124" s="176">
        <v>1</v>
      </c>
      <c r="L124" s="176">
        <v>1</v>
      </c>
      <c r="M124" s="176">
        <v>1</v>
      </c>
      <c r="N124" s="176">
        <v>1</v>
      </c>
      <c r="O124" s="177"/>
      <c r="P124" s="177"/>
      <c r="Q124" s="177"/>
      <c r="R124" s="177"/>
      <c r="S124" s="177"/>
      <c r="T124" s="177"/>
      <c r="U124" s="177"/>
      <c r="V124" s="177"/>
      <c r="W124" s="177"/>
      <c r="X124" s="177"/>
      <c r="Y124" s="177"/>
    </row>
    <row r="125" spans="2:25">
      <c r="B125" s="175" t="s">
        <v>161</v>
      </c>
      <c r="C125" s="176">
        <v>1</v>
      </c>
      <c r="D125" s="176">
        <v>1</v>
      </c>
      <c r="E125" s="176">
        <v>1</v>
      </c>
      <c r="F125" s="176">
        <v>1</v>
      </c>
      <c r="G125" s="176">
        <v>1</v>
      </c>
      <c r="H125" s="176">
        <v>1</v>
      </c>
      <c r="I125" s="176">
        <v>1</v>
      </c>
      <c r="J125" s="176">
        <v>1</v>
      </c>
      <c r="K125" s="176">
        <v>1</v>
      </c>
      <c r="L125" s="176">
        <v>1</v>
      </c>
      <c r="M125" s="176">
        <v>1</v>
      </c>
      <c r="N125" s="176">
        <v>1</v>
      </c>
      <c r="O125" s="177"/>
      <c r="P125" s="177"/>
      <c r="Q125" s="177"/>
      <c r="R125" s="177"/>
      <c r="S125" s="177"/>
      <c r="T125" s="177"/>
      <c r="U125" s="177"/>
      <c r="V125" s="177"/>
      <c r="W125" s="177"/>
      <c r="X125" s="177"/>
      <c r="Y125" s="177"/>
    </row>
    <row r="126" spans="2:25">
      <c r="B126" s="175" t="s">
        <v>162</v>
      </c>
      <c r="C126" s="176">
        <v>1</v>
      </c>
      <c r="D126" s="176">
        <v>1</v>
      </c>
      <c r="E126" s="176">
        <v>1</v>
      </c>
      <c r="F126" s="176">
        <v>1</v>
      </c>
      <c r="G126" s="176">
        <v>1</v>
      </c>
      <c r="H126" s="176">
        <v>1</v>
      </c>
      <c r="I126" s="176">
        <v>1</v>
      </c>
      <c r="J126" s="176">
        <v>1</v>
      </c>
      <c r="K126" s="176">
        <v>1</v>
      </c>
      <c r="L126" s="176">
        <v>1</v>
      </c>
      <c r="M126" s="176">
        <v>1</v>
      </c>
      <c r="N126" s="176">
        <v>1</v>
      </c>
      <c r="O126" s="177"/>
      <c r="P126" s="177"/>
      <c r="Q126" s="177"/>
      <c r="R126" s="177"/>
      <c r="S126" s="177"/>
      <c r="T126" s="177"/>
      <c r="U126" s="177"/>
      <c r="V126" s="177"/>
      <c r="W126" s="177"/>
      <c r="X126" s="177"/>
      <c r="Y126" s="177"/>
    </row>
    <row r="127" spans="2:25">
      <c r="B127" s="175" t="s">
        <v>163</v>
      </c>
      <c r="C127" s="176">
        <v>1</v>
      </c>
      <c r="D127" s="176">
        <v>1</v>
      </c>
      <c r="E127" s="176">
        <v>1</v>
      </c>
      <c r="F127" s="176">
        <v>1</v>
      </c>
      <c r="G127" s="176">
        <v>1</v>
      </c>
      <c r="H127" s="176">
        <v>1</v>
      </c>
      <c r="I127" s="176">
        <v>1</v>
      </c>
      <c r="J127" s="176">
        <v>1</v>
      </c>
      <c r="K127" s="176">
        <v>1</v>
      </c>
      <c r="L127" s="176">
        <v>1</v>
      </c>
      <c r="M127" s="176">
        <v>1</v>
      </c>
      <c r="N127" s="176">
        <v>1</v>
      </c>
      <c r="O127" s="177"/>
      <c r="P127" s="177"/>
      <c r="Q127" s="177"/>
      <c r="R127" s="177"/>
      <c r="S127" s="177"/>
      <c r="T127" s="177"/>
      <c r="U127" s="177"/>
      <c r="V127" s="177"/>
      <c r="W127" s="177"/>
      <c r="X127" s="177"/>
      <c r="Y127" s="177"/>
    </row>
    <row r="128" spans="2:25">
      <c r="C128" s="178"/>
      <c r="D128" s="178"/>
      <c r="E128" s="178"/>
      <c r="F128" s="178"/>
      <c r="G128" s="178"/>
      <c r="H128" s="178"/>
      <c r="I128" s="178"/>
      <c r="J128" s="178"/>
      <c r="K128" s="178"/>
      <c r="L128" s="178"/>
      <c r="M128" s="178"/>
      <c r="N128" s="178"/>
    </row>
    <row r="129" spans="2:14">
      <c r="B129" s="179" t="s">
        <v>37</v>
      </c>
      <c r="C129" s="180">
        <f t="shared" ref="C129" si="0">SUM(C107:C127,C88:C105,C74:C86,C71:C72,C64:C68,C51:C55,C42:C48,C37:C40,C27:C35,C57:C62)-C24</f>
        <v>0</v>
      </c>
      <c r="D129" s="180">
        <f t="shared" ref="D129:F129" si="1">SUM(D107:D127,D88:D105,D74:D86,D71:D72,D64:D68,D51:D55,D42:D48,D37:D40,D27:D35,D57:D62)-D24</f>
        <v>0</v>
      </c>
      <c r="E129" s="180">
        <f t="shared" si="1"/>
        <v>0</v>
      </c>
      <c r="F129" s="180">
        <f t="shared" si="1"/>
        <v>0</v>
      </c>
      <c r="G129" s="180">
        <f>SUM(G107:G127,G88:G105,G74:G86,G71:G72,G64:G68,G51:G55,G42:G48,G37:G40,G27:G35,G57:G62)-G24</f>
        <v>0</v>
      </c>
      <c r="H129" s="180">
        <f t="shared" ref="H129:M129" si="2">SUM(H107:H127,H88:H105,H74:H86,H71:H72,H64:H68,H51:H55,H42:H48,H37:H40,H27:H35,H57:H62)-H24</f>
        <v>0</v>
      </c>
      <c r="I129" s="180">
        <f t="shared" si="2"/>
        <v>0</v>
      </c>
      <c r="J129" s="180">
        <f t="shared" si="2"/>
        <v>0</v>
      </c>
      <c r="K129" s="180">
        <f t="shared" si="2"/>
        <v>0</v>
      </c>
      <c r="L129" s="180">
        <f t="shared" si="2"/>
        <v>0</v>
      </c>
      <c r="M129" s="180">
        <f t="shared" si="2"/>
        <v>0</v>
      </c>
      <c r="N129" s="180">
        <f>SUM(N107:N127,N88:N105,N74:N86,N71:N72,N64:N68,N51:N55,N42:N48,N37:N40,N27:N35,N57:N62)-N24</f>
        <v>0</v>
      </c>
    </row>
    <row r="131" spans="2:14">
      <c r="B131" s="200" t="s">
        <v>333</v>
      </c>
    </row>
    <row r="132" spans="2:14">
      <c r="B132" s="200" t="s">
        <v>339</v>
      </c>
    </row>
  </sheetData>
  <mergeCells count="4">
    <mergeCell ref="B6:N6"/>
    <mergeCell ref="B8:N8"/>
    <mergeCell ref="B9:N9"/>
    <mergeCell ref="B11:N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Background &amp; Method</vt:lpstr>
      <vt:lpstr>Metering Service Charges --&gt;</vt:lpstr>
      <vt:lpstr>AER Smoothed Charges</vt:lpstr>
      <vt:lpstr>AER Unsmoothed Charges</vt:lpstr>
      <vt:lpstr>AER Upfront charge</vt:lpstr>
      <vt:lpstr>Annual Metering Charges</vt:lpstr>
      <vt:lpstr>Upfront Metering Charges</vt:lpstr>
      <vt:lpstr>Opening RAB SCS Recovery</vt:lpstr>
      <vt:lpstr>MSC Workings --&gt;</vt:lpstr>
      <vt:lpstr>Summary of Revisions</vt:lpstr>
      <vt:lpstr>Calculation Variables</vt:lpstr>
      <vt:lpstr>Pricing Calc (Per Service)</vt:lpstr>
      <vt:lpstr>Forecast Opex Analysis</vt:lpstr>
      <vt:lpstr>Forecast Opex CAM Output</vt:lpstr>
      <vt:lpstr>PNL (before escalators)</vt:lpstr>
      <vt:lpstr>PNL (after escalators)</vt:lpstr>
      <vt:lpstr>Recoverable Replcmt RAB</vt:lpstr>
      <vt:lpstr>Recoverable Opening RAB</vt:lpstr>
      <vt:lpstr>Opening RAB Workings</vt:lpstr>
      <vt:lpstr>System RAB %</vt:lpstr>
      <vt:lpstr>Historic Metering Capex</vt:lpstr>
      <vt:lpstr>Forecast Metering Capex</vt:lpstr>
      <vt:lpstr>Service Volumes</vt:lpstr>
      <vt:lpstr>Customer Numbers</vt:lpstr>
    </vt:vector>
  </TitlesOfParts>
  <Company>Endeavour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Hawkins</dc:creator>
  <cp:lastModifiedBy>Moffitt, Shannon</cp:lastModifiedBy>
  <cp:lastPrinted>2014-12-17T03:33:34Z</cp:lastPrinted>
  <dcterms:created xsi:type="dcterms:W3CDTF">2013-08-02T06:55:26Z</dcterms:created>
  <dcterms:modified xsi:type="dcterms:W3CDTF">2015-04-28T00:59:23Z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8393835</vt:lpwstr>
  </property>
  <property fmtid="{D5CDD505-2E9C-101B-9397-08002B2CF9AE}" pid="3" name="currfile">
    <vt:lpwstr>\\cdchnas-evs02\home$\smoff\endeavour energy - aer 2014-19 final decision - metering model and price list (AER2015-002405).xlsx</vt:lpwstr>
  </property>
</Properties>
</file>