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14505" yWindow="75" windowWidth="14310" windowHeight="11550" tabRatio="836" activeTab="3"/>
  </bookViews>
  <sheets>
    <sheet name="AER Smoothed Charges" sheetId="30" r:id="rId1"/>
    <sheet name="AER Unsmoothed Charges " sheetId="29" r:id="rId2"/>
    <sheet name="AER Upfront charge" sheetId="31" r:id="rId3"/>
    <sheet name="Pricing Summary" sheetId="1" r:id="rId4"/>
    <sheet name="Price Build Up" sheetId="4" r:id="rId5"/>
    <sheet name="Recoverable Costs Summary" sheetId="20" r:id="rId6"/>
    <sheet name="RFM" sheetId="17" r:id="rId7"/>
    <sheet name="Metering AMP" sheetId="9" r:id="rId8"/>
    <sheet name="Meter Reads" sheetId="11" r:id="rId9"/>
    <sheet name="New Meter Pricing" sheetId="22" r:id="rId10"/>
    <sheet name="Exit fee" sheetId="27" r:id="rId11"/>
    <sheet name="Inputs" sheetId="23" r:id="rId12"/>
  </sheets>
  <externalReferences>
    <externalReference r:id="rId13"/>
    <externalReference r:id="rId14"/>
    <externalReference r:id="rId15"/>
  </externalReferences>
  <definedNames>
    <definedName name="___INDEX_SHEET___ASAP_Utilities" localSheetId="0">#REF!</definedName>
    <definedName name="___INDEX_SHEET___ASAP_Utilities">#REF!</definedName>
    <definedName name="_ftn1" localSheetId="7">'Metering AMP'!$A$53</definedName>
    <definedName name="_ftnref1" localSheetId="7">'Metering AMP'!$A$42</definedName>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Dr">'Recoverable Costs Summary'!$G$93</definedName>
    <definedName name="Dv">'Recoverable Costs Summary'!$G$91</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4" hidden="1">'Price Build Up'!$J$91</definedName>
    <definedName name="solver_cvg" localSheetId="4" hidden="1">0.0001</definedName>
    <definedName name="solver_drv" localSheetId="4" hidden="1">1</definedName>
    <definedName name="solver_eng" localSheetId="4" hidden="1">1</definedName>
    <definedName name="solver_est" localSheetId="4" hidden="1">1</definedName>
    <definedName name="solver_itr" localSheetId="4" hidden="1">2147483647</definedName>
    <definedName name="solver_mip" localSheetId="4" hidden="1">2147483647</definedName>
    <definedName name="solver_mni" localSheetId="4" hidden="1">30</definedName>
    <definedName name="solver_mrt" localSheetId="4" hidden="1">0.075</definedName>
    <definedName name="solver_msl" localSheetId="4" hidden="1">2</definedName>
    <definedName name="solver_neg" localSheetId="4" hidden="1">1</definedName>
    <definedName name="solver_nod" localSheetId="4" hidden="1">2147483647</definedName>
    <definedName name="solver_num" localSheetId="4" hidden="1">0</definedName>
    <definedName name="solver_nwt" localSheetId="4" hidden="1">1</definedName>
    <definedName name="solver_opt" localSheetId="4" hidden="1">'Price Build Up'!$L$91</definedName>
    <definedName name="solver_pre" localSheetId="4" hidden="1">0.000001</definedName>
    <definedName name="solver_rbv" localSheetId="4" hidden="1">1</definedName>
    <definedName name="solver_rlx" localSheetId="4" hidden="1">2</definedName>
    <definedName name="solver_rsd" localSheetId="4" hidden="1">0</definedName>
    <definedName name="solver_scl" localSheetId="4" hidden="1">1</definedName>
    <definedName name="solver_sho" localSheetId="4" hidden="1">2</definedName>
    <definedName name="solver_ssz" localSheetId="4" hidden="1">100</definedName>
    <definedName name="solver_tim" localSheetId="4" hidden="1">2147483647</definedName>
    <definedName name="solver_tol" localSheetId="4" hidden="1">0.01</definedName>
    <definedName name="solver_typ" localSheetId="4" hidden="1">3</definedName>
    <definedName name="solver_val" localSheetId="4" hidden="1">3430887</definedName>
    <definedName name="solver_ver" localSheetId="4" hidden="1">3</definedName>
    <definedName name="Weighted_avg_div_rate_Corp_allocations">'[1]Weighted avg div alloc rates'!$C$8:$AL$22</definedName>
  </definedNames>
  <calcPr calcId="145621"/>
  <customWorkbookViews>
    <customWorkbookView name="Gerard Fogarty - Personal View" guid="{935FDB08-2C7A-4709-9BC5-9809E261DD86}" mergeInterval="0" personalView="1" maximized="1" windowWidth="1280" windowHeight="824" tabRatio="925" activeSheetId="1"/>
  </customWorkbookViews>
</workbook>
</file>

<file path=xl/calcChain.xml><?xml version="1.0" encoding="utf-8"?>
<calcChain xmlns="http://schemas.openxmlformats.org/spreadsheetml/2006/main">
  <c r="B6" i="31" l="1"/>
  <c r="B7" i="31"/>
  <c r="B8" i="31"/>
  <c r="B9" i="31"/>
  <c r="B10" i="31"/>
  <c r="B5" i="31"/>
  <c r="A5" i="31"/>
  <c r="A6" i="31"/>
  <c r="A7" i="31"/>
  <c r="A8" i="31"/>
  <c r="A9" i="31"/>
  <c r="A10" i="31"/>
  <c r="I88" i="30" l="1"/>
  <c r="J88" i="30"/>
  <c r="H88" i="30"/>
  <c r="H84" i="30"/>
  <c r="I84" i="30"/>
  <c r="J84" i="30"/>
  <c r="K84" i="30"/>
  <c r="I83" i="30"/>
  <c r="J83" i="30"/>
  <c r="K83" i="30"/>
  <c r="H83" i="30"/>
  <c r="H82" i="30"/>
  <c r="I82" i="30"/>
  <c r="J82" i="30"/>
  <c r="K82" i="30"/>
  <c r="I81" i="30"/>
  <c r="J81" i="30"/>
  <c r="K81" i="30"/>
  <c r="H81" i="30"/>
  <c r="H80" i="30"/>
  <c r="I80" i="30"/>
  <c r="J80" i="30"/>
  <c r="K80" i="30"/>
  <c r="I79" i="30"/>
  <c r="J79" i="30"/>
  <c r="K79" i="30"/>
  <c r="H79" i="30"/>
  <c r="H78" i="30"/>
  <c r="I78" i="30"/>
  <c r="J78" i="30"/>
  <c r="K78" i="30"/>
  <c r="I77" i="30"/>
  <c r="J77" i="30"/>
  <c r="K77" i="30"/>
  <c r="H18" i="20" l="1"/>
  <c r="G18" i="20"/>
  <c r="F18" i="20"/>
  <c r="E18" i="20"/>
  <c r="H25" i="20" l="1"/>
  <c r="G25" i="20"/>
  <c r="F25" i="20"/>
  <c r="E25" i="20"/>
  <c r="D25" i="20"/>
  <c r="D18" i="20"/>
  <c r="N64" i="20" l="1"/>
  <c r="M64" i="20"/>
  <c r="L64" i="20"/>
  <c r="K64" i="20"/>
  <c r="J64" i="20"/>
  <c r="H33" i="20"/>
  <c r="G33" i="20"/>
  <c r="F33" i="20"/>
  <c r="E33" i="20"/>
  <c r="D33" i="20"/>
  <c r="H27" i="20"/>
  <c r="G27" i="20"/>
  <c r="F27" i="20"/>
  <c r="E27" i="20"/>
  <c r="D27" i="20"/>
  <c r="H23" i="20"/>
  <c r="G23" i="20"/>
  <c r="F23" i="20"/>
  <c r="E23" i="20"/>
  <c r="D23" i="20"/>
  <c r="H21" i="20"/>
  <c r="G21" i="20"/>
  <c r="F21" i="20"/>
  <c r="E21" i="20"/>
  <c r="D21" i="20"/>
  <c r="J17" i="23"/>
  <c r="I17" i="23"/>
  <c r="H17" i="23"/>
  <c r="G17" i="23"/>
  <c r="F17" i="23"/>
  <c r="C19" i="20" s="1"/>
  <c r="J7" i="23"/>
  <c r="I7" i="23"/>
  <c r="H7" i="23"/>
  <c r="G7" i="23"/>
  <c r="F7" i="23"/>
  <c r="D64" i="20" l="1"/>
  <c r="L52" i="29" l="1"/>
  <c r="K52" i="29"/>
  <c r="J52" i="29"/>
  <c r="I52" i="29"/>
  <c r="H52" i="29"/>
  <c r="A54" i="29"/>
  <c r="A53" i="29"/>
  <c r="L46" i="29" l="1"/>
  <c r="K46" i="29"/>
  <c r="J46" i="29"/>
  <c r="I46" i="29"/>
  <c r="H46" i="29"/>
  <c r="L41" i="29"/>
  <c r="K41" i="29"/>
  <c r="J41" i="29"/>
  <c r="I41" i="29"/>
  <c r="H41" i="29"/>
  <c r="L37" i="29"/>
  <c r="K37" i="29"/>
  <c r="J37" i="29"/>
  <c r="I37" i="29"/>
  <c r="H37" i="29"/>
  <c r="L33" i="29"/>
  <c r="K33" i="29"/>
  <c r="J33" i="29"/>
  <c r="I33" i="29"/>
  <c r="H33" i="29"/>
  <c r="L29" i="29"/>
  <c r="K29" i="29"/>
  <c r="J29" i="29"/>
  <c r="I29" i="29"/>
  <c r="H29" i="29"/>
  <c r="L24" i="29"/>
  <c r="K24" i="29"/>
  <c r="J24" i="29"/>
  <c r="I24" i="29"/>
  <c r="H24" i="29"/>
  <c r="L20" i="29"/>
  <c r="K20" i="29"/>
  <c r="J20" i="29"/>
  <c r="I20" i="29"/>
  <c r="H20" i="29"/>
  <c r="L16" i="29"/>
  <c r="K16" i="29"/>
  <c r="J16" i="29"/>
  <c r="I16" i="29"/>
  <c r="H16" i="29"/>
  <c r="L12" i="29"/>
  <c r="K12" i="29"/>
  <c r="J12" i="29"/>
  <c r="I12" i="29"/>
  <c r="H12" i="29"/>
  <c r="L8" i="29"/>
  <c r="K8" i="29"/>
  <c r="J8" i="29"/>
  <c r="I8" i="29"/>
  <c r="H8" i="29"/>
  <c r="L4" i="29"/>
  <c r="K4" i="29"/>
  <c r="J4" i="29"/>
  <c r="I4" i="29"/>
  <c r="H4" i="29"/>
  <c r="L41" i="30"/>
  <c r="K41" i="30"/>
  <c r="J41" i="30"/>
  <c r="I41" i="30"/>
  <c r="H41" i="30"/>
  <c r="L37" i="30"/>
  <c r="K37" i="30"/>
  <c r="J37" i="30"/>
  <c r="I37" i="30"/>
  <c r="H37" i="30"/>
  <c r="L33" i="30"/>
  <c r="K33" i="30"/>
  <c r="J33" i="30"/>
  <c r="I33" i="30"/>
  <c r="H33" i="30"/>
  <c r="L29" i="30"/>
  <c r="K29" i="30"/>
  <c r="J29" i="30"/>
  <c r="I29" i="30"/>
  <c r="H29" i="30"/>
  <c r="L24" i="30"/>
  <c r="K24" i="30"/>
  <c r="J24" i="30"/>
  <c r="I24" i="30"/>
  <c r="H24" i="30"/>
  <c r="L20" i="30"/>
  <c r="K20" i="30"/>
  <c r="J20" i="30"/>
  <c r="I20" i="30"/>
  <c r="H20" i="30"/>
  <c r="L16" i="30"/>
  <c r="K16" i="30"/>
  <c r="J16" i="30"/>
  <c r="I16" i="30"/>
  <c r="H16" i="30"/>
  <c r="L12" i="30"/>
  <c r="K12" i="30"/>
  <c r="J12" i="30"/>
  <c r="I12" i="30"/>
  <c r="H12" i="30"/>
  <c r="L8" i="30"/>
  <c r="K8" i="30"/>
  <c r="J8" i="30"/>
  <c r="I8" i="30"/>
  <c r="H8" i="30"/>
  <c r="L4" i="30"/>
  <c r="L46" i="30" s="1"/>
  <c r="K4" i="30"/>
  <c r="K46" i="30" s="1"/>
  <c r="J4" i="30"/>
  <c r="J46" i="30" s="1"/>
  <c r="I4" i="30"/>
  <c r="I46" i="30" s="1"/>
  <c r="H4" i="30"/>
  <c r="H46" i="30" s="1"/>
  <c r="Q6" i="30"/>
  <c r="P6" i="30"/>
  <c r="O6" i="30"/>
  <c r="Q4" i="30"/>
  <c r="P4" i="30"/>
  <c r="O4" i="30"/>
  <c r="A48" i="30"/>
  <c r="A47" i="30"/>
  <c r="A41" i="30"/>
  <c r="A37" i="30"/>
  <c r="A33" i="30"/>
  <c r="A29" i="30"/>
  <c r="A28" i="30"/>
  <c r="A24" i="30"/>
  <c r="A20" i="30"/>
  <c r="A16" i="30"/>
  <c r="A12" i="30"/>
  <c r="A8" i="30"/>
  <c r="P5" i="30"/>
  <c r="Q5" i="30" s="1"/>
  <c r="A4" i="30"/>
  <c r="A3" i="30"/>
  <c r="L2" i="30"/>
  <c r="Q2" i="30" s="1"/>
  <c r="K2" i="30"/>
  <c r="P2" i="30" s="1"/>
  <c r="J2" i="30"/>
  <c r="O2" i="30" s="1"/>
  <c r="I2" i="30"/>
  <c r="H2" i="30"/>
  <c r="A41" i="29"/>
  <c r="A37" i="29"/>
  <c r="A33" i="29"/>
  <c r="A29" i="29"/>
  <c r="A28" i="29"/>
  <c r="A24" i="29"/>
  <c r="A20" i="29"/>
  <c r="A16" i="29"/>
  <c r="A12" i="29"/>
  <c r="A8" i="29"/>
  <c r="A3" i="29"/>
  <c r="A4" i="29"/>
  <c r="A48" i="29"/>
  <c r="A47" i="29"/>
  <c r="A52" i="29"/>
  <c r="L2" i="29"/>
  <c r="K2" i="29"/>
  <c r="J2" i="29"/>
  <c r="I2" i="29"/>
  <c r="H2" i="29"/>
  <c r="L1" i="1" l="1"/>
  <c r="K1" i="1"/>
  <c r="J1" i="1"/>
  <c r="H1" i="1"/>
  <c r="H2" i="1" s="1"/>
  <c r="I1" i="1"/>
  <c r="B34" i="30" l="1"/>
  <c r="H34" i="30" s="1"/>
  <c r="B30" i="30"/>
  <c r="H30" i="30" s="1"/>
  <c r="B42" i="29"/>
  <c r="H42" i="29" s="1"/>
  <c r="B31" i="29"/>
  <c r="H31" i="29" s="1"/>
  <c r="B35" i="29"/>
  <c r="H35" i="29" s="1"/>
  <c r="B30" i="29"/>
  <c r="H30" i="29" s="1"/>
  <c r="B43" i="30"/>
  <c r="H43" i="30" s="1"/>
  <c r="B39" i="30"/>
  <c r="H39" i="30" s="1"/>
  <c r="B39" i="29"/>
  <c r="H39" i="29" s="1"/>
  <c r="B34" i="29"/>
  <c r="H34" i="29" s="1"/>
  <c r="B42" i="30"/>
  <c r="H42" i="30" s="1"/>
  <c r="B38" i="30"/>
  <c r="H38" i="30" s="1"/>
  <c r="B35" i="30"/>
  <c r="H35" i="30" s="1"/>
  <c r="B31" i="30"/>
  <c r="H31" i="30" s="1"/>
  <c r="B43" i="29"/>
  <c r="H43" i="29" s="1"/>
  <c r="B38" i="29"/>
  <c r="H38" i="29" s="1"/>
  <c r="I2" i="1"/>
  <c r="X90" i="4"/>
  <c r="X89" i="4"/>
  <c r="X88" i="4"/>
  <c r="X87" i="4"/>
  <c r="X71" i="4"/>
  <c r="X70" i="4"/>
  <c r="X69" i="4"/>
  <c r="X68" i="4"/>
  <c r="X63" i="4"/>
  <c r="X62" i="4"/>
  <c r="X61" i="4"/>
  <c r="X60" i="4"/>
  <c r="X55" i="4"/>
  <c r="X54" i="4"/>
  <c r="X53" i="4"/>
  <c r="X52" i="4"/>
  <c r="X51" i="4"/>
  <c r="X50" i="4"/>
  <c r="X46" i="4"/>
  <c r="Y46" i="4" s="1"/>
  <c r="X45" i="4"/>
  <c r="X44" i="4"/>
  <c r="X43" i="4"/>
  <c r="X42" i="4"/>
  <c r="X41" i="4"/>
  <c r="X28" i="4"/>
  <c r="Y71" i="4"/>
  <c r="Y70" i="4"/>
  <c r="Y69" i="4"/>
  <c r="Y68" i="4"/>
  <c r="X72" i="4"/>
  <c r="Y63" i="4"/>
  <c r="Y62" i="4"/>
  <c r="Y61" i="4"/>
  <c r="Y60" i="4"/>
  <c r="X64" i="4"/>
  <c r="Y55" i="4"/>
  <c r="Y54" i="4"/>
  <c r="Y53" i="4"/>
  <c r="Y52" i="4"/>
  <c r="Y51" i="4"/>
  <c r="Y50" i="4"/>
  <c r="X56" i="4"/>
  <c r="Y45" i="4"/>
  <c r="Y44" i="4"/>
  <c r="Y43" i="4"/>
  <c r="Y42" i="4"/>
  <c r="Y41" i="4"/>
  <c r="X23" i="4"/>
  <c r="U70" i="4"/>
  <c r="U28" i="4"/>
  <c r="V70" i="4"/>
  <c r="M91" i="4"/>
  <c r="M90" i="4"/>
  <c r="M89" i="4"/>
  <c r="M88" i="4"/>
  <c r="M87" i="4"/>
  <c r="M86" i="4"/>
  <c r="R70" i="4"/>
  <c r="O28" i="4"/>
  <c r="R28" i="4"/>
  <c r="S70" i="4"/>
  <c r="H107" i="4"/>
  <c r="G107" i="4"/>
  <c r="F107" i="4"/>
  <c r="E107" i="4"/>
  <c r="O70" i="4"/>
  <c r="P70" i="4"/>
  <c r="D107" i="4"/>
  <c r="H102" i="4"/>
  <c r="G102" i="4"/>
  <c r="F102" i="4"/>
  <c r="E102" i="4"/>
  <c r="D102" i="4"/>
  <c r="B102" i="4"/>
  <c r="B97" i="4"/>
  <c r="H98" i="4"/>
  <c r="G98" i="4"/>
  <c r="F98" i="4"/>
  <c r="E98" i="4"/>
  <c r="H96" i="4"/>
  <c r="G96" i="4"/>
  <c r="F96" i="4"/>
  <c r="E96" i="4"/>
  <c r="D98" i="4"/>
  <c r="D96" i="4"/>
  <c r="B98" i="4"/>
  <c r="B96" i="4"/>
  <c r="B95" i="4"/>
  <c r="L72" i="4"/>
  <c r="K72" i="4"/>
  <c r="J72" i="4"/>
  <c r="L64" i="4"/>
  <c r="K64" i="4"/>
  <c r="J64" i="4"/>
  <c r="K56" i="4"/>
  <c r="K47" i="4"/>
  <c r="J71" i="4"/>
  <c r="L71" i="4" s="1"/>
  <c r="J70" i="4"/>
  <c r="L70" i="4" s="1"/>
  <c r="J69" i="4"/>
  <c r="L69" i="4" s="1"/>
  <c r="J68" i="4"/>
  <c r="L68" i="4" s="1"/>
  <c r="J63" i="4"/>
  <c r="L63" i="4" s="1"/>
  <c r="J62" i="4"/>
  <c r="L62" i="4" s="1"/>
  <c r="J61" i="4"/>
  <c r="L61" i="4" s="1"/>
  <c r="J60" i="4"/>
  <c r="L60" i="4" s="1"/>
  <c r="C35" i="29" l="1"/>
  <c r="I35" i="29" s="1"/>
  <c r="C43" i="30"/>
  <c r="C39" i="30"/>
  <c r="C39" i="29"/>
  <c r="I39" i="29" s="1"/>
  <c r="C35" i="30"/>
  <c r="C31" i="30"/>
  <c r="C43" i="29"/>
  <c r="I43" i="29" s="1"/>
  <c r="C31" i="29"/>
  <c r="I31" i="29" s="1"/>
  <c r="I26" i="1"/>
  <c r="I22" i="1"/>
  <c r="I25" i="1"/>
  <c r="I21" i="1"/>
  <c r="I24" i="1"/>
  <c r="I23" i="1"/>
  <c r="J2" i="1"/>
  <c r="Y72" i="4"/>
  <c r="Y64" i="4"/>
  <c r="Y56" i="4"/>
  <c r="X47" i="4"/>
  <c r="Y47" i="4"/>
  <c r="D30" i="4"/>
  <c r="J28" i="4"/>
  <c r="K2" i="1" l="1"/>
  <c r="D39" i="29"/>
  <c r="J39" i="29" s="1"/>
  <c r="D35" i="29"/>
  <c r="J35" i="29" s="1"/>
  <c r="D31" i="29"/>
  <c r="J31" i="29" s="1"/>
  <c r="D43" i="29"/>
  <c r="J43" i="29" s="1"/>
  <c r="I39" i="30"/>
  <c r="D39" i="30"/>
  <c r="I31" i="30"/>
  <c r="D31" i="30"/>
  <c r="D43" i="30"/>
  <c r="I43" i="30"/>
  <c r="D35" i="30"/>
  <c r="I35" i="30"/>
  <c r="J30" i="4"/>
  <c r="D103" i="4"/>
  <c r="J35" i="30" l="1"/>
  <c r="E35" i="30"/>
  <c r="J39" i="30"/>
  <c r="E39" i="30"/>
  <c r="J43" i="30"/>
  <c r="E43" i="30"/>
  <c r="J31" i="30"/>
  <c r="E31" i="30"/>
  <c r="L2" i="1"/>
  <c r="E39" i="29"/>
  <c r="K39" i="29" s="1"/>
  <c r="E35" i="29"/>
  <c r="K35" i="29" s="1"/>
  <c r="E31" i="29"/>
  <c r="K31" i="29" s="1"/>
  <c r="E43" i="29"/>
  <c r="K43" i="29" s="1"/>
  <c r="L28" i="4"/>
  <c r="D28" i="4"/>
  <c r="D97" i="4"/>
  <c r="D99" i="4" s="1"/>
  <c r="K31" i="30" l="1"/>
  <c r="F31" i="30"/>
  <c r="L31" i="30" s="1"/>
  <c r="K39" i="30"/>
  <c r="F39" i="30"/>
  <c r="L39" i="30" s="1"/>
  <c r="K43" i="30"/>
  <c r="F43" i="30"/>
  <c r="L43" i="30" s="1"/>
  <c r="K35" i="30"/>
  <c r="F35" i="30"/>
  <c r="L35" i="30" s="1"/>
  <c r="F39" i="29"/>
  <c r="L39" i="29" s="1"/>
  <c r="F35" i="29"/>
  <c r="L35" i="29" s="1"/>
  <c r="F31" i="29"/>
  <c r="L31" i="29" s="1"/>
  <c r="F43" i="29"/>
  <c r="L43" i="29" s="1"/>
  <c r="D100" i="4"/>
  <c r="E97" i="4" l="1"/>
  <c r="E99" i="4" s="1"/>
  <c r="P28" i="4"/>
  <c r="F97" i="4" l="1"/>
  <c r="F99" i="4" s="1"/>
  <c r="S28" i="4"/>
  <c r="G97" i="4" l="1"/>
  <c r="G99" i="4" s="1"/>
  <c r="V28" i="4"/>
  <c r="Y28" i="4" l="1"/>
  <c r="H97" i="4"/>
  <c r="H99" i="4" s="1"/>
  <c r="G106" i="4" l="1"/>
  <c r="G108" i="4" s="1"/>
  <c r="E106" i="4"/>
  <c r="E108" i="4" s="1"/>
  <c r="F106" i="4"/>
  <c r="F108" i="4" s="1"/>
  <c r="D106" i="4"/>
  <c r="D108" i="4" s="1"/>
  <c r="H106" i="4"/>
  <c r="H108" i="4" s="1"/>
  <c r="D66" i="20"/>
  <c r="K66" i="20"/>
  <c r="AE27" i="4" s="1"/>
  <c r="L66" i="20"/>
  <c r="AF27" i="4" s="1"/>
  <c r="M66" i="20"/>
  <c r="AG27" i="4" s="1"/>
  <c r="N66" i="20"/>
  <c r="AH27" i="4" s="1"/>
  <c r="J66" i="20"/>
  <c r="AD27" i="4" s="1"/>
  <c r="AH34" i="4"/>
  <c r="AG34" i="4"/>
  <c r="AF34" i="4"/>
  <c r="AE34" i="4"/>
  <c r="AD34" i="4"/>
  <c r="D61" i="20"/>
  <c r="E28" i="4"/>
  <c r="E100" i="4" s="1"/>
  <c r="E30" i="4"/>
  <c r="D32" i="20"/>
  <c r="C44" i="17"/>
  <c r="C17" i="17"/>
  <c r="C8" i="27"/>
  <c r="C32" i="1" s="1"/>
  <c r="G11" i="22"/>
  <c r="H11" i="22"/>
  <c r="G10" i="22"/>
  <c r="H10" i="22"/>
  <c r="G9" i="22"/>
  <c r="H9" i="22"/>
  <c r="G8" i="22"/>
  <c r="H8" i="22"/>
  <c r="G7" i="22"/>
  <c r="H7" i="22"/>
  <c r="G6" i="22"/>
  <c r="H6" i="22"/>
  <c r="O6" i="11"/>
  <c r="G4" i="11"/>
  <c r="N63" i="9"/>
  <c r="G39" i="20"/>
  <c r="L63" i="9"/>
  <c r="P56" i="9"/>
  <c r="O56" i="9"/>
  <c r="M56" i="9"/>
  <c r="K56" i="9"/>
  <c r="I56" i="9"/>
  <c r="H56" i="9"/>
  <c r="D34" i="20"/>
  <c r="N56" i="9"/>
  <c r="L56" i="9"/>
  <c r="F34" i="20"/>
  <c r="J56" i="9"/>
  <c r="E34" i="20"/>
  <c r="O51" i="9"/>
  <c r="K51" i="9"/>
  <c r="J51" i="9"/>
  <c r="G51" i="9"/>
  <c r="F51" i="9"/>
  <c r="C51" i="9"/>
  <c r="O38" i="9"/>
  <c r="N38" i="9"/>
  <c r="G44" i="20"/>
  <c r="K38" i="9"/>
  <c r="J38" i="9"/>
  <c r="E44" i="20"/>
  <c r="G38" i="9"/>
  <c r="F38" i="9"/>
  <c r="C38" i="9"/>
  <c r="P22" i="9"/>
  <c r="P13" i="9"/>
  <c r="P24" i="9"/>
  <c r="O22" i="9"/>
  <c r="O13" i="9"/>
  <c r="O24" i="9"/>
  <c r="N22" i="9"/>
  <c r="N13" i="9"/>
  <c r="N24" i="9"/>
  <c r="M22" i="9"/>
  <c r="M13" i="9"/>
  <c r="M24" i="9"/>
  <c r="L22" i="9"/>
  <c r="L13" i="9"/>
  <c r="L24" i="9"/>
  <c r="K22" i="9"/>
  <c r="K13" i="9"/>
  <c r="K24" i="9"/>
  <c r="J22" i="9"/>
  <c r="J13" i="9"/>
  <c r="J24" i="9"/>
  <c r="I22" i="9"/>
  <c r="I13" i="9"/>
  <c r="I24" i="9"/>
  <c r="H22" i="9"/>
  <c r="H13" i="9"/>
  <c r="H24" i="9"/>
  <c r="G22" i="9"/>
  <c r="G13" i="9"/>
  <c r="G24" i="9"/>
  <c r="F22" i="9"/>
  <c r="F13" i="9"/>
  <c r="F24" i="9"/>
  <c r="E22" i="9"/>
  <c r="E13" i="9"/>
  <c r="E24" i="9"/>
  <c r="D22" i="9"/>
  <c r="D13" i="9"/>
  <c r="D24" i="9"/>
  <c r="C22" i="9"/>
  <c r="C13" i="9"/>
  <c r="C24" i="9"/>
  <c r="H34" i="20"/>
  <c r="H14" i="20"/>
  <c r="G14" i="20"/>
  <c r="F14" i="20"/>
  <c r="E14" i="20"/>
  <c r="D14" i="20"/>
  <c r="D4" i="20"/>
  <c r="B88" i="4"/>
  <c r="B87" i="4"/>
  <c r="Q10" i="4"/>
  <c r="R10" i="4"/>
  <c r="Q6" i="4"/>
  <c r="R6" i="4" s="1"/>
  <c r="Q7" i="4"/>
  <c r="R7" i="4"/>
  <c r="Q8" i="4"/>
  <c r="R8" i="4" s="1"/>
  <c r="Q9" i="4"/>
  <c r="R9" i="4"/>
  <c r="Q11" i="4"/>
  <c r="R11" i="4" s="1"/>
  <c r="B20" i="4"/>
  <c r="B90" i="4" s="1"/>
  <c r="B19" i="4"/>
  <c r="B89" i="4" s="1"/>
  <c r="B11" i="4"/>
  <c r="I10" i="4"/>
  <c r="B10" i="4"/>
  <c r="D9" i="4"/>
  <c r="C9" i="4"/>
  <c r="B9" i="4"/>
  <c r="D8" i="4"/>
  <c r="C8" i="4"/>
  <c r="B8" i="4"/>
  <c r="B7" i="4"/>
  <c r="B6" i="4"/>
  <c r="H3" i="4"/>
  <c r="G3" i="4"/>
  <c r="F3" i="4"/>
  <c r="E3" i="4"/>
  <c r="D3" i="4"/>
  <c r="C3" i="4"/>
  <c r="H2" i="4"/>
  <c r="H94" i="4" s="1"/>
  <c r="G2" i="4"/>
  <c r="F2" i="4"/>
  <c r="E2" i="4"/>
  <c r="D2" i="4"/>
  <c r="C2" i="4"/>
  <c r="B2" i="4"/>
  <c r="B26" i="1"/>
  <c r="B25" i="1"/>
  <c r="B24" i="1"/>
  <c r="B23" i="1"/>
  <c r="B22" i="1"/>
  <c r="B21" i="1"/>
  <c r="B16" i="1"/>
  <c r="B15" i="1"/>
  <c r="B14" i="1"/>
  <c r="E58" i="23"/>
  <c r="K51" i="23"/>
  <c r="C50" i="23"/>
  <c r="D50" i="23"/>
  <c r="E50" i="23"/>
  <c r="F50" i="23"/>
  <c r="G50" i="23"/>
  <c r="H50" i="23"/>
  <c r="I50" i="23"/>
  <c r="J50" i="23"/>
  <c r="C49" i="23"/>
  <c r="D49" i="23"/>
  <c r="E49" i="23"/>
  <c r="F49" i="23"/>
  <c r="G49" i="23"/>
  <c r="H49" i="23"/>
  <c r="I49" i="23"/>
  <c r="J49" i="23"/>
  <c r="C48" i="23"/>
  <c r="D48" i="23"/>
  <c r="E48" i="23"/>
  <c r="F48" i="23"/>
  <c r="G48" i="23"/>
  <c r="H48" i="23"/>
  <c r="I48" i="23"/>
  <c r="J48" i="23"/>
  <c r="C47" i="23"/>
  <c r="D47" i="23"/>
  <c r="E47" i="23"/>
  <c r="C40" i="23"/>
  <c r="J36" i="23"/>
  <c r="I36" i="23"/>
  <c r="H36" i="23"/>
  <c r="G36" i="23"/>
  <c r="F36" i="23"/>
  <c r="E36" i="23"/>
  <c r="D36" i="23"/>
  <c r="J35" i="23"/>
  <c r="I35" i="23"/>
  <c r="H35" i="23"/>
  <c r="G35" i="23"/>
  <c r="F35" i="23"/>
  <c r="E35" i="23"/>
  <c r="D35" i="23"/>
  <c r="C11" i="4"/>
  <c r="C10" i="4"/>
  <c r="C7" i="4"/>
  <c r="T10" i="4" s="1"/>
  <c r="C6" i="4"/>
  <c r="C30" i="23"/>
  <c r="E11" i="23"/>
  <c r="E12" i="23" s="1"/>
  <c r="D11" i="23"/>
  <c r="D12" i="23"/>
  <c r="J63" i="9"/>
  <c r="E60" i="23"/>
  <c r="E64" i="23"/>
  <c r="D64" i="23"/>
  <c r="F8" i="4"/>
  <c r="H9" i="4"/>
  <c r="G8" i="4"/>
  <c r="E9" i="4"/>
  <c r="H8" i="4"/>
  <c r="F9" i="4"/>
  <c r="F13" i="4" s="1"/>
  <c r="E8" i="4"/>
  <c r="G9" i="4"/>
  <c r="E38" i="9"/>
  <c r="I38" i="9"/>
  <c r="M38" i="9"/>
  <c r="E51" i="9"/>
  <c r="I51" i="9"/>
  <c r="M51" i="9"/>
  <c r="E34" i="23"/>
  <c r="E37" i="23"/>
  <c r="E38" i="23"/>
  <c r="D38" i="9"/>
  <c r="H38" i="9"/>
  <c r="L38" i="9"/>
  <c r="F44" i="20"/>
  <c r="P38" i="9"/>
  <c r="H44" i="20"/>
  <c r="D51" i="9"/>
  <c r="H51" i="9"/>
  <c r="L51" i="9"/>
  <c r="F39" i="20"/>
  <c r="P51" i="9"/>
  <c r="H63" i="9"/>
  <c r="P63" i="9"/>
  <c r="D44" i="20"/>
  <c r="L65" i="9"/>
  <c r="N65" i="9"/>
  <c r="G34" i="20"/>
  <c r="E39" i="20"/>
  <c r="J65" i="9"/>
  <c r="E33" i="23"/>
  <c r="G30" i="23"/>
  <c r="G33" i="23"/>
  <c r="D34" i="23"/>
  <c r="H34" i="23"/>
  <c r="G37" i="23"/>
  <c r="D38" i="23"/>
  <c r="H38" i="23"/>
  <c r="E10" i="4"/>
  <c r="D30" i="23"/>
  <c r="D41" i="23"/>
  <c r="H30" i="23"/>
  <c r="D33" i="23"/>
  <c r="H33" i="23"/>
  <c r="I34" i="23"/>
  <c r="D37" i="23"/>
  <c r="H37" i="23"/>
  <c r="I38" i="23"/>
  <c r="D7" i="4"/>
  <c r="F10" i="4"/>
  <c r="E30" i="23"/>
  <c r="I30" i="23"/>
  <c r="I41" i="23"/>
  <c r="I33" i="23"/>
  <c r="F34" i="23"/>
  <c r="J34" i="23"/>
  <c r="I37" i="23"/>
  <c r="F38" i="23"/>
  <c r="J38" i="23"/>
  <c r="G10" i="4"/>
  <c r="D11" i="4"/>
  <c r="F30" i="23"/>
  <c r="J30" i="23"/>
  <c r="F33" i="23"/>
  <c r="J33" i="23"/>
  <c r="G34" i="23"/>
  <c r="F37" i="23"/>
  <c r="J37" i="23"/>
  <c r="G38" i="23"/>
  <c r="E20" i="4"/>
  <c r="F20" i="4"/>
  <c r="D6" i="4"/>
  <c r="D10" i="4"/>
  <c r="H10" i="4"/>
  <c r="F30" i="9"/>
  <c r="G51" i="20"/>
  <c r="F51" i="20"/>
  <c r="E51" i="20"/>
  <c r="H51" i="20"/>
  <c r="D51" i="20"/>
  <c r="C58" i="23"/>
  <c r="C60" i="23"/>
  <c r="F47" i="23"/>
  <c r="E51" i="23"/>
  <c r="D51" i="23"/>
  <c r="D53" i="23"/>
  <c r="D54" i="23"/>
  <c r="E4" i="20"/>
  <c r="H39" i="20"/>
  <c r="P65" i="9"/>
  <c r="F6" i="4"/>
  <c r="E6" i="4"/>
  <c r="E40" i="23"/>
  <c r="H65" i="9"/>
  <c r="F7" i="4"/>
  <c r="G6" i="4"/>
  <c r="H41" i="23"/>
  <c r="H6" i="4"/>
  <c r="D39" i="20"/>
  <c r="H11" i="4"/>
  <c r="E11" i="4"/>
  <c r="J41" i="23"/>
  <c r="I40" i="23"/>
  <c r="I42" i="23"/>
  <c r="H40" i="23"/>
  <c r="H42" i="23"/>
  <c r="F11" i="4"/>
  <c r="E18" i="4"/>
  <c r="D13" i="4"/>
  <c r="F41" i="23"/>
  <c r="E7" i="4"/>
  <c r="H7" i="4"/>
  <c r="D40" i="23"/>
  <c r="D42" i="23"/>
  <c r="G40" i="23"/>
  <c r="G42" i="23"/>
  <c r="E17" i="4"/>
  <c r="J40" i="23"/>
  <c r="J42" i="23"/>
  <c r="C13" i="4"/>
  <c r="E41" i="23"/>
  <c r="G7" i="4"/>
  <c r="G41" i="23"/>
  <c r="F40" i="23"/>
  <c r="G11" i="4"/>
  <c r="E42" i="23"/>
  <c r="F4" i="20"/>
  <c r="F51" i="23"/>
  <c r="G47" i="23"/>
  <c r="I9" i="4"/>
  <c r="I8" i="4"/>
  <c r="C61" i="23"/>
  <c r="E53" i="23"/>
  <c r="E54" i="23"/>
  <c r="I11" i="4"/>
  <c r="I7" i="4"/>
  <c r="I6" i="4"/>
  <c r="C59" i="23"/>
  <c r="K40" i="23"/>
  <c r="F42" i="23"/>
  <c r="F17" i="4"/>
  <c r="K41" i="23"/>
  <c r="G4" i="20"/>
  <c r="H45" i="20"/>
  <c r="F45" i="20"/>
  <c r="G45" i="20"/>
  <c r="E45" i="20"/>
  <c r="G51" i="23"/>
  <c r="H47" i="23"/>
  <c r="F53" i="23"/>
  <c r="F54" i="23"/>
  <c r="G17" i="4"/>
  <c r="H4" i="20"/>
  <c r="G53" i="23"/>
  <c r="G54" i="23"/>
  <c r="D45" i="20"/>
  <c r="I47" i="23"/>
  <c r="H51" i="23"/>
  <c r="H53" i="23"/>
  <c r="H54" i="23"/>
  <c r="J47" i="23"/>
  <c r="J51" i="23"/>
  <c r="I51" i="23"/>
  <c r="J53" i="23"/>
  <c r="J54" i="23"/>
  <c r="I53" i="23"/>
  <c r="I54" i="23"/>
  <c r="F11" i="23"/>
  <c r="G11" i="23" s="1"/>
  <c r="D8" i="27"/>
  <c r="F32" i="1" s="1"/>
  <c r="K32" i="1" s="1"/>
  <c r="F78" i="23"/>
  <c r="F80" i="23"/>
  <c r="G80" i="23"/>
  <c r="F79" i="23"/>
  <c r="G79" i="23"/>
  <c r="H79" i="23"/>
  <c r="I79" i="23"/>
  <c r="J79" i="23"/>
  <c r="H80" i="23"/>
  <c r="G78" i="23"/>
  <c r="D40" i="20"/>
  <c r="D46" i="20"/>
  <c r="D52" i="20"/>
  <c r="D35" i="20"/>
  <c r="I80" i="23"/>
  <c r="E32" i="1"/>
  <c r="J32" i="1" s="1"/>
  <c r="E35" i="20"/>
  <c r="E40" i="20"/>
  <c r="E52" i="20"/>
  <c r="E46" i="20"/>
  <c r="H78" i="23"/>
  <c r="J80" i="23"/>
  <c r="F35" i="20"/>
  <c r="F52" i="20"/>
  <c r="F40" i="20"/>
  <c r="I78" i="23"/>
  <c r="F46" i="20"/>
  <c r="G35" i="20"/>
  <c r="G46" i="20"/>
  <c r="G40" i="20"/>
  <c r="G52" i="20"/>
  <c r="J78" i="23"/>
  <c r="H35" i="20"/>
  <c r="H46" i="20"/>
  <c r="H52" i="20"/>
  <c r="H40" i="20"/>
  <c r="E37" i="17"/>
  <c r="F37" i="17"/>
  <c r="D50" i="17"/>
  <c r="D48" i="17"/>
  <c r="D49" i="17"/>
  <c r="D45" i="17"/>
  <c r="D47" i="17"/>
  <c r="D46" i="17"/>
  <c r="D30" i="20"/>
  <c r="F30" i="20"/>
  <c r="E30" i="20"/>
  <c r="G30" i="20"/>
  <c r="H30" i="20"/>
  <c r="E59" i="20"/>
  <c r="G59" i="20"/>
  <c r="F59" i="20"/>
  <c r="D59" i="20"/>
  <c r="H59" i="20"/>
  <c r="D8" i="20"/>
  <c r="F8" i="20"/>
  <c r="D31" i="20"/>
  <c r="D36" i="20"/>
  <c r="D37" i="20"/>
  <c r="D60" i="20"/>
  <c r="D53" i="20"/>
  <c r="D54" i="20"/>
  <c r="D41" i="20"/>
  <c r="D42" i="20"/>
  <c r="D47" i="20"/>
  <c r="D48" i="20"/>
  <c r="D15" i="20"/>
  <c r="D16" i="20"/>
  <c r="D17" i="20"/>
  <c r="F47" i="20"/>
  <c r="F48" i="20"/>
  <c r="F36" i="20"/>
  <c r="F37" i="20"/>
  <c r="F53" i="20"/>
  <c r="F54" i="20"/>
  <c r="F41" i="20"/>
  <c r="F42" i="20"/>
  <c r="F60" i="20"/>
  <c r="F61" i="20"/>
  <c r="F31" i="20"/>
  <c r="F32" i="20"/>
  <c r="F15" i="20"/>
  <c r="F16" i="20"/>
  <c r="F17" i="20"/>
  <c r="G8" i="20"/>
  <c r="G60" i="20"/>
  <c r="G61" i="20"/>
  <c r="F64" i="20"/>
  <c r="G36" i="20"/>
  <c r="G37" i="20"/>
  <c r="G47" i="20"/>
  <c r="G48" i="20"/>
  <c r="G15" i="20"/>
  <c r="G16" i="20"/>
  <c r="G17" i="20"/>
  <c r="G41" i="20"/>
  <c r="G42" i="20"/>
  <c r="G53" i="20"/>
  <c r="G54" i="20"/>
  <c r="G31" i="20"/>
  <c r="G32" i="20"/>
  <c r="E8" i="20"/>
  <c r="G64" i="20"/>
  <c r="E60" i="20"/>
  <c r="E61" i="20"/>
  <c r="E41" i="20"/>
  <c r="E42" i="20"/>
  <c r="E36" i="20"/>
  <c r="E37" i="20"/>
  <c r="E15" i="20"/>
  <c r="E16" i="20"/>
  <c r="E17" i="20"/>
  <c r="E47" i="20"/>
  <c r="E48" i="20"/>
  <c r="E53" i="20"/>
  <c r="E54" i="20"/>
  <c r="E31" i="20"/>
  <c r="E32" i="20"/>
  <c r="E64" i="20"/>
  <c r="H8" i="20"/>
  <c r="H31" i="20"/>
  <c r="H32" i="20"/>
  <c r="H41" i="20"/>
  <c r="H42" i="20"/>
  <c r="H47" i="20"/>
  <c r="H48" i="20"/>
  <c r="H36" i="20"/>
  <c r="H37" i="20"/>
  <c r="H53" i="20"/>
  <c r="H54" i="20"/>
  <c r="H60" i="20"/>
  <c r="H61" i="20"/>
  <c r="H15" i="20"/>
  <c r="H16" i="20"/>
  <c r="H17" i="20"/>
  <c r="I4" i="22"/>
  <c r="H64" i="20"/>
  <c r="I7" i="22"/>
  <c r="J7" i="22"/>
  <c r="K7" i="22"/>
  <c r="L7" i="22"/>
  <c r="C22" i="1"/>
  <c r="I8" i="22"/>
  <c r="J8" i="22"/>
  <c r="K8" i="22"/>
  <c r="L8" i="22"/>
  <c r="C23" i="1"/>
  <c r="I10" i="22"/>
  <c r="J10" i="22"/>
  <c r="K10" i="22"/>
  <c r="L10" i="22"/>
  <c r="C25" i="1"/>
  <c r="I11" i="22"/>
  <c r="J11" i="22"/>
  <c r="K11" i="22"/>
  <c r="L11" i="22"/>
  <c r="C26" i="1"/>
  <c r="I9" i="22"/>
  <c r="J9" i="22"/>
  <c r="K9" i="22"/>
  <c r="L9" i="22"/>
  <c r="C24" i="1"/>
  <c r="I6" i="22"/>
  <c r="J6" i="22"/>
  <c r="K6" i="22"/>
  <c r="L6" i="22"/>
  <c r="C21" i="1"/>
  <c r="I64" i="20"/>
  <c r="C52" i="17"/>
  <c r="D51" i="17"/>
  <c r="C53" i="17"/>
  <c r="E52" i="17"/>
  <c r="E54" i="17"/>
  <c r="E10" i="17"/>
  <c r="C25" i="17"/>
  <c r="F10" i="17"/>
  <c r="D21" i="17"/>
  <c r="C4" i="17"/>
  <c r="E25" i="17"/>
  <c r="E27" i="17"/>
  <c r="D22" i="17"/>
  <c r="D23" i="17"/>
  <c r="D24" i="17"/>
  <c r="D19" i="17"/>
  <c r="D20" i="17"/>
  <c r="D18" i="17"/>
  <c r="F30" i="4"/>
  <c r="G30" i="4"/>
  <c r="H30" i="4"/>
  <c r="E66" i="20"/>
  <c r="F28" i="4"/>
  <c r="F100" i="4" s="1"/>
  <c r="F66" i="20"/>
  <c r="G66" i="20"/>
  <c r="G28" i="4"/>
  <c r="G100" i="4" s="1"/>
  <c r="H28" i="4"/>
  <c r="H100" i="4" s="1"/>
  <c r="H66" i="20"/>
  <c r="G32" i="1" l="1"/>
  <c r="L32" i="1" s="1"/>
  <c r="F12" i="23"/>
  <c r="H103" i="4"/>
  <c r="X30" i="4"/>
  <c r="D32" i="1"/>
  <c r="I32" i="1" s="1"/>
  <c r="H51" i="30"/>
  <c r="L51" i="30"/>
  <c r="I51" i="30"/>
  <c r="J51" i="30"/>
  <c r="K51" i="30"/>
  <c r="U30" i="4"/>
  <c r="G103" i="4"/>
  <c r="I13" i="4"/>
  <c r="B17" i="1"/>
  <c r="G94" i="4"/>
  <c r="U23" i="4"/>
  <c r="E103" i="4"/>
  <c r="O30" i="4"/>
  <c r="F103" i="4"/>
  <c r="R30" i="4"/>
  <c r="J23" i="4"/>
  <c r="D94" i="4"/>
  <c r="O23" i="4"/>
  <c r="E94" i="4"/>
  <c r="F94" i="4"/>
  <c r="R23" i="4"/>
  <c r="J11" i="4"/>
  <c r="J8" i="4"/>
  <c r="J6" i="4"/>
  <c r="J9" i="4"/>
  <c r="E46" i="4"/>
  <c r="O46" i="4" s="1"/>
  <c r="G20" i="4"/>
  <c r="T11" i="4"/>
  <c r="H13" i="4"/>
  <c r="H17" i="4"/>
  <c r="H43" i="4"/>
  <c r="H46" i="4"/>
  <c r="G13" i="4"/>
  <c r="E22" i="4"/>
  <c r="F18" i="4"/>
  <c r="J7" i="4"/>
  <c r="D14" i="4"/>
  <c r="D23" i="4"/>
  <c r="D24" i="4" s="1"/>
  <c r="J10" i="4"/>
  <c r="D45" i="4" s="1"/>
  <c r="R13" i="4"/>
  <c r="L11" i="4" s="1"/>
  <c r="T12" i="4"/>
  <c r="T7" i="4"/>
  <c r="T8" i="4" s="1"/>
  <c r="E13" i="4"/>
  <c r="I66" i="20"/>
  <c r="G12" i="23"/>
  <c r="H11" i="23"/>
  <c r="X82" i="4" l="1"/>
  <c r="F26" i="29" s="1"/>
  <c r="L26" i="29" s="1"/>
  <c r="X78" i="4"/>
  <c r="F10" i="29" s="1"/>
  <c r="L10" i="29" s="1"/>
  <c r="X80" i="4"/>
  <c r="F18" i="29" s="1"/>
  <c r="L18" i="29" s="1"/>
  <c r="X77" i="4"/>
  <c r="F6" i="29" s="1"/>
  <c r="L6" i="29" s="1"/>
  <c r="X81" i="4"/>
  <c r="F22" i="29" s="1"/>
  <c r="L22" i="29" s="1"/>
  <c r="X79" i="4"/>
  <c r="F14" i="29" s="1"/>
  <c r="L14" i="29" s="1"/>
  <c r="G51" i="30"/>
  <c r="D29" i="4"/>
  <c r="L29" i="4" s="1"/>
  <c r="D35" i="4"/>
  <c r="L35" i="4" s="1"/>
  <c r="D31" i="4"/>
  <c r="L31" i="4" s="1"/>
  <c r="D36" i="4"/>
  <c r="L36" i="4" s="1"/>
  <c r="P46" i="4"/>
  <c r="M20" i="4"/>
  <c r="G55" i="4"/>
  <c r="U55" i="4" s="1"/>
  <c r="V55" i="4" s="1"/>
  <c r="F55" i="4"/>
  <c r="R55" i="4" s="1"/>
  <c r="S55" i="4" s="1"/>
  <c r="E55" i="4"/>
  <c r="O55" i="4" s="1"/>
  <c r="P55" i="4" s="1"/>
  <c r="H55" i="4"/>
  <c r="D55" i="4"/>
  <c r="J45" i="4"/>
  <c r="L6" i="4"/>
  <c r="F14" i="4"/>
  <c r="G18" i="4"/>
  <c r="F22" i="4"/>
  <c r="L9" i="4"/>
  <c r="D43" i="4"/>
  <c r="G43" i="4"/>
  <c r="U43" i="4" s="1"/>
  <c r="F43" i="4"/>
  <c r="R43" i="4" s="1"/>
  <c r="E43" i="4"/>
  <c r="O43" i="4" s="1"/>
  <c r="K17" i="4"/>
  <c r="L10" i="4"/>
  <c r="L7" i="4"/>
  <c r="L8" i="4"/>
  <c r="T9" i="4"/>
  <c r="K20" i="4"/>
  <c r="G46" i="4"/>
  <c r="U46" i="4" s="1"/>
  <c r="F46" i="4"/>
  <c r="R46" i="4" s="1"/>
  <c r="D46" i="4"/>
  <c r="E14" i="4"/>
  <c r="E23" i="4"/>
  <c r="E24" i="4" s="1"/>
  <c r="K19" i="4"/>
  <c r="H45" i="4"/>
  <c r="E45" i="4"/>
  <c r="O45" i="4" s="1"/>
  <c r="F45" i="4"/>
  <c r="R45" i="4" s="1"/>
  <c r="D42" i="4"/>
  <c r="E42" i="4"/>
  <c r="O42" i="4" s="1"/>
  <c r="G42" i="4"/>
  <c r="U42" i="4" s="1"/>
  <c r="F42" i="4"/>
  <c r="R42" i="4" s="1"/>
  <c r="G14" i="4"/>
  <c r="H14" i="4"/>
  <c r="G45" i="4"/>
  <c r="U45" i="4" s="1"/>
  <c r="D44" i="4"/>
  <c r="F44" i="4"/>
  <c r="R44" i="4" s="1"/>
  <c r="G44" i="4"/>
  <c r="U44" i="4" s="1"/>
  <c r="E44" i="4"/>
  <c r="O44" i="4" s="1"/>
  <c r="K18" i="4"/>
  <c r="H44" i="4"/>
  <c r="H42" i="4"/>
  <c r="H20" i="4"/>
  <c r="D41" i="4"/>
  <c r="F41" i="4"/>
  <c r="R41" i="4" s="1"/>
  <c r="G41" i="4"/>
  <c r="U41" i="4" s="1"/>
  <c r="H41" i="4"/>
  <c r="J13" i="4"/>
  <c r="E41" i="4"/>
  <c r="O41" i="4" s="1"/>
  <c r="H12" i="23"/>
  <c r="I11" i="23"/>
  <c r="L48" i="29" l="1"/>
  <c r="L54" i="29" s="1"/>
  <c r="AD35" i="4"/>
  <c r="P41" i="4"/>
  <c r="O47" i="4"/>
  <c r="S41" i="4"/>
  <c r="R47" i="4"/>
  <c r="S44" i="4"/>
  <c r="S46" i="4"/>
  <c r="P43" i="4"/>
  <c r="S42" i="4"/>
  <c r="S45" i="4"/>
  <c r="E35" i="4"/>
  <c r="P35" i="4" s="1"/>
  <c r="E31" i="4"/>
  <c r="P31" i="4" s="1"/>
  <c r="E36" i="4"/>
  <c r="P36" i="4" s="1"/>
  <c r="E29" i="4"/>
  <c r="P29" i="4" s="1"/>
  <c r="V46" i="4"/>
  <c r="S43" i="4"/>
  <c r="P44" i="4"/>
  <c r="V45" i="4"/>
  <c r="V42" i="4"/>
  <c r="P45" i="4"/>
  <c r="V43" i="4"/>
  <c r="V41" i="4"/>
  <c r="U47" i="4"/>
  <c r="V44" i="4"/>
  <c r="P42" i="4"/>
  <c r="J42" i="4"/>
  <c r="M19" i="4"/>
  <c r="H54" i="4"/>
  <c r="F54" i="4"/>
  <c r="R54" i="4" s="1"/>
  <c r="S54" i="4" s="1"/>
  <c r="G54" i="4"/>
  <c r="U54" i="4" s="1"/>
  <c r="V54" i="4" s="1"/>
  <c r="D54" i="4"/>
  <c r="E54" i="4"/>
  <c r="O54" i="4" s="1"/>
  <c r="P54" i="4" s="1"/>
  <c r="F23" i="4"/>
  <c r="F24" i="4" s="1"/>
  <c r="E47" i="4"/>
  <c r="F47" i="4"/>
  <c r="K22" i="4"/>
  <c r="J17" i="4" s="1"/>
  <c r="J43" i="4"/>
  <c r="L45" i="4"/>
  <c r="D52" i="4"/>
  <c r="F52" i="4"/>
  <c r="R52" i="4" s="1"/>
  <c r="S52" i="4" s="1"/>
  <c r="G52" i="4"/>
  <c r="U52" i="4" s="1"/>
  <c r="V52" i="4" s="1"/>
  <c r="E52" i="4"/>
  <c r="O52" i="4" s="1"/>
  <c r="P52" i="4" s="1"/>
  <c r="H52" i="4"/>
  <c r="J41" i="4"/>
  <c r="D47" i="4"/>
  <c r="H18" i="4"/>
  <c r="G22" i="4"/>
  <c r="M17" i="4"/>
  <c r="L13" i="4"/>
  <c r="H50" i="4"/>
  <c r="D50" i="4"/>
  <c r="F50" i="4"/>
  <c r="R50" i="4" s="1"/>
  <c r="G50" i="4"/>
  <c r="U50" i="4" s="1"/>
  <c r="E50" i="4"/>
  <c r="O50" i="4" s="1"/>
  <c r="J55" i="4"/>
  <c r="L55" i="4" s="1"/>
  <c r="H47" i="4"/>
  <c r="J44" i="4"/>
  <c r="D51" i="4"/>
  <c r="E51" i="4"/>
  <c r="O51" i="4" s="1"/>
  <c r="P51" i="4" s="1"/>
  <c r="M18" i="4"/>
  <c r="G51" i="4"/>
  <c r="U51" i="4" s="1"/>
  <c r="V51" i="4" s="1"/>
  <c r="H51" i="4"/>
  <c r="F51" i="4"/>
  <c r="R51" i="4" s="1"/>
  <c r="S51" i="4" s="1"/>
  <c r="F53" i="4"/>
  <c r="R53" i="4" s="1"/>
  <c r="S53" i="4" s="1"/>
  <c r="D53" i="4"/>
  <c r="E53" i="4"/>
  <c r="O53" i="4" s="1"/>
  <c r="P53" i="4" s="1"/>
  <c r="G53" i="4"/>
  <c r="U53" i="4" s="1"/>
  <c r="V53" i="4" s="1"/>
  <c r="H53" i="4"/>
  <c r="G47" i="4"/>
  <c r="J19" i="4"/>
  <c r="J46" i="4"/>
  <c r="J11" i="23"/>
  <c r="J12" i="23" s="1"/>
  <c r="I12" i="23"/>
  <c r="U82" i="4" l="1"/>
  <c r="E26" i="29" s="1"/>
  <c r="K26" i="29" s="1"/>
  <c r="J20" i="4"/>
  <c r="J18" i="4"/>
  <c r="G61" i="4" s="1"/>
  <c r="U61" i="4" s="1"/>
  <c r="U56" i="4"/>
  <c r="U79" i="4" s="1"/>
  <c r="E14" i="29" s="1"/>
  <c r="K14" i="29" s="1"/>
  <c r="V50" i="4"/>
  <c r="V56" i="4" s="1"/>
  <c r="F31" i="4"/>
  <c r="S31" i="4" s="1"/>
  <c r="F36" i="4"/>
  <c r="S36" i="4" s="1"/>
  <c r="F29" i="4"/>
  <c r="S29" i="4" s="1"/>
  <c r="F35" i="4"/>
  <c r="S35" i="4" s="1"/>
  <c r="U77" i="4"/>
  <c r="E6" i="29" s="1"/>
  <c r="K6" i="29" s="1"/>
  <c r="U81" i="4"/>
  <c r="E22" i="29" s="1"/>
  <c r="K22" i="29" s="1"/>
  <c r="AE35" i="4"/>
  <c r="S47" i="4"/>
  <c r="P50" i="4"/>
  <c r="P56" i="4" s="1"/>
  <c r="O56" i="4"/>
  <c r="S50" i="4"/>
  <c r="S56" i="4" s="1"/>
  <c r="R56" i="4"/>
  <c r="R82" i="4" s="1"/>
  <c r="D26" i="29" s="1"/>
  <c r="J26" i="29" s="1"/>
  <c r="V47" i="4"/>
  <c r="O81" i="4"/>
  <c r="R81" i="4"/>
  <c r="D22" i="29" s="1"/>
  <c r="J22" i="29" s="1"/>
  <c r="O79" i="4"/>
  <c r="O82" i="4"/>
  <c r="J47" i="4"/>
  <c r="U80" i="4"/>
  <c r="E18" i="29" s="1"/>
  <c r="K18" i="29" s="1"/>
  <c r="O80" i="4"/>
  <c r="R78" i="4"/>
  <c r="D10" i="29" s="1"/>
  <c r="J10" i="29" s="1"/>
  <c r="O77" i="4"/>
  <c r="O78" i="4"/>
  <c r="U78" i="4"/>
  <c r="E10" i="29" s="1"/>
  <c r="K10" i="29" s="1"/>
  <c r="P80" i="4"/>
  <c r="P47" i="4"/>
  <c r="P82" i="4" s="1"/>
  <c r="P77" i="4"/>
  <c r="F60" i="4"/>
  <c r="R60" i="4" s="1"/>
  <c r="E60" i="4"/>
  <c r="O60" i="4" s="1"/>
  <c r="G60" i="4"/>
  <c r="U60" i="4" s="1"/>
  <c r="H60" i="4"/>
  <c r="L46" i="4"/>
  <c r="F63" i="4"/>
  <c r="R63" i="4" s="1"/>
  <c r="E63" i="4"/>
  <c r="O63" i="4" s="1"/>
  <c r="G63" i="4"/>
  <c r="U63" i="4" s="1"/>
  <c r="F56" i="4"/>
  <c r="L17" i="4"/>
  <c r="M22" i="4"/>
  <c r="L20" i="4" s="1"/>
  <c r="F62" i="4"/>
  <c r="R62" i="4" s="1"/>
  <c r="E62" i="4"/>
  <c r="O62" i="4" s="1"/>
  <c r="G62" i="4"/>
  <c r="U62" i="4" s="1"/>
  <c r="H62" i="4"/>
  <c r="J53" i="4"/>
  <c r="L53" i="4" s="1"/>
  <c r="E56" i="4"/>
  <c r="H56" i="4"/>
  <c r="G23" i="4"/>
  <c r="G24" i="4" s="1"/>
  <c r="J52" i="4"/>
  <c r="L52" i="4" s="1"/>
  <c r="L43" i="4"/>
  <c r="E82" i="4"/>
  <c r="C11" i="1" s="1"/>
  <c r="I11" i="1" s="1"/>
  <c r="E61" i="4"/>
  <c r="O61" i="4" s="1"/>
  <c r="F61" i="4"/>
  <c r="R61" i="4" s="1"/>
  <c r="L41" i="4"/>
  <c r="J51" i="4"/>
  <c r="L51" i="4" s="1"/>
  <c r="L44" i="4"/>
  <c r="G56" i="4"/>
  <c r="H61" i="4"/>
  <c r="H22" i="4"/>
  <c r="I17" i="4" s="1"/>
  <c r="I19" i="4"/>
  <c r="L42" i="4"/>
  <c r="H63" i="4"/>
  <c r="J54" i="4"/>
  <c r="L54" i="4" s="1"/>
  <c r="L19" i="4"/>
  <c r="J50" i="4"/>
  <c r="D56" i="4"/>
  <c r="E80" i="4"/>
  <c r="C9" i="1" s="1"/>
  <c r="I9" i="1" s="1"/>
  <c r="S77" i="4" l="1"/>
  <c r="D5" i="29" s="1"/>
  <c r="J5" i="29" s="1"/>
  <c r="S78" i="4"/>
  <c r="D9" i="29" s="1"/>
  <c r="J9" i="29" s="1"/>
  <c r="C6" i="30"/>
  <c r="H64" i="30" s="1"/>
  <c r="C6" i="29"/>
  <c r="I6" i="29" s="1"/>
  <c r="C18" i="30"/>
  <c r="H70" i="30" s="1"/>
  <c r="C18" i="29"/>
  <c r="I18" i="29" s="1"/>
  <c r="C14" i="30"/>
  <c r="H68" i="30" s="1"/>
  <c r="C14" i="29"/>
  <c r="I14" i="29" s="1"/>
  <c r="C22" i="30"/>
  <c r="H72" i="30" s="1"/>
  <c r="C22" i="29"/>
  <c r="I22" i="29" s="1"/>
  <c r="C10" i="30"/>
  <c r="H66" i="30" s="1"/>
  <c r="C10" i="29"/>
  <c r="I10" i="29" s="1"/>
  <c r="K48" i="29"/>
  <c r="K54" i="29" s="1"/>
  <c r="C26" i="30"/>
  <c r="H74" i="30" s="1"/>
  <c r="C26" i="29"/>
  <c r="I26" i="29" s="1"/>
  <c r="S80" i="4"/>
  <c r="D17" i="29" s="1"/>
  <c r="J17" i="29" s="1"/>
  <c r="S81" i="4"/>
  <c r="D21" i="29" s="1"/>
  <c r="J21" i="29" s="1"/>
  <c r="C25" i="30"/>
  <c r="H73" i="30" s="1"/>
  <c r="C25" i="29"/>
  <c r="I25" i="29" s="1"/>
  <c r="S82" i="4"/>
  <c r="D25" i="29" s="1"/>
  <c r="J25" i="29" s="1"/>
  <c r="C5" i="30"/>
  <c r="H63" i="30" s="1"/>
  <c r="C5" i="29"/>
  <c r="I5" i="29" s="1"/>
  <c r="C17" i="29"/>
  <c r="I17" i="29" s="1"/>
  <c r="C17" i="30"/>
  <c r="H69" i="30" s="1"/>
  <c r="S79" i="4"/>
  <c r="D13" i="29" s="1"/>
  <c r="J13" i="29" s="1"/>
  <c r="P61" i="4"/>
  <c r="G29" i="4"/>
  <c r="V29" i="4" s="1"/>
  <c r="G35" i="4"/>
  <c r="V35" i="4" s="1"/>
  <c r="G36" i="4"/>
  <c r="V36" i="4" s="1"/>
  <c r="G31" i="4"/>
  <c r="V31" i="4" s="1"/>
  <c r="V62" i="4"/>
  <c r="P63" i="4"/>
  <c r="V61" i="4"/>
  <c r="P62" i="4"/>
  <c r="S63" i="4"/>
  <c r="V60" i="4"/>
  <c r="U64" i="4"/>
  <c r="R80" i="4"/>
  <c r="D18" i="29" s="1"/>
  <c r="J18" i="29" s="1"/>
  <c r="R79" i="4"/>
  <c r="D14" i="29" s="1"/>
  <c r="J14" i="29" s="1"/>
  <c r="P78" i="4"/>
  <c r="L47" i="4"/>
  <c r="S62" i="4"/>
  <c r="P60" i="4"/>
  <c r="O64" i="4"/>
  <c r="P79" i="4"/>
  <c r="L50" i="4"/>
  <c r="L56" i="4" s="1"/>
  <c r="J56" i="4"/>
  <c r="S61" i="4"/>
  <c r="V63" i="4"/>
  <c r="S60" i="4"/>
  <c r="R64" i="4"/>
  <c r="Q80" i="4"/>
  <c r="Q82" i="4"/>
  <c r="P81" i="4"/>
  <c r="AF35" i="4"/>
  <c r="R77" i="4"/>
  <c r="D6" i="29" s="1"/>
  <c r="J6" i="29" s="1"/>
  <c r="D81" i="4"/>
  <c r="D80" i="4"/>
  <c r="G70" i="4"/>
  <c r="H70" i="4"/>
  <c r="F70" i="4"/>
  <c r="E70" i="4"/>
  <c r="L18" i="4"/>
  <c r="F81" i="4"/>
  <c r="D10" i="1" s="1"/>
  <c r="J10" i="1" s="1"/>
  <c r="F79" i="4"/>
  <c r="D8" i="1" s="1"/>
  <c r="J8" i="1" s="1"/>
  <c r="F78" i="4"/>
  <c r="D7" i="1" s="1"/>
  <c r="J7" i="1" s="1"/>
  <c r="F82" i="4"/>
  <c r="D11" i="1" s="1"/>
  <c r="J11" i="1" s="1"/>
  <c r="F80" i="4"/>
  <c r="D9" i="1" s="1"/>
  <c r="J9" i="1" s="1"/>
  <c r="F64" i="4"/>
  <c r="D82" i="4"/>
  <c r="D79" i="4"/>
  <c r="H64" i="4"/>
  <c r="H23" i="4"/>
  <c r="H24" i="4" s="1"/>
  <c r="I18" i="4"/>
  <c r="I20" i="4"/>
  <c r="D77" i="4"/>
  <c r="E81" i="4"/>
  <c r="C10" i="1" s="1"/>
  <c r="I10" i="1" s="1"/>
  <c r="E77" i="4"/>
  <c r="C6" i="1" s="1"/>
  <c r="I6" i="1" s="1"/>
  <c r="E79" i="4"/>
  <c r="C8" i="1" s="1"/>
  <c r="I8" i="1" s="1"/>
  <c r="E78" i="4"/>
  <c r="C7" i="1" s="1"/>
  <c r="I7" i="1" s="1"/>
  <c r="E71" i="4"/>
  <c r="O71" i="4" s="1"/>
  <c r="P71" i="4" s="1"/>
  <c r="F71" i="4"/>
  <c r="R71" i="4" s="1"/>
  <c r="S71" i="4" s="1"/>
  <c r="G71" i="4"/>
  <c r="U71" i="4" s="1"/>
  <c r="V71" i="4" s="1"/>
  <c r="H71" i="4"/>
  <c r="G64" i="4"/>
  <c r="F77" i="4"/>
  <c r="D6" i="1" s="1"/>
  <c r="J6" i="1" s="1"/>
  <c r="E68" i="4"/>
  <c r="O68" i="4" s="1"/>
  <c r="G68" i="4"/>
  <c r="U68" i="4" s="1"/>
  <c r="F68" i="4"/>
  <c r="R68" i="4" s="1"/>
  <c r="S68" i="4" s="1"/>
  <c r="H68" i="4"/>
  <c r="E64" i="4"/>
  <c r="D78" i="4"/>
  <c r="J48" i="29" l="1"/>
  <c r="J54" i="29" s="1"/>
  <c r="V80" i="4"/>
  <c r="E17" i="29" s="1"/>
  <c r="K17" i="29" s="1"/>
  <c r="I10" i="30"/>
  <c r="D10" i="30"/>
  <c r="I66" i="30" s="1"/>
  <c r="I22" i="30"/>
  <c r="D22" i="30"/>
  <c r="I72" i="30" s="1"/>
  <c r="D14" i="30"/>
  <c r="I68" i="30" s="1"/>
  <c r="I14" i="30"/>
  <c r="I18" i="30"/>
  <c r="D18" i="30"/>
  <c r="I70" i="30" s="1"/>
  <c r="D6" i="30"/>
  <c r="I64" i="30" s="1"/>
  <c r="I6" i="30"/>
  <c r="I26" i="30"/>
  <c r="D26" i="30"/>
  <c r="I74" i="30" s="1"/>
  <c r="I48" i="29"/>
  <c r="I54" i="29" s="1"/>
  <c r="I17" i="30"/>
  <c r="D17" i="30"/>
  <c r="I69" i="30" s="1"/>
  <c r="Q81" i="4"/>
  <c r="C21" i="29"/>
  <c r="I21" i="29" s="1"/>
  <c r="C21" i="30"/>
  <c r="H71" i="30" s="1"/>
  <c r="C13" i="30"/>
  <c r="H67" i="30" s="1"/>
  <c r="C13" i="29"/>
  <c r="I13" i="29" s="1"/>
  <c r="V81" i="4"/>
  <c r="E21" i="29" s="1"/>
  <c r="K21" i="29" s="1"/>
  <c r="C9" i="29"/>
  <c r="I9" i="29" s="1"/>
  <c r="C9" i="30"/>
  <c r="H65" i="30" s="1"/>
  <c r="D5" i="30"/>
  <c r="I63" i="30" s="1"/>
  <c r="I5" i="30"/>
  <c r="I25" i="30"/>
  <c r="D25" i="30"/>
  <c r="I73" i="30" s="1"/>
  <c r="Q79" i="4"/>
  <c r="Q78" i="4"/>
  <c r="T79" i="4"/>
  <c r="H31" i="4"/>
  <c r="Y31" i="4" s="1"/>
  <c r="H35" i="4"/>
  <c r="Y35" i="4" s="1"/>
  <c r="H29" i="4"/>
  <c r="Y29" i="4" s="1"/>
  <c r="H36" i="4"/>
  <c r="Y36" i="4" s="1"/>
  <c r="T82" i="4"/>
  <c r="P64" i="4"/>
  <c r="T80" i="4"/>
  <c r="T78" i="4"/>
  <c r="V64" i="4"/>
  <c r="P68" i="4"/>
  <c r="T77" i="4"/>
  <c r="S64" i="4"/>
  <c r="T81" i="4"/>
  <c r="V68" i="4"/>
  <c r="Q77" i="4"/>
  <c r="AG35" i="4"/>
  <c r="V82" i="4"/>
  <c r="E25" i="29" s="1"/>
  <c r="K25" i="29" s="1"/>
  <c r="V79" i="4"/>
  <c r="E13" i="29" s="1"/>
  <c r="K13" i="29" s="1"/>
  <c r="V78" i="4"/>
  <c r="E9" i="29" s="1"/>
  <c r="K9" i="29" s="1"/>
  <c r="V77" i="4"/>
  <c r="E5" i="29" s="1"/>
  <c r="K5" i="29" s="1"/>
  <c r="E69" i="4"/>
  <c r="F69" i="4"/>
  <c r="R69" i="4" s="1"/>
  <c r="G69" i="4"/>
  <c r="H69" i="4"/>
  <c r="L81" i="4"/>
  <c r="H72" i="4"/>
  <c r="J82" i="4"/>
  <c r="J80" i="4"/>
  <c r="J77" i="4"/>
  <c r="J78" i="4"/>
  <c r="F90" i="4"/>
  <c r="D17" i="1" s="1"/>
  <c r="J17" i="1" s="1"/>
  <c r="J79" i="4"/>
  <c r="F72" i="4"/>
  <c r="F89" i="4" s="1"/>
  <c r="D16" i="1" s="1"/>
  <c r="J16" i="1" s="1"/>
  <c r="J81" i="4"/>
  <c r="G81" i="4"/>
  <c r="G82" i="4"/>
  <c r="E11" i="1" s="1"/>
  <c r="K11" i="1" s="1"/>
  <c r="G77" i="4"/>
  <c r="E6" i="1" s="1"/>
  <c r="K6" i="1" s="1"/>
  <c r="G78" i="4"/>
  <c r="E7" i="1" s="1"/>
  <c r="K7" i="1" s="1"/>
  <c r="G80" i="4"/>
  <c r="G79" i="4"/>
  <c r="E8" i="1" s="1"/>
  <c r="K8" i="1" s="1"/>
  <c r="J6" i="30" l="1"/>
  <c r="E6" i="30"/>
  <c r="J64" i="30" s="1"/>
  <c r="J14" i="30"/>
  <c r="E14" i="30"/>
  <c r="J68" i="30" s="1"/>
  <c r="J26" i="30"/>
  <c r="E26" i="30"/>
  <c r="J74" i="30" s="1"/>
  <c r="I48" i="30"/>
  <c r="J18" i="30"/>
  <c r="E18" i="30"/>
  <c r="J70" i="30" s="1"/>
  <c r="J22" i="30"/>
  <c r="E22" i="30"/>
  <c r="J72" i="30" s="1"/>
  <c r="J10" i="30"/>
  <c r="E10" i="30"/>
  <c r="J66" i="30" s="1"/>
  <c r="B22" i="30"/>
  <c r="H22" i="30" s="1"/>
  <c r="B22" i="29"/>
  <c r="H22" i="29" s="1"/>
  <c r="B14" i="30"/>
  <c r="H14" i="30" s="1"/>
  <c r="B14" i="29"/>
  <c r="H14" i="29" s="1"/>
  <c r="B10" i="30"/>
  <c r="H10" i="30" s="1"/>
  <c r="B10" i="29"/>
  <c r="H10" i="29" s="1"/>
  <c r="B18" i="30"/>
  <c r="H18" i="30" s="1"/>
  <c r="B18" i="29"/>
  <c r="H18" i="29" s="1"/>
  <c r="B6" i="30"/>
  <c r="H6" i="30" s="1"/>
  <c r="B6" i="29"/>
  <c r="H6" i="29" s="1"/>
  <c r="B26" i="30"/>
  <c r="H26" i="30" s="1"/>
  <c r="B26" i="29"/>
  <c r="H26" i="29" s="1"/>
  <c r="M81" i="4"/>
  <c r="B21" i="29"/>
  <c r="H21" i="29" s="1"/>
  <c r="B21" i="30"/>
  <c r="H21" i="30" s="1"/>
  <c r="E25" i="30"/>
  <c r="J73" i="30" s="1"/>
  <c r="J25" i="30"/>
  <c r="D9" i="30"/>
  <c r="I65" i="30" s="1"/>
  <c r="I9" i="30"/>
  <c r="I13" i="30"/>
  <c r="D13" i="30"/>
  <c r="I67" i="30" s="1"/>
  <c r="J17" i="30"/>
  <c r="E17" i="30"/>
  <c r="J69" i="30" s="1"/>
  <c r="AH35" i="4"/>
  <c r="I21" i="30"/>
  <c r="D21" i="30"/>
  <c r="I71" i="30" s="1"/>
  <c r="J5" i="30"/>
  <c r="E5" i="30"/>
  <c r="J63" i="30" s="1"/>
  <c r="Y90" i="4"/>
  <c r="F42" i="29" s="1"/>
  <c r="L42" i="29" s="1"/>
  <c r="Y88" i="4"/>
  <c r="F34" i="29" s="1"/>
  <c r="L34" i="29" s="1"/>
  <c r="Y87" i="4"/>
  <c r="F30" i="29" s="1"/>
  <c r="L30" i="29" s="1"/>
  <c r="Y89" i="4"/>
  <c r="F38" i="29" s="1"/>
  <c r="L38" i="29" s="1"/>
  <c r="Y81" i="4"/>
  <c r="F21" i="29" s="1"/>
  <c r="L21" i="29" s="1"/>
  <c r="Y79" i="4"/>
  <c r="F13" i="29" s="1"/>
  <c r="L13" i="29" s="1"/>
  <c r="Y77" i="4"/>
  <c r="F5" i="29" s="1"/>
  <c r="L5" i="29" s="1"/>
  <c r="Y80" i="4"/>
  <c r="F17" i="29" s="1"/>
  <c r="L17" i="29" s="1"/>
  <c r="Y82" i="4"/>
  <c r="F25" i="29" s="1"/>
  <c r="L25" i="29" s="1"/>
  <c r="Y78" i="4"/>
  <c r="F9" i="29" s="1"/>
  <c r="L9" i="29" s="1"/>
  <c r="W77" i="4"/>
  <c r="E9" i="1"/>
  <c r="K9" i="1" s="1"/>
  <c r="W80" i="4"/>
  <c r="E10" i="1"/>
  <c r="K10" i="1" s="1"/>
  <c r="W81" i="4"/>
  <c r="G72" i="4"/>
  <c r="U69" i="4"/>
  <c r="R72" i="4"/>
  <c r="S69" i="4"/>
  <c r="W78" i="4"/>
  <c r="O69" i="4"/>
  <c r="W79" i="4"/>
  <c r="E72" i="4"/>
  <c r="E88" i="4" s="1"/>
  <c r="C15" i="1" s="1"/>
  <c r="I15" i="1" s="1"/>
  <c r="W82" i="4"/>
  <c r="G90" i="4"/>
  <c r="E17" i="1" s="1"/>
  <c r="K17" i="1" s="1"/>
  <c r="G89" i="4"/>
  <c r="E16" i="1" s="1"/>
  <c r="K16" i="1" s="1"/>
  <c r="G88" i="4"/>
  <c r="E15" i="1" s="1"/>
  <c r="K15" i="1" s="1"/>
  <c r="G87" i="4"/>
  <c r="E14" i="1" s="1"/>
  <c r="K14" i="1" s="1"/>
  <c r="F88" i="4"/>
  <c r="D15" i="1" s="1"/>
  <c r="J15" i="1" s="1"/>
  <c r="F87" i="4"/>
  <c r="D14" i="1" s="1"/>
  <c r="J14" i="1" s="1"/>
  <c r="L80" i="4"/>
  <c r="L82" i="4"/>
  <c r="L78" i="4"/>
  <c r="L77" i="4"/>
  <c r="L79" i="4"/>
  <c r="H90" i="4"/>
  <c r="H87" i="4"/>
  <c r="H88" i="4"/>
  <c r="H89" i="4"/>
  <c r="E89" i="4"/>
  <c r="C16" i="1" s="1"/>
  <c r="I16" i="1" s="1"/>
  <c r="E87" i="4"/>
  <c r="C14" i="1" s="1"/>
  <c r="I14" i="1" s="1"/>
  <c r="E90" i="4"/>
  <c r="C17" i="1" s="1"/>
  <c r="I17" i="1" s="1"/>
  <c r="H81" i="4"/>
  <c r="H78" i="4"/>
  <c r="H77" i="4"/>
  <c r="H80" i="4"/>
  <c r="H79" i="4"/>
  <c r="H82" i="4"/>
  <c r="K10" i="30" l="1"/>
  <c r="F10" i="30"/>
  <c r="K22" i="30"/>
  <c r="F22" i="30"/>
  <c r="K18" i="30"/>
  <c r="F18" i="30"/>
  <c r="J48" i="30"/>
  <c r="K26" i="30"/>
  <c r="F26" i="30"/>
  <c r="K14" i="30"/>
  <c r="F14" i="30"/>
  <c r="K6" i="30"/>
  <c r="F6" i="30"/>
  <c r="H48" i="30"/>
  <c r="H48" i="29"/>
  <c r="H54" i="29" s="1"/>
  <c r="M79" i="4"/>
  <c r="B13" i="30"/>
  <c r="H13" i="30" s="1"/>
  <c r="B13" i="29"/>
  <c r="H13" i="29" s="1"/>
  <c r="M77" i="4"/>
  <c r="B5" i="30"/>
  <c r="H5" i="30" s="1"/>
  <c r="B5" i="29"/>
  <c r="H5" i="29" s="1"/>
  <c r="F25" i="30"/>
  <c r="K25" i="30"/>
  <c r="J21" i="30"/>
  <c r="E21" i="30"/>
  <c r="J71" i="30" s="1"/>
  <c r="F17" i="30"/>
  <c r="K17" i="30"/>
  <c r="M78" i="4"/>
  <c r="B9" i="29"/>
  <c r="H9" i="29" s="1"/>
  <c r="B9" i="30"/>
  <c r="H9" i="30" s="1"/>
  <c r="M82" i="4"/>
  <c r="B25" i="30"/>
  <c r="H25" i="30" s="1"/>
  <c r="B25" i="29"/>
  <c r="H25" i="29" s="1"/>
  <c r="L47" i="29"/>
  <c r="F5" i="30"/>
  <c r="K5" i="30"/>
  <c r="E9" i="30"/>
  <c r="J65" i="30" s="1"/>
  <c r="J9" i="30"/>
  <c r="M80" i="4"/>
  <c r="B17" i="30"/>
  <c r="H17" i="30" s="1"/>
  <c r="B17" i="29"/>
  <c r="H17" i="29" s="1"/>
  <c r="E13" i="30"/>
  <c r="J67" i="30" s="1"/>
  <c r="J13" i="30"/>
  <c r="F17" i="1"/>
  <c r="L17" i="1" s="1"/>
  <c r="Z90" i="4"/>
  <c r="F8" i="1"/>
  <c r="L8" i="1" s="1"/>
  <c r="Z79" i="4"/>
  <c r="F10" i="1"/>
  <c r="L10" i="1" s="1"/>
  <c r="Z81" i="4"/>
  <c r="F16" i="1"/>
  <c r="L16" i="1" s="1"/>
  <c r="Z89" i="4"/>
  <c r="F9" i="1"/>
  <c r="L9" i="1" s="1"/>
  <c r="Z80" i="4"/>
  <c r="F7" i="1"/>
  <c r="L7" i="1" s="1"/>
  <c r="Z78" i="4"/>
  <c r="F15" i="1"/>
  <c r="L15" i="1" s="1"/>
  <c r="Z88" i="4"/>
  <c r="F6" i="1"/>
  <c r="L6" i="1" s="1"/>
  <c r="Z77" i="4"/>
  <c r="F14" i="1"/>
  <c r="L14" i="1" s="1"/>
  <c r="Z87" i="4"/>
  <c r="F11" i="1"/>
  <c r="L11" i="1" s="1"/>
  <c r="Z82" i="4"/>
  <c r="R87" i="4"/>
  <c r="R90" i="4"/>
  <c r="R89" i="4"/>
  <c r="R88" i="4"/>
  <c r="P69" i="4"/>
  <c r="O88" i="4"/>
  <c r="O72" i="4"/>
  <c r="V69" i="4"/>
  <c r="U72" i="4"/>
  <c r="S72" i="4"/>
  <c r="S88" i="4"/>
  <c r="D34" i="29" s="1"/>
  <c r="J34" i="29" s="1"/>
  <c r="L5" i="30" l="1"/>
  <c r="K63" i="30"/>
  <c r="L17" i="30"/>
  <c r="K69" i="30"/>
  <c r="L25" i="30"/>
  <c r="K73" i="30"/>
  <c r="L18" i="30"/>
  <c r="K70" i="30"/>
  <c r="L22" i="30"/>
  <c r="K72" i="30"/>
  <c r="L10" i="30"/>
  <c r="K66" i="30"/>
  <c r="L6" i="30"/>
  <c r="K64" i="30"/>
  <c r="L14" i="30"/>
  <c r="K68" i="30"/>
  <c r="L26" i="30"/>
  <c r="K74" i="30"/>
  <c r="L48" i="30"/>
  <c r="K48" i="30"/>
  <c r="K13" i="30"/>
  <c r="F13" i="30"/>
  <c r="L49" i="29"/>
  <c r="L55" i="29" s="1"/>
  <c r="L53" i="29"/>
  <c r="H47" i="29"/>
  <c r="K9" i="30"/>
  <c r="F9" i="30"/>
  <c r="F21" i="30"/>
  <c r="K21" i="30"/>
  <c r="H47" i="30"/>
  <c r="H49" i="30" s="1"/>
  <c r="T88" i="4"/>
  <c r="V88" i="4"/>
  <c r="E34" i="29" s="1"/>
  <c r="K34" i="29" s="1"/>
  <c r="V72" i="4"/>
  <c r="S89" i="4"/>
  <c r="D38" i="29" s="1"/>
  <c r="J38" i="29" s="1"/>
  <c r="S90" i="4"/>
  <c r="S87" i="4"/>
  <c r="D30" i="29" s="1"/>
  <c r="J30" i="29" s="1"/>
  <c r="O89" i="4"/>
  <c r="O87" i="4"/>
  <c r="O90" i="4"/>
  <c r="U90" i="4"/>
  <c r="U89" i="4"/>
  <c r="U87" i="4"/>
  <c r="U88" i="4"/>
  <c r="W88" i="4" s="1"/>
  <c r="P72" i="4"/>
  <c r="P88" i="4"/>
  <c r="L9" i="30" l="1"/>
  <c r="K65" i="30"/>
  <c r="L21" i="30"/>
  <c r="K71" i="30"/>
  <c r="L13" i="30"/>
  <c r="K67" i="30"/>
  <c r="T89" i="4"/>
  <c r="H49" i="29"/>
  <c r="H55" i="29" s="1"/>
  <c r="H53" i="29"/>
  <c r="T87" i="4"/>
  <c r="T90" i="4"/>
  <c r="D42" i="29"/>
  <c r="J42" i="29" s="1"/>
  <c r="J47" i="29" s="1"/>
  <c r="Q88" i="4"/>
  <c r="C34" i="29"/>
  <c r="I34" i="29" s="1"/>
  <c r="C34" i="30"/>
  <c r="V89" i="4"/>
  <c r="V90" i="4"/>
  <c r="V87" i="4"/>
  <c r="E30" i="29" s="1"/>
  <c r="K30" i="29" s="1"/>
  <c r="P90" i="4"/>
  <c r="P89" i="4"/>
  <c r="P87" i="4"/>
  <c r="W87" i="4" l="1"/>
  <c r="J49" i="29"/>
  <c r="J55" i="29" s="1"/>
  <c r="J53" i="29"/>
  <c r="C42" i="29"/>
  <c r="I42" i="29" s="1"/>
  <c r="C42" i="30"/>
  <c r="I34" i="30"/>
  <c r="D34" i="30"/>
  <c r="Q90" i="4"/>
  <c r="Q87" i="4"/>
  <c r="C30" i="29"/>
  <c r="I30" i="29" s="1"/>
  <c r="C30" i="30"/>
  <c r="H77" i="30" s="1"/>
  <c r="W90" i="4"/>
  <c r="E42" i="29"/>
  <c r="K42" i="29" s="1"/>
  <c r="Q89" i="4"/>
  <c r="C38" i="29"/>
  <c r="I38" i="29" s="1"/>
  <c r="C38" i="30"/>
  <c r="W89" i="4"/>
  <c r="E38" i="29"/>
  <c r="K38" i="29" s="1"/>
  <c r="K47" i="29" l="1"/>
  <c r="K49" i="29" s="1"/>
  <c r="K55" i="29" s="1"/>
  <c r="D38" i="30"/>
  <c r="I38" i="30"/>
  <c r="I42" i="30"/>
  <c r="D42" i="30"/>
  <c r="D30" i="30"/>
  <c r="I30" i="30"/>
  <c r="J34" i="30"/>
  <c r="E34" i="30"/>
  <c r="I47" i="29"/>
  <c r="K53" i="29" l="1"/>
  <c r="I47" i="30"/>
  <c r="I49" i="30" s="1"/>
  <c r="J38" i="30"/>
  <c r="E38" i="30"/>
  <c r="I49" i="29"/>
  <c r="I55" i="29" s="1"/>
  <c r="I53" i="29"/>
  <c r="E30" i="30"/>
  <c r="J30" i="30"/>
  <c r="K34" i="30"/>
  <c r="F34" i="30"/>
  <c r="L34" i="30" s="1"/>
  <c r="J42" i="30"/>
  <c r="E42" i="30"/>
  <c r="J47" i="30" l="1"/>
  <c r="J49" i="30" s="1"/>
  <c r="F42" i="30"/>
  <c r="L42" i="30" s="1"/>
  <c r="K42" i="30"/>
  <c r="K38" i="30"/>
  <c r="F38" i="30"/>
  <c r="L38" i="30" s="1"/>
  <c r="F30" i="30"/>
  <c r="L30" i="30" s="1"/>
  <c r="K30" i="30"/>
  <c r="L47" i="30" l="1"/>
  <c r="L49" i="30" s="1"/>
  <c r="L53" i="30" s="1"/>
  <c r="K47" i="30"/>
  <c r="K49" i="30" s="1"/>
  <c r="G49" i="30" l="1"/>
  <c r="G53" i="30" s="1"/>
</calcChain>
</file>

<file path=xl/comments1.xml><?xml version="1.0" encoding="utf-8"?>
<comments xmlns="http://schemas.openxmlformats.org/spreadsheetml/2006/main">
  <authors>
    <author>Catherine Waddell</author>
  </authors>
  <commentList>
    <comment ref="C51" authorId="0">
      <text>
        <r>
          <rPr>
            <b/>
            <sz val="8"/>
            <color indexed="81"/>
            <rFont val="Tahoma"/>
            <family val="2"/>
          </rPr>
          <t>Catherine Waddell:</t>
        </r>
        <r>
          <rPr>
            <sz val="8"/>
            <color indexed="81"/>
            <rFont val="Tahoma"/>
            <family val="2"/>
          </rPr>
          <t xml:space="preserve">
from Debbie</t>
        </r>
      </text>
    </comment>
    <comment ref="E58" authorId="0">
      <text>
        <r>
          <rPr>
            <b/>
            <sz val="8"/>
            <color indexed="81"/>
            <rFont val="Tahoma"/>
            <family val="2"/>
          </rPr>
          <t>Catherine Waddell:</t>
        </r>
        <r>
          <rPr>
            <sz val="8"/>
            <color indexed="81"/>
            <rFont val="Tahoma"/>
            <family val="2"/>
          </rPr>
          <t xml:space="preserve">
total meters</t>
        </r>
      </text>
    </comment>
  </commentList>
</comments>
</file>

<file path=xl/sharedStrings.xml><?xml version="1.0" encoding="utf-8"?>
<sst xmlns="http://schemas.openxmlformats.org/spreadsheetml/2006/main" count="591" uniqueCount="295">
  <si>
    <t>2014/15</t>
  </si>
  <si>
    <t>2015/16</t>
  </si>
  <si>
    <t>2017/18</t>
  </si>
  <si>
    <t>2018/19</t>
  </si>
  <si>
    <t>RAB * WACC</t>
  </si>
  <si>
    <t>2011/12</t>
  </si>
  <si>
    <t>2012/13</t>
  </si>
  <si>
    <t>2013/14</t>
  </si>
  <si>
    <t>Actual</t>
  </si>
  <si>
    <t>Projected</t>
  </si>
  <si>
    <t>2016/17</t>
  </si>
  <si>
    <t>Residential Anytime</t>
  </si>
  <si>
    <t>Residential TOU</t>
  </si>
  <si>
    <t>Small Business anytime</t>
  </si>
  <si>
    <t>Small Business  TOU</t>
  </si>
  <si>
    <t>Controlled Load</t>
  </si>
  <si>
    <t>Customer Numbers</t>
  </si>
  <si>
    <t>Single Phase</t>
  </si>
  <si>
    <t>Three Phase</t>
  </si>
  <si>
    <t>Weighting</t>
  </si>
  <si>
    <t>Meter Numbers by Meter Type</t>
  </si>
  <si>
    <t>Single Phase + Load Control</t>
  </si>
  <si>
    <t>Three Phase + Load Control</t>
  </si>
  <si>
    <t>Basic Single Phase Meter</t>
  </si>
  <si>
    <t>Basic Three Phase Meter</t>
  </si>
  <si>
    <t>%</t>
  </si>
  <si>
    <t>Single phase accumulation meters</t>
  </si>
  <si>
    <t>Single phase one element meters (TOU)</t>
  </si>
  <si>
    <t>Single-phase two element meter (TOU)</t>
  </si>
  <si>
    <t>Three phase whole-current meters</t>
  </si>
  <si>
    <t>Three phase CT meters</t>
  </si>
  <si>
    <t>TOTAL</t>
  </si>
  <si>
    <t>Solar</t>
  </si>
  <si>
    <t>Forecast Meter Increment**</t>
  </si>
  <si>
    <t>**Based on forecast new meters below</t>
  </si>
  <si>
    <t>New Customers</t>
  </si>
  <si>
    <t>% Growth</t>
  </si>
  <si>
    <t>Meter Reading</t>
  </si>
  <si>
    <t>General</t>
  </si>
  <si>
    <t>General Weighted Existing Customer Numbers</t>
  </si>
  <si>
    <t>Solar Additions (assume single phase 2 element)</t>
  </si>
  <si>
    <t>Source</t>
  </si>
  <si>
    <t>2013-14</t>
  </si>
  <si>
    <t>Sub-transmission lines and cables</t>
  </si>
  <si>
    <t>Distribution lines and cables</t>
  </si>
  <si>
    <t>Substations</t>
  </si>
  <si>
    <t>Transformers</t>
  </si>
  <si>
    <t>Low voltage lines and cables</t>
  </si>
  <si>
    <t>Percentage of Metering to total System</t>
  </si>
  <si>
    <t>Customer metering and load control</t>
  </si>
  <si>
    <t>Communications</t>
  </si>
  <si>
    <t>Land</t>
  </si>
  <si>
    <t>Easements</t>
  </si>
  <si>
    <t>RAB adjustment</t>
  </si>
  <si>
    <t>Deferred depreciation</t>
  </si>
  <si>
    <t>Emergency spares (major plant, excludes inventory)</t>
  </si>
  <si>
    <t>Total System</t>
  </si>
  <si>
    <t>IT systems</t>
  </si>
  <si>
    <t>Furniture, fittings, plant and equipment</t>
  </si>
  <si>
    <t>Motor vehicles</t>
  </si>
  <si>
    <t>Buildings</t>
  </si>
  <si>
    <t>Other non-system assets</t>
  </si>
  <si>
    <t>Equity raising costs</t>
  </si>
  <si>
    <t>Total non system</t>
  </si>
  <si>
    <t>Portion of non system to add to Metering RAB</t>
  </si>
  <si>
    <t>Closing Balance Year</t>
  </si>
  <si>
    <t>Price by tariff class</t>
  </si>
  <si>
    <t>Small Business TOU</t>
  </si>
  <si>
    <t>Capex</t>
  </si>
  <si>
    <t>RAB additions</t>
  </si>
  <si>
    <t>Add OHDs</t>
  </si>
  <si>
    <t>WACC rate</t>
  </si>
  <si>
    <t>Add OHDS</t>
  </si>
  <si>
    <t>RAB</t>
  </si>
  <si>
    <t>Small Business Anytime</t>
  </si>
  <si>
    <t>Total</t>
  </si>
  <si>
    <t>Closing RAB (NBV)</t>
  </si>
  <si>
    <t>Single Phase TOU</t>
  </si>
  <si>
    <t>Single Phase 2 element (TOU)</t>
  </si>
  <si>
    <t>Three Phase TOU</t>
  </si>
  <si>
    <t>Three Phase CT</t>
  </si>
  <si>
    <t>Meter Replacement Program</t>
  </si>
  <si>
    <t>Metering Equipment Type</t>
  </si>
  <si>
    <t>12/13</t>
  </si>
  <si>
    <t>13/14</t>
  </si>
  <si>
    <t>14/15</t>
  </si>
  <si>
    <t>15/16</t>
  </si>
  <si>
    <t>16/17</t>
  </si>
  <si>
    <t>17/18</t>
  </si>
  <si>
    <t>18/19</t>
  </si>
  <si>
    <t>Total Capex</t>
  </si>
  <si>
    <t>Labour for Unplanned Failures</t>
  </si>
  <si>
    <t>Type 5 &amp; 6 Sample Testing - Meters</t>
  </si>
  <si>
    <t>Meter Provisioning Projects</t>
  </si>
  <si>
    <t>Upfront Metering Purchase Prices</t>
  </si>
  <si>
    <t>WACC return</t>
  </si>
  <si>
    <t>Tax Impact</t>
  </si>
  <si>
    <t>Total excl GST</t>
  </si>
  <si>
    <t>Ave Purchase Price</t>
  </si>
  <si>
    <t>Supplier 2</t>
  </si>
  <si>
    <t>Single Phase Accumulation</t>
  </si>
  <si>
    <t>Three Phase Accumulation</t>
  </si>
  <si>
    <t>Note, we have not included acceptance testing as this is part of ongoing maintenance and operating costs.</t>
  </si>
  <si>
    <t>This testing is only done on random sample of a new type of meter, not to every meter provided to cusoterms.</t>
  </si>
  <si>
    <t>CPI Factors</t>
  </si>
  <si>
    <t>This sheet is where the CPI factors for each year are entered. Relevant cumulative CPI factors are calculated from this data.</t>
  </si>
  <si>
    <t>2013 SCI</t>
  </si>
  <si>
    <t>2014 SCI</t>
  </si>
  <si>
    <t>Annual expected rise</t>
  </si>
  <si>
    <t>Input</t>
  </si>
  <si>
    <t>CPI rate for $2014 only</t>
  </si>
  <si>
    <t>Cumulative impact</t>
  </si>
  <si>
    <t>CPI (linked to workings sheets)</t>
  </si>
  <si>
    <t>New Meter Purchases</t>
  </si>
  <si>
    <t>Metering Equipment type</t>
  </si>
  <si>
    <t>Three phase accumulation meters</t>
  </si>
  <si>
    <t>Three phase electronic  meters (TOU)</t>
  </si>
  <si>
    <t>Single phase one element meters</t>
  </si>
  <si>
    <t>Single-phase two element meter</t>
  </si>
  <si>
    <t>Unplanned Failure Meters/Relays</t>
  </si>
  <si>
    <t>Network Ops</t>
  </si>
  <si>
    <t>Meter Provision Labour</t>
  </si>
  <si>
    <t>new meters are cap cons from 2015-16 so not part of RAB</t>
  </si>
  <si>
    <t>cap cons from here out, exclude from RAB</t>
  </si>
  <si>
    <t>excluding removals/reductions</t>
  </si>
  <si>
    <t>Assumption</t>
  </si>
  <si>
    <t>25% reading the registers</t>
  </si>
  <si>
    <t>to premise</t>
  </si>
  <si>
    <t>weight time to read</t>
  </si>
  <si>
    <t># of registers</t>
  </si>
  <si>
    <t>Price per meter</t>
  </si>
  <si>
    <t>Load Control Meter</t>
  </si>
  <si>
    <t>Two element meter (Gross Solar)</t>
  </si>
  <si>
    <t>Solar (Gross meter only)</t>
  </si>
  <si>
    <t>Note, applicable to customer with gross solar meters only, and also covers their imports - that is only this meter required</t>
  </si>
  <si>
    <t>Add
Overheads</t>
  </si>
  <si>
    <t>Add
Stores Oncost</t>
  </si>
  <si>
    <t>75% time in getting to premise</t>
  </si>
  <si>
    <t>Interim NNSW contract _L&amp;G</t>
  </si>
  <si>
    <t>Opening bal for year</t>
  </si>
  <si>
    <t>Customer Growth</t>
  </si>
  <si>
    <t>NIEIR forecast</t>
  </si>
  <si>
    <t>Totals</t>
  </si>
  <si>
    <t>Per Meter</t>
  </si>
  <si>
    <t>PTRM</t>
  </si>
  <si>
    <t>Three phase meters are used by both residential and business customers, so cost is spread across them uniformly</t>
  </si>
  <si>
    <t>Historical Purchase Price (Indicative)</t>
  </si>
  <si>
    <t>Meters purchased prior to 2014 were all TOU capable meters, only programming determined if continuous or TOU readings</t>
  </si>
  <si>
    <t>Therefore same cost for all customer and tariff types</t>
  </si>
  <si>
    <t>These splits used to apportion WACC and Depreciation costs to tariff charges</t>
  </si>
  <si>
    <t>CPI conversion rate (if required)</t>
  </si>
  <si>
    <t>$2013/14</t>
  </si>
  <si>
    <t>Fully loaded meter replacement $2013/14</t>
  </si>
  <si>
    <t>Check reads - Network requested</t>
  </si>
  <si>
    <t>Check Reads - Network requested</t>
  </si>
  <si>
    <t>From total check reads requested over past 6 months of around 700 per month, 400 per month are network requested</t>
  </si>
  <si>
    <t>per annum</t>
  </si>
  <si>
    <t>Direct meter replacement costs $2013/14</t>
  </si>
  <si>
    <t>LABOUR RATE</t>
  </si>
  <si>
    <t>PLANT</t>
  </si>
  <si>
    <t>OPEX $2013/14</t>
  </si>
  <si>
    <t>Time required</t>
  </si>
  <si>
    <t>Labour required</t>
  </si>
  <si>
    <t>Meter Replacement _Emergency Opex $2013/14</t>
  </si>
  <si>
    <t>Meter Provisioning costs</t>
  </si>
  <si>
    <t>2012/13 to 2013/14</t>
  </si>
  <si>
    <t>Tax Building Block</t>
  </si>
  <si>
    <t>Total Opex</t>
  </si>
  <si>
    <t>Metering Costs</t>
  </si>
  <si>
    <t>Total Opex costs $2013/14</t>
  </si>
  <si>
    <t>Total Recoverable Costs $2013/14</t>
  </si>
  <si>
    <t>Still need a fee for this for any customers who do put on CL</t>
  </si>
  <si>
    <t>Scheduled Meter Reading Costs $2013/14</t>
  </si>
  <si>
    <t>Capex escalator</t>
  </si>
  <si>
    <t>Maintenance escalator</t>
  </si>
  <si>
    <t>Total meter replacement incl escalators $2013/14</t>
  </si>
  <si>
    <t>Total emergency meter opex incl escalators $2013/14</t>
  </si>
  <si>
    <t>Total check reads incl escalators $2013/14</t>
  </si>
  <si>
    <t>Total meter provision incl escalators $2013/14</t>
  </si>
  <si>
    <t>Total meter testing incl escaltors $2013/14</t>
  </si>
  <si>
    <t>Cumulative Escalators</t>
  </si>
  <si>
    <t>Total customer numbers to recover costs</t>
  </si>
  <si>
    <t>Recoverable Costs - Existing customers</t>
  </si>
  <si>
    <t>Recoverable Costs - New customers</t>
  </si>
  <si>
    <t>Annual cost per existing customer</t>
  </si>
  <si>
    <t>Annual Cost per New Customer</t>
  </si>
  <si>
    <t>Pricing Scenarios in $2013/14 excl GST</t>
  </si>
  <si>
    <t>Meter Data Agency (265)</t>
  </si>
  <si>
    <t>Meter Provision (266)</t>
  </si>
  <si>
    <t>Laboratory Services (267)</t>
  </si>
  <si>
    <t>Support Services (268)</t>
  </si>
  <si>
    <t>Compliance (269)</t>
  </si>
  <si>
    <t>Total Customer Numbers</t>
  </si>
  <si>
    <t>Residental Anytime</t>
  </si>
  <si>
    <t>Anytime Customers</t>
  </si>
  <si>
    <t>TOU Customers</t>
  </si>
  <si>
    <t>Cumulative Customer Growth</t>
  </si>
  <si>
    <t>Meter Reading Weighted Existing Customer Numbers</t>
  </si>
  <si>
    <t>General Weighted New Customers</t>
  </si>
  <si>
    <t>Meter reading weighted New Customers</t>
  </si>
  <si>
    <t>Total Weighted</t>
  </si>
  <si>
    <t>Controlled Load Customers</t>
  </si>
  <si>
    <t>Solar Customers</t>
  </si>
  <si>
    <t>Incremental % increase</t>
  </si>
  <si>
    <t>Task</t>
  </si>
  <si>
    <t>R1 Administrative Officer Grade 16</t>
  </si>
  <si>
    <t>Metering Exit Fee</t>
  </si>
  <si>
    <t>Hours</t>
  </si>
  <si>
    <t>Total Exit Charge $2013/14</t>
  </si>
  <si>
    <t>Price for New Meters $2013/14</t>
  </si>
  <si>
    <t>Tax RAB</t>
  </si>
  <si>
    <t>Meter Data Costs $2013/14</t>
  </si>
  <si>
    <t>Corporate OHDS</t>
  </si>
  <si>
    <t>Divisional OHDS</t>
  </si>
  <si>
    <t>Allocation rate (Total)</t>
  </si>
  <si>
    <t>Add indirect unallocated opex</t>
  </si>
  <si>
    <t>Cost Component</t>
  </si>
  <si>
    <t>Cost per meter
$2013/14</t>
  </si>
  <si>
    <t>Time
(mins)</t>
  </si>
  <si>
    <t>Receive and validate meter change paperwork</t>
  </si>
  <si>
    <t>Remove meter from MDP system and inactivate basic data streams</t>
  </si>
  <si>
    <t>Obtain final reads and enter in MDP system t send NEM13 file to market and billing</t>
  </si>
  <si>
    <t>Configure the billing system for interval data streams</t>
  </si>
  <si>
    <t>Cost of meter disposal</t>
  </si>
  <si>
    <t>Meter Transfer Fee (per meter)</t>
  </si>
  <si>
    <t>Update billing system with meter removal and the new metering details (for the non-Essential Energy asset)</t>
  </si>
  <si>
    <t xml:space="preserve">Recoverable Cost Base </t>
  </si>
  <si>
    <t>Less savings to be made</t>
  </si>
  <si>
    <t>Add OHDS impact</t>
  </si>
  <si>
    <t>Cost escalation impact</t>
  </si>
  <si>
    <t>All prices to be given annual increases as described in Control mechanism.</t>
  </si>
  <si>
    <t>Cost Escalation - materials only</t>
  </si>
  <si>
    <t>Material and labour Cost Escalators</t>
  </si>
  <si>
    <t>Cost Escalation - labour &amp; materials</t>
  </si>
  <si>
    <t>General wages escalator</t>
  </si>
  <si>
    <t>That is CPI and X factor (zero) each year</t>
  </si>
  <si>
    <t>$2013-14</t>
  </si>
  <si>
    <t xml:space="preserve"> as calculated in Metering PTRM and converted to $1314</t>
  </si>
  <si>
    <t>Recoverable costs (capital)</t>
  </si>
  <si>
    <t>Depreciation</t>
  </si>
  <si>
    <t>Recoverable costs (non-capital)</t>
  </si>
  <si>
    <t>anytime</t>
  </si>
  <si>
    <t>res anytime</t>
  </si>
  <si>
    <t>small bus anytime</t>
  </si>
  <si>
    <t>TOU</t>
  </si>
  <si>
    <t>res TOU</t>
  </si>
  <si>
    <t>small bus TOU</t>
  </si>
  <si>
    <t>Debt rasing costs from Metering PTRM</t>
  </si>
  <si>
    <t>WACC + CoT + DRC</t>
  </si>
  <si>
    <t>Capital Costs</t>
  </si>
  <si>
    <t>Non-Capital</t>
  </si>
  <si>
    <t>Check</t>
  </si>
  <si>
    <t>O&amp;M</t>
  </si>
  <si>
    <t>Recoverable Costs Summary</t>
  </si>
  <si>
    <t>CPI</t>
  </si>
  <si>
    <t>CPI Index</t>
  </si>
  <si>
    <t>$Nominal</t>
  </si>
  <si>
    <t>Forecast inflation</t>
  </si>
  <si>
    <t>non-capital</t>
  </si>
  <si>
    <t>X factor</t>
  </si>
  <si>
    <t>capital</t>
  </si>
  <si>
    <t>NPV</t>
  </si>
  <si>
    <t>Total Smoothed Revenue</t>
  </si>
  <si>
    <t>Total Unsmoothed Revenue</t>
  </si>
  <si>
    <t>Difference in NPVs</t>
  </si>
  <si>
    <t>Difference between final year revenue and requirement</t>
  </si>
  <si>
    <t>Existing Customers</t>
  </si>
  <si>
    <t>Annual charges ($Nominal)</t>
  </si>
  <si>
    <t>Volumes and Revenue($m Nominal)</t>
  </si>
  <si>
    <t>Nominal Vanilla WACC</t>
  </si>
  <si>
    <t>Customers</t>
  </si>
  <si>
    <t>WACC</t>
  </si>
  <si>
    <t xml:space="preserve"> as in the Metering PTRM in $1314</t>
  </si>
  <si>
    <t>Opening Metering RAB value (Book)</t>
  </si>
  <si>
    <t>Tariff class</t>
  </si>
  <si>
    <t>Costs</t>
  </si>
  <si>
    <t>Existing customers</t>
  </si>
  <si>
    <t>Residential anytime</t>
  </si>
  <si>
    <t>Non–capital</t>
  </si>
  <si>
    <t>Capital</t>
  </si>
  <si>
    <t>Small business anytime</t>
  </si>
  <si>
    <t>Small business TOU</t>
  </si>
  <si>
    <t>Controlled load</t>
  </si>
  <si>
    <t>New customers</t>
  </si>
  <si>
    <t>Anytime customers</t>
  </si>
  <si>
    <t>TOU customers</t>
  </si>
  <si>
    <t>Solar additions</t>
  </si>
  <si>
    <t>2016–17</t>
  </si>
  <si>
    <t>2017–18</t>
  </si>
  <si>
    <t>2018–19</t>
  </si>
  <si>
    <t>–1.36</t>
  </si>
  <si>
    <t>From table 16.20 final decision</t>
  </si>
  <si>
    <t>From table 16.21 final decision</t>
  </si>
  <si>
    <t>Approved charges ($2014-15)</t>
  </si>
  <si>
    <t xml:space="preserve">Upfront capital charge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</si>
</sst>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44" formatCode="_(&quot;$&quot;* #,##0.00_);_(&quot;$&quot;* \(#,##0.00\);_(&quot;$&quot;* &quot;-&quot;??_);_(@_)"/>
    <numFmt numFmtId="43" formatCode="_(* #,##0.00_);_(* \(#,##0.00\);_(* &quot;-&quot;??_);_(@_)"/>
    <numFmt numFmtId="164" formatCode="_-* #,##0_-;\-* #,##0_-;_-* &quot;-&quot;_-;_-@_-"/>
    <numFmt numFmtId="165" formatCode="_-&quot;$&quot;* #,##0.00_-;\-&quot;$&quot;* #,##0.00_-;_-&quot;$&quot;* &quot;-&quot;??_-;_-@_-"/>
    <numFmt numFmtId="166" formatCode="_-* #,##0.00_-;\-* #,##0.00_-;_-* &quot;-&quot;??_-;_-@_-"/>
    <numFmt numFmtId="167" formatCode="_-* #,##0_-;\-* #,##0_-;_-* &quot;-&quot;??_-;_-@_-"/>
    <numFmt numFmtId="168" formatCode="#,##0.0,,_ ;\(#,##0.0,,\)"/>
    <numFmt numFmtId="169" formatCode="_-[$$-C09]* #,##0_-;\-[$$-C09]* #,##0_-;_-[$$-C09]* &quot;-&quot;??_-;_-@_-"/>
    <numFmt numFmtId="170" formatCode="_-&quot;$&quot;* #,##0_-;\-&quot;$&quot;* #,##0_-;_-&quot;$&quot;* &quot;-&quot;??_-;_-@_-"/>
    <numFmt numFmtId="171" formatCode="0.0%"/>
    <numFmt numFmtId="172" formatCode="&quot;$&quot;#,##0.00"/>
    <numFmt numFmtId="173" formatCode="_(#,##0.00_);_(\(#,##0.00\);_(&quot;-&quot;??_);_(@_)"/>
    <numFmt numFmtId="174" formatCode="_(* #,##0_);_(* \(#,##0\);_(* &quot;-&quot;?_);_(@_)"/>
    <numFmt numFmtId="175" formatCode="#,##0,;\-#,##0,"/>
    <numFmt numFmtId="176" formatCode="#,##0;[Red]\(#,##0\)"/>
    <numFmt numFmtId="177" formatCode="_-* #,##0.0_-;\-* #,##0.0_-;_-* &quot;-&quot;??_-;_-@_-"/>
    <numFmt numFmtId="178" formatCode="0.000"/>
    <numFmt numFmtId="179" formatCode="_-[$$-C09]* #,##0.000_-;\-[$$-C09]* #,##0.000_-;_-[$$-C09]* &quot;-&quot;??_-;_-@_-"/>
    <numFmt numFmtId="180" formatCode="_-* #,##0.000_-;\-* #,##0.000_-;_-* &quot;-&quot;??_-;_-@_-"/>
    <numFmt numFmtId="181" formatCode="_-&quot;$&quot;* #,##0.000_-;\-&quot;$&quot;* #,##0.000_-;_-&quot;$&quot;* &quot;-&quot;??_-;_-@_-"/>
    <numFmt numFmtId="182" formatCode="_-* #,##0.0000000_-;\-* #,##0.0000000_-;_-* &quot;-&quot;??_-;_-@_-"/>
    <numFmt numFmtId="183" formatCode="_-* #,##0.0000_-;\-* #,##0.0000_-;_-* &quot;-&quot;??_-;_-@_-"/>
    <numFmt numFmtId="184" formatCode="_(* #,##0.00_);_(* \(#,##0.00\);_(* &quot;-&quot;_);_(@_)"/>
  </numFmts>
  <fonts count="105" x14ac:knownFonts="1">
    <font>
      <sz val="10"/>
      <color theme="1"/>
      <name val="Arial"/>
      <family val="2"/>
    </font>
    <font>
      <sz val="11"/>
      <color theme="1"/>
      <name val="Calibri"/>
      <family val="2"/>
      <scheme val="minor"/>
    </font>
    <font>
      <sz val="10"/>
      <color theme="1"/>
      <name val="Arial"/>
      <family val="2"/>
    </font>
    <font>
      <b/>
      <sz val="10"/>
      <color theme="1"/>
      <name val="Arial"/>
      <family val="2"/>
    </font>
    <font>
      <b/>
      <i/>
      <sz val="10"/>
      <color theme="1"/>
      <name val="Arial"/>
      <family val="2"/>
    </font>
    <font>
      <sz val="9"/>
      <color theme="1"/>
      <name val="Arial"/>
      <family val="2"/>
    </font>
    <font>
      <sz val="10"/>
      <name val="Arial"/>
      <family val="2"/>
    </font>
    <font>
      <b/>
      <sz val="10"/>
      <name val="Arial"/>
      <family val="2"/>
    </font>
    <font>
      <b/>
      <sz val="12"/>
      <name val="Arial"/>
      <family val="2"/>
    </font>
    <font>
      <b/>
      <sz val="8"/>
      <color indexed="81"/>
      <name val="Tahoma"/>
      <family val="2"/>
    </font>
    <font>
      <sz val="8"/>
      <color indexed="81"/>
      <name val="Tahoma"/>
      <family val="2"/>
    </font>
    <font>
      <sz val="10"/>
      <color indexed="64"/>
      <name val="Arial"/>
      <family val="2"/>
    </font>
    <font>
      <sz val="8"/>
      <color theme="1"/>
      <name val="Arial"/>
      <family val="2"/>
    </font>
    <font>
      <sz val="11"/>
      <color theme="1"/>
      <name val="Calibri"/>
      <family val="2"/>
      <scheme val="minor"/>
    </font>
    <font>
      <b/>
      <sz val="9"/>
      <color rgb="FF000000"/>
      <name val="Arial"/>
      <family val="2"/>
    </font>
    <font>
      <sz val="9"/>
      <color rgb="FF000000"/>
      <name val="Arial"/>
      <family val="2"/>
    </font>
    <font>
      <sz val="9"/>
      <name val="Arial"/>
      <family val="2"/>
    </font>
    <font>
      <sz val="10"/>
      <name val="MS Sans Serif"/>
      <family val="2"/>
    </font>
    <font>
      <sz val="8"/>
      <name val="Arial"/>
      <family val="2"/>
    </font>
    <font>
      <b/>
      <sz val="10"/>
      <color rgb="FFFF0000"/>
      <name val="Arial"/>
      <family val="2"/>
    </font>
    <font>
      <sz val="10"/>
      <color theme="9"/>
      <name val="Arial"/>
      <family val="2"/>
    </font>
    <font>
      <b/>
      <sz val="10"/>
      <color theme="0"/>
      <name val="Arial"/>
      <family val="2"/>
    </font>
    <font>
      <sz val="10"/>
      <color rgb="FFFF0000"/>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b/>
      <sz val="10"/>
      <color rgb="FF0070C0"/>
      <name val="Arial"/>
      <family val="2"/>
    </font>
    <font>
      <i/>
      <sz val="10"/>
      <color rgb="FF7030A0"/>
      <name val="Arial"/>
      <family val="2"/>
    </font>
    <font>
      <sz val="10"/>
      <color rgb="FF000000"/>
      <name val="Arial"/>
      <family val="2"/>
    </font>
    <font>
      <b/>
      <sz val="12"/>
      <color theme="1"/>
      <name val="Arial"/>
      <family val="2"/>
    </font>
    <font>
      <sz val="11"/>
      <color theme="1"/>
      <name val="Arial"/>
      <family val="2"/>
    </font>
    <font>
      <sz val="12"/>
      <color theme="1"/>
      <name val="Arial"/>
      <family val="2"/>
    </font>
    <font>
      <b/>
      <sz val="11"/>
      <color theme="1"/>
      <name val="Arial"/>
      <family val="2"/>
    </font>
    <font>
      <i/>
      <sz val="10"/>
      <color theme="1"/>
      <name val="Arial"/>
      <family val="2"/>
    </font>
    <font>
      <sz val="9"/>
      <color theme="0"/>
      <name val="Verdana"/>
      <family val="2"/>
    </font>
    <font>
      <i/>
      <sz val="8"/>
      <name val="Arial"/>
      <family val="2"/>
    </font>
    <font>
      <sz val="10"/>
      <color theme="0"/>
      <name val="Arial"/>
      <family val="2"/>
    </font>
    <font>
      <sz val="10"/>
      <color rgb="FF0000FF"/>
      <name val="Arial"/>
      <family val="2"/>
    </font>
    <font>
      <b/>
      <u/>
      <sz val="10"/>
      <color theme="1"/>
      <name val="Arial"/>
      <family val="2"/>
    </font>
    <font>
      <b/>
      <i/>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sz val="11"/>
      <color rgb="FF0000FF"/>
      <name val="Calibri"/>
      <family val="2"/>
      <scheme val="minor"/>
    </font>
    <font>
      <sz val="11"/>
      <name val="Calibri"/>
      <family val="2"/>
      <scheme val="minor"/>
    </font>
    <font>
      <b/>
      <sz val="10"/>
      <color theme="1"/>
      <name val="Calibri"/>
      <family val="2"/>
      <scheme val="minor"/>
    </font>
    <font>
      <b/>
      <sz val="10"/>
      <color rgb="FFFF0000"/>
      <name val="Calibri"/>
      <family val="2"/>
      <scheme val="minor"/>
    </font>
    <font>
      <b/>
      <i/>
      <u/>
      <sz val="10"/>
      <color theme="1"/>
      <name val="Arial"/>
      <family val="2"/>
    </font>
    <font>
      <b/>
      <i/>
      <u/>
      <sz val="11"/>
      <color theme="1"/>
      <name val="Calibri"/>
      <family val="2"/>
      <scheme val="minor"/>
    </font>
    <font>
      <b/>
      <sz val="11"/>
      <color rgb="FFFF0000"/>
      <name val="Calibri"/>
      <family val="2"/>
      <scheme val="minor"/>
    </font>
    <font>
      <b/>
      <sz val="8"/>
      <color rgb="FFFFFFFF"/>
      <name val="Arial"/>
      <family val="2"/>
    </font>
    <font>
      <u/>
      <sz val="8"/>
      <color theme="1"/>
      <name val="Arial"/>
      <family val="2"/>
    </font>
  </fonts>
  <fills count="5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D9D9D9"/>
        <bgColor indexed="64"/>
      </patternFill>
    </fill>
    <fill>
      <patternFill patternType="solid">
        <fgColor rgb="FFE0E0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rgb="FFFFFFCC"/>
      </patternFill>
    </fill>
    <fill>
      <patternFill patternType="solid">
        <fgColor theme="5" tint="0.59999389629810485"/>
        <bgColor indexed="65"/>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1DF346"/>
        <bgColor indexed="64"/>
      </patternFill>
    </fill>
    <fill>
      <patternFill patternType="solid">
        <fgColor rgb="FFFFFF00"/>
        <bgColor indexed="64"/>
      </patternFill>
    </fill>
    <fill>
      <patternFill patternType="solid">
        <fgColor rgb="FFFFC000"/>
        <bgColor indexed="64"/>
      </patternFill>
    </fill>
    <fill>
      <patternFill patternType="solid">
        <fgColor rgb="FF365F91"/>
        <bgColor indexed="64"/>
      </patternFill>
    </fill>
    <fill>
      <patternFill patternType="solid">
        <fgColor rgb="FFDBE5F1"/>
        <bgColor indexed="64"/>
      </patternFill>
    </fill>
  </fills>
  <borders count="5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rgb="FF365F91"/>
      </bottom>
      <diagonal/>
    </border>
  </borders>
  <cellStyleXfs count="330">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8" fontId="6" fillId="2" borderId="0" applyNumberFormat="0" applyFont="0" applyBorder="0" applyAlignment="0">
      <alignment vertical="center"/>
    </xf>
    <xf numFmtId="165" fontId="6" fillId="0" borderId="0" applyFont="0" applyFill="0" applyBorder="0" applyAlignment="0" applyProtection="0"/>
    <xf numFmtId="0" fontId="11" fillId="0" borderId="0"/>
    <xf numFmtId="0" fontId="13" fillId="0" borderId="0"/>
    <xf numFmtId="0" fontId="17" fillId="0" borderId="0"/>
    <xf numFmtId="9" fontId="17" fillId="0" borderId="0" applyFont="0" applyFill="0" applyBorder="0" applyAlignment="0" applyProtection="0"/>
    <xf numFmtId="43" fontId="13"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0" fontId="2" fillId="0" borderId="0"/>
    <xf numFmtId="9" fontId="1" fillId="0" borderId="0" applyFont="0" applyFill="0" applyBorder="0" applyAlignment="0" applyProtection="0"/>
    <xf numFmtId="166" fontId="1" fillId="0" borderId="0" applyFont="0" applyFill="0" applyBorder="0" applyAlignment="0" applyProtection="0"/>
    <xf numFmtId="165" fontId="2" fillId="0" borderId="0" applyFont="0" applyFill="0" applyBorder="0" applyAlignment="0" applyProtection="0"/>
    <xf numFmtId="0" fontId="1" fillId="0" borderId="0"/>
    <xf numFmtId="0" fontId="23" fillId="0" borderId="0" applyNumberFormat="0" applyFont="0" applyFill="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1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2" borderId="0" applyNumberFormat="0" applyBorder="0" applyAlignment="0" applyProtection="0"/>
    <xf numFmtId="0" fontId="26" fillId="16" borderId="0" applyNumberFormat="0" applyBorder="0" applyAlignment="0" applyProtection="0"/>
    <xf numFmtId="41" fontId="6" fillId="3" borderId="0" applyNumberFormat="0" applyFont="0" applyBorder="0" applyAlignment="0">
      <alignment horizontal="right"/>
    </xf>
    <xf numFmtId="0" fontId="27" fillId="0" borderId="0" applyNumberFormat="0" applyFill="0" applyBorder="0" applyAlignment="0" applyProtection="0"/>
    <xf numFmtId="0" fontId="28" fillId="0" borderId="0"/>
    <xf numFmtId="172" fontId="18" fillId="0" borderId="0" applyFill="0"/>
    <xf numFmtId="172" fontId="18" fillId="0" borderId="0">
      <alignment horizontal="center"/>
    </xf>
    <xf numFmtId="0" fontId="18" fillId="0" borderId="0" applyFill="0">
      <alignment horizontal="center"/>
    </xf>
    <xf numFmtId="172" fontId="29" fillId="0" borderId="29" applyFill="0"/>
    <xf numFmtId="0" fontId="6" fillId="0" borderId="0" applyFont="0" applyAlignment="0"/>
    <xf numFmtId="0" fontId="30" fillId="0" borderId="0" applyFill="0">
      <alignment vertical="top"/>
    </xf>
    <xf numFmtId="0" fontId="29" fillId="0" borderId="0" applyFill="0">
      <alignment horizontal="left" vertical="top"/>
    </xf>
    <xf numFmtId="172" fontId="8" fillId="0" borderId="19" applyFill="0"/>
    <xf numFmtId="0" fontId="6" fillId="0" borderId="0" applyNumberFormat="0" applyFont="0" applyAlignment="0"/>
    <xf numFmtId="0" fontId="30" fillId="0" borderId="0" applyFill="0">
      <alignment wrapText="1"/>
    </xf>
    <xf numFmtId="0" fontId="29" fillId="0" borderId="0" applyFill="0">
      <alignment horizontal="left" vertical="top" wrapText="1"/>
    </xf>
    <xf numFmtId="172" fontId="31" fillId="0" borderId="0" applyFill="0"/>
    <xf numFmtId="0" fontId="32" fillId="0" borderId="0" applyNumberFormat="0" applyFont="0" applyAlignment="0">
      <alignment horizontal="center"/>
    </xf>
    <xf numFmtId="0" fontId="33" fillId="0" borderId="0" applyFill="0">
      <alignment vertical="top" wrapText="1"/>
    </xf>
    <xf numFmtId="0" fontId="8" fillId="0" borderId="0" applyFill="0">
      <alignment horizontal="left" vertical="top" wrapText="1"/>
    </xf>
    <xf numFmtId="172" fontId="6" fillId="0" borderId="0" applyFill="0"/>
    <xf numFmtId="0" fontId="32" fillId="0" borderId="0" applyNumberFormat="0" applyFont="0" applyAlignment="0">
      <alignment horizontal="center"/>
    </xf>
    <xf numFmtId="0" fontId="34" fillId="0" borderId="0" applyFill="0">
      <alignment vertical="center" wrapText="1"/>
    </xf>
    <xf numFmtId="0" fontId="35" fillId="0" borderId="0">
      <alignment horizontal="left" vertical="center" wrapText="1"/>
    </xf>
    <xf numFmtId="172" fontId="16" fillId="0" borderId="0" applyFill="0"/>
    <xf numFmtId="0" fontId="32" fillId="0" borderId="0" applyNumberFormat="0" applyFont="0" applyAlignment="0">
      <alignment horizontal="center"/>
    </xf>
    <xf numFmtId="0" fontId="36" fillId="0" borderId="0" applyFill="0">
      <alignment horizontal="center" vertical="center" wrapText="1"/>
    </xf>
    <xf numFmtId="0" fontId="6" fillId="0" borderId="0" applyFill="0">
      <alignment horizontal="center" vertical="center" wrapText="1"/>
    </xf>
    <xf numFmtId="172" fontId="37" fillId="0" borderId="0" applyFill="0"/>
    <xf numFmtId="0" fontId="32"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2" fontId="40" fillId="0" borderId="0" applyFill="0"/>
    <xf numFmtId="0" fontId="32"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42" fillId="33" borderId="30" applyNumberFormat="0" applyAlignment="0" applyProtection="0"/>
    <xf numFmtId="0" fontId="43" fillId="34" borderId="31" applyNumberFormat="0" applyAlignment="0" applyProtection="0"/>
    <xf numFmtId="173" fontId="6"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24"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44"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166" fontId="4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4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6" fontId="46" fillId="0" borderId="0" applyFont="0" applyFill="0" applyBorder="0" applyAlignment="0" applyProtection="0"/>
    <xf numFmtId="16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0" fontId="16" fillId="0" borderId="0" applyFont="0" applyFill="0" applyBorder="0" applyAlignment="0" applyProtection="0"/>
    <xf numFmtId="0" fontId="47" fillId="0" borderId="0" applyNumberFormat="0" applyFill="0" applyBorder="0" applyAlignment="0" applyProtection="0"/>
    <xf numFmtId="0" fontId="48" fillId="17" borderId="0" applyNumberFormat="0" applyBorder="0" applyAlignment="0" applyProtection="0"/>
    <xf numFmtId="0" fontId="49" fillId="35" borderId="0"/>
    <xf numFmtId="38" fontId="18" fillId="3" borderId="0" applyNumberFormat="0" applyBorder="0" applyAlignment="0" applyProtection="0"/>
    <xf numFmtId="171" fontId="6" fillId="36" borderId="17" applyNumberFormat="0" applyFont="0" applyBorder="0" applyAlignment="0" applyProtection="0"/>
    <xf numFmtId="171" fontId="6" fillId="36" borderId="17" applyNumberFormat="0" applyFont="0" applyBorder="0" applyAlignment="0" applyProtection="0"/>
    <xf numFmtId="37" fontId="50" fillId="0" borderId="16">
      <alignment vertical="center"/>
    </xf>
    <xf numFmtId="0" fontId="8" fillId="0" borderId="16" applyNumberFormat="0" applyAlignment="0" applyProtection="0">
      <alignment horizontal="left" vertical="center"/>
    </xf>
    <xf numFmtId="0" fontId="8" fillId="0" borderId="21">
      <alignment horizontal="left" vertical="center"/>
    </xf>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xf>
    <xf numFmtId="164" fontId="16" fillId="3" borderId="0" applyFont="0" applyBorder="0" applyAlignment="0"/>
    <xf numFmtId="164" fontId="16" fillId="3" borderId="0" applyFont="0" applyBorder="0" applyAlignment="0"/>
    <xf numFmtId="164" fontId="16" fillId="3" borderId="0" applyFont="0" applyBorder="0" applyAlignment="0"/>
    <xf numFmtId="171" fontId="16" fillId="3" borderId="0" applyFont="0" applyBorder="0" applyAlignment="0"/>
    <xf numFmtId="171" fontId="16" fillId="3" borderId="0" applyFont="0" applyBorder="0" applyAlignment="0"/>
    <xf numFmtId="171" fontId="16" fillId="3" borderId="0" applyFont="0" applyBorder="0" applyAlignment="0"/>
    <xf numFmtId="173" fontId="56" fillId="3" borderId="0">
      <protection locked="0"/>
    </xf>
    <xf numFmtId="10" fontId="18" fillId="37" borderId="17" applyNumberFormat="0" applyBorder="0" applyAlignment="0" applyProtection="0"/>
    <xf numFmtId="0" fontId="57" fillId="20" borderId="30" applyNumberFormat="0" applyAlignment="0" applyProtection="0"/>
    <xf numFmtId="0" fontId="57" fillId="20" borderId="30" applyNumberFormat="0" applyAlignment="0" applyProtection="0"/>
    <xf numFmtId="0" fontId="57" fillId="20" borderId="30" applyNumberFormat="0" applyAlignment="0" applyProtection="0"/>
    <xf numFmtId="41" fontId="6" fillId="38" borderId="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41" fontId="6" fillId="38" borderId="0" applyFont="0" applyBorder="0" applyAlignment="0">
      <alignment horizontal="right"/>
      <protection locked="0"/>
    </xf>
    <xf numFmtId="41" fontId="6" fillId="38" borderId="0" applyFont="0" applyBorder="0" applyAlignment="0">
      <alignment horizontal="right"/>
      <protection locked="0"/>
    </xf>
    <xf numFmtId="10" fontId="6" fillId="38"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38" borderId="0" applyFont="0" applyBorder="0">
      <alignment horizontal="right"/>
      <protection locked="0"/>
    </xf>
    <xf numFmtId="10" fontId="6" fillId="38" borderId="0" applyFont="0" applyBorder="0">
      <alignment horizontal="right"/>
      <protection locked="0"/>
    </xf>
    <xf numFmtId="3" fontId="6" fillId="4" borderId="0" applyNumberFormat="0" applyFont="0" applyBorder="0" applyAlignment="0">
      <alignment horizontal="right"/>
      <protection locked="0"/>
    </xf>
    <xf numFmtId="10" fontId="16" fillId="39"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0" fontId="7" fillId="36" borderId="0" applyFont="0" applyBorder="0" applyAlignment="0">
      <alignment horizontal="left"/>
      <protection locked="0"/>
    </xf>
    <xf numFmtId="41" fontId="6" fillId="36" borderId="0" applyFont="0" applyBorder="0">
      <alignment horizontal="right"/>
      <protection locked="0"/>
    </xf>
    <xf numFmtId="41" fontId="6" fillId="37" borderId="0" applyFont="0" applyBorder="0">
      <alignment horizontal="right"/>
      <protection locked="0"/>
    </xf>
    <xf numFmtId="41" fontId="6" fillId="37" borderId="0" applyFont="0" applyBorder="0">
      <alignment horizontal="right"/>
      <protection locked="0"/>
    </xf>
    <xf numFmtId="41" fontId="6" fillId="37" borderId="0" applyFont="0" applyBorder="0">
      <alignment horizontal="right"/>
      <protection locked="0"/>
    </xf>
    <xf numFmtId="9" fontId="7" fillId="37" borderId="0" applyFont="0" applyBorder="0">
      <alignment horizontal="right"/>
      <protection locked="0"/>
    </xf>
    <xf numFmtId="164" fontId="6" fillId="37" borderId="0" applyFont="0" applyBorder="0">
      <alignment horizontal="right"/>
      <protection locked="0"/>
    </xf>
    <xf numFmtId="0" fontId="58" fillId="0" borderId="35" applyNumberFormat="0" applyFill="0" applyAlignment="0" applyProtection="0"/>
    <xf numFmtId="0" fontId="59" fillId="40" borderId="0" applyNumberFormat="0" applyBorder="0" applyAlignment="0" applyProtection="0"/>
    <xf numFmtId="37" fontId="60" fillId="0" borderId="0"/>
    <xf numFmtId="167" fontId="16" fillId="3" borderId="6" applyNumberFormat="0" applyFont="0" applyBorder="0" applyAlignment="0">
      <alignment horizontal="right"/>
    </xf>
    <xf numFmtId="175" fontId="61" fillId="0" borderId="0"/>
    <xf numFmtId="0" fontId="62" fillId="0" borderId="0"/>
    <xf numFmtId="0" fontId="6" fillId="0" borderId="0"/>
    <xf numFmtId="0" fontId="5" fillId="0" borderId="0"/>
    <xf numFmtId="0" fontId="63" fillId="0" borderId="0"/>
    <xf numFmtId="0" fontId="46" fillId="0" borderId="0"/>
    <xf numFmtId="0" fontId="35" fillId="0" borderId="0"/>
    <xf numFmtId="0" fontId="46" fillId="0" borderId="0"/>
    <xf numFmtId="0" fontId="35" fillId="0" borderId="0"/>
    <xf numFmtId="0" fontId="4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6" fillId="0" borderId="0">
      <alignment vertical="top"/>
    </xf>
    <xf numFmtId="0" fontId="4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 fillId="0" borderId="0"/>
    <xf numFmtId="0"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44" fillId="0" borderId="0"/>
    <xf numFmtId="0" fontId="1" fillId="0" borderId="0"/>
    <xf numFmtId="0" fontId="24" fillId="0" borderId="0"/>
    <xf numFmtId="0" fontId="6" fillId="0" borderId="0"/>
    <xf numFmtId="0" fontId="6" fillId="0" borderId="0"/>
    <xf numFmtId="0" fontId="6" fillId="0" borderId="0"/>
    <xf numFmtId="0" fontId="1" fillId="0" borderId="0"/>
    <xf numFmtId="0" fontId="6" fillId="0" borderId="0"/>
    <xf numFmtId="0" fontId="46" fillId="0" borderId="0"/>
    <xf numFmtId="0" fontId="6" fillId="0" borderId="0"/>
    <xf numFmtId="0" fontId="1" fillId="0" borderId="0"/>
    <xf numFmtId="0" fontId="6" fillId="0" borderId="0"/>
    <xf numFmtId="0" fontId="6" fillId="0" borderId="0">
      <alignment vertical="top"/>
    </xf>
    <xf numFmtId="0" fontId="16" fillId="0" borderId="0"/>
    <xf numFmtId="0" fontId="45" fillId="10" borderId="22" applyNumberFormat="0" applyFont="0" applyAlignment="0" applyProtection="0"/>
    <xf numFmtId="0" fontId="6" fillId="41" borderId="36" applyNumberFormat="0" applyFont="0" applyAlignment="0" applyProtection="0"/>
    <xf numFmtId="0" fontId="65" fillId="33" borderId="37"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6" fillId="0" borderId="38">
      <alignment horizontal="center"/>
    </xf>
    <xf numFmtId="3" fontId="17" fillId="0" borderId="0" applyFont="0" applyFill="0" applyBorder="0" applyAlignment="0" applyProtection="0"/>
    <xf numFmtId="0" fontId="17" fillId="42" borderId="0" applyNumberFormat="0" applyFont="0" applyBorder="0" applyAlignment="0" applyProtection="0"/>
    <xf numFmtId="4" fontId="18" fillId="3" borderId="0" applyFill="0"/>
    <xf numFmtId="0" fontId="67" fillId="0" borderId="0">
      <alignment horizontal="left" indent="7"/>
    </xf>
    <xf numFmtId="0" fontId="18" fillId="0" borderId="0" applyFill="0">
      <alignment horizontal="left" indent="7"/>
    </xf>
    <xf numFmtId="176" fontId="68" fillId="0" borderId="1" applyFill="0">
      <alignment horizontal="right"/>
    </xf>
    <xf numFmtId="0" fontId="7" fillId="0" borderId="39" applyNumberFormat="0" applyFont="0" applyBorder="0">
      <alignment horizontal="right"/>
    </xf>
    <xf numFmtId="0" fontId="69" fillId="0" borderId="0" applyFill="0"/>
    <xf numFmtId="0" fontId="8" fillId="0" borderId="0" applyFill="0"/>
    <xf numFmtId="176" fontId="68" fillId="0" borderId="1" applyFill="0"/>
    <xf numFmtId="0" fontId="6" fillId="0" borderId="0" applyNumberFormat="0" applyFont="0" applyBorder="0" applyAlignment="0"/>
    <xf numFmtId="0" fontId="33" fillId="0" borderId="0" applyFill="0">
      <alignment horizontal="left" indent="1"/>
    </xf>
    <xf numFmtId="0" fontId="70" fillId="0" borderId="0" applyFill="0">
      <alignment horizontal="left" indent="1"/>
    </xf>
    <xf numFmtId="176" fontId="16" fillId="0" borderId="0" applyFill="0"/>
    <xf numFmtId="0" fontId="6" fillId="0" borderId="0" applyNumberFormat="0" applyFont="0" applyFill="0" applyBorder="0" applyAlignment="0"/>
    <xf numFmtId="0" fontId="33" fillId="0" borderId="0" applyFill="0">
      <alignment horizontal="left" indent="2"/>
    </xf>
    <xf numFmtId="0" fontId="8" fillId="0" borderId="0" applyFill="0">
      <alignment horizontal="left" indent="2"/>
    </xf>
    <xf numFmtId="176" fontId="16" fillId="0" borderId="0" applyFill="0"/>
    <xf numFmtId="0" fontId="6" fillId="0" borderId="0" applyNumberFormat="0" applyFont="0" applyBorder="0" applyAlignment="0"/>
    <xf numFmtId="0" fontId="71" fillId="0" borderId="0">
      <alignment horizontal="left" indent="3"/>
    </xf>
    <xf numFmtId="0" fontId="72" fillId="0" borderId="0" applyFill="0">
      <alignment horizontal="left" indent="3"/>
    </xf>
    <xf numFmtId="176" fontId="16" fillId="0" borderId="0" applyFill="0"/>
    <xf numFmtId="0" fontId="6" fillId="0" borderId="0" applyNumberFormat="0" applyFont="0" applyBorder="0" applyAlignment="0"/>
    <xf numFmtId="0" fontId="36" fillId="0" borderId="0">
      <alignment horizontal="left" indent="4"/>
    </xf>
    <xf numFmtId="0" fontId="6" fillId="0" borderId="0" applyFill="0">
      <alignment horizontal="left" indent="4"/>
    </xf>
    <xf numFmtId="4" fontId="37" fillId="0" borderId="0" applyFill="0"/>
    <xf numFmtId="0" fontId="6" fillId="0" borderId="0" applyNumberFormat="0" applyFont="0" applyBorder="0" applyAlignment="0"/>
    <xf numFmtId="0" fontId="38" fillId="0" borderId="0">
      <alignment horizontal="left" indent="5"/>
    </xf>
    <xf numFmtId="0" fontId="39" fillId="0" borderId="0" applyFill="0">
      <alignment horizontal="left" indent="5"/>
    </xf>
    <xf numFmtId="4" fontId="40" fillId="0" borderId="0" applyFill="0"/>
    <xf numFmtId="0" fontId="6" fillId="0" borderId="0" applyNumberFormat="0" applyFont="0" applyFill="0" applyBorder="0" applyAlignment="0"/>
    <xf numFmtId="0" fontId="41" fillId="0" borderId="0" applyFill="0">
      <alignment horizontal="left" indent="6"/>
    </xf>
    <xf numFmtId="0" fontId="37" fillId="0" borderId="0" applyFill="0">
      <alignment horizontal="left" indent="6"/>
    </xf>
    <xf numFmtId="0" fontId="73" fillId="0" borderId="0"/>
    <xf numFmtId="0" fontId="6" fillId="0" borderId="0"/>
    <xf numFmtId="40" fontId="74" fillId="0" borderId="0"/>
    <xf numFmtId="0" fontId="75" fillId="0" borderId="0" applyNumberFormat="0" applyFill="0" applyBorder="0" applyAlignment="0" applyProtection="0"/>
    <xf numFmtId="0" fontId="76" fillId="0" borderId="40" applyNumberFormat="0" applyFill="0" applyAlignment="0" applyProtection="0"/>
    <xf numFmtId="0" fontId="16" fillId="0" borderId="0" applyFont="0" applyFill="0" applyBorder="0" applyAlignment="0" applyProtection="0"/>
    <xf numFmtId="0" fontId="77" fillId="0" borderId="0" applyNumberFormat="0" applyFill="0" applyBorder="0" applyAlignment="0" applyProtection="0"/>
    <xf numFmtId="168" fontId="6" fillId="2" borderId="0" applyNumberFormat="0" applyFont="0" applyBorder="0" applyAlignment="0">
      <alignment vertical="center"/>
    </xf>
    <xf numFmtId="0" fontId="6" fillId="43" borderId="0"/>
    <xf numFmtId="0" fontId="78" fillId="43" borderId="0"/>
  </cellStyleXfs>
  <cellXfs count="434">
    <xf numFmtId="0" fontId="0" fillId="0" borderId="0" xfId="0"/>
    <xf numFmtId="0" fontId="4" fillId="0" borderId="0" xfId="0" applyFont="1" applyAlignment="1">
      <alignment horizontal="center" vertical="top"/>
    </xf>
    <xf numFmtId="0" fontId="3" fillId="0" borderId="0" xfId="0" applyFont="1" applyAlignment="1">
      <alignment horizontal="center" vertical="top"/>
    </xf>
    <xf numFmtId="166" fontId="0" fillId="0" borderId="0" xfId="0" applyNumberFormat="1"/>
    <xf numFmtId="0" fontId="0" fillId="0" borderId="0" xfId="0"/>
    <xf numFmtId="0" fontId="3" fillId="0" borderId="0" xfId="0" applyFont="1"/>
    <xf numFmtId="167" fontId="0" fillId="0" borderId="0" xfId="1" applyNumberFormat="1" applyFont="1"/>
    <xf numFmtId="167" fontId="0" fillId="0" borderId="0" xfId="0" applyNumberFormat="1"/>
    <xf numFmtId="9" fontId="0" fillId="0" borderId="0" xfId="3" applyFont="1"/>
    <xf numFmtId="9" fontId="0" fillId="0" borderId="0" xfId="0" applyNumberFormat="1"/>
    <xf numFmtId="167" fontId="6" fillId="0" borderId="0" xfId="5" applyNumberFormat="1" applyFont="1"/>
    <xf numFmtId="0" fontId="12" fillId="0" borderId="0" xfId="0" applyFont="1"/>
    <xf numFmtId="167" fontId="0" fillId="0" borderId="14" xfId="1" applyNumberFormat="1" applyFont="1" applyBorder="1"/>
    <xf numFmtId="0" fontId="3" fillId="0" borderId="0" xfId="0" applyFont="1" applyAlignment="1">
      <alignment horizontal="center"/>
    </xf>
    <xf numFmtId="0" fontId="3" fillId="0" borderId="17" xfId="0" applyFont="1" applyBorder="1"/>
    <xf numFmtId="0" fontId="0" fillId="0" borderId="17" xfId="0" applyBorder="1"/>
    <xf numFmtId="166" fontId="0" fillId="0" borderId="17" xfId="1" applyFont="1" applyBorder="1"/>
    <xf numFmtId="0" fontId="3" fillId="7" borderId="17" xfId="0" applyFont="1" applyFill="1" applyBorder="1"/>
    <xf numFmtId="167" fontId="0" fillId="0" borderId="17" xfId="1" applyNumberFormat="1" applyFont="1" applyBorder="1"/>
    <xf numFmtId="167" fontId="0" fillId="0" borderId="17" xfId="0" applyNumberFormat="1" applyBorder="1"/>
    <xf numFmtId="0" fontId="3" fillId="8" borderId="17" xfId="0" applyFont="1" applyFill="1" applyBorder="1"/>
    <xf numFmtId="0" fontId="0" fillId="8" borderId="17" xfId="0" applyFill="1" applyBorder="1"/>
    <xf numFmtId="0" fontId="3" fillId="8" borderId="17" xfId="0" applyFont="1" applyFill="1" applyBorder="1" applyAlignment="1">
      <alignment horizontal="center"/>
    </xf>
    <xf numFmtId="0" fontId="0" fillId="0" borderId="17" xfId="0" applyFont="1" applyBorder="1"/>
    <xf numFmtId="167" fontId="0" fillId="8" borderId="17" xfId="0" applyNumberFormat="1" applyFill="1" applyBorder="1"/>
    <xf numFmtId="0" fontId="0" fillId="0" borderId="1" xfId="0" applyBorder="1"/>
    <xf numFmtId="14" fontId="0" fillId="0" borderId="0" xfId="0" applyNumberFormat="1"/>
    <xf numFmtId="0" fontId="8" fillId="3" borderId="21" xfId="0" applyFont="1" applyFill="1" applyBorder="1" applyAlignment="1">
      <alignment horizontal="left"/>
    </xf>
    <xf numFmtId="0" fontId="7" fillId="3" borderId="21" xfId="0" applyFont="1" applyFill="1" applyBorder="1" applyAlignment="1">
      <alignment horizontal="center"/>
    </xf>
    <xf numFmtId="0" fontId="7" fillId="3" borderId="21" xfId="0" applyFont="1" applyFill="1" applyBorder="1" applyAlignment="1">
      <alignment horizontal="right"/>
    </xf>
    <xf numFmtId="0" fontId="20" fillId="0" borderId="0" xfId="0" applyFont="1"/>
    <xf numFmtId="171" fontId="0" fillId="0" borderId="0" xfId="6" applyNumberFormat="1" applyFont="1"/>
    <xf numFmtId="0" fontId="7" fillId="0" borderId="0" xfId="0" applyFont="1"/>
    <xf numFmtId="165" fontId="7" fillId="9" borderId="0" xfId="8" applyFont="1" applyFill="1"/>
    <xf numFmtId="0" fontId="0" fillId="0" borderId="0" xfId="0" applyFill="1"/>
    <xf numFmtId="0" fontId="21" fillId="9" borderId="17" xfId="0" applyFont="1" applyFill="1" applyBorder="1"/>
    <xf numFmtId="0" fontId="22" fillId="0" borderId="0" xfId="0" applyFont="1"/>
    <xf numFmtId="0" fontId="0" fillId="0" borderId="0" xfId="0" applyFont="1" applyFill="1"/>
    <xf numFmtId="0" fontId="3" fillId="12" borderId="0" xfId="0" applyFont="1" applyFill="1"/>
    <xf numFmtId="10" fontId="3" fillId="12" borderId="0" xfId="3" applyNumberFormat="1" applyFont="1" applyFill="1"/>
    <xf numFmtId="0" fontId="3" fillId="9" borderId="0" xfId="19" applyFont="1" applyFill="1"/>
    <xf numFmtId="0" fontId="22" fillId="0" borderId="0" xfId="19" applyFont="1"/>
    <xf numFmtId="0" fontId="3" fillId="0" borderId="0" xfId="19" applyFont="1"/>
    <xf numFmtId="167" fontId="3" fillId="0" borderId="0" xfId="19" applyNumberFormat="1" applyFont="1"/>
    <xf numFmtId="0" fontId="22" fillId="0" borderId="0" xfId="19" applyFont="1" applyFill="1"/>
    <xf numFmtId="166" fontId="80" fillId="0" borderId="0" xfId="0" applyNumberFormat="1" applyFont="1"/>
    <xf numFmtId="0" fontId="80" fillId="0" borderId="0" xfId="0" applyFont="1"/>
    <xf numFmtId="166" fontId="0" fillId="0" borderId="0" xfId="1" applyFont="1"/>
    <xf numFmtId="0" fontId="82" fillId="9" borderId="0" xfId="0" applyFont="1" applyFill="1"/>
    <xf numFmtId="0" fontId="83" fillId="0" borderId="0" xfId="0" applyFont="1"/>
    <xf numFmtId="0" fontId="84" fillId="9" borderId="0" xfId="0" applyFont="1" applyFill="1"/>
    <xf numFmtId="0" fontId="85" fillId="0" borderId="1" xfId="0" applyFont="1" applyBorder="1"/>
    <xf numFmtId="165" fontId="83" fillId="0" borderId="0" xfId="121" applyFont="1"/>
    <xf numFmtId="9" fontId="83" fillId="0" borderId="0" xfId="276" applyFont="1"/>
    <xf numFmtId="0" fontId="84" fillId="0" borderId="0" xfId="0" applyFont="1"/>
    <xf numFmtId="165" fontId="85" fillId="0" borderId="0" xfId="121" applyFont="1"/>
    <xf numFmtId="0" fontId="85" fillId="0" borderId="0" xfId="0" applyFont="1"/>
    <xf numFmtId="10" fontId="83" fillId="0" borderId="0" xfId="276" applyNumberFormat="1" applyFont="1"/>
    <xf numFmtId="165" fontId="85" fillId="0" borderId="0" xfId="0" applyNumberFormat="1" applyFont="1"/>
    <xf numFmtId="0" fontId="83" fillId="0" borderId="0" xfId="0" applyFont="1" applyAlignment="1">
      <alignment wrapText="1"/>
    </xf>
    <xf numFmtId="0" fontId="0" fillId="0" borderId="42" xfId="0" applyBorder="1"/>
    <xf numFmtId="167" fontId="19" fillId="0" borderId="0" xfId="1" applyNumberFormat="1" applyFont="1"/>
    <xf numFmtId="0" fontId="0" fillId="0" borderId="0" xfId="0" applyFill="1" applyBorder="1"/>
    <xf numFmtId="0" fontId="15" fillId="0" borderId="0" xfId="10" applyFont="1" applyFill="1" applyBorder="1" applyAlignment="1">
      <alignment horizontal="left" vertical="top" wrapText="1" readingOrder="1"/>
    </xf>
    <xf numFmtId="165" fontId="16" fillId="0" borderId="0" xfId="17" applyFont="1" applyFill="1" applyBorder="1" applyAlignment="1">
      <alignment horizontal="center" vertical="center" wrapText="1" readingOrder="1"/>
    </xf>
    <xf numFmtId="165" fontId="0" fillId="0" borderId="0" xfId="2" applyFont="1"/>
    <xf numFmtId="10" fontId="83" fillId="0" borderId="0" xfId="0" applyNumberFormat="1" applyFont="1"/>
    <xf numFmtId="165" fontId="83" fillId="0" borderId="0" xfId="0" applyNumberFormat="1" applyFont="1"/>
    <xf numFmtId="9" fontId="83" fillId="0" borderId="0" xfId="0" applyNumberFormat="1" applyFont="1"/>
    <xf numFmtId="166" fontId="83" fillId="0" borderId="0" xfId="1" applyFont="1"/>
    <xf numFmtId="165" fontId="0" fillId="0" borderId="0" xfId="0" applyNumberFormat="1"/>
    <xf numFmtId="9" fontId="6" fillId="0" borderId="0" xfId="3" applyFont="1" applyFill="1"/>
    <xf numFmtId="167" fontId="6" fillId="0" borderId="0" xfId="5" applyNumberFormat="1" applyFont="1" applyFill="1"/>
    <xf numFmtId="167" fontId="0" fillId="0" borderId="0" xfId="18" applyNumberFormat="1" applyFont="1" applyFill="1" applyBorder="1"/>
    <xf numFmtId="165" fontId="83" fillId="0" borderId="0" xfId="2" applyFont="1"/>
    <xf numFmtId="167" fontId="6" fillId="0" borderId="42" xfId="5" applyNumberFormat="1" applyFont="1" applyBorder="1"/>
    <xf numFmtId="9" fontId="81" fillId="0" borderId="0" xfId="16" applyFont="1" applyBorder="1" applyAlignment="1">
      <alignment horizontal="right" wrapText="1" readingOrder="1"/>
    </xf>
    <xf numFmtId="9" fontId="81" fillId="0" borderId="1" xfId="16" applyFont="1" applyBorder="1" applyAlignment="1">
      <alignment horizontal="right" wrapText="1" readingOrder="1"/>
    </xf>
    <xf numFmtId="0" fontId="6" fillId="0" borderId="0" xfId="0" applyFont="1"/>
    <xf numFmtId="0" fontId="21" fillId="9" borderId="42" xfId="0" applyFont="1" applyFill="1" applyBorder="1"/>
    <xf numFmtId="0" fontId="21" fillId="9" borderId="42" xfId="0" applyFont="1" applyFill="1" applyBorder="1" applyAlignment="1">
      <alignment horizontal="center"/>
    </xf>
    <xf numFmtId="165" fontId="0" fillId="0" borderId="42" xfId="0" applyNumberFormat="1" applyBorder="1"/>
    <xf numFmtId="0" fontId="21" fillId="9" borderId="0" xfId="0" applyFont="1" applyFill="1"/>
    <xf numFmtId="0" fontId="0" fillId="0" borderId="0" xfId="0" applyFont="1"/>
    <xf numFmtId="0" fontId="6" fillId="0" borderId="0" xfId="197" applyFont="1" applyFill="1" applyBorder="1"/>
    <xf numFmtId="0" fontId="0" fillId="47" borderId="0" xfId="0" applyFont="1" applyFill="1"/>
    <xf numFmtId="10" fontId="0" fillId="0" borderId="0" xfId="0" applyNumberFormat="1" applyFont="1"/>
    <xf numFmtId="0" fontId="6" fillId="0" borderId="0" xfId="4" applyFont="1"/>
    <xf numFmtId="0" fontId="6" fillId="0" borderId="0" xfId="4" applyFont="1" applyFill="1"/>
    <xf numFmtId="167" fontId="0" fillId="0" borderId="3" xfId="0" applyNumberFormat="1" applyFont="1" applyBorder="1"/>
    <xf numFmtId="167" fontId="0" fillId="0" borderId="0" xfId="0" applyNumberFormat="1" applyFont="1" applyBorder="1"/>
    <xf numFmtId="167" fontId="0" fillId="0" borderId="0" xfId="0" applyNumberFormat="1" applyFont="1"/>
    <xf numFmtId="3" fontId="0" fillId="0" borderId="0" xfId="0" applyNumberFormat="1" applyFont="1"/>
    <xf numFmtId="167" fontId="0" fillId="0" borderId="2" xfId="0" applyNumberFormat="1" applyFont="1" applyBorder="1"/>
    <xf numFmtId="3" fontId="0" fillId="0" borderId="2" xfId="0" applyNumberFormat="1" applyFont="1" applyBorder="1"/>
    <xf numFmtId="9" fontId="0" fillId="0" borderId="0" xfId="0" applyNumberFormat="1" applyFont="1" applyBorder="1" applyAlignment="1">
      <alignment horizontal="right" readingOrder="1"/>
    </xf>
    <xf numFmtId="167" fontId="0" fillId="0" borderId="0" xfId="0" applyNumberFormat="1" applyFont="1" applyFill="1"/>
    <xf numFmtId="10" fontId="0" fillId="7" borderId="0" xfId="276" applyNumberFormat="1" applyFont="1" applyFill="1"/>
    <xf numFmtId="10" fontId="0" fillId="44" borderId="0" xfId="276" applyNumberFormat="1" applyFont="1" applyFill="1"/>
    <xf numFmtId="0" fontId="0" fillId="9" borderId="15" xfId="0" applyFont="1" applyFill="1" applyBorder="1"/>
    <xf numFmtId="10" fontId="0" fillId="9" borderId="16" xfId="276" applyNumberFormat="1" applyFont="1" applyFill="1" applyBorder="1"/>
    <xf numFmtId="14" fontId="86" fillId="0" borderId="0" xfId="0" applyNumberFormat="1" applyFont="1" applyAlignment="1">
      <alignment horizontal="center" vertical="top"/>
    </xf>
    <xf numFmtId="0" fontId="86" fillId="0" borderId="0" xfId="0" applyFont="1" applyAlignment="1">
      <alignment horizontal="center" vertical="top"/>
    </xf>
    <xf numFmtId="0" fontId="86" fillId="0" borderId="0" xfId="0" applyFont="1" applyFill="1" applyAlignment="1">
      <alignment horizontal="left" vertical="top"/>
    </xf>
    <xf numFmtId="0" fontId="86" fillId="0" borderId="0" xfId="0" applyFont="1" applyFill="1" applyAlignment="1">
      <alignment horizontal="center" vertical="top"/>
    </xf>
    <xf numFmtId="165" fontId="16" fillId="44" borderId="7" xfId="17" applyFont="1" applyFill="1" applyBorder="1" applyAlignment="1">
      <alignment horizontal="center" vertical="center" wrapText="1" readingOrder="1"/>
    </xf>
    <xf numFmtId="166" fontId="0" fillId="44" borderId="0" xfId="1" applyFont="1" applyFill="1"/>
    <xf numFmtId="167" fontId="0" fillId="44" borderId="0" xfId="1" applyNumberFormat="1" applyFont="1" applyFill="1"/>
    <xf numFmtId="9" fontId="0" fillId="44" borderId="0" xfId="3" applyFont="1" applyFill="1"/>
    <xf numFmtId="0" fontId="0" fillId="44" borderId="0" xfId="0" applyFill="1"/>
    <xf numFmtId="165" fontId="16" fillId="44" borderId="5" xfId="17" applyFont="1" applyFill="1" applyBorder="1" applyAlignment="1">
      <alignment horizontal="center" vertical="center" wrapText="1" readingOrder="1"/>
    </xf>
    <xf numFmtId="0" fontId="15" fillId="0" borderId="0" xfId="10" applyFont="1" applyFill="1" applyBorder="1" applyAlignment="1">
      <alignment horizontal="left" vertical="top" readingOrder="1"/>
    </xf>
    <xf numFmtId="0" fontId="14" fillId="0" borderId="0" xfId="10" applyFont="1" applyFill="1" applyBorder="1" applyAlignment="1">
      <alignment horizontal="left" vertical="top" readingOrder="1"/>
    </xf>
    <xf numFmtId="169" fontId="0" fillId="0" borderId="0" xfId="0" applyNumberFormat="1" applyFont="1"/>
    <xf numFmtId="0" fontId="0" fillId="0" borderId="14" xfId="0" applyFont="1" applyBorder="1"/>
    <xf numFmtId="169" fontId="0" fillId="0" borderId="14" xfId="0" applyNumberFormat="1" applyFont="1" applyBorder="1"/>
    <xf numFmtId="0" fontId="7" fillId="0" borderId="0" xfId="0" applyFont="1" applyAlignment="1">
      <alignment horizontal="left" vertical="center" indent="4"/>
    </xf>
    <xf numFmtId="0" fontId="7" fillId="6" borderId="14" xfId="0" applyFont="1" applyFill="1" applyBorder="1" applyAlignment="1">
      <alignment horizontal="left" vertical="center"/>
    </xf>
    <xf numFmtId="167" fontId="7" fillId="6" borderId="14" xfId="1" quotePrefix="1" applyNumberFormat="1" applyFont="1" applyFill="1" applyBorder="1" applyAlignment="1">
      <alignment horizontal="center" vertical="center" wrapText="1"/>
    </xf>
    <xf numFmtId="169" fontId="7" fillId="6" borderId="14" xfId="0" applyNumberFormat="1" applyFont="1" applyFill="1" applyBorder="1" applyAlignment="1">
      <alignment horizontal="center" vertical="center"/>
    </xf>
    <xf numFmtId="167" fontId="7" fillId="6" borderId="14" xfId="1" applyNumberFormat="1" applyFont="1" applyFill="1" applyBorder="1" applyAlignment="1">
      <alignment horizontal="center" vertical="center" wrapText="1"/>
    </xf>
    <xf numFmtId="169" fontId="7" fillId="6" borderId="14" xfId="0" applyNumberFormat="1" applyFont="1" applyFill="1" applyBorder="1" applyAlignment="1">
      <alignment horizontal="center" vertical="center" wrapText="1"/>
    </xf>
    <xf numFmtId="167" fontId="7" fillId="45" borderId="14" xfId="1" applyNumberFormat="1" applyFont="1" applyFill="1" applyBorder="1" applyAlignment="1">
      <alignment horizontal="center" vertical="center" wrapText="1"/>
    </xf>
    <xf numFmtId="169" fontId="7" fillId="45" borderId="14" xfId="0" applyNumberFormat="1" applyFont="1" applyFill="1" applyBorder="1" applyAlignment="1">
      <alignment horizontal="center" vertical="center" wrapText="1"/>
    </xf>
    <xf numFmtId="167" fontId="7" fillId="45" borderId="14" xfId="1" quotePrefix="1" applyNumberFormat="1" applyFont="1" applyFill="1" applyBorder="1" applyAlignment="1">
      <alignment horizontal="center" vertical="center" wrapText="1"/>
    </xf>
    <xf numFmtId="0" fontId="6" fillId="0" borderId="14" xfId="0" applyFont="1" applyBorder="1" applyAlignment="1">
      <alignment horizontal="justify" vertical="center"/>
    </xf>
    <xf numFmtId="167" fontId="6" fillId="0" borderId="14" xfId="1" applyNumberFormat="1" applyFont="1" applyBorder="1" applyAlignment="1">
      <alignment horizontal="center" vertical="center"/>
    </xf>
    <xf numFmtId="169" fontId="6" fillId="0" borderId="14" xfId="0" applyNumberFormat="1" applyFont="1" applyBorder="1" applyAlignment="1">
      <alignment horizontal="center" vertical="center"/>
    </xf>
    <xf numFmtId="167" fontId="6" fillId="0" borderId="14" xfId="1" applyNumberFormat="1" applyFont="1" applyBorder="1" applyAlignment="1">
      <alignment horizontal="center" vertical="center" wrapText="1"/>
    </xf>
    <xf numFmtId="169" fontId="6" fillId="0" borderId="14" xfId="2" applyNumberFormat="1" applyFont="1" applyBorder="1" applyAlignment="1">
      <alignment horizontal="center" vertical="center" wrapText="1"/>
    </xf>
    <xf numFmtId="0" fontId="6" fillId="0" borderId="14" xfId="0" applyFont="1" applyBorder="1" applyAlignment="1">
      <alignment horizontal="justify" vertical="center" wrapText="1"/>
    </xf>
    <xf numFmtId="169" fontId="6" fillId="0" borderId="14" xfId="2" applyNumberFormat="1" applyFont="1" applyBorder="1" applyAlignment="1">
      <alignment horizontal="center" vertical="center"/>
    </xf>
    <xf numFmtId="169" fontId="7" fillId="6" borderId="14" xfId="0" quotePrefix="1" applyNumberFormat="1" applyFont="1" applyFill="1" applyBorder="1" applyAlignment="1">
      <alignment horizontal="center" vertical="center" wrapText="1"/>
    </xf>
    <xf numFmtId="169" fontId="6" fillId="0" borderId="14" xfId="0" applyNumberFormat="1" applyFont="1" applyBorder="1" applyAlignment="1">
      <alignment horizontal="center" vertical="center" wrapText="1"/>
    </xf>
    <xf numFmtId="0" fontId="7" fillId="0" borderId="14" xfId="0" applyFont="1" applyBorder="1" applyAlignment="1">
      <alignment horizontal="justify" vertical="center" wrapText="1"/>
    </xf>
    <xf numFmtId="167" fontId="7" fillId="0" borderId="14" xfId="1" applyNumberFormat="1" applyFont="1" applyBorder="1" applyAlignment="1">
      <alignment horizontal="center" vertical="center"/>
    </xf>
    <xf numFmtId="169" fontId="7" fillId="0" borderId="14" xfId="0" applyNumberFormat="1" applyFont="1" applyBorder="1" applyAlignment="1">
      <alignment horizontal="center" vertical="center" wrapText="1"/>
    </xf>
    <xf numFmtId="0" fontId="7" fillId="0" borderId="15" xfId="0" applyFont="1" applyBorder="1" applyAlignment="1">
      <alignment horizontal="justify" vertical="center" wrapText="1"/>
    </xf>
    <xf numFmtId="167" fontId="7" fillId="0" borderId="16" xfId="1" applyNumberFormat="1" applyFont="1" applyBorder="1" applyAlignment="1">
      <alignment horizontal="center" vertical="center"/>
    </xf>
    <xf numFmtId="169" fontId="7" fillId="0" borderId="16" xfId="2" applyNumberFormat="1" applyFont="1" applyBorder="1" applyAlignment="1">
      <alignment horizontal="center" vertical="center"/>
    </xf>
    <xf numFmtId="0" fontId="7" fillId="6" borderId="9" xfId="0" applyFont="1" applyFill="1" applyBorder="1" applyAlignment="1">
      <alignment horizontal="left" vertical="center"/>
    </xf>
    <xf numFmtId="167" fontId="7" fillId="6" borderId="12" xfId="1" quotePrefix="1" applyNumberFormat="1" applyFont="1" applyFill="1" applyBorder="1" applyAlignment="1">
      <alignment horizontal="center" vertical="center" wrapText="1"/>
    </xf>
    <xf numFmtId="169" fontId="7" fillId="6" borderId="12" xfId="0" applyNumberFormat="1" applyFont="1" applyFill="1" applyBorder="1" applyAlignment="1">
      <alignment horizontal="center" vertical="center"/>
    </xf>
    <xf numFmtId="167" fontId="7" fillId="6" borderId="12" xfId="1" applyNumberFormat="1" applyFont="1" applyFill="1" applyBorder="1" applyAlignment="1">
      <alignment horizontal="center" vertical="center" wrapText="1"/>
    </xf>
    <xf numFmtId="169" fontId="7" fillId="6" borderId="12" xfId="0" applyNumberFormat="1" applyFont="1" applyFill="1" applyBorder="1" applyAlignment="1">
      <alignment horizontal="center" vertical="center" wrapText="1"/>
    </xf>
    <xf numFmtId="0" fontId="6" fillId="0" borderId="10" xfId="0" applyFont="1" applyBorder="1" applyAlignment="1">
      <alignment horizontal="justify" vertical="center"/>
    </xf>
    <xf numFmtId="167" fontId="6" fillId="0" borderId="13" xfId="1" applyNumberFormat="1" applyFont="1" applyBorder="1" applyAlignment="1">
      <alignment horizontal="center" vertical="center"/>
    </xf>
    <xf numFmtId="169" fontId="6" fillId="0" borderId="13" xfId="0" applyNumberFormat="1" applyFont="1" applyBorder="1" applyAlignment="1">
      <alignment horizontal="center" vertical="center"/>
    </xf>
    <xf numFmtId="167" fontId="6" fillId="0" borderId="13" xfId="1" applyNumberFormat="1" applyFont="1" applyBorder="1" applyAlignment="1">
      <alignment horizontal="center" vertical="center" wrapText="1"/>
    </xf>
    <xf numFmtId="169" fontId="6" fillId="0" borderId="13" xfId="0" applyNumberFormat="1" applyFont="1" applyBorder="1" applyAlignment="1">
      <alignment horizontal="center" vertical="center" wrapText="1"/>
    </xf>
    <xf numFmtId="169" fontId="6" fillId="0" borderId="13" xfId="2" applyNumberFormat="1" applyFont="1" applyBorder="1" applyAlignment="1">
      <alignment horizontal="center" vertical="center" wrapText="1"/>
    </xf>
    <xf numFmtId="0" fontId="6" fillId="0" borderId="10" xfId="0" applyFont="1" applyBorder="1" applyAlignment="1">
      <alignment horizontal="justify" vertical="center" wrapText="1"/>
    </xf>
    <xf numFmtId="169" fontId="6" fillId="0" borderId="13" xfId="2" applyNumberFormat="1" applyFont="1" applyBorder="1" applyAlignment="1">
      <alignment horizontal="center" vertical="center"/>
    </xf>
    <xf numFmtId="0" fontId="6" fillId="0" borderId="11" xfId="0" applyFont="1" applyBorder="1" applyAlignment="1">
      <alignment horizontal="justify" vertical="center" wrapText="1"/>
    </xf>
    <xf numFmtId="0" fontId="7" fillId="0" borderId="11" xfId="0" applyFont="1" applyBorder="1" applyAlignment="1">
      <alignment horizontal="justify" vertical="center" wrapText="1"/>
    </xf>
    <xf numFmtId="167" fontId="7" fillId="0" borderId="13" xfId="1" applyNumberFormat="1" applyFont="1" applyBorder="1" applyAlignment="1">
      <alignment horizontal="center" vertical="center"/>
    </xf>
    <xf numFmtId="169" fontId="7" fillId="0" borderId="13" xfId="2" applyNumberFormat="1" applyFont="1" applyBorder="1" applyAlignment="1">
      <alignment horizontal="center" vertical="center"/>
    </xf>
    <xf numFmtId="0" fontId="7" fillId="0" borderId="0" xfId="0" applyFont="1" applyBorder="1" applyAlignment="1">
      <alignment horizontal="justify" vertical="center" wrapText="1"/>
    </xf>
    <xf numFmtId="167" fontId="7" fillId="0" borderId="0" xfId="1" applyNumberFormat="1" applyFont="1" applyBorder="1" applyAlignment="1">
      <alignment horizontal="center" vertical="center"/>
    </xf>
    <xf numFmtId="169" fontId="7" fillId="0" borderId="0" xfId="2" applyNumberFormat="1" applyFont="1" applyBorder="1" applyAlignment="1">
      <alignment horizontal="center" vertical="center"/>
    </xf>
    <xf numFmtId="167" fontId="7" fillId="0" borderId="0" xfId="1" applyNumberFormat="1" applyFont="1" applyBorder="1" applyAlignment="1">
      <alignment horizontal="center" vertical="center" wrapText="1"/>
    </xf>
    <xf numFmtId="167" fontId="7" fillId="0" borderId="13" xfId="1" applyNumberFormat="1" applyFont="1" applyBorder="1" applyAlignment="1">
      <alignment horizontal="center" vertical="center" wrapText="1"/>
    </xf>
    <xf numFmtId="169" fontId="7" fillId="0" borderId="13" xfId="0" applyNumberFormat="1" applyFont="1" applyBorder="1" applyAlignment="1">
      <alignment horizontal="center" vertical="center"/>
    </xf>
    <xf numFmtId="0" fontId="6" fillId="48" borderId="10" xfId="0" applyFont="1" applyFill="1" applyBorder="1" applyAlignment="1">
      <alignment horizontal="justify" vertical="center" wrapText="1"/>
    </xf>
    <xf numFmtId="0" fontId="7" fillId="9" borderId="0" xfId="0" applyFont="1" applyFill="1" applyAlignment="1">
      <alignment vertical="top"/>
    </xf>
    <xf numFmtId="0" fontId="6" fillId="9" borderId="0" xfId="0" applyFont="1" applyFill="1"/>
    <xf numFmtId="0" fontId="3" fillId="9" borderId="0" xfId="0" applyFont="1" applyFill="1"/>
    <xf numFmtId="0" fontId="0" fillId="9" borderId="0" xfId="0" applyFont="1" applyFill="1"/>
    <xf numFmtId="0" fontId="0" fillId="0" borderId="0" xfId="0" applyBorder="1"/>
    <xf numFmtId="164" fontId="0" fillId="0" borderId="0" xfId="0" applyNumberFormat="1" applyBorder="1"/>
    <xf numFmtId="3" fontId="0" fillId="0" borderId="0" xfId="0" applyNumberFormat="1" applyBorder="1"/>
    <xf numFmtId="0" fontId="3" fillId="0" borderId="0" xfId="0" applyFont="1" applyBorder="1"/>
    <xf numFmtId="167" fontId="0" fillId="0" borderId="0" xfId="1" applyNumberFormat="1" applyFont="1" applyBorder="1" applyAlignment="1">
      <alignment horizontal="left" indent="2"/>
    </xf>
    <xf numFmtId="170" fontId="0" fillId="0" borderId="0" xfId="2" applyNumberFormat="1" applyFont="1" applyBorder="1"/>
    <xf numFmtId="0" fontId="83" fillId="0" borderId="0" xfId="0" applyFont="1" applyAlignment="1"/>
    <xf numFmtId="2" fontId="0" fillId="0" borderId="0" xfId="0" applyNumberFormat="1" applyFont="1"/>
    <xf numFmtId="10" fontId="0" fillId="0" borderId="0" xfId="3" applyNumberFormat="1" applyFont="1"/>
    <xf numFmtId="0" fontId="0" fillId="0" borderId="0" xfId="0" applyFont="1" applyAlignment="1">
      <alignment horizontal="right"/>
    </xf>
    <xf numFmtId="167" fontId="6" fillId="0" borderId="13" xfId="1" applyNumberFormat="1" applyFont="1" applyFill="1" applyBorder="1" applyAlignment="1">
      <alignment horizontal="center" vertical="center" wrapText="1"/>
    </xf>
    <xf numFmtId="0" fontId="3" fillId="44" borderId="0" xfId="19" applyFont="1" applyFill="1" applyAlignment="1">
      <alignment horizontal="center" vertical="top"/>
    </xf>
    <xf numFmtId="0" fontId="3" fillId="44" borderId="24" xfId="19" applyFont="1" applyFill="1" applyBorder="1"/>
    <xf numFmtId="0" fontId="3" fillId="44" borderId="8" xfId="19" applyFont="1" applyFill="1" applyBorder="1"/>
    <xf numFmtId="167" fontId="3" fillId="44" borderId="23" xfId="19" applyNumberFormat="1" applyFont="1" applyFill="1" applyBorder="1"/>
    <xf numFmtId="167" fontId="2" fillId="44" borderId="0" xfId="21" applyNumberFormat="1" applyFont="1" applyFill="1"/>
    <xf numFmtId="0" fontId="3" fillId="44" borderId="0" xfId="19" applyFont="1" applyFill="1"/>
    <xf numFmtId="167" fontId="3" fillId="44" borderId="0" xfId="19" applyNumberFormat="1" applyFont="1" applyFill="1"/>
    <xf numFmtId="0" fontId="3" fillId="44" borderId="0" xfId="19" applyFont="1" applyFill="1" applyBorder="1"/>
    <xf numFmtId="167" fontId="3" fillId="44" borderId="0" xfId="19" applyNumberFormat="1" applyFont="1" applyFill="1" applyBorder="1"/>
    <xf numFmtId="0" fontId="3" fillId="44" borderId="23" xfId="19" applyFont="1" applyFill="1" applyBorder="1"/>
    <xf numFmtId="0" fontId="79" fillId="44" borderId="0" xfId="19" applyFont="1" applyFill="1"/>
    <xf numFmtId="167" fontId="79" fillId="44" borderId="2" xfId="19" applyNumberFormat="1" applyFont="1" applyFill="1" applyBorder="1"/>
    <xf numFmtId="0" fontId="2" fillId="0" borderId="0" xfId="19" applyFont="1"/>
    <xf numFmtId="0" fontId="2" fillId="9" borderId="0" xfId="19" applyFont="1" applyFill="1"/>
    <xf numFmtId="10" fontId="2" fillId="0" borderId="0" xfId="19" applyNumberFormat="1" applyFont="1"/>
    <xf numFmtId="0" fontId="2" fillId="0" borderId="0" xfId="19" applyFont="1" applyAlignment="1">
      <alignment wrapText="1"/>
    </xf>
    <xf numFmtId="0" fontId="2" fillId="0" borderId="0" xfId="19" applyFont="1" applyFill="1"/>
    <xf numFmtId="0" fontId="2" fillId="44" borderId="0" xfId="19" applyFont="1" applyFill="1"/>
    <xf numFmtId="0" fontId="2" fillId="0" borderId="0" xfId="19" applyFont="1" applyAlignment="1">
      <alignment horizontal="center" vertical="top"/>
    </xf>
    <xf numFmtId="0" fontId="2" fillId="0" borderId="0" xfId="0" applyFont="1"/>
    <xf numFmtId="0" fontId="2" fillId="44" borderId="27" xfId="19" applyFont="1" applyFill="1" applyBorder="1"/>
    <xf numFmtId="167" fontId="2" fillId="44" borderId="0" xfId="19" applyNumberFormat="1" applyFont="1" applyFill="1" applyBorder="1"/>
    <xf numFmtId="167" fontId="2" fillId="44" borderId="28" xfId="19" applyNumberFormat="1" applyFont="1" applyFill="1" applyBorder="1"/>
    <xf numFmtId="167" fontId="2" fillId="0" borderId="0" xfId="19" applyNumberFormat="1" applyFont="1" applyFill="1" applyBorder="1"/>
    <xf numFmtId="167" fontId="2" fillId="44" borderId="1" xfId="19" applyNumberFormat="1" applyFont="1" applyFill="1" applyBorder="1"/>
    <xf numFmtId="167" fontId="2" fillId="44" borderId="41" xfId="19" applyNumberFormat="1" applyFont="1" applyFill="1" applyBorder="1"/>
    <xf numFmtId="167" fontId="2" fillId="44" borderId="0" xfId="19" applyNumberFormat="1" applyFont="1" applyFill="1"/>
    <xf numFmtId="0" fontId="2" fillId="44" borderId="0" xfId="19" applyFont="1" applyFill="1" applyAlignment="1">
      <alignment wrapText="1"/>
    </xf>
    <xf numFmtId="167" fontId="2" fillId="0" borderId="0" xfId="19" applyNumberFormat="1" applyFont="1"/>
    <xf numFmtId="165" fontId="2" fillId="0" borderId="0" xfId="22" applyFont="1"/>
    <xf numFmtId="167" fontId="2" fillId="0" borderId="0" xfId="19" applyNumberFormat="1" applyFont="1" applyFill="1"/>
    <xf numFmtId="165" fontId="2" fillId="0" borderId="0" xfId="22" applyFont="1" applyFill="1"/>
    <xf numFmtId="166" fontId="2" fillId="0" borderId="0" xfId="19" applyNumberFormat="1" applyFont="1"/>
    <xf numFmtId="10" fontId="2" fillId="13" borderId="15" xfId="20" applyNumberFormat="1" applyFont="1" applyFill="1" applyBorder="1"/>
    <xf numFmtId="10" fontId="2" fillId="13" borderId="16" xfId="20" applyNumberFormat="1" applyFont="1" applyFill="1" applyBorder="1"/>
    <xf numFmtId="10" fontId="2" fillId="13" borderId="12" xfId="20" applyNumberFormat="1" applyFont="1" applyFill="1" applyBorder="1"/>
    <xf numFmtId="10" fontId="2" fillId="0" borderId="15" xfId="20" applyNumberFormat="1" applyFont="1" applyFill="1" applyBorder="1"/>
    <xf numFmtId="10" fontId="2" fillId="0" borderId="16" xfId="20" applyNumberFormat="1" applyFont="1" applyFill="1" applyBorder="1"/>
    <xf numFmtId="10" fontId="2" fillId="0" borderId="12" xfId="20" applyNumberFormat="1" applyFont="1" applyFill="1" applyBorder="1"/>
    <xf numFmtId="0" fontId="2" fillId="44" borderId="0" xfId="19" applyFont="1" applyFill="1" applyAlignment="1">
      <alignment horizontal="center" vertical="top"/>
    </xf>
    <xf numFmtId="0" fontId="2" fillId="44" borderId="25" xfId="19" applyFont="1" applyFill="1" applyBorder="1" applyAlignment="1">
      <alignment horizontal="center" vertical="top"/>
    </xf>
    <xf numFmtId="0" fontId="2" fillId="44" borderId="26" xfId="19" applyFont="1" applyFill="1" applyBorder="1" applyAlignment="1">
      <alignment horizontal="center" vertical="top"/>
    </xf>
    <xf numFmtId="0" fontId="2" fillId="44" borderId="0" xfId="19" applyFont="1" applyFill="1" applyBorder="1" applyAlignment="1">
      <alignment horizontal="center" vertical="top"/>
    </xf>
    <xf numFmtId="0" fontId="3" fillId="44" borderId="23" xfId="19" applyFont="1" applyFill="1" applyBorder="1" applyAlignment="1">
      <alignment horizontal="center" vertical="top"/>
    </xf>
    <xf numFmtId="0" fontId="2" fillId="0" borderId="0" xfId="23" applyFont="1"/>
    <xf numFmtId="167" fontId="2" fillId="0" borderId="0" xfId="23" applyNumberFormat="1" applyFont="1"/>
    <xf numFmtId="0" fontId="6" fillId="48" borderId="0" xfId="0" applyFont="1" applyFill="1" applyBorder="1" applyAlignment="1">
      <alignment horizontal="justify" vertical="center" wrapText="1"/>
    </xf>
    <xf numFmtId="0" fontId="2" fillId="0" borderId="0" xfId="19" applyFont="1" applyFill="1" applyBorder="1"/>
    <xf numFmtId="167" fontId="22" fillId="0" borderId="0" xfId="19" applyNumberFormat="1" applyFont="1" applyFill="1" applyBorder="1"/>
    <xf numFmtId="0" fontId="22" fillId="0" borderId="0" xfId="19" applyFont="1" applyFill="1" applyBorder="1"/>
    <xf numFmtId="38" fontId="0" fillId="0" borderId="0" xfId="1" applyNumberFormat="1" applyFont="1"/>
    <xf numFmtId="167" fontId="3" fillId="0" borderId="17" xfId="1" applyNumberFormat="1" applyFont="1" applyBorder="1"/>
    <xf numFmtId="0" fontId="0" fillId="0" borderId="0" xfId="0" applyFont="1" applyAlignment="1">
      <alignment horizontal="left" indent="1"/>
    </xf>
    <xf numFmtId="0" fontId="3" fillId="46" borderId="0" xfId="0" applyFont="1" applyFill="1"/>
    <xf numFmtId="167" fontId="3" fillId="46" borderId="0" xfId="0" applyNumberFormat="1" applyFont="1" applyFill="1"/>
    <xf numFmtId="171" fontId="3" fillId="46" borderId="0" xfId="3" applyNumberFormat="1" applyFont="1" applyFill="1"/>
    <xf numFmtId="167" fontId="3" fillId="0" borderId="17" xfId="0" applyNumberFormat="1" applyFont="1" applyBorder="1"/>
    <xf numFmtId="165" fontId="0" fillId="0" borderId="17" xfId="2" applyFont="1" applyBorder="1"/>
    <xf numFmtId="166" fontId="0" fillId="0" borderId="42" xfId="0" applyNumberFormat="1" applyBorder="1"/>
    <xf numFmtId="177" fontId="0" fillId="0" borderId="0" xfId="0" applyNumberFormat="1"/>
    <xf numFmtId="166" fontId="0" fillId="0" borderId="17" xfId="1" applyNumberFormat="1" applyFont="1" applyBorder="1"/>
    <xf numFmtId="167" fontId="3" fillId="0" borderId="0" xfId="0" applyNumberFormat="1" applyFont="1" applyBorder="1"/>
    <xf numFmtId="0" fontId="3" fillId="0" borderId="42" xfId="0" applyFont="1" applyBorder="1"/>
    <xf numFmtId="167" fontId="3" fillId="0" borderId="42" xfId="0" applyNumberFormat="1" applyFont="1" applyBorder="1"/>
    <xf numFmtId="0" fontId="0" fillId="0" borderId="42" xfId="0" applyFont="1" applyBorder="1"/>
    <xf numFmtId="167" fontId="0" fillId="0" borderId="42" xfId="0" applyNumberFormat="1" applyFont="1" applyBorder="1"/>
    <xf numFmtId="2" fontId="0" fillId="0" borderId="0" xfId="0" applyNumberFormat="1"/>
    <xf numFmtId="0" fontId="2" fillId="0" borderId="42" xfId="0" applyFont="1" applyBorder="1" applyAlignment="1">
      <alignment horizontal="left" vertical="top"/>
    </xf>
    <xf numFmtId="172" fontId="2" fillId="0" borderId="42" xfId="0" applyNumberFormat="1" applyFont="1" applyFill="1" applyBorder="1" applyAlignment="1">
      <alignment horizontal="right" vertical="top"/>
    </xf>
    <xf numFmtId="0" fontId="7" fillId="14" borderId="42" xfId="0" applyFont="1" applyFill="1" applyBorder="1" applyAlignment="1">
      <alignment horizontal="left" vertical="top" wrapText="1"/>
    </xf>
    <xf numFmtId="0" fontId="7" fillId="14" borderId="42" xfId="0" applyFont="1" applyFill="1" applyBorder="1" applyAlignment="1">
      <alignment horizontal="right" vertical="top" wrapText="1"/>
    </xf>
    <xf numFmtId="179" fontId="22" fillId="0" borderId="0" xfId="0" applyNumberFormat="1" applyFont="1"/>
    <xf numFmtId="179" fontId="22" fillId="9" borderId="0" xfId="0" applyNumberFormat="1" applyFont="1" applyFill="1"/>
    <xf numFmtId="0" fontId="21" fillId="9" borderId="17" xfId="0" applyFont="1" applyFill="1" applyBorder="1" applyAlignment="1">
      <alignment horizontal="center"/>
    </xf>
    <xf numFmtId="178" fontId="0" fillId="0" borderId="0" xfId="0" applyNumberFormat="1" applyFill="1" applyBorder="1"/>
    <xf numFmtId="0" fontId="0" fillId="0" borderId="43" xfId="0" applyBorder="1" applyAlignment="1"/>
    <xf numFmtId="0" fontId="8" fillId="3" borderId="45" xfId="0" applyFont="1" applyFill="1" applyBorder="1" applyAlignment="1">
      <alignment horizontal="left"/>
    </xf>
    <xf numFmtId="0" fontId="7" fillId="3" borderId="45" xfId="0" applyFont="1" applyFill="1" applyBorder="1" applyAlignment="1">
      <alignment horizontal="center"/>
    </xf>
    <xf numFmtId="0" fontId="7" fillId="3" borderId="45" xfId="0" applyFont="1" applyFill="1" applyBorder="1" applyAlignment="1">
      <alignment horizontal="right"/>
    </xf>
    <xf numFmtId="0" fontId="88" fillId="2" borderId="0" xfId="0" quotePrefix="1" applyFont="1" applyFill="1" applyBorder="1" applyAlignment="1">
      <alignment horizontal="right"/>
    </xf>
    <xf numFmtId="180" fontId="0" fillId="0" borderId="0" xfId="0" applyNumberFormat="1"/>
    <xf numFmtId="181" fontId="7" fillId="9" borderId="0" xfId="8" applyNumberFormat="1" applyFont="1" applyFill="1"/>
    <xf numFmtId="0" fontId="89" fillId="46" borderId="0" xfId="0" applyFont="1" applyFill="1"/>
    <xf numFmtId="0" fontId="89" fillId="46" borderId="0" xfId="0" applyFont="1" applyFill="1" applyAlignment="1">
      <alignment wrapText="1"/>
    </xf>
    <xf numFmtId="0" fontId="21" fillId="46" borderId="0" xfId="0" applyFont="1" applyFill="1"/>
    <xf numFmtId="176" fontId="2" fillId="44" borderId="0" xfId="19" applyNumberFormat="1" applyFont="1" applyFill="1"/>
    <xf numFmtId="176" fontId="3" fillId="44" borderId="23" xfId="19" applyNumberFormat="1" applyFont="1" applyFill="1" applyBorder="1"/>
    <xf numFmtId="0" fontId="88" fillId="2" borderId="0" xfId="0" applyFont="1" applyFill="1" applyBorder="1" applyAlignment="1">
      <alignment horizontal="right"/>
    </xf>
    <xf numFmtId="169" fontId="6" fillId="0" borderId="13" xfId="2" applyNumberFormat="1" applyFont="1" applyFill="1" applyBorder="1" applyAlignment="1">
      <alignment horizontal="center" vertical="center"/>
    </xf>
    <xf numFmtId="10" fontId="2" fillId="50" borderId="0" xfId="19" applyNumberFormat="1" applyFont="1" applyFill="1"/>
    <xf numFmtId="167" fontId="2" fillId="50" borderId="0" xfId="19" applyNumberFormat="1" applyFont="1" applyFill="1"/>
    <xf numFmtId="167" fontId="3" fillId="50" borderId="0" xfId="19" applyNumberFormat="1" applyFont="1" applyFill="1"/>
    <xf numFmtId="166" fontId="3" fillId="50" borderId="0" xfId="5" applyNumberFormat="1" applyFont="1" applyFill="1"/>
    <xf numFmtId="167" fontId="0" fillId="50" borderId="0" xfId="5" applyNumberFormat="1" applyFont="1" applyFill="1"/>
    <xf numFmtId="167" fontId="3" fillId="50" borderId="0" xfId="5" applyNumberFormat="1" applyFont="1" applyFill="1"/>
    <xf numFmtId="167" fontId="7" fillId="50" borderId="0" xfId="0" applyNumberFormat="1" applyFont="1" applyFill="1"/>
    <xf numFmtId="167" fontId="0" fillId="50" borderId="0" xfId="0" applyNumberFormat="1" applyFill="1"/>
    <xf numFmtId="167" fontId="3" fillId="50" borderId="0" xfId="0" applyNumberFormat="1" applyFont="1" applyFill="1"/>
    <xf numFmtId="0" fontId="3" fillId="50" borderId="0" xfId="19" applyFont="1" applyFill="1"/>
    <xf numFmtId="0" fontId="2" fillId="50" borderId="0" xfId="19" applyFont="1" applyFill="1"/>
    <xf numFmtId="0" fontId="0" fillId="50" borderId="0" xfId="0" applyFill="1"/>
    <xf numFmtId="167" fontId="0" fillId="50" borderId="0" xfId="1" applyNumberFormat="1" applyFont="1" applyFill="1" applyBorder="1"/>
    <xf numFmtId="167" fontId="0" fillId="50" borderId="0" xfId="1" applyNumberFormat="1" applyFont="1" applyFill="1"/>
    <xf numFmtId="167" fontId="3" fillId="50" borderId="0" xfId="1" applyNumberFormat="1" applyFont="1" applyFill="1" applyBorder="1"/>
    <xf numFmtId="0" fontId="3" fillId="50" borderId="0" xfId="0" applyFont="1" applyFill="1"/>
    <xf numFmtId="178" fontId="0" fillId="50" borderId="0" xfId="0" applyNumberFormat="1" applyFill="1"/>
    <xf numFmtId="2" fontId="0" fillId="50" borderId="0" xfId="0" applyNumberFormat="1" applyFill="1"/>
    <xf numFmtId="166" fontId="3" fillId="0" borderId="0" xfId="0" applyNumberFormat="1" applyFont="1"/>
    <xf numFmtId="10" fontId="0" fillId="50" borderId="0" xfId="276" applyNumberFormat="1" applyFont="1" applyFill="1"/>
    <xf numFmtId="0" fontId="0" fillId="50" borderId="0" xfId="19" applyFont="1" applyFill="1"/>
    <xf numFmtId="182" fontId="2" fillId="44" borderId="0" xfId="19" applyNumberFormat="1" applyFont="1" applyFill="1"/>
    <xf numFmtId="0" fontId="0" fillId="51" borderId="17" xfId="0" applyFill="1" applyBorder="1"/>
    <xf numFmtId="0" fontId="0" fillId="0" borderId="19" xfId="0" applyBorder="1"/>
    <xf numFmtId="0" fontId="0" fillId="0" borderId="4" xfId="0" applyBorder="1"/>
    <xf numFmtId="0" fontId="0" fillId="0" borderId="6" xfId="0" applyBorder="1"/>
    <xf numFmtId="167" fontId="0" fillId="0" borderId="4" xfId="0" applyNumberFormat="1" applyBorder="1"/>
    <xf numFmtId="167" fontId="0" fillId="0" borderId="6" xfId="0" applyNumberFormat="1" applyBorder="1"/>
    <xf numFmtId="0" fontId="0" fillId="0" borderId="45" xfId="0" applyBorder="1"/>
    <xf numFmtId="0" fontId="0" fillId="0" borderId="46" xfId="0" applyBorder="1"/>
    <xf numFmtId="0" fontId="0" fillId="0" borderId="47" xfId="0" applyBorder="1"/>
    <xf numFmtId="0" fontId="0" fillId="8" borderId="46" xfId="0" applyFill="1" applyBorder="1"/>
    <xf numFmtId="167" fontId="0" fillId="0" borderId="46" xfId="1" applyNumberFormat="1" applyFont="1" applyBorder="1"/>
    <xf numFmtId="167" fontId="90" fillId="0" borderId="4" xfId="1" applyNumberFormat="1" applyFont="1" applyBorder="1"/>
    <xf numFmtId="0" fontId="0" fillId="8" borderId="47" xfId="0" applyFill="1" applyBorder="1"/>
    <xf numFmtId="167" fontId="0" fillId="0" borderId="47" xfId="1" applyNumberFormat="1" applyFont="1" applyBorder="1"/>
    <xf numFmtId="167" fontId="0" fillId="0" borderId="6" xfId="1" applyNumberFormat="1" applyFont="1" applyBorder="1"/>
    <xf numFmtId="167" fontId="90" fillId="0" borderId="47" xfId="1" applyNumberFormat="1" applyFont="1" applyBorder="1"/>
    <xf numFmtId="0" fontId="0" fillId="8" borderId="45" xfId="0" applyFill="1" applyBorder="1"/>
    <xf numFmtId="167" fontId="90" fillId="0" borderId="46" xfId="1" applyNumberFormat="1" applyFont="1" applyBorder="1"/>
    <xf numFmtId="167" fontId="0" fillId="0" borderId="0" xfId="0" applyNumberFormat="1" applyBorder="1"/>
    <xf numFmtId="0" fontId="0" fillId="8" borderId="18" xfId="0" applyFill="1" applyBorder="1"/>
    <xf numFmtId="0" fontId="0" fillId="8" borderId="19" xfId="0" applyFill="1" applyBorder="1"/>
    <xf numFmtId="0" fontId="0" fillId="8" borderId="20" xfId="0" applyFill="1" applyBorder="1"/>
    <xf numFmtId="0" fontId="0" fillId="0" borderId="48" xfId="0" applyBorder="1"/>
    <xf numFmtId="0" fontId="0" fillId="0" borderId="49" xfId="0" applyBorder="1"/>
    <xf numFmtId="167" fontId="0" fillId="0" borderId="47" xfId="0" applyNumberFormat="1" applyBorder="1"/>
    <xf numFmtId="167" fontId="0" fillId="0" borderId="46" xfId="0" applyNumberFormat="1" applyBorder="1"/>
    <xf numFmtId="167" fontId="3" fillId="0" borderId="46" xfId="0" applyNumberFormat="1" applyFont="1" applyBorder="1"/>
    <xf numFmtId="167" fontId="3" fillId="0" borderId="47" xfId="0" applyNumberFormat="1" applyFont="1" applyBorder="1"/>
    <xf numFmtId="167" fontId="0" fillId="0" borderId="18" xfId="0" applyNumberFormat="1" applyBorder="1"/>
    <xf numFmtId="167" fontId="0" fillId="0" borderId="20" xfId="0" applyNumberFormat="1" applyBorder="1"/>
    <xf numFmtId="167" fontId="3" fillId="0" borderId="45" xfId="0" applyNumberFormat="1" applyFont="1" applyBorder="1"/>
    <xf numFmtId="167" fontId="3" fillId="0" borderId="48" xfId="0" applyNumberFormat="1" applyFont="1" applyBorder="1"/>
    <xf numFmtId="0" fontId="3" fillId="0" borderId="1" xfId="0" applyFont="1" applyBorder="1"/>
    <xf numFmtId="167" fontId="3" fillId="0" borderId="49" xfId="0" applyNumberFormat="1" applyFont="1" applyBorder="1"/>
    <xf numFmtId="0" fontId="3" fillId="0" borderId="18" xfId="0" applyFont="1" applyBorder="1"/>
    <xf numFmtId="0" fontId="3" fillId="0" borderId="19" xfId="0" applyFont="1" applyBorder="1"/>
    <xf numFmtId="0" fontId="3" fillId="0" borderId="20" xfId="0" applyFont="1" applyBorder="1"/>
    <xf numFmtId="0" fontId="0" fillId="0" borderId="19" xfId="0" applyFill="1" applyBorder="1"/>
    <xf numFmtId="0" fontId="0" fillId="0" borderId="20" xfId="0" applyFill="1" applyBorder="1"/>
    <xf numFmtId="0" fontId="0" fillId="0" borderId="1" xfId="0" applyFill="1" applyBorder="1"/>
    <xf numFmtId="0" fontId="0" fillId="0" borderId="49" xfId="0" applyFill="1" applyBorder="1"/>
    <xf numFmtId="178" fontId="0" fillId="0" borderId="18" xfId="0" applyNumberFormat="1" applyFill="1" applyBorder="1"/>
    <xf numFmtId="165" fontId="0" fillId="0" borderId="48" xfId="2" applyFont="1" applyBorder="1"/>
    <xf numFmtId="165" fontId="0" fillId="0" borderId="46" xfId="2" applyFont="1" applyBorder="1"/>
    <xf numFmtId="0" fontId="0" fillId="0" borderId="45" xfId="0" applyFill="1" applyBorder="1"/>
    <xf numFmtId="0" fontId="0" fillId="0" borderId="47" xfId="0" applyFill="1" applyBorder="1"/>
    <xf numFmtId="178" fontId="0" fillId="0" borderId="46" xfId="0" applyNumberFormat="1" applyFill="1" applyBorder="1"/>
    <xf numFmtId="0" fontId="91" fillId="51" borderId="0" xfId="0" applyFont="1" applyFill="1"/>
    <xf numFmtId="0" fontId="3" fillId="51" borderId="17" xfId="0" applyFont="1" applyFill="1" applyBorder="1" applyAlignment="1">
      <alignment horizontal="center"/>
    </xf>
    <xf numFmtId="167" fontId="2" fillId="50" borderId="45" xfId="19" applyNumberFormat="1" applyFont="1" applyFill="1" applyBorder="1"/>
    <xf numFmtId="167" fontId="22" fillId="0" borderId="0" xfId="0" applyNumberFormat="1" applyFont="1"/>
    <xf numFmtId="0" fontId="19" fillId="0" borderId="0" xfId="0" applyFont="1"/>
    <xf numFmtId="0" fontId="0" fillId="51" borderId="0" xfId="0" applyFill="1"/>
    <xf numFmtId="0" fontId="0" fillId="51" borderId="0" xfId="0" quotePrefix="1" applyFill="1"/>
    <xf numFmtId="171" fontId="2" fillId="50" borderId="0" xfId="3" applyNumberFormat="1" applyFont="1" applyFill="1"/>
    <xf numFmtId="167" fontId="0" fillId="51" borderId="17" xfId="1" applyNumberFormat="1" applyFont="1" applyFill="1" applyBorder="1"/>
    <xf numFmtId="0" fontId="3" fillId="0" borderId="0" xfId="0" applyFont="1" applyBorder="1" applyAlignment="1">
      <alignment horizontal="center"/>
    </xf>
    <xf numFmtId="0" fontId="3" fillId="0" borderId="45" xfId="0" applyFont="1" applyBorder="1"/>
    <xf numFmtId="0" fontId="19" fillId="52" borderId="0" xfId="0" applyFont="1" applyFill="1"/>
    <xf numFmtId="167" fontId="22" fillId="52" borderId="0" xfId="0" applyNumberFormat="1" applyFont="1" applyFill="1"/>
    <xf numFmtId="166" fontId="22" fillId="52" borderId="0" xfId="0" applyNumberFormat="1" applyFont="1" applyFill="1" applyBorder="1"/>
    <xf numFmtId="0" fontId="3" fillId="50" borderId="0" xfId="0" applyFont="1" applyFill="1" applyAlignment="1">
      <alignment horizontal="right"/>
    </xf>
    <xf numFmtId="10" fontId="0" fillId="0" borderId="0" xfId="0" applyNumberFormat="1"/>
    <xf numFmtId="0" fontId="0" fillId="0" borderId="0" xfId="0" applyAlignment="1">
      <alignment horizontal="right"/>
    </xf>
    <xf numFmtId="166" fontId="0" fillId="50" borderId="42" xfId="0" applyNumberFormat="1" applyFill="1" applyBorder="1"/>
    <xf numFmtId="165" fontId="0" fillId="50" borderId="42" xfId="0" applyNumberFormat="1" applyFill="1" applyBorder="1"/>
    <xf numFmtId="165" fontId="0" fillId="50" borderId="39" xfId="0" applyNumberFormat="1" applyFill="1" applyBorder="1"/>
    <xf numFmtId="0" fontId="0" fillId="50" borderId="0" xfId="0" applyFill="1" applyAlignment="1">
      <alignment horizontal="right"/>
    </xf>
    <xf numFmtId="10" fontId="0" fillId="50" borderId="0" xfId="0" applyNumberFormat="1" applyFill="1"/>
    <xf numFmtId="183" fontId="0" fillId="50" borderId="0" xfId="1" applyNumberFormat="1" applyFont="1" applyFill="1"/>
    <xf numFmtId="0" fontId="92" fillId="0" borderId="0" xfId="0" applyFont="1"/>
    <xf numFmtId="0" fontId="93" fillId="0" borderId="0" xfId="0" applyFont="1" applyAlignment="1">
      <alignment horizontal="right"/>
    </xf>
    <xf numFmtId="0" fontId="93" fillId="0" borderId="0" xfId="0" applyFont="1"/>
    <xf numFmtId="41" fontId="94" fillId="0" borderId="0" xfId="0" applyNumberFormat="1" applyFont="1" applyAlignment="1">
      <alignment vertical="top" wrapText="1"/>
    </xf>
    <xf numFmtId="165" fontId="95" fillId="0" borderId="0" xfId="2" applyFont="1"/>
    <xf numFmtId="184" fontId="94" fillId="0" borderId="0" xfId="0" applyNumberFormat="1" applyFont="1" applyAlignment="1">
      <alignment vertical="top" wrapText="1"/>
    </xf>
    <xf numFmtId="10" fontId="96" fillId="0" borderId="0" xfId="0" applyNumberFormat="1" applyFont="1"/>
    <xf numFmtId="10" fontId="97" fillId="0" borderId="0" xfId="0" applyNumberFormat="1" applyFont="1"/>
    <xf numFmtId="0" fontId="95" fillId="0" borderId="0" xfId="0" applyFont="1"/>
    <xf numFmtId="41" fontId="0" fillId="0" borderId="0" xfId="0" applyNumberFormat="1"/>
    <xf numFmtId="4" fontId="93" fillId="0" borderId="50" xfId="0" applyNumberFormat="1" applyFont="1" applyBorder="1" applyAlignment="1">
      <alignment horizontal="center"/>
    </xf>
    <xf numFmtId="0" fontId="93" fillId="0" borderId="47" xfId="0" applyFont="1" applyBorder="1" applyAlignment="1">
      <alignment horizontal="right"/>
    </xf>
    <xf numFmtId="4" fontId="98" fillId="0" borderId="39" xfId="0" applyNumberFormat="1" applyFont="1" applyBorder="1" applyAlignment="1">
      <alignment horizontal="center" vertical="top" wrapText="1"/>
    </xf>
    <xf numFmtId="184" fontId="98" fillId="0" borderId="45" xfId="0" applyNumberFormat="1" applyFont="1" applyBorder="1" applyAlignment="1">
      <alignment vertical="top" wrapText="1"/>
    </xf>
    <xf numFmtId="4" fontId="0" fillId="0" borderId="5" xfId="0" applyNumberFormat="1" applyBorder="1" applyAlignment="1">
      <alignment horizontal="center"/>
    </xf>
    <xf numFmtId="0" fontId="7" fillId="2" borderId="47" xfId="0" applyFont="1" applyFill="1" applyBorder="1" applyAlignment="1">
      <alignment horizontal="right"/>
    </xf>
    <xf numFmtId="4" fontId="99" fillId="0" borderId="39" xfId="0" applyNumberFormat="1" applyFont="1" applyBorder="1" applyAlignment="1">
      <alignment horizontal="center" vertical="top" wrapText="1"/>
    </xf>
    <xf numFmtId="166" fontId="7" fillId="2" borderId="46" xfId="1" applyFont="1" applyFill="1" applyBorder="1" applyAlignment="1">
      <alignment horizontal="left"/>
    </xf>
    <xf numFmtId="0" fontId="3" fillId="50" borderId="17" xfId="0" applyFont="1" applyFill="1" applyBorder="1"/>
    <xf numFmtId="0" fontId="100" fillId="0" borderId="0" xfId="0" applyFont="1"/>
    <xf numFmtId="0" fontId="101" fillId="0" borderId="0" xfId="0" applyFont="1"/>
    <xf numFmtId="166" fontId="0" fillId="0" borderId="18" xfId="1" applyNumberFormat="1" applyFont="1" applyBorder="1"/>
    <xf numFmtId="166" fontId="0" fillId="0" borderId="20" xfId="1" applyNumberFormat="1" applyFont="1" applyBorder="1"/>
    <xf numFmtId="166" fontId="0" fillId="0" borderId="4" xfId="1" applyNumberFormat="1" applyFont="1" applyBorder="1"/>
    <xf numFmtId="166" fontId="0" fillId="0" borderId="6" xfId="1" applyNumberFormat="1" applyFont="1" applyBorder="1"/>
    <xf numFmtId="166" fontId="0" fillId="0" borderId="48" xfId="1" applyNumberFormat="1" applyFont="1" applyBorder="1"/>
    <xf numFmtId="166" fontId="0" fillId="0" borderId="49" xfId="1" applyNumberFormat="1" applyFont="1" applyBorder="1"/>
    <xf numFmtId="166" fontId="0" fillId="0" borderId="46" xfId="1" applyNumberFormat="1" applyFont="1" applyBorder="1"/>
    <xf numFmtId="166" fontId="0" fillId="0" borderId="47" xfId="1" applyNumberFormat="1" applyFont="1" applyBorder="1"/>
    <xf numFmtId="165" fontId="0" fillId="0" borderId="47" xfId="2" applyFont="1" applyBorder="1"/>
    <xf numFmtId="184" fontId="94" fillId="0" borderId="45" xfId="0" applyNumberFormat="1" applyFont="1" applyBorder="1" applyAlignment="1">
      <alignment vertical="top" wrapText="1"/>
    </xf>
    <xf numFmtId="0" fontId="3" fillId="0" borderId="0" xfId="0" applyFont="1" applyAlignment="1">
      <alignment horizontal="right"/>
    </xf>
    <xf numFmtId="0" fontId="102" fillId="52" borderId="0" xfId="0" applyFont="1" applyFill="1"/>
    <xf numFmtId="41" fontId="95" fillId="52" borderId="0" xfId="0" applyNumberFormat="1" applyFont="1" applyFill="1"/>
    <xf numFmtId="184" fontId="95" fillId="52" borderId="0" xfId="0" applyNumberFormat="1" applyFont="1" applyFill="1"/>
    <xf numFmtId="10" fontId="99" fillId="0" borderId="39" xfId="276" applyNumberFormat="1" applyFont="1" applyBorder="1" applyAlignment="1">
      <alignment vertical="top" wrapText="1"/>
    </xf>
    <xf numFmtId="10" fontId="0" fillId="50" borderId="0" xfId="0" applyNumberFormat="1" applyFont="1" applyFill="1"/>
    <xf numFmtId="167" fontId="2" fillId="53" borderId="0" xfId="19" applyNumberFormat="1" applyFont="1" applyFill="1"/>
    <xf numFmtId="167" fontId="3" fillId="53" borderId="0" xfId="19" applyNumberFormat="1" applyFont="1" applyFill="1"/>
    <xf numFmtId="0" fontId="3" fillId="50" borderId="46" xfId="0" applyFont="1" applyFill="1" applyBorder="1" applyAlignment="1">
      <alignment horizontal="right"/>
    </xf>
    <xf numFmtId="0" fontId="3" fillId="50" borderId="45" xfId="0" applyFont="1" applyFill="1" applyBorder="1" applyAlignment="1">
      <alignment horizontal="right"/>
    </xf>
    <xf numFmtId="0" fontId="3" fillId="50" borderId="47" xfId="0" applyFont="1" applyFill="1" applyBorder="1" applyAlignment="1">
      <alignment horizontal="right"/>
    </xf>
    <xf numFmtId="0" fontId="103" fillId="54" borderId="0" xfId="0" applyFont="1" applyFill="1" applyAlignment="1">
      <alignment vertical="center" wrapText="1"/>
    </xf>
    <xf numFmtId="0" fontId="103" fillId="54" borderId="0" xfId="0" applyFont="1" applyFill="1" applyAlignment="1">
      <alignment horizontal="right" vertical="center" wrapText="1"/>
    </xf>
    <xf numFmtId="0" fontId="12" fillId="0" borderId="0" xfId="0" applyFont="1" applyAlignment="1">
      <alignment horizontal="right" vertical="center" wrapText="1"/>
    </xf>
    <xf numFmtId="0" fontId="12" fillId="55" borderId="0" xfId="0" applyFont="1" applyFill="1" applyAlignment="1">
      <alignment horizontal="right" vertical="center" wrapText="1"/>
    </xf>
    <xf numFmtId="0" fontId="12" fillId="55" borderId="51" xfId="0" applyFont="1" applyFill="1" applyBorder="1" applyAlignment="1">
      <alignment horizontal="right" vertical="center" wrapText="1"/>
    </xf>
    <xf numFmtId="0" fontId="12" fillId="0" borderId="51" xfId="0" applyFont="1" applyBorder="1" applyAlignment="1">
      <alignment vertical="center" wrapText="1"/>
    </xf>
    <xf numFmtId="0" fontId="12" fillId="0" borderId="51" xfId="0" applyFont="1" applyBorder="1" applyAlignment="1">
      <alignment horizontal="right" vertical="center" wrapText="1"/>
    </xf>
    <xf numFmtId="0" fontId="12" fillId="0" borderId="0" xfId="0" applyFont="1" applyAlignment="1">
      <alignment vertical="center" wrapText="1"/>
    </xf>
    <xf numFmtId="0" fontId="12" fillId="0" borderId="51" xfId="0" applyFont="1" applyBorder="1" applyAlignment="1">
      <alignment vertical="center" wrapText="1"/>
    </xf>
    <xf numFmtId="0" fontId="104" fillId="0" borderId="0" xfId="0" applyFont="1" applyAlignment="1">
      <alignment vertical="center" wrapText="1"/>
    </xf>
    <xf numFmtId="0" fontId="3" fillId="50" borderId="46" xfId="0" applyFont="1" applyFill="1" applyBorder="1" applyAlignment="1">
      <alignment horizontal="center"/>
    </xf>
    <xf numFmtId="0" fontId="0" fillId="50" borderId="47" xfId="0" applyFill="1" applyBorder="1" applyAlignment="1">
      <alignment horizontal="center"/>
    </xf>
    <xf numFmtId="0" fontId="0" fillId="46" borderId="4" xfId="0" applyFill="1" applyBorder="1" applyAlignment="1">
      <alignment horizontal="center" wrapText="1"/>
    </xf>
    <xf numFmtId="0" fontId="3" fillId="50" borderId="18" xfId="0" applyFont="1" applyFill="1" applyBorder="1" applyAlignment="1">
      <alignment horizontal="center"/>
    </xf>
    <xf numFmtId="0" fontId="3" fillId="50" borderId="19" xfId="0" applyFont="1" applyFill="1" applyBorder="1" applyAlignment="1">
      <alignment horizontal="center"/>
    </xf>
    <xf numFmtId="0" fontId="3" fillId="50" borderId="20" xfId="0" applyFont="1" applyFill="1" applyBorder="1" applyAlignment="1">
      <alignment horizontal="center"/>
    </xf>
    <xf numFmtId="0" fontId="87" fillId="49" borderId="0" xfId="0" applyFont="1" applyFill="1" applyAlignment="1">
      <alignment horizontal="center" vertical="center" wrapText="1"/>
    </xf>
    <xf numFmtId="0" fontId="85" fillId="0" borderId="0" xfId="0" applyFont="1" applyBorder="1" applyAlignment="1">
      <alignment horizontal="center" wrapText="1"/>
    </xf>
    <xf numFmtId="0" fontId="85" fillId="0" borderId="1" xfId="0" applyFont="1" applyBorder="1" applyAlignment="1">
      <alignment horizontal="center" wrapText="1"/>
    </xf>
    <xf numFmtId="0" fontId="85" fillId="0" borderId="0" xfId="0" applyFont="1" applyFill="1" applyBorder="1" applyAlignment="1">
      <alignment horizontal="center" wrapText="1"/>
    </xf>
    <xf numFmtId="0" fontId="85" fillId="0" borderId="1" xfId="0" applyFont="1" applyFill="1" applyBorder="1" applyAlignment="1">
      <alignment horizontal="center" wrapText="1"/>
    </xf>
    <xf numFmtId="0" fontId="21" fillId="9" borderId="0" xfId="0" applyFont="1" applyFill="1" applyAlignment="1"/>
    <xf numFmtId="0" fontId="0" fillId="0" borderId="0" xfId="0" applyAlignment="1"/>
    <xf numFmtId="0" fontId="15" fillId="5" borderId="18" xfId="10" applyFont="1" applyFill="1" applyBorder="1" applyAlignment="1">
      <alignment horizontal="center" vertical="top" wrapText="1" readingOrder="1"/>
    </xf>
    <xf numFmtId="0" fontId="15" fillId="5" borderId="20" xfId="10" applyFont="1" applyFill="1" applyBorder="1" applyAlignment="1">
      <alignment horizontal="center" vertical="top" wrapText="1" readingOrder="1"/>
    </xf>
    <xf numFmtId="0" fontId="15" fillId="5" borderId="43" xfId="10" applyFont="1" applyFill="1" applyBorder="1" applyAlignment="1">
      <alignment horizontal="center" vertical="top" wrapText="1" readingOrder="1"/>
    </xf>
    <xf numFmtId="0" fontId="15" fillId="5" borderId="44" xfId="10" applyFont="1" applyFill="1" applyBorder="1" applyAlignment="1">
      <alignment horizontal="center" vertical="top" wrapText="1" readingOrder="1"/>
    </xf>
    <xf numFmtId="0" fontId="0" fillId="50" borderId="0" xfId="0" applyFill="1" applyAlignment="1">
      <alignment horizontal="center"/>
    </xf>
    <xf numFmtId="165" fontId="0" fillId="50" borderId="0" xfId="0" applyNumberFormat="1" applyFill="1"/>
    <xf numFmtId="166" fontId="2" fillId="50" borderId="42" xfId="1" applyFont="1" applyFill="1" applyBorder="1" applyAlignment="1">
      <alignment horizontal="right" vertical="top"/>
    </xf>
    <xf numFmtId="0" fontId="21" fillId="50" borderId="0" xfId="0" applyFont="1" applyFill="1" applyAlignment="1">
      <alignment horizontal="center" wrapText="1"/>
    </xf>
    <xf numFmtId="165" fontId="21" fillId="50" borderId="0" xfId="0" applyNumberFormat="1" applyFont="1" applyFill="1" applyAlignment="1">
      <alignment wrapText="1"/>
    </xf>
  </cellXfs>
  <cellStyles count="330">
    <cellStyle name="******************************************" xfId="24"/>
    <cellStyle name="20% - Accent1 2" xfId="25"/>
    <cellStyle name="20% - Accent2 2" xfId="26"/>
    <cellStyle name="20% - Accent3 2" xfId="27"/>
    <cellStyle name="20% - Accent4 2" xfId="28"/>
    <cellStyle name="20% - Accent5 2" xfId="29"/>
    <cellStyle name="20% - Accent6 2" xfId="30"/>
    <cellStyle name="40% - Accent1 2" xfId="31"/>
    <cellStyle name="40% - Accent2 2" xfId="32"/>
    <cellStyle name="40% - Accent2 3"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lockout" xfId="51"/>
    <cellStyle name="Body" xfId="52"/>
    <cellStyle name="Brand style" xfId="53"/>
    <cellStyle name="C00A" xfId="54"/>
    <cellStyle name="C00B" xfId="55"/>
    <cellStyle name="C00L" xfId="56"/>
    <cellStyle name="C01A" xfId="57"/>
    <cellStyle name="C01B" xfId="58"/>
    <cellStyle name="C01H" xfId="59"/>
    <cellStyle name="C01L" xfId="60"/>
    <cellStyle name="C02A" xfId="61"/>
    <cellStyle name="C02B" xfId="62"/>
    <cellStyle name="C02H" xfId="63"/>
    <cellStyle name="C02L" xfId="64"/>
    <cellStyle name="C03A" xfId="65"/>
    <cellStyle name="C03B" xfId="66"/>
    <cellStyle name="C03H" xfId="67"/>
    <cellStyle name="C03L" xfId="68"/>
    <cellStyle name="C04A" xfId="69"/>
    <cellStyle name="C04B" xfId="70"/>
    <cellStyle name="C04H" xfId="71"/>
    <cellStyle name="C04L" xfId="72"/>
    <cellStyle name="C05A" xfId="73"/>
    <cellStyle name="C05B" xfId="74"/>
    <cellStyle name="C05H" xfId="75"/>
    <cellStyle name="C05L" xfId="76"/>
    <cellStyle name="C06A" xfId="77"/>
    <cellStyle name="C06B" xfId="78"/>
    <cellStyle name="C06H" xfId="79"/>
    <cellStyle name="C06L" xfId="80"/>
    <cellStyle name="C07A" xfId="81"/>
    <cellStyle name="C07B" xfId="82"/>
    <cellStyle name="C07H" xfId="83"/>
    <cellStyle name="C07L" xfId="84"/>
    <cellStyle name="Calculation 2" xfId="85"/>
    <cellStyle name="Check Cell 2" xfId="86"/>
    <cellStyle name="Comma" xfId="1" builtinId="3"/>
    <cellStyle name="Comma (2)" xfId="87"/>
    <cellStyle name="Comma 10" xfId="88"/>
    <cellStyle name="Comma 11" xfId="89"/>
    <cellStyle name="Comma 12" xfId="90"/>
    <cellStyle name="Comma 13" xfId="91"/>
    <cellStyle name="Comma 14" xfId="92"/>
    <cellStyle name="Comma 15" xfId="93"/>
    <cellStyle name="Comma 16" xfId="94"/>
    <cellStyle name="Comma 17" xfId="95"/>
    <cellStyle name="Comma 18" xfId="96"/>
    <cellStyle name="Comma 19" xfId="97"/>
    <cellStyle name="Comma 2" xfId="5"/>
    <cellStyle name="Comma 2 2" xfId="13"/>
    <cellStyle name="Comma 2 2 2" xfId="98"/>
    <cellStyle name="Comma 2 3" xfId="99"/>
    <cellStyle name="Comma 2_Book3" xfId="100"/>
    <cellStyle name="Comma 20" xfId="101"/>
    <cellStyle name="Comma 21" xfId="102"/>
    <cellStyle name="Comma 22" xfId="103"/>
    <cellStyle name="Comma 23" xfId="104"/>
    <cellStyle name="Comma 3" xfId="18"/>
    <cellStyle name="Comma 3 2" xfId="105"/>
    <cellStyle name="Comma 3 3" xfId="106"/>
    <cellStyle name="Comma 4" xfId="21"/>
    <cellStyle name="Comma 4 2" xfId="107"/>
    <cellStyle name="Comma 4 3" xfId="108"/>
    <cellStyle name="Comma 5" xfId="109"/>
    <cellStyle name="Comma 5 2" xfId="110"/>
    <cellStyle name="Comma 5 3" xfId="111"/>
    <cellStyle name="Comma 6" xfId="112"/>
    <cellStyle name="Comma 6 2" xfId="113"/>
    <cellStyle name="Comma 6 3" xfId="114"/>
    <cellStyle name="Comma 7" xfId="115"/>
    <cellStyle name="Comma 8" xfId="116"/>
    <cellStyle name="Comma 9" xfId="117"/>
    <cellStyle name="Currency" xfId="2" builtinId="4"/>
    <cellStyle name="Currency 2" xfId="8"/>
    <cellStyle name="Currency 2 2" xfId="118"/>
    <cellStyle name="Currency 2 3" xfId="119"/>
    <cellStyle name="Currency 3" xfId="17"/>
    <cellStyle name="Currency 4" xfId="120"/>
    <cellStyle name="Currency 5" xfId="121"/>
    <cellStyle name="Currency 6" xfId="22"/>
    <cellStyle name="CurreŮcy_graph template1.xls Chart 2" xfId="122"/>
    <cellStyle name="Explanatory Text 2" xfId="123"/>
    <cellStyle name="Good 2" xfId="124"/>
    <cellStyle name="GreenBackYellowTxt" xfId="125"/>
    <cellStyle name="Grey" xfId="126"/>
    <cellStyle name="hard no" xfId="127"/>
    <cellStyle name="hard no 2" xfId="128"/>
    <cellStyle name="Header Total_Cash Flow Forecast, 12 Months" xfId="129"/>
    <cellStyle name="Header1" xfId="130"/>
    <cellStyle name="Header2" xfId="131"/>
    <cellStyle name="Heading 1 2" xfId="132"/>
    <cellStyle name="Heading 2 2" xfId="133"/>
    <cellStyle name="Heading 3 2" xfId="134"/>
    <cellStyle name="Heading 4 2" xfId="135"/>
    <cellStyle name="Hyperlink 2" xfId="136"/>
    <cellStyle name="Hyperlink 3" xfId="137"/>
    <cellStyle name="Import" xfId="138"/>
    <cellStyle name="Import 2" xfId="139"/>
    <cellStyle name="Import 3" xfId="140"/>
    <cellStyle name="Import%" xfId="141"/>
    <cellStyle name="Import% 2" xfId="142"/>
    <cellStyle name="Import% 3" xfId="143"/>
    <cellStyle name="Input (2)" xfId="144"/>
    <cellStyle name="Input [yellow]" xfId="145"/>
    <cellStyle name="Input 2" xfId="146"/>
    <cellStyle name="Input 3" xfId="147"/>
    <cellStyle name="Input 4" xfId="148"/>
    <cellStyle name="Input1" xfId="149"/>
    <cellStyle name="Input1 2" xfId="150"/>
    <cellStyle name="Input1 2 2" xfId="151"/>
    <cellStyle name="Input1 2 3" xfId="152"/>
    <cellStyle name="Input1 3" xfId="153"/>
    <cellStyle name="Input1 4" xfId="154"/>
    <cellStyle name="Input1 5" xfId="155"/>
    <cellStyle name="Input1%" xfId="156"/>
    <cellStyle name="Input1% 2" xfId="157"/>
    <cellStyle name="Input1% 2 2" xfId="158"/>
    <cellStyle name="Input1% 2 3" xfId="159"/>
    <cellStyle name="Input1% 3" xfId="160"/>
    <cellStyle name="Input1% 4" xfId="161"/>
    <cellStyle name="Input1% 5" xfId="162"/>
    <cellStyle name="Input1_18-Specific Analysis" xfId="163"/>
    <cellStyle name="Input1default%" xfId="164"/>
    <cellStyle name="Input2" xfId="165"/>
    <cellStyle name="Input2 2" xfId="166"/>
    <cellStyle name="Input2 3" xfId="167"/>
    <cellStyle name="Input2%" xfId="168"/>
    <cellStyle name="Input2_Country Energy 2002 Retail Review info request v3.0" xfId="169"/>
    <cellStyle name="Input3" xfId="170"/>
    <cellStyle name="Input3 2" xfId="171"/>
    <cellStyle name="Input3 3" xfId="172"/>
    <cellStyle name="Input3%" xfId="173"/>
    <cellStyle name="Input3_Country Energy 2002 Retail Review info request v3.0" xfId="174"/>
    <cellStyle name="Linked Cell 2" xfId="175"/>
    <cellStyle name="Neutral 2" xfId="176"/>
    <cellStyle name="no dec" xfId="177"/>
    <cellStyle name="No input" xfId="178"/>
    <cellStyle name="Normal" xfId="0" builtinId="0"/>
    <cellStyle name="Normal - Style1" xfId="179"/>
    <cellStyle name="Normal - Style1 2" xfId="180"/>
    <cellStyle name="Normal 10" xfId="181"/>
    <cellStyle name="Normal 10 2" xfId="182"/>
    <cellStyle name="Normal 11" xfId="183"/>
    <cellStyle name="Normal 11 2" xfId="184"/>
    <cellStyle name="Normal 12" xfId="185"/>
    <cellStyle name="Normal 12 2" xfId="186"/>
    <cellStyle name="Normal 13" xfId="187"/>
    <cellStyle name="Normal 13 2" xfId="188"/>
    <cellStyle name="Normal 14" xfId="189"/>
    <cellStyle name="Normal 14 2" xfId="190"/>
    <cellStyle name="Normal 15" xfId="191"/>
    <cellStyle name="Normal 16" xfId="192"/>
    <cellStyle name="Normal 17" xfId="193"/>
    <cellStyle name="Normal 18" xfId="194"/>
    <cellStyle name="Normal 19" xfId="195"/>
    <cellStyle name="Normal 2" xfId="4"/>
    <cellStyle name="Normal 2 2" xfId="11"/>
    <cellStyle name="Normal 2 2 2" xfId="196"/>
    <cellStyle name="Normal 2 3" xfId="19"/>
    <cellStyle name="Normal 2 4" xfId="197"/>
    <cellStyle name="Normal 2 5" xfId="198"/>
    <cellStyle name="Normal 20" xfId="199"/>
    <cellStyle name="Normal 21" xfId="200"/>
    <cellStyle name="Normal 22" xfId="201"/>
    <cellStyle name="Normal 23" xfId="202"/>
    <cellStyle name="Normal 24" xfId="203"/>
    <cellStyle name="Normal 25" xfId="204"/>
    <cellStyle name="Normal 26" xfId="205"/>
    <cellStyle name="Normal 27" xfId="206"/>
    <cellStyle name="Normal 28" xfId="207"/>
    <cellStyle name="Normal 29" xfId="208"/>
    <cellStyle name="Normal 29 2" xfId="209"/>
    <cellStyle name="Normal 3" xfId="9"/>
    <cellStyle name="Normal 3 2" xfId="14"/>
    <cellStyle name="Normal 3 3" xfId="210"/>
    <cellStyle name="Normal 3 4" xfId="211"/>
    <cellStyle name="Normal 30" xfId="212"/>
    <cellStyle name="Normal 31" xfId="213"/>
    <cellStyle name="Normal 32" xfId="214"/>
    <cellStyle name="Normal 33" xfId="215"/>
    <cellStyle name="Normal 34" xfId="216"/>
    <cellStyle name="Normal 35" xfId="217"/>
    <cellStyle name="Normal 36" xfId="218"/>
    <cellStyle name="Normal 37" xfId="219"/>
    <cellStyle name="Normal 38" xfId="220"/>
    <cellStyle name="Normal 39" xfId="221"/>
    <cellStyle name="Normal 4" xfId="10"/>
    <cellStyle name="Normal 4 2" xfId="222"/>
    <cellStyle name="Normal 4 2 2" xfId="223"/>
    <cellStyle name="Normal 4 3" xfId="224"/>
    <cellStyle name="Normal 40" xfId="225"/>
    <cellStyle name="Normal 41" xfId="226"/>
    <cellStyle name="Normal 42" xfId="227"/>
    <cellStyle name="Normal 43" xfId="228"/>
    <cellStyle name="Normal 44" xfId="229"/>
    <cellStyle name="Normal 45" xfId="230"/>
    <cellStyle name="Normal 46" xfId="231"/>
    <cellStyle name="Normal 46 2" xfId="232"/>
    <cellStyle name="Normal 47" xfId="233"/>
    <cellStyle name="Normal 5" xfId="23"/>
    <cellStyle name="Normal 5 2" xfId="234"/>
    <cellStyle name="Normal 5 3" xfId="235"/>
    <cellStyle name="Normal 6" xfId="236"/>
    <cellStyle name="Normal 6 2" xfId="237"/>
    <cellStyle name="Normal 6 3" xfId="238"/>
    <cellStyle name="Normal 6 4" xfId="239"/>
    <cellStyle name="Normal 7" xfId="240"/>
    <cellStyle name="Normal 7 2" xfId="241"/>
    <cellStyle name="Normal 8" xfId="242"/>
    <cellStyle name="Normal 8 2" xfId="243"/>
    <cellStyle name="Normal 9" xfId="244"/>
    <cellStyle name="Normal 9 2" xfId="245"/>
    <cellStyle name="Normale_blended" xfId="246"/>
    <cellStyle name="Note 2" xfId="247"/>
    <cellStyle name="Note 3" xfId="248"/>
    <cellStyle name="Output 2" xfId="249"/>
    <cellStyle name="Percent" xfId="3" builtinId="5"/>
    <cellStyle name="Percent [2]" xfId="250"/>
    <cellStyle name="Percent [2] 2" xfId="251"/>
    <cellStyle name="Percent [2] 2 2" xfId="252"/>
    <cellStyle name="Percent [2] 2 3" xfId="253"/>
    <cellStyle name="Percent [2] 3" xfId="254"/>
    <cellStyle name="Percent 10" xfId="255"/>
    <cellStyle name="Percent 11" xfId="256"/>
    <cellStyle name="Percent 12" xfId="257"/>
    <cellStyle name="Percent 13" xfId="258"/>
    <cellStyle name="Percent 14" xfId="259"/>
    <cellStyle name="Percent 15" xfId="260"/>
    <cellStyle name="Percent 16" xfId="261"/>
    <cellStyle name="Percent 17" xfId="262"/>
    <cellStyle name="Percent 18" xfId="263"/>
    <cellStyle name="Percent 19" xfId="264"/>
    <cellStyle name="Percent 2" xfId="6"/>
    <cellStyle name="Percent 2 2" xfId="12"/>
    <cellStyle name="Percent 2 3" xfId="265"/>
    <cellStyle name="Percent 2 3 2" xfId="266"/>
    <cellStyle name="Percent 2 3 3" xfId="267"/>
    <cellStyle name="Percent 2 4" xfId="268"/>
    <cellStyle name="Percent 2 5" xfId="269"/>
    <cellStyle name="Percent 2 6" xfId="270"/>
    <cellStyle name="Percent 2 7" xfId="271"/>
    <cellStyle name="Percent 20" xfId="272"/>
    <cellStyle name="Percent 21" xfId="273"/>
    <cellStyle name="Percent 22" xfId="274"/>
    <cellStyle name="Percent 23" xfId="275"/>
    <cellStyle name="Percent 3" xfId="15"/>
    <cellStyle name="Percent 3 2" xfId="276"/>
    <cellStyle name="Percent 4" xfId="16"/>
    <cellStyle name="Percent 4 2" xfId="277"/>
    <cellStyle name="Percent 5" xfId="20"/>
    <cellStyle name="Percent 5 2" xfId="278"/>
    <cellStyle name="Percent 6" xfId="279"/>
    <cellStyle name="Percent 7" xfId="280"/>
    <cellStyle name="Percent 8" xfId="281"/>
    <cellStyle name="Percent 9" xfId="282"/>
    <cellStyle name="PSChar" xfId="283"/>
    <cellStyle name="PSDate" xfId="284"/>
    <cellStyle name="PSDec" xfId="285"/>
    <cellStyle name="PSHeading" xfId="286"/>
    <cellStyle name="PSInt" xfId="287"/>
    <cellStyle name="PSSpacer" xfId="288"/>
    <cellStyle name="R00A" xfId="289"/>
    <cellStyle name="R00B" xfId="290"/>
    <cellStyle name="R00L" xfId="291"/>
    <cellStyle name="R01A" xfId="292"/>
    <cellStyle name="R01B" xfId="293"/>
    <cellStyle name="R01H" xfId="294"/>
    <cellStyle name="R01L" xfId="295"/>
    <cellStyle name="R02A" xfId="296"/>
    <cellStyle name="R02B" xfId="297"/>
    <cellStyle name="R02H" xfId="298"/>
    <cellStyle name="R02L" xfId="299"/>
    <cellStyle name="R03A" xfId="300"/>
    <cellStyle name="R03B" xfId="301"/>
    <cellStyle name="R03H" xfId="302"/>
    <cellStyle name="R03L" xfId="303"/>
    <cellStyle name="R04A" xfId="304"/>
    <cellStyle name="R04B" xfId="305"/>
    <cellStyle name="R04H" xfId="306"/>
    <cellStyle name="R04L" xfId="307"/>
    <cellStyle name="R05A" xfId="308"/>
    <cellStyle name="R05B" xfId="309"/>
    <cellStyle name="R05H" xfId="310"/>
    <cellStyle name="R05L" xfId="311"/>
    <cellStyle name="R06A" xfId="312"/>
    <cellStyle name="R06B" xfId="313"/>
    <cellStyle name="R06H" xfId="314"/>
    <cellStyle name="R06L" xfId="315"/>
    <cellStyle name="R07A" xfId="316"/>
    <cellStyle name="R07B" xfId="317"/>
    <cellStyle name="R07H" xfId="318"/>
    <cellStyle name="R07L" xfId="319"/>
    <cellStyle name="Style 1" xfId="320"/>
    <cellStyle name="Style 1 2" xfId="321"/>
    <cellStyle name="Times New Roman" xfId="322"/>
    <cellStyle name="Title 2" xfId="323"/>
    <cellStyle name="Total 2" xfId="324"/>
    <cellStyle name="Valuta (0)_spies97" xfId="325"/>
    <cellStyle name="Warning Text 2" xfId="326"/>
    <cellStyle name="White rows" xfId="7"/>
    <cellStyle name="White rows 2" xfId="327"/>
    <cellStyle name="YELLOW" xfId="328"/>
    <cellStyle name="YellowBackGreenTxt" xfId="329"/>
  </cellStyles>
  <dxfs count="0"/>
  <tableStyles count="0" defaultTableStyle="TableStyleMedium2" defaultPivotStyle="PivotStyleLight16"/>
  <colors>
    <mruColors>
      <color rgb="FF0000FF"/>
      <color rgb="FF1DF3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ercial%20Strategy\2014%20AER%20Determination\Finance%20Lead\ROMO\Model\ROMO%20v0.13%20%202014%20SCI%20V3%203-4-13%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aka\AppData\Local\Microsoft\Windows\Temporary%20Internet%20Files\Content.Outlook\98722V21\Essential%20Energy%20-%20Final%20Decision%20-%20Metering%20PTRM%20RRP%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Chart1"/>
      <sheetName val="Equity raising cost-capex"/>
      <sheetName val="X factor"/>
      <sheetName val="Chart2"/>
    </sheetNames>
    <sheetDataSet>
      <sheetData sheetId="0"/>
      <sheetData sheetId="1">
        <row r="79">
          <cell r="G79">
            <v>5.6346313796938025E-2</v>
          </cell>
          <cell r="H79">
            <v>5.8720691929753266E-2</v>
          </cell>
          <cell r="I79">
            <v>6.0727187366292762E-2</v>
          </cell>
          <cell r="J79">
            <v>6.2365800106556492E-2</v>
          </cell>
          <cell r="K79">
            <v>6.363653015054449E-2</v>
          </cell>
        </row>
        <row r="82">
          <cell r="G82">
            <v>24.661696892496284</v>
          </cell>
          <cell r="H82">
            <v>24.527277167775274</v>
          </cell>
          <cell r="I82">
            <v>24.411248112210686</v>
          </cell>
          <cell r="J82">
            <v>24.153678120493915</v>
          </cell>
          <cell r="K82">
            <v>24.257254972288916</v>
          </cell>
        </row>
        <row r="87">
          <cell r="G87">
            <v>2.3800000000000002E-2</v>
          </cell>
        </row>
      </sheetData>
      <sheetData sheetId="2">
        <row r="27">
          <cell r="F27">
            <v>6.7460000000000006E-2</v>
          </cell>
        </row>
      </sheetData>
      <sheetData sheetId="3">
        <row r="7">
          <cell r="G7">
            <v>1.0238</v>
          </cell>
          <cell r="H7">
            <v>1.0481664400000001</v>
          </cell>
          <cell r="I7">
            <v>1.0731128012720001</v>
          </cell>
          <cell r="J7">
            <v>1.0986528859422737</v>
          </cell>
          <cell r="K7">
            <v>1.1248008246276999</v>
          </cell>
        </row>
        <row r="153">
          <cell r="G153">
            <v>98.856383720123333</v>
          </cell>
          <cell r="H153">
            <v>102.23432216547602</v>
          </cell>
          <cell r="I153">
            <v>104.99292947231733</v>
          </cell>
          <cell r="J153">
            <v>107.13220564064729</v>
          </cell>
          <cell r="K153">
            <v>108.65215067046589</v>
          </cell>
        </row>
        <row r="154">
          <cell r="G154">
            <v>94.859114136259294</v>
          </cell>
          <cell r="H154">
            <v>98.856383720123333</v>
          </cell>
          <cell r="I154">
            <v>102.23432216547602</v>
          </cell>
          <cell r="J154">
            <v>104.99292947231733</v>
          </cell>
          <cell r="K154">
            <v>107.13220564064729</v>
          </cell>
        </row>
      </sheetData>
      <sheetData sheetId="4"/>
      <sheetData sheetId="5"/>
      <sheetData sheetId="6" refreshError="1"/>
      <sheetData sheetId="7"/>
      <sheetData sheetId="8">
        <row r="11">
          <cell r="E11">
            <v>6.3991958396320516</v>
          </cell>
          <cell r="F11">
            <v>6.8275703149285967</v>
          </cell>
          <cell r="G11">
            <v>7.2289181785046068</v>
          </cell>
          <cell r="H11">
            <v>7.6006680542695682</v>
          </cell>
          <cell r="I11">
            <v>7.9401166717747547</v>
          </cell>
        </row>
        <row r="12">
          <cell r="E12">
            <v>3.1610167777159939</v>
          </cell>
          <cell r="F12">
            <v>3.7880118621811865</v>
          </cell>
          <cell r="G12">
            <v>4.4585114446516556</v>
          </cell>
          <cell r="H12">
            <v>5.1745988955250217</v>
          </cell>
          <cell r="I12">
            <v>5.9384408624730245</v>
          </cell>
        </row>
        <row r="15">
          <cell r="E15">
            <v>0</v>
          </cell>
          <cell r="F15">
            <v>0</v>
          </cell>
          <cell r="G15">
            <v>9.1002609055001973E-2</v>
          </cell>
          <cell r="H15">
            <v>0.30100909708395973</v>
          </cell>
          <cell r="I15">
            <v>0.4481808003355634</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88"/>
  <sheetViews>
    <sheetView workbookViewId="0">
      <pane xSplit="1" ySplit="2" topLeftCell="B3" activePane="bottomRight" state="frozen"/>
      <selection pane="topRight" activeCell="B1" sqref="B1"/>
      <selection pane="bottomLeft" activeCell="A3" sqref="A3"/>
      <selection pane="bottomRight" activeCell="J89" sqref="J89"/>
    </sheetView>
  </sheetViews>
  <sheetFormatPr defaultRowHeight="12.75" x14ac:dyDescent="0.2"/>
  <cols>
    <col min="1" max="1" width="33" style="4" customWidth="1"/>
    <col min="2" max="6" width="10.28515625" style="4" customWidth="1"/>
    <col min="7" max="7" width="9.140625" style="4" customWidth="1"/>
    <col min="8" max="8" width="15.7109375" style="4" customWidth="1"/>
    <col min="9" max="12" width="11.140625" style="4" customWidth="1"/>
    <col min="13" max="13" width="9.140625" style="4" customWidth="1"/>
    <col min="14" max="14" width="19.140625" style="4" customWidth="1"/>
    <col min="15" max="16384" width="9.140625" style="4"/>
  </cols>
  <sheetData>
    <row r="1" spans="1:17" ht="15" x14ac:dyDescent="0.25">
      <c r="B1" s="360" t="s">
        <v>267</v>
      </c>
      <c r="H1" s="360" t="s">
        <v>268</v>
      </c>
    </row>
    <row r="2" spans="1:17" ht="15" x14ac:dyDescent="0.25">
      <c r="B2" s="361" t="s">
        <v>0</v>
      </c>
      <c r="C2" s="361" t="s">
        <v>1</v>
      </c>
      <c r="D2" s="361" t="s">
        <v>10</v>
      </c>
      <c r="E2" s="361" t="s">
        <v>2</v>
      </c>
      <c r="F2" s="361" t="s">
        <v>3</v>
      </c>
      <c r="H2" s="361" t="str">
        <f>B2</f>
        <v>2014/15</v>
      </c>
      <c r="I2" s="361" t="str">
        <f>C2</f>
        <v>2015/16</v>
      </c>
      <c r="J2" s="361" t="str">
        <f>D2</f>
        <v>2016/17</v>
      </c>
      <c r="K2" s="361" t="str">
        <f>E2</f>
        <v>2017/18</v>
      </c>
      <c r="L2" s="361" t="str">
        <f>F2</f>
        <v>2018/19</v>
      </c>
      <c r="O2" s="361" t="str">
        <f t="shared" ref="O2:Q2" si="0">J2</f>
        <v>2016/17</v>
      </c>
      <c r="P2" s="361" t="str">
        <f t="shared" si="0"/>
        <v>2017/18</v>
      </c>
      <c r="Q2" s="361" t="str">
        <f t="shared" si="0"/>
        <v>2018/19</v>
      </c>
    </row>
    <row r="3" spans="1:17" ht="15" x14ac:dyDescent="0.25">
      <c r="A3" s="379" t="str">
        <f>'Pricing Summary'!B5</f>
        <v>Existing Customers</v>
      </c>
      <c r="B3" s="361"/>
      <c r="C3" s="361"/>
      <c r="D3" s="361"/>
      <c r="E3" s="361"/>
      <c r="F3" s="361"/>
      <c r="H3" s="361"/>
      <c r="I3" s="361"/>
      <c r="J3" s="361"/>
      <c r="K3" s="361"/>
      <c r="L3" s="361"/>
      <c r="O3" s="361"/>
      <c r="P3" s="361"/>
      <c r="Q3" s="361"/>
    </row>
    <row r="4" spans="1:17" ht="15" x14ac:dyDescent="0.25">
      <c r="A4" s="362" t="str">
        <f>'Pricing Summary'!B6</f>
        <v>Residential Anytime</v>
      </c>
      <c r="H4" s="363">
        <f>'Price Build Up'!D6</f>
        <v>711610</v>
      </c>
      <c r="I4" s="363">
        <f>'Price Build Up'!E6</f>
        <v>711610</v>
      </c>
      <c r="J4" s="363">
        <f>'Price Build Up'!F6</f>
        <v>711610</v>
      </c>
      <c r="K4" s="363">
        <f>'Price Build Up'!G6</f>
        <v>711610</v>
      </c>
      <c r="L4" s="363">
        <f>'Price Build Up'!H6</f>
        <v>711610</v>
      </c>
      <c r="N4" s="4" t="s">
        <v>257</v>
      </c>
      <c r="O4" s="352">
        <f>Inputs!H7</f>
        <v>2.3800000000000002E-2</v>
      </c>
      <c r="P4" s="352">
        <f>Inputs!I7</f>
        <v>2.3800000000000002E-2</v>
      </c>
      <c r="Q4" s="352">
        <f>Inputs!J7</f>
        <v>2.3800000000000002E-2</v>
      </c>
    </row>
    <row r="5" spans="1:17" ht="15" x14ac:dyDescent="0.25">
      <c r="A5" s="177" t="s">
        <v>258</v>
      </c>
      <c r="B5" s="65">
        <f>'Price Build Up'!L$77*'Pricing Summary'!H$2</f>
        <v>22.218640696128553</v>
      </c>
      <c r="C5" s="65">
        <f>'Price Build Up'!P$77*'Pricing Summary'!I$2</f>
        <v>22.327041245077879</v>
      </c>
      <c r="D5" s="364">
        <f t="shared" ref="D5:F6" si="1">C5*(1-O$5)*(1+O$4)</f>
        <v>23.16907382603554</v>
      </c>
      <c r="E5" s="364">
        <f t="shared" si="1"/>
        <v>24.042862467261621</v>
      </c>
      <c r="F5" s="364">
        <f t="shared" si="1"/>
        <v>24.949604803368583</v>
      </c>
      <c r="H5" s="365">
        <f>B5*H4/10^6</f>
        <v>15.811006905772039</v>
      </c>
      <c r="I5" s="365">
        <f>C5*I4/10^6</f>
        <v>15.88814582040987</v>
      </c>
      <c r="J5" s="365">
        <f>D5*J4/10^6</f>
        <v>16.487344625345148</v>
      </c>
      <c r="K5" s="365">
        <f>E5*K4/10^6</f>
        <v>17.109141360328042</v>
      </c>
      <c r="L5" s="365">
        <f>F5*L4/10^6</f>
        <v>17.75438827412512</v>
      </c>
      <c r="N5" s="4" t="s">
        <v>259</v>
      </c>
      <c r="O5" s="366">
        <v>-1.3590131502053715E-2</v>
      </c>
      <c r="P5" s="367">
        <f>O5</f>
        <v>-1.3590131502053715E-2</v>
      </c>
      <c r="Q5" s="367">
        <f>P5</f>
        <v>-1.3590131502053715E-2</v>
      </c>
    </row>
    <row r="6" spans="1:17" ht="15" x14ac:dyDescent="0.25">
      <c r="A6" s="177" t="s">
        <v>260</v>
      </c>
      <c r="B6" s="65">
        <f>'Price Build Up'!J$77*'Pricing Summary'!H$2</f>
        <v>8.3181765852894056</v>
      </c>
      <c r="C6" s="65">
        <f>'Price Build Up'!O$77*'Pricing Summary'!I$2</f>
        <v>9.2575886154807865</v>
      </c>
      <c r="D6" s="364">
        <f t="shared" si="1"/>
        <v>9.6067253931564256</v>
      </c>
      <c r="E6" s="364">
        <f t="shared" si="1"/>
        <v>9.9690293674519133</v>
      </c>
      <c r="F6" s="364">
        <f t="shared" si="1"/>
        <v>10.344997120446001</v>
      </c>
      <c r="H6" s="365">
        <f>B6*H4/10^6</f>
        <v>5.9192976398577946</v>
      </c>
      <c r="I6" s="365">
        <f>C6*I4/10^6</f>
        <v>6.587792634662283</v>
      </c>
      <c r="J6" s="365">
        <f>D6*J4/10^6</f>
        <v>6.836241857024044</v>
      </c>
      <c r="K6" s="365">
        <f>E6*K4/10^6</f>
        <v>7.0940609881724557</v>
      </c>
      <c r="L6" s="365">
        <f>F6*L4/10^6</f>
        <v>7.3616034008805791</v>
      </c>
      <c r="N6" s="4" t="s">
        <v>271</v>
      </c>
      <c r="O6" s="352">
        <f>Inputs!H17</f>
        <v>6.7460000000000006E-2</v>
      </c>
      <c r="P6" s="352">
        <f>Inputs!I17</f>
        <v>6.7460000000000006E-2</v>
      </c>
      <c r="Q6" s="352">
        <f>Inputs!J17</f>
        <v>6.7460000000000006E-2</v>
      </c>
    </row>
    <row r="7" spans="1:17" ht="15" x14ac:dyDescent="0.25">
      <c r="A7" s="177"/>
      <c r="B7" s="65"/>
      <c r="C7" s="65"/>
      <c r="D7" s="364"/>
      <c r="E7" s="364"/>
      <c r="F7" s="364"/>
    </row>
    <row r="8" spans="1:17" ht="15" x14ac:dyDescent="0.25">
      <c r="A8" s="362" t="str">
        <f>'Pricing Summary'!B7</f>
        <v>Residential TOU</v>
      </c>
      <c r="B8" s="65"/>
      <c r="C8" s="65"/>
      <c r="D8" s="364"/>
      <c r="E8" s="364"/>
      <c r="F8" s="364"/>
      <c r="H8" s="363">
        <f>'Price Build Up'!D7</f>
        <v>18839.3</v>
      </c>
      <c r="I8" s="363">
        <f>'Price Build Up'!E7</f>
        <v>18839.3</v>
      </c>
      <c r="J8" s="363">
        <f>'Price Build Up'!F7</f>
        <v>18839.3</v>
      </c>
      <c r="K8" s="363">
        <f>'Price Build Up'!G7</f>
        <v>18839.3</v>
      </c>
      <c r="L8" s="363">
        <f>'Price Build Up'!H7</f>
        <v>18839.3</v>
      </c>
    </row>
    <row r="9" spans="1:17" ht="15" x14ac:dyDescent="0.25">
      <c r="A9" s="177" t="s">
        <v>258</v>
      </c>
      <c r="B9" s="65">
        <f>'Price Build Up'!L$78*'Pricing Summary'!H$2</f>
        <v>30.675686788280331</v>
      </c>
      <c r="C9" s="65">
        <f>'Price Build Up'!P$78*'Pricing Summary'!I$2</f>
        <v>30.670429108930829</v>
      </c>
      <c r="D9" s="364">
        <f t="shared" ref="D9:F10" si="2">C9*(1-O$5)*(1+O$4)</f>
        <v>31.827120687460763</v>
      </c>
      <c r="E9" s="364">
        <f t="shared" si="2"/>
        <v>33.02743524247694</v>
      </c>
      <c r="F9" s="364">
        <f t="shared" si="2"/>
        <v>34.27301795244599</v>
      </c>
      <c r="H9" s="365">
        <f>B9*H8/10^6</f>
        <v>0.57790846611044966</v>
      </c>
      <c r="I9" s="365">
        <f>C9*I8/10^6</f>
        <v>0.57780941511188055</v>
      </c>
      <c r="J9" s="365">
        <f>D9*J8/10^6</f>
        <v>0.59960067476727952</v>
      </c>
      <c r="K9" s="365">
        <f>E9*K8/10^6</f>
        <v>0.6222137607635958</v>
      </c>
      <c r="L9" s="365">
        <f>F9*L8/10^6</f>
        <v>0.64567966711151581</v>
      </c>
    </row>
    <row r="10" spans="1:17" ht="15" x14ac:dyDescent="0.25">
      <c r="A10" s="177" t="s">
        <v>260</v>
      </c>
      <c r="B10" s="65">
        <f>'Price Build Up'!J$78*'Pricing Summary'!H$2</f>
        <v>8.3181765852894074</v>
      </c>
      <c r="C10" s="65">
        <f>'Price Build Up'!O$78*'Pricing Summary'!I$2</f>
        <v>9.2575886154807847</v>
      </c>
      <c r="D10" s="364">
        <f t="shared" si="2"/>
        <v>9.6067253931564238</v>
      </c>
      <c r="E10" s="364">
        <f t="shared" si="2"/>
        <v>9.9690293674519115</v>
      </c>
      <c r="F10" s="364">
        <f t="shared" si="2"/>
        <v>10.344997120445999</v>
      </c>
      <c r="H10" s="365">
        <f>B10*H8/10^6</f>
        <v>0.15670862414324271</v>
      </c>
      <c r="I10" s="365">
        <f>C10*I8/10^6</f>
        <v>0.17440648920362714</v>
      </c>
      <c r="J10" s="365">
        <f>D10*J8/10^6</f>
        <v>0.18098398169929181</v>
      </c>
      <c r="K10" s="365">
        <f>E10*K8/10^6</f>
        <v>0.18780953496223679</v>
      </c>
      <c r="L10" s="365">
        <f>F10*L8/10^6</f>
        <v>0.19489250425121832</v>
      </c>
    </row>
    <row r="11" spans="1:17" ht="15" x14ac:dyDescent="0.25">
      <c r="A11" s="362"/>
      <c r="D11" s="368"/>
      <c r="E11" s="368"/>
      <c r="F11" s="368"/>
    </row>
    <row r="12" spans="1:17" ht="15" x14ac:dyDescent="0.25">
      <c r="A12" s="362" t="str">
        <f>'Pricing Summary'!B8</f>
        <v>Small Business anytime</v>
      </c>
      <c r="D12" s="368"/>
      <c r="E12" s="368"/>
      <c r="F12" s="368"/>
      <c r="H12" s="363">
        <f>'Price Build Up'!D8</f>
        <v>79250.489999999991</v>
      </c>
      <c r="I12" s="363">
        <f>'Price Build Up'!E8</f>
        <v>79250.489999999991</v>
      </c>
      <c r="J12" s="363">
        <f>'Price Build Up'!F8</f>
        <v>79250.489999999991</v>
      </c>
      <c r="K12" s="363">
        <f>'Price Build Up'!G8</f>
        <v>79250.489999999991</v>
      </c>
      <c r="L12" s="363">
        <f>'Price Build Up'!H8</f>
        <v>79250.489999999991</v>
      </c>
    </row>
    <row r="13" spans="1:17" ht="15" x14ac:dyDescent="0.25">
      <c r="A13" s="177" t="s">
        <v>258</v>
      </c>
      <c r="B13" s="65">
        <f>'Price Build Up'!L$79*'Pricing Summary'!H$2</f>
        <v>22.218640696128553</v>
      </c>
      <c r="C13" s="65">
        <f>'Price Build Up'!P$79*'Pricing Summary'!I$2</f>
        <v>22.327041245077879</v>
      </c>
      <c r="D13" s="364">
        <f t="shared" ref="D13:F14" si="3">C13*(1-O$5)*(1+O$4)</f>
        <v>23.16907382603554</v>
      </c>
      <c r="E13" s="364">
        <f t="shared" si="3"/>
        <v>24.042862467261621</v>
      </c>
      <c r="F13" s="364">
        <f t="shared" si="3"/>
        <v>24.949604803368583</v>
      </c>
      <c r="H13" s="365">
        <f>B13*H12/10^6</f>
        <v>1.7608381623021288</v>
      </c>
      <c r="I13" s="365">
        <f>C13*I12/10^6</f>
        <v>1.7694289589226317</v>
      </c>
      <c r="J13" s="365">
        <f>D13*J12/10^6</f>
        <v>1.8361604535594911</v>
      </c>
      <c r="K13" s="365">
        <f>E13*K12/10^6</f>
        <v>1.905408631533092</v>
      </c>
      <c r="L13" s="365">
        <f>F13*L12/10^6</f>
        <v>1.9772684059733137</v>
      </c>
    </row>
    <row r="14" spans="1:17" ht="15" x14ac:dyDescent="0.25">
      <c r="A14" s="177" t="s">
        <v>260</v>
      </c>
      <c r="B14" s="65">
        <f>'Price Build Up'!J$79*'Pricing Summary'!H$2</f>
        <v>8.3181765852894038</v>
      </c>
      <c r="C14" s="65">
        <f>'Price Build Up'!O$79*'Pricing Summary'!I$2</f>
        <v>9.2575886154807847</v>
      </c>
      <c r="D14" s="364">
        <f t="shared" si="3"/>
        <v>9.6067253931564238</v>
      </c>
      <c r="E14" s="364">
        <f t="shared" si="3"/>
        <v>9.9690293674519115</v>
      </c>
      <c r="F14" s="364">
        <f t="shared" si="3"/>
        <v>10.344997120445999</v>
      </c>
      <c r="H14" s="365">
        <f>B14*H12/10^6</f>
        <v>0.65921957029071199</v>
      </c>
      <c r="I14" s="365">
        <f>C14*I12/10^6</f>
        <v>0.73366843399527371</v>
      </c>
      <c r="J14" s="365">
        <f>D14*J12/10^6</f>
        <v>0.76133769470308921</v>
      </c>
      <c r="K14" s="365">
        <f>E14*K12/10^6</f>
        <v>0.7900504621949539</v>
      </c>
      <c r="L14" s="365">
        <f>F14*L12/10^6</f>
        <v>0.81984609084393434</v>
      </c>
    </row>
    <row r="15" spans="1:17" ht="15" x14ac:dyDescent="0.25">
      <c r="A15" s="362"/>
      <c r="B15" s="65"/>
      <c r="C15" s="65"/>
      <c r="D15" s="364"/>
      <c r="E15" s="364"/>
      <c r="F15" s="364"/>
    </row>
    <row r="16" spans="1:17" ht="15" x14ac:dyDescent="0.25">
      <c r="A16" s="362" t="str">
        <f>'Pricing Summary'!B9</f>
        <v>Small Business  TOU</v>
      </c>
      <c r="B16" s="65"/>
      <c r="C16" s="65"/>
      <c r="D16" s="364"/>
      <c r="E16" s="364"/>
      <c r="F16" s="364"/>
      <c r="H16" s="363">
        <f>'Price Build Up'!D9</f>
        <v>14113.1</v>
      </c>
      <c r="I16" s="363">
        <f>'Price Build Up'!E9</f>
        <v>14113.1</v>
      </c>
      <c r="J16" s="363">
        <f>'Price Build Up'!F9</f>
        <v>14113.1</v>
      </c>
      <c r="K16" s="363">
        <f>'Price Build Up'!G9</f>
        <v>14113.1</v>
      </c>
      <c r="L16" s="363">
        <f>'Price Build Up'!H9</f>
        <v>14113.1</v>
      </c>
    </row>
    <row r="17" spans="1:12" ht="15" x14ac:dyDescent="0.25">
      <c r="A17" s="177" t="s">
        <v>258</v>
      </c>
      <c r="B17" s="65">
        <f>'Price Build Up'!L$80*'Pricing Summary'!H$2</f>
        <v>30.675686788280334</v>
      </c>
      <c r="C17" s="65">
        <f>'Price Build Up'!P$80*'Pricing Summary'!I$2</f>
        <v>30.670429108930826</v>
      </c>
      <c r="D17" s="364">
        <f t="shared" ref="D17:F18" si="4">C17*(1-O$5)*(1+O$4)</f>
        <v>31.827120687460759</v>
      </c>
      <c r="E17" s="364">
        <f t="shared" si="4"/>
        <v>33.02743524247694</v>
      </c>
      <c r="F17" s="364">
        <f t="shared" si="4"/>
        <v>34.27301795244599</v>
      </c>
      <c r="H17" s="365">
        <f>B17*H16/10^6</f>
        <v>0.43292903521167919</v>
      </c>
      <c r="I17" s="365">
        <f>C17*I16/10^6</f>
        <v>0.43285483305725164</v>
      </c>
      <c r="J17" s="365">
        <f>D17*J16/10^6</f>
        <v>0.44917933697420248</v>
      </c>
      <c r="K17" s="365">
        <f>E17*K16/10^6</f>
        <v>0.46611949632060135</v>
      </c>
      <c r="L17" s="365">
        <f>F17*L16/10^6</f>
        <v>0.48369852966466553</v>
      </c>
    </row>
    <row r="18" spans="1:12" ht="15" x14ac:dyDescent="0.25">
      <c r="A18" s="177" t="s">
        <v>260</v>
      </c>
      <c r="B18" s="65">
        <f>'Price Build Up'!J$80*'Pricing Summary'!H$2</f>
        <v>8.3181765852894056</v>
      </c>
      <c r="C18" s="65">
        <f>'Price Build Up'!O$80*'Pricing Summary'!I$2</f>
        <v>9.2575886154807847</v>
      </c>
      <c r="D18" s="364">
        <f t="shared" si="4"/>
        <v>9.6067253931564238</v>
      </c>
      <c r="E18" s="364">
        <f t="shared" si="4"/>
        <v>9.9690293674519115</v>
      </c>
      <c r="F18" s="364">
        <f t="shared" si="4"/>
        <v>10.344997120445999</v>
      </c>
      <c r="H18" s="365">
        <f>B18*H16/10^6</f>
        <v>0.1173952579658479</v>
      </c>
      <c r="I18" s="365">
        <f>C18*I16/10^6</f>
        <v>0.13065327388914186</v>
      </c>
      <c r="J18" s="365">
        <f>D18*J16/10^6</f>
        <v>0.13558067614615593</v>
      </c>
      <c r="K18" s="365">
        <f>E18*K16/10^6</f>
        <v>0.14069390836578557</v>
      </c>
      <c r="L18" s="365">
        <f>F18*L16/10^6</f>
        <v>0.14599997886056643</v>
      </c>
    </row>
    <row r="19" spans="1:12" ht="15" x14ac:dyDescent="0.25">
      <c r="A19" s="362"/>
      <c r="B19" s="65"/>
      <c r="C19" s="65"/>
      <c r="D19" s="364"/>
      <c r="E19" s="364"/>
      <c r="F19" s="364"/>
    </row>
    <row r="20" spans="1:12" ht="15" x14ac:dyDescent="0.25">
      <c r="A20" s="362" t="str">
        <f>'Pricing Summary'!B10</f>
        <v>Controlled Load</v>
      </c>
      <c r="D20" s="368"/>
      <c r="E20" s="368"/>
      <c r="F20" s="368"/>
      <c r="H20" s="363">
        <f>'Price Build Up'!D10</f>
        <v>487584.3</v>
      </c>
      <c r="I20" s="363">
        <f>'Price Build Up'!E10</f>
        <v>481816.9</v>
      </c>
      <c r="J20" s="363">
        <f>'Price Build Up'!F10</f>
        <v>476101.1</v>
      </c>
      <c r="K20" s="363">
        <f>'Price Build Up'!G10</f>
        <v>470436.10000000003</v>
      </c>
      <c r="L20" s="363">
        <f>'Price Build Up'!H10</f>
        <v>464821.5</v>
      </c>
    </row>
    <row r="21" spans="1:12" ht="15" x14ac:dyDescent="0.25">
      <c r="A21" s="177" t="s">
        <v>258</v>
      </c>
      <c r="B21" s="65">
        <f>'Price Build Up'!L$81*'Pricing Summary'!H$2</f>
        <v>6.6438973866635509</v>
      </c>
      <c r="C21" s="65">
        <f>'Price Build Up'!P$81*'Pricing Summary'!I$2</f>
        <v>6.7399337311086738</v>
      </c>
      <c r="D21" s="364">
        <f t="shared" ref="D21:F22" si="5">C21*(1-O$5)*(1+O$4)</f>
        <v>6.9941207383701114</v>
      </c>
      <c r="E21" s="364">
        <f t="shared" si="5"/>
        <v>7.2578940468087119</v>
      </c>
      <c r="F21" s="364">
        <f t="shared" si="5"/>
        <v>7.5316151901285355</v>
      </c>
      <c r="H21" s="365">
        <f>B21*H20/10^6</f>
        <v>3.2394600565481766</v>
      </c>
      <c r="I21" s="365">
        <f>C21*I20/10^6</f>
        <v>3.2474139765282146</v>
      </c>
      <c r="J21" s="365">
        <f>D21*J20/10^6</f>
        <v>3.3299085770708219</v>
      </c>
      <c r="K21" s="365">
        <f>E21*K20/10^6</f>
        <v>3.4143753695939081</v>
      </c>
      <c r="L21" s="365">
        <f>F21*L20/10^6</f>
        <v>3.5008566700983312</v>
      </c>
    </row>
    <row r="22" spans="1:12" ht="15" x14ac:dyDescent="0.25">
      <c r="A22" s="177" t="s">
        <v>260</v>
      </c>
      <c r="B22" s="65">
        <f>'Price Build Up'!J$81*'Pricing Summary'!H$2</f>
        <v>3.7876004413564597</v>
      </c>
      <c r="C22" s="65">
        <f>'Price Build Up'!O$81*'Pricing Summary'!I$2</f>
        <v>4.2153525314552596</v>
      </c>
      <c r="D22" s="364">
        <f t="shared" si="5"/>
        <v>4.3743285521803603</v>
      </c>
      <c r="E22" s="364">
        <f t="shared" si="5"/>
        <v>4.5393001272456965</v>
      </c>
      <c r="F22" s="364">
        <f t="shared" si="5"/>
        <v>4.7104933704493277</v>
      </c>
      <c r="H22" s="365">
        <f>B22*H20/10^6</f>
        <v>1.8467745098784802</v>
      </c>
      <c r="I22" s="365">
        <f>C22*I20/10^6</f>
        <v>2.031028089112926</v>
      </c>
      <c r="J22" s="365">
        <f>D22*J20/10^6</f>
        <v>2.0826226354544768</v>
      </c>
      <c r="K22" s="365">
        <f>E22*K20/10^6</f>
        <v>2.1354506485909694</v>
      </c>
      <c r="L22" s="365">
        <f>F22*L20/10^6</f>
        <v>2.189538594192312</v>
      </c>
    </row>
    <row r="23" spans="1:12" ht="15" x14ac:dyDescent="0.25">
      <c r="A23" s="362"/>
      <c r="D23" s="368"/>
      <c r="E23" s="368"/>
      <c r="F23" s="368"/>
    </row>
    <row r="24" spans="1:12" ht="15" x14ac:dyDescent="0.25">
      <c r="A24" s="362" t="str">
        <f>'Pricing Summary'!B11</f>
        <v>Solar (Gross meter only)</v>
      </c>
      <c r="D24" s="368"/>
      <c r="E24" s="368"/>
      <c r="F24" s="368"/>
      <c r="H24" s="363">
        <f>'Price Build Up'!D11</f>
        <v>113418.433</v>
      </c>
      <c r="I24" s="363">
        <f>'Price Build Up'!E11</f>
        <v>113418.433</v>
      </c>
      <c r="J24" s="363">
        <f>'Price Build Up'!F11</f>
        <v>113418.433</v>
      </c>
      <c r="K24" s="363">
        <f>'Price Build Up'!G11</f>
        <v>113418.433</v>
      </c>
      <c r="L24" s="363">
        <f>'Price Build Up'!H11</f>
        <v>113418.433</v>
      </c>
    </row>
    <row r="25" spans="1:12" ht="15" x14ac:dyDescent="0.25">
      <c r="A25" s="177" t="s">
        <v>258</v>
      </c>
      <c r="B25" s="65">
        <f>'Price Build Up'!L$82*'Pricing Summary'!H$2</f>
        <v>30.211161995098507</v>
      </c>
      <c r="C25" s="65">
        <f>'Price Build Up'!P$82*'Pricing Summary'!I$2</f>
        <v>30.176505230752102</v>
      </c>
      <c r="D25" s="364">
        <f t="shared" ref="D25:F26" si="6">C25*(1-O$5)*(1+O$4)</f>
        <v>31.314569173252064</v>
      </c>
      <c r="E25" s="364">
        <f t="shared" si="6"/>
        <v>32.49555357745939</v>
      </c>
      <c r="F25" s="364">
        <f t="shared" si="6"/>
        <v>33.721077127495754</v>
      </c>
      <c r="H25" s="365">
        <f>B25*H24/10^6</f>
        <v>3.4265026525932267</v>
      </c>
      <c r="I25" s="365">
        <f>C25*I24/10^6</f>
        <v>3.422571936688207</v>
      </c>
      <c r="J25" s="365">
        <f>D25*J24/10^6</f>
        <v>3.5516493657003547</v>
      </c>
      <c r="K25" s="365">
        <f>E25*K24/10^6</f>
        <v>3.6855947662229882</v>
      </c>
      <c r="L25" s="365">
        <f>F25*L24/10^6</f>
        <v>3.8245917268727094</v>
      </c>
    </row>
    <row r="26" spans="1:12" ht="15" x14ac:dyDescent="0.25">
      <c r="A26" s="177" t="s">
        <v>260</v>
      </c>
      <c r="B26" s="65">
        <f>'Price Build Up'!J$82*'Pricing Summary'!H$2</f>
        <v>7.5897452684077304</v>
      </c>
      <c r="C26" s="65">
        <f>'Price Build Up'!O$82*'Pricing Summary'!I$2</f>
        <v>8.4468920166313097</v>
      </c>
      <c r="D26" s="364">
        <f t="shared" si="6"/>
        <v>8.765454526001097</v>
      </c>
      <c r="E26" s="364">
        <f t="shared" si="6"/>
        <v>9.0960311669800209</v>
      </c>
      <c r="F26" s="364">
        <f t="shared" si="6"/>
        <v>9.4390750354411885</v>
      </c>
      <c r="H26" s="365">
        <f>B26*H24/10^6</f>
        <v>0.86081701521196929</v>
      </c>
      <c r="I26" s="365">
        <f>C26*I24/10^6</f>
        <v>0.95803325624653313</v>
      </c>
      <c r="J26" s="365">
        <f>D26*J24/10^6</f>
        <v>0.99416411687180228</v>
      </c>
      <c r="K26" s="365">
        <f>E26*K24/10^6</f>
        <v>1.0316576014780354</v>
      </c>
      <c r="L26" s="365">
        <f>F26*L24/10^6</f>
        <v>1.0705650994891591</v>
      </c>
    </row>
    <row r="27" spans="1:12" ht="15" x14ac:dyDescent="0.25">
      <c r="A27" s="362"/>
      <c r="D27" s="368"/>
      <c r="E27" s="368"/>
      <c r="F27" s="368"/>
    </row>
    <row r="28" spans="1:12" ht="15" x14ac:dyDescent="0.25">
      <c r="A28" s="380" t="str">
        <f>'Pricing Summary'!B13</f>
        <v>New Customers</v>
      </c>
      <c r="D28" s="368"/>
      <c r="E28" s="368"/>
      <c r="F28" s="368"/>
    </row>
    <row r="29" spans="1:12" ht="15" x14ac:dyDescent="0.25">
      <c r="A29" s="362" t="str">
        <f>'Pricing Summary'!B14</f>
        <v>Anytime Customers</v>
      </c>
      <c r="D29" s="368"/>
      <c r="E29" s="368"/>
      <c r="F29" s="368"/>
      <c r="H29" s="363">
        <f>'Price Build Up'!D17</f>
        <v>0</v>
      </c>
      <c r="I29" s="363">
        <f>'Price Build Up'!E17</f>
        <v>3339.5090000000637</v>
      </c>
      <c r="J29" s="363">
        <f>'Price Build Up'!F17</f>
        <v>5996.830999999991</v>
      </c>
      <c r="K29" s="363">
        <f>'Price Build Up'!G17</f>
        <v>8773.9960000000283</v>
      </c>
      <c r="L29" s="363">
        <f>'Price Build Up'!H17</f>
        <v>11366.913000000059</v>
      </c>
    </row>
    <row r="30" spans="1:12" ht="15" x14ac:dyDescent="0.25">
      <c r="A30" s="177" t="s">
        <v>258</v>
      </c>
      <c r="B30" s="65">
        <f>'Price Build Up'!L$87*'Pricing Summary'!H$2</f>
        <v>0</v>
      </c>
      <c r="C30" s="65">
        <f>'Price Build Up'!P$87*'Pricing Summary'!I$2</f>
        <v>14.834327523285735</v>
      </c>
      <c r="D30" s="364">
        <f t="shared" ref="D30:F31" si="7">C30*(1-O$5)*(1+O$4)</f>
        <v>15.393783071116431</v>
      </c>
      <c r="E30" s="364">
        <f t="shared" si="7"/>
        <v>15.974337688622327</v>
      </c>
      <c r="F30" s="364">
        <f t="shared" si="7"/>
        <v>16.576787097184479</v>
      </c>
      <c r="H30" s="365">
        <f>B30*H29/10^6</f>
        <v>0</v>
      </c>
      <c r="I30" s="365">
        <f>C30*I29/10^6</f>
        <v>4.9539370272961368E-2</v>
      </c>
      <c r="J30" s="365">
        <f>D30*J29/10^6</f>
        <v>9.2313915528146079E-2</v>
      </c>
      <c r="K30" s="365">
        <f>E30*K29/10^6</f>
        <v>0.140158774982622</v>
      </c>
      <c r="L30" s="365">
        <f>F30*L29/10^6</f>
        <v>0.18842689675321947</v>
      </c>
    </row>
    <row r="31" spans="1:12" ht="15" x14ac:dyDescent="0.25">
      <c r="A31" s="177" t="s">
        <v>260</v>
      </c>
      <c r="B31" s="65">
        <f>'Price Build Up'!J$87*'Pricing Summary'!H$2</f>
        <v>0</v>
      </c>
      <c r="C31" s="65">
        <f>'Price Build Up'!O$87*'Pricing Summary'!I$2</f>
        <v>0</v>
      </c>
      <c r="D31" s="364">
        <f t="shared" si="7"/>
        <v>0</v>
      </c>
      <c r="E31" s="364">
        <f t="shared" si="7"/>
        <v>0</v>
      </c>
      <c r="F31" s="364">
        <f t="shared" si="7"/>
        <v>0</v>
      </c>
      <c r="H31" s="365">
        <f>B31*H29/10^6</f>
        <v>0</v>
      </c>
      <c r="I31" s="365">
        <f>C31*I29/10^6</f>
        <v>0</v>
      </c>
      <c r="J31" s="365">
        <f>D31*J29/10^6</f>
        <v>0</v>
      </c>
      <c r="K31" s="365">
        <f>E31*K29/10^6</f>
        <v>0</v>
      </c>
      <c r="L31" s="365">
        <f>F31*L29/10^6</f>
        <v>0</v>
      </c>
    </row>
    <row r="32" spans="1:12" ht="15" x14ac:dyDescent="0.25">
      <c r="A32" s="177"/>
      <c r="B32" s="65"/>
      <c r="C32" s="65"/>
      <c r="D32" s="364"/>
      <c r="E32" s="364"/>
      <c r="F32" s="364"/>
      <c r="H32" s="365"/>
      <c r="I32" s="365"/>
      <c r="J32" s="365"/>
      <c r="K32" s="365"/>
      <c r="L32" s="365"/>
    </row>
    <row r="33" spans="1:12" ht="15" x14ac:dyDescent="0.25">
      <c r="A33" s="362" t="str">
        <f>'Pricing Summary'!B15</f>
        <v>TOU Customers</v>
      </c>
      <c r="D33" s="368"/>
      <c r="E33" s="368"/>
      <c r="F33" s="368"/>
      <c r="H33" s="363">
        <f>'Price Build Up'!D18</f>
        <v>0</v>
      </c>
      <c r="I33" s="363">
        <f>'Price Build Up'!E18</f>
        <v>2110.6999999999989</v>
      </c>
      <c r="J33" s="363">
        <f>'Price Build Up'!F18</f>
        <v>3940.1999999999989</v>
      </c>
      <c r="K33" s="363">
        <f>'Price Build Up'!G18</f>
        <v>5787.1999999999989</v>
      </c>
      <c r="L33" s="363">
        <f>'Price Build Up'!H18</f>
        <v>7653.8000000000011</v>
      </c>
    </row>
    <row r="34" spans="1:12" ht="15" x14ac:dyDescent="0.25">
      <c r="A34" s="177" t="s">
        <v>258</v>
      </c>
      <c r="B34" s="65">
        <f>'Price Build Up'!L$88*'Pricing Summary'!H$2</f>
        <v>0</v>
      </c>
      <c r="C34" s="65">
        <f>'Price Build Up'!P$88*'Pricing Summary'!I$2</f>
        <v>19.768359682573077</v>
      </c>
      <c r="D34" s="364">
        <f t="shared" ref="D34:F35" si="8">C34*(1-O$5)*(1+O$4)</f>
        <v>20.513895230346833</v>
      </c>
      <c r="E34" s="364">
        <f t="shared" si="8"/>
        <v>21.287547590133286</v>
      </c>
      <c r="F34" s="364">
        <f t="shared" si="8"/>
        <v>22.090377147476921</v>
      </c>
      <c r="H34" s="365">
        <f>B34*H33/10^6</f>
        <v>0</v>
      </c>
      <c r="I34" s="365">
        <f>C34*I33/10^6</f>
        <v>4.1725076782006973E-2</v>
      </c>
      <c r="J34" s="365">
        <f>D34*J33/10^6</f>
        <v>8.0828849986612564E-2</v>
      </c>
      <c r="K34" s="365">
        <f>E34*K33/10^6</f>
        <v>0.12319529541361933</v>
      </c>
      <c r="L34" s="365">
        <f>F34*L33/10^6</f>
        <v>0.16907532861135888</v>
      </c>
    </row>
    <row r="35" spans="1:12" ht="15" x14ac:dyDescent="0.25">
      <c r="A35" s="177" t="s">
        <v>260</v>
      </c>
      <c r="B35" s="65">
        <f>'Price Build Up'!J$88*'Pricing Summary'!H$2</f>
        <v>0</v>
      </c>
      <c r="C35" s="65">
        <f>'Price Build Up'!O$88*'Pricing Summary'!I$2</f>
        <v>0</v>
      </c>
      <c r="D35" s="364">
        <f t="shared" si="8"/>
        <v>0</v>
      </c>
      <c r="E35" s="364">
        <f t="shared" si="8"/>
        <v>0</v>
      </c>
      <c r="F35" s="364">
        <f t="shared" si="8"/>
        <v>0</v>
      </c>
      <c r="H35" s="365">
        <f>B35*H33/10^6</f>
        <v>0</v>
      </c>
      <c r="I35" s="365">
        <f>C35*I33/10^6</f>
        <v>0</v>
      </c>
      <c r="J35" s="365">
        <f>D35*J33/10^6</f>
        <v>0</v>
      </c>
      <c r="K35" s="365">
        <f>E35*K33/10^6</f>
        <v>0</v>
      </c>
      <c r="L35" s="365">
        <f>F35*L33/10^6</f>
        <v>0</v>
      </c>
    </row>
    <row r="36" spans="1:12" ht="15" x14ac:dyDescent="0.25">
      <c r="A36" s="177"/>
      <c r="B36" s="65"/>
      <c r="C36" s="65"/>
      <c r="D36" s="364"/>
      <c r="E36" s="364"/>
      <c r="F36" s="364"/>
      <c r="H36" s="365"/>
      <c r="I36" s="365"/>
      <c r="J36" s="365"/>
      <c r="K36" s="365"/>
      <c r="L36" s="365"/>
    </row>
    <row r="37" spans="1:12" ht="15" x14ac:dyDescent="0.25">
      <c r="A37" s="362" t="str">
        <f>'Pricing Summary'!B16</f>
        <v>Controlled Load</v>
      </c>
      <c r="D37" s="368"/>
      <c r="E37" s="368"/>
      <c r="F37" s="368"/>
      <c r="H37" s="363">
        <f>'Price Build Up'!D19</f>
        <v>0</v>
      </c>
      <c r="I37" s="363">
        <f>'Price Build Up'!E19</f>
        <v>1200</v>
      </c>
      <c r="J37" s="363">
        <f>'Price Build Up'!F19</f>
        <v>2400</v>
      </c>
      <c r="K37" s="363">
        <f>'Price Build Up'!G19</f>
        <v>3600</v>
      </c>
      <c r="L37" s="363">
        <f>'Price Build Up'!H19</f>
        <v>4800</v>
      </c>
    </row>
    <row r="38" spans="1:12" ht="15" x14ac:dyDescent="0.25">
      <c r="A38" s="177" t="s">
        <v>258</v>
      </c>
      <c r="B38" s="65">
        <f>'Price Build Up'!L$89*'Pricing Summary'!H$2</f>
        <v>0</v>
      </c>
      <c r="C38" s="65">
        <f>'Price Build Up'!P$89*'Pricing Summary'!I$2</f>
        <v>4.7283555106100161</v>
      </c>
      <c r="D38" s="364">
        <f t="shared" ref="D38:F39" si="9">C38*(1-O$5)*(1+O$4)</f>
        <v>4.9066787085018131</v>
      </c>
      <c r="E38" s="364">
        <f t="shared" si="9"/>
        <v>5.0917271119825305</v>
      </c>
      <c r="F38" s="364">
        <f t="shared" si="9"/>
        <v>5.2837543526085105</v>
      </c>
      <c r="H38" s="365">
        <f>B38*H37/10^6</f>
        <v>0</v>
      </c>
      <c r="I38" s="365">
        <f>C38*I37/10^6</f>
        <v>5.6740266127320192E-3</v>
      </c>
      <c r="J38" s="365">
        <f>D38*J37/10^6</f>
        <v>1.1776028900404351E-2</v>
      </c>
      <c r="K38" s="365">
        <f>E38*K37/10^6</f>
        <v>1.8330217603137109E-2</v>
      </c>
      <c r="L38" s="365">
        <f>F38*L37/10^6</f>
        <v>2.5362020892520851E-2</v>
      </c>
    </row>
    <row r="39" spans="1:12" ht="15" x14ac:dyDescent="0.25">
      <c r="A39" s="177" t="s">
        <v>260</v>
      </c>
      <c r="B39" s="65">
        <f>'Price Build Up'!J$89*'Pricing Summary'!H$2</f>
        <v>0</v>
      </c>
      <c r="C39" s="65">
        <f>'Price Build Up'!O$89*'Pricing Summary'!I$2</f>
        <v>0</v>
      </c>
      <c r="D39" s="364">
        <f t="shared" si="9"/>
        <v>0</v>
      </c>
      <c r="E39" s="364">
        <f t="shared" si="9"/>
        <v>0</v>
      </c>
      <c r="F39" s="364">
        <f t="shared" si="9"/>
        <v>0</v>
      </c>
      <c r="H39" s="365">
        <f>B39*H37/10^6</f>
        <v>0</v>
      </c>
      <c r="I39" s="365">
        <f>C39*I37/10^6</f>
        <v>0</v>
      </c>
      <c r="J39" s="365">
        <f>D39*J37/10^6</f>
        <v>0</v>
      </c>
      <c r="K39" s="365">
        <f>E39*K37/10^6</f>
        <v>0</v>
      </c>
      <c r="L39" s="365">
        <f>F39*L37/10^6</f>
        <v>0</v>
      </c>
    </row>
    <row r="40" spans="1:12" ht="15" x14ac:dyDescent="0.25">
      <c r="A40" s="362"/>
      <c r="B40" s="65"/>
      <c r="C40" s="65"/>
      <c r="D40" s="364"/>
      <c r="E40" s="364"/>
      <c r="F40" s="364"/>
    </row>
    <row r="41" spans="1:12" ht="15" x14ac:dyDescent="0.25">
      <c r="A41" s="362" t="str">
        <f>'Pricing Summary'!B17</f>
        <v>Solar Additions (assume single phase 2 element)</v>
      </c>
      <c r="B41" s="65"/>
      <c r="C41" s="65"/>
      <c r="D41" s="364"/>
      <c r="E41" s="364"/>
      <c r="F41" s="364"/>
      <c r="H41" s="363">
        <f>'Price Build Up'!D20</f>
        <v>0</v>
      </c>
      <c r="I41" s="363">
        <f>'Price Build Up'!E20</f>
        <v>14146.737999999998</v>
      </c>
      <c r="J41" s="363">
        <f>'Price Build Up'!F20</f>
        <v>28366.827999999994</v>
      </c>
      <c r="K41" s="363">
        <f>'Price Build Up'!G20</f>
        <v>40426.727999999959</v>
      </c>
      <c r="L41" s="363">
        <f>'Price Build Up'!H20</f>
        <v>52413.756000000008</v>
      </c>
    </row>
    <row r="42" spans="1:12" ht="15" x14ac:dyDescent="0.25">
      <c r="A42" s="353" t="s">
        <v>258</v>
      </c>
      <c r="B42" s="65">
        <f>'Price Build Up'!L$90*'Pricing Summary'!H$2</f>
        <v>0</v>
      </c>
      <c r="C42" s="65">
        <f>'Price Build Up'!P$90*'Pricing Summary'!I$2</f>
        <v>19.33345888320963</v>
      </c>
      <c r="D42" s="364">
        <f t="shared" ref="D42:F43" si="10">C42*(1-O$5)*(1+O$4)</f>
        <v>20.062592766359362</v>
      </c>
      <c r="E42" s="364">
        <f t="shared" si="10"/>
        <v>20.819224896086105</v>
      </c>
      <c r="F42" s="364">
        <f t="shared" si="10"/>
        <v>21.604392329619383</v>
      </c>
      <c r="H42" s="365">
        <f>B42*H41/10^6</f>
        <v>0</v>
      </c>
      <c r="I42" s="365">
        <f>C42*I41/10^6</f>
        <v>0.27350537745453918</v>
      </c>
      <c r="J42" s="365">
        <f>D42*J41/10^6</f>
        <v>0.56911211823736019</v>
      </c>
      <c r="K42" s="365">
        <f>E42*K41/10^6</f>
        <v>0.84165314204490038</v>
      </c>
      <c r="L42" s="365">
        <f>F42*L41/10^6</f>
        <v>1.1323673480929419</v>
      </c>
    </row>
    <row r="43" spans="1:12" ht="15" x14ac:dyDescent="0.25">
      <c r="A43" s="353" t="s">
        <v>260</v>
      </c>
      <c r="B43" s="65">
        <f>'Price Build Up'!J$90*'Pricing Summary'!H$2</f>
        <v>0</v>
      </c>
      <c r="C43" s="65">
        <f>'Price Build Up'!O$90*'Pricing Summary'!I$2</f>
        <v>0</v>
      </c>
      <c r="D43" s="364">
        <f t="shared" si="10"/>
        <v>0</v>
      </c>
      <c r="E43" s="364">
        <f t="shared" si="10"/>
        <v>0</v>
      </c>
      <c r="F43" s="364">
        <f t="shared" si="10"/>
        <v>0</v>
      </c>
      <c r="H43" s="365">
        <f>B43*H41/10^6</f>
        <v>0</v>
      </c>
      <c r="I43" s="365">
        <f>C43*I41/10^6</f>
        <v>0</v>
      </c>
      <c r="J43" s="365">
        <f>D43*J41/10^6</f>
        <v>0</v>
      </c>
      <c r="K43" s="365">
        <f>E43*K41/10^6</f>
        <v>0</v>
      </c>
      <c r="L43" s="365">
        <f>F43*L41/10^6</f>
        <v>0</v>
      </c>
    </row>
    <row r="45" spans="1:12" ht="15" x14ac:dyDescent="0.25">
      <c r="A45" s="362" t="s">
        <v>75</v>
      </c>
    </row>
    <row r="46" spans="1:12" ht="15" x14ac:dyDescent="0.25">
      <c r="A46" s="362" t="s">
        <v>270</v>
      </c>
      <c r="H46" s="369">
        <f>SUM(H4,H8,H12,H16,H20,H24,H29,H33,H37,H41)</f>
        <v>1424815.6229999999</v>
      </c>
      <c r="I46" s="369">
        <f t="shared" ref="I46:L46" si="11">SUM(I4,I8,I12,I16,I20,I24,I29,I33,I37,I41)</f>
        <v>1439845.17</v>
      </c>
      <c r="J46" s="369">
        <f t="shared" si="11"/>
        <v>1454036.2819999999</v>
      </c>
      <c r="K46" s="369">
        <f t="shared" si="11"/>
        <v>1466255.3469999998</v>
      </c>
      <c r="L46" s="369">
        <f t="shared" si="11"/>
        <v>1478287.2920000001</v>
      </c>
    </row>
    <row r="47" spans="1:12" ht="15" x14ac:dyDescent="0.25">
      <c r="A47" s="361" t="str">
        <f>A42</f>
        <v>non-capital</v>
      </c>
      <c r="H47" s="365">
        <f t="shared" ref="H47:L47" si="12">SUM(H5,H9,H13,H17,H21,H25,H30,H34,H38,H42)</f>
        <v>25.248645278537701</v>
      </c>
      <c r="I47" s="365">
        <f t="shared" si="12"/>
        <v>25.708668791840296</v>
      </c>
      <c r="J47" s="365">
        <f t="shared" si="12"/>
        <v>27.007873946069818</v>
      </c>
      <c r="K47" s="365">
        <f t="shared" si="12"/>
        <v>28.326190814806509</v>
      </c>
      <c r="L47" s="365">
        <f t="shared" si="12"/>
        <v>29.701714868195694</v>
      </c>
    </row>
    <row r="48" spans="1:12" ht="15" x14ac:dyDescent="0.25">
      <c r="A48" s="361" t="str">
        <f>A43</f>
        <v>capital</v>
      </c>
      <c r="G48" s="370" t="s">
        <v>261</v>
      </c>
      <c r="H48" s="365">
        <f t="shared" ref="H48:L48" si="13">SUM(H6,H10,H14,H18,H22,H26,H31,H35,H39,H43)</f>
        <v>9.5602126173480464</v>
      </c>
      <c r="I48" s="365">
        <f t="shared" si="13"/>
        <v>10.615582177109786</v>
      </c>
      <c r="J48" s="365">
        <f t="shared" si="13"/>
        <v>10.99093096189886</v>
      </c>
      <c r="K48" s="365">
        <f t="shared" si="13"/>
        <v>11.379723143764437</v>
      </c>
      <c r="L48" s="365">
        <f t="shared" si="13"/>
        <v>11.782445668517768</v>
      </c>
    </row>
    <row r="49" spans="1:17" ht="15" x14ac:dyDescent="0.25">
      <c r="D49" s="297"/>
      <c r="E49" s="296"/>
      <c r="F49" s="371" t="s">
        <v>262</v>
      </c>
      <c r="G49" s="372">
        <f>NPV($O$6,H49:L49)</f>
        <v>156.23952247936933</v>
      </c>
      <c r="H49" s="373">
        <f>SUM(H47:H48)</f>
        <v>34.808857895885751</v>
      </c>
      <c r="I49" s="373">
        <f t="shared" ref="I49:L49" si="14">SUM(I47:I48)</f>
        <v>36.324250968950082</v>
      </c>
      <c r="J49" s="373">
        <f t="shared" si="14"/>
        <v>37.998804907968676</v>
      </c>
      <c r="K49" s="373">
        <f t="shared" si="14"/>
        <v>39.705913958570946</v>
      </c>
      <c r="L49" s="373">
        <f t="shared" si="14"/>
        <v>41.48416053671346</v>
      </c>
    </row>
    <row r="50" spans="1:17" ht="15" x14ac:dyDescent="0.25">
      <c r="A50" s="361"/>
      <c r="G50" s="374"/>
      <c r="H50" s="365"/>
      <c r="I50" s="365"/>
      <c r="J50" s="365"/>
      <c r="K50" s="365"/>
      <c r="L50" s="365"/>
    </row>
    <row r="51" spans="1:17" ht="15" x14ac:dyDescent="0.25">
      <c r="D51" s="297"/>
      <c r="E51" s="296"/>
      <c r="F51" s="371" t="s">
        <v>263</v>
      </c>
      <c r="G51" s="372">
        <f>NPV($O$6,H51:L51)</f>
        <v>156.23952247936933</v>
      </c>
      <c r="H51" s="373">
        <f>SUM('Price Build Up'!AD27,'Price Build Up'!AD34)*'Pricing Summary'!H$2/10^6</f>
        <v>34.808857895885744</v>
      </c>
      <c r="I51" s="373">
        <f>SUM('Price Build Up'!AE27,'Price Build Up'!AE34)*'Pricing Summary'!I$2/10^6</f>
        <v>36.324250968950075</v>
      </c>
      <c r="J51" s="373">
        <f>SUM('Price Build Up'!AF27,'Price Build Up'!AF34)*'Pricing Summary'!J$2/10^6</f>
        <v>37.974455076451505</v>
      </c>
      <c r="K51" s="373">
        <f>SUM('Price Build Up'!AG27,'Price Build Up'!AG34)*'Pricing Summary'!K$2/10^6</f>
        <v>39.612784220079945</v>
      </c>
      <c r="L51" s="373">
        <f>SUM('Price Build Up'!AH27,'Price Build Up'!AH34)*'Pricing Summary'!L$2/10^6</f>
        <v>41.611318730618287</v>
      </c>
    </row>
    <row r="52" spans="1:17" ht="15" x14ac:dyDescent="0.25">
      <c r="A52" s="361"/>
      <c r="G52" s="374"/>
      <c r="H52" s="365"/>
      <c r="I52" s="365"/>
      <c r="J52" s="365"/>
      <c r="K52" s="365"/>
      <c r="L52" s="365"/>
    </row>
    <row r="53" spans="1:17" ht="15" x14ac:dyDescent="0.25">
      <c r="A53" s="361"/>
      <c r="D53" s="297"/>
      <c r="E53" s="296"/>
      <c r="F53" s="375" t="s">
        <v>264</v>
      </c>
      <c r="G53" s="376">
        <f>G49-G51</f>
        <v>0</v>
      </c>
      <c r="I53" s="365"/>
      <c r="J53" s="365"/>
      <c r="L53" s="395">
        <f>L49/L51-1</f>
        <v>-3.0558559013238451E-3</v>
      </c>
      <c r="M53" s="377" t="s">
        <v>265</v>
      </c>
      <c r="N53" s="296"/>
      <c r="O53" s="296"/>
      <c r="P53" s="296"/>
      <c r="Q53" s="298"/>
    </row>
    <row r="54" spans="1:17" ht="15" x14ac:dyDescent="0.25">
      <c r="A54" s="361"/>
      <c r="H54" s="365"/>
      <c r="I54" s="365"/>
      <c r="J54" s="365"/>
      <c r="K54" s="365"/>
      <c r="L54" s="365"/>
    </row>
    <row r="55" spans="1:17" ht="15" x14ac:dyDescent="0.25">
      <c r="A55" s="361"/>
      <c r="H55" s="365"/>
      <c r="I55" s="365"/>
      <c r="J55" s="365"/>
      <c r="K55" s="365"/>
      <c r="L55" s="365"/>
    </row>
    <row r="56" spans="1:17" ht="15" x14ac:dyDescent="0.25">
      <c r="A56" s="361"/>
      <c r="H56" s="365"/>
      <c r="I56" s="365"/>
      <c r="J56" s="365"/>
      <c r="K56" s="365"/>
      <c r="L56" s="365"/>
    </row>
    <row r="59" spans="1:17" x14ac:dyDescent="0.2">
      <c r="A59" s="4" t="s">
        <v>291</v>
      </c>
    </row>
    <row r="60" spans="1:17" x14ac:dyDescent="0.2">
      <c r="A60" s="402" t="s">
        <v>274</v>
      </c>
      <c r="B60" s="403" t="s">
        <v>275</v>
      </c>
      <c r="C60" s="403" t="s">
        <v>1</v>
      </c>
      <c r="D60" s="403" t="s">
        <v>10</v>
      </c>
      <c r="E60" s="403" t="s">
        <v>2</v>
      </c>
      <c r="F60" s="403" t="s">
        <v>3</v>
      </c>
    </row>
    <row r="61" spans="1:17" x14ac:dyDescent="0.2">
      <c r="A61" s="411" t="s">
        <v>276</v>
      </c>
      <c r="B61" s="404"/>
      <c r="C61" s="404"/>
      <c r="D61" s="404"/>
      <c r="E61" s="404"/>
      <c r="F61" s="404"/>
    </row>
    <row r="62" spans="1:17" x14ac:dyDescent="0.2">
      <c r="A62" s="411"/>
      <c r="B62" s="405"/>
      <c r="C62" s="405"/>
      <c r="D62" s="405"/>
      <c r="E62" s="405"/>
      <c r="F62" s="405"/>
    </row>
    <row r="63" spans="1:17" x14ac:dyDescent="0.2">
      <c r="A63" s="409" t="s">
        <v>277</v>
      </c>
      <c r="B63" s="404" t="s">
        <v>278</v>
      </c>
      <c r="C63" s="404">
        <v>22.33</v>
      </c>
      <c r="D63" s="404">
        <v>23.17</v>
      </c>
      <c r="E63" s="404">
        <v>24.04</v>
      </c>
      <c r="F63" s="404">
        <v>24.95</v>
      </c>
      <c r="H63" s="70">
        <f>C63-C5</f>
        <v>2.9587549221190557E-3</v>
      </c>
      <c r="I63" s="70">
        <f t="shared" ref="I63:K63" si="15">D63-D5</f>
        <v>9.2617396446215139E-4</v>
      </c>
      <c r="J63" s="70">
        <f t="shared" si="15"/>
        <v>-2.8624672616217595E-3</v>
      </c>
      <c r="K63" s="70">
        <f t="shared" si="15"/>
        <v>3.9519663141618366E-4</v>
      </c>
    </row>
    <row r="64" spans="1:17" x14ac:dyDescent="0.2">
      <c r="A64" s="409"/>
      <c r="B64" s="405" t="s">
        <v>279</v>
      </c>
      <c r="C64" s="405">
        <v>9.26</v>
      </c>
      <c r="D64" s="405">
        <v>9.61</v>
      </c>
      <c r="E64" s="405">
        <v>9.9700000000000006</v>
      </c>
      <c r="F64" s="405">
        <v>10.34</v>
      </c>
      <c r="H64" s="70">
        <f>C64-C6</f>
        <v>2.4113845192132999E-3</v>
      </c>
      <c r="I64" s="70">
        <f t="shared" ref="I64" si="16">D64-D6</f>
        <v>3.2746068435738351E-3</v>
      </c>
      <c r="J64" s="70">
        <f t="shared" ref="J64" si="17">E64-E6</f>
        <v>9.7063254808738009E-4</v>
      </c>
      <c r="K64" s="70">
        <f t="shared" ref="K64" si="18">F64-F6</f>
        <v>-4.997120446001091E-3</v>
      </c>
    </row>
    <row r="65" spans="1:11" x14ac:dyDescent="0.2">
      <c r="A65" s="409" t="s">
        <v>12</v>
      </c>
      <c r="B65" s="404" t="s">
        <v>278</v>
      </c>
      <c r="C65" s="404">
        <v>30.67</v>
      </c>
      <c r="D65" s="404">
        <v>31.83</v>
      </c>
      <c r="E65" s="404">
        <v>33.03</v>
      </c>
      <c r="F65" s="404">
        <v>34.270000000000003</v>
      </c>
      <c r="H65" s="70">
        <f>C65-C9</f>
        <v>-4.2910893082748203E-4</v>
      </c>
      <c r="I65" s="70">
        <f t="shared" ref="I65:K65" si="19">D65-D9</f>
        <v>2.8793125392354568E-3</v>
      </c>
      <c r="J65" s="70">
        <f t="shared" si="19"/>
        <v>2.5647575230607345E-3</v>
      </c>
      <c r="K65" s="70">
        <f t="shared" si="19"/>
        <v>-3.0179524459867935E-3</v>
      </c>
    </row>
    <row r="66" spans="1:11" x14ac:dyDescent="0.2">
      <c r="A66" s="409"/>
      <c r="B66" s="405" t="s">
        <v>279</v>
      </c>
      <c r="C66" s="405">
        <v>9.26</v>
      </c>
      <c r="D66" s="405">
        <v>9.61</v>
      </c>
      <c r="E66" s="405">
        <v>9.9700000000000006</v>
      </c>
      <c r="F66" s="405">
        <v>10.34</v>
      </c>
      <c r="H66" s="70">
        <f>C66-C10</f>
        <v>2.4113845192150762E-3</v>
      </c>
      <c r="I66" s="70">
        <f t="shared" ref="I66" si="20">D66-D10</f>
        <v>3.2746068435756115E-3</v>
      </c>
      <c r="J66" s="70">
        <f t="shared" ref="J66" si="21">E66-E10</f>
        <v>9.7063254808915644E-4</v>
      </c>
      <c r="K66" s="70">
        <f t="shared" ref="K66" si="22">F66-F10</f>
        <v>-4.9971204459993146E-3</v>
      </c>
    </row>
    <row r="67" spans="1:11" x14ac:dyDescent="0.2">
      <c r="A67" s="409" t="s">
        <v>280</v>
      </c>
      <c r="B67" s="404" t="s">
        <v>278</v>
      </c>
      <c r="C67" s="404">
        <v>22.33</v>
      </c>
      <c r="D67" s="404">
        <v>23.17</v>
      </c>
      <c r="E67" s="404">
        <v>24.04</v>
      </c>
      <c r="F67" s="404">
        <v>24.95</v>
      </c>
      <c r="H67" s="70">
        <f>C67-C13</f>
        <v>2.9587549221190557E-3</v>
      </c>
      <c r="I67" s="70">
        <f t="shared" ref="I67:K67" si="23">D67-D13</f>
        <v>9.2617396446215139E-4</v>
      </c>
      <c r="J67" s="70">
        <f t="shared" si="23"/>
        <v>-2.8624672616217595E-3</v>
      </c>
      <c r="K67" s="70">
        <f t="shared" si="23"/>
        <v>3.9519663141618366E-4</v>
      </c>
    </row>
    <row r="68" spans="1:11" x14ac:dyDescent="0.2">
      <c r="A68" s="409"/>
      <c r="B68" s="405" t="s">
        <v>279</v>
      </c>
      <c r="C68" s="405">
        <v>9.26</v>
      </c>
      <c r="D68" s="405">
        <v>9.61</v>
      </c>
      <c r="E68" s="405">
        <v>9.9700000000000006</v>
      </c>
      <c r="F68" s="405">
        <v>10.34</v>
      </c>
      <c r="H68" s="70">
        <f>C68-C14</f>
        <v>2.4113845192150762E-3</v>
      </c>
      <c r="I68" s="70">
        <f t="shared" ref="I68" si="24">D68-D14</f>
        <v>3.2746068435756115E-3</v>
      </c>
      <c r="J68" s="70">
        <f t="shared" ref="J68" si="25">E68-E14</f>
        <v>9.7063254808915644E-4</v>
      </c>
      <c r="K68" s="70">
        <f t="shared" ref="K68" si="26">F68-F14</f>
        <v>-4.9971204459993146E-3</v>
      </c>
    </row>
    <row r="69" spans="1:11" x14ac:dyDescent="0.2">
      <c r="A69" s="409" t="s">
        <v>281</v>
      </c>
      <c r="B69" s="404" t="s">
        <v>278</v>
      </c>
      <c r="C69" s="404">
        <v>30.67</v>
      </c>
      <c r="D69" s="404">
        <v>31.83</v>
      </c>
      <c r="E69" s="404">
        <v>33.03</v>
      </c>
      <c r="F69" s="404">
        <v>34.270000000000003</v>
      </c>
      <c r="H69" s="70">
        <f>C69-C17</f>
        <v>-4.2910893082392931E-4</v>
      </c>
      <c r="I69" s="70">
        <f t="shared" ref="I69:K69" si="27">D69-D17</f>
        <v>2.8793125392390095E-3</v>
      </c>
      <c r="J69" s="70">
        <f t="shared" si="27"/>
        <v>2.5647575230607345E-3</v>
      </c>
      <c r="K69" s="70">
        <f t="shared" si="27"/>
        <v>-3.0179524459867935E-3</v>
      </c>
    </row>
    <row r="70" spans="1:11" x14ac:dyDescent="0.2">
      <c r="A70" s="409"/>
      <c r="B70" s="405" t="s">
        <v>279</v>
      </c>
      <c r="C70" s="405">
        <v>9.26</v>
      </c>
      <c r="D70" s="405">
        <v>9.61</v>
      </c>
      <c r="E70" s="405">
        <v>9.9700000000000006</v>
      </c>
      <c r="F70" s="405">
        <v>10.34</v>
      </c>
      <c r="H70" s="70">
        <f>C70-C18</f>
        <v>2.4113845192150762E-3</v>
      </c>
      <c r="I70" s="70">
        <f t="shared" ref="I70" si="28">D70-D18</f>
        <v>3.2746068435756115E-3</v>
      </c>
      <c r="J70" s="70">
        <f t="shared" ref="J70" si="29">E70-E18</f>
        <v>9.7063254808915644E-4</v>
      </c>
      <c r="K70" s="70">
        <f t="shared" ref="K70" si="30">F70-F18</f>
        <v>-4.9971204459993146E-3</v>
      </c>
    </row>
    <row r="71" spans="1:11" x14ac:dyDescent="0.2">
      <c r="A71" s="409" t="s">
        <v>282</v>
      </c>
      <c r="B71" s="404" t="s">
        <v>278</v>
      </c>
      <c r="C71" s="404">
        <v>6.74</v>
      </c>
      <c r="D71" s="404">
        <v>6.99</v>
      </c>
      <c r="E71" s="404">
        <v>7.26</v>
      </c>
      <c r="F71" s="404">
        <v>7.53</v>
      </c>
      <c r="H71" s="70">
        <f>C71-C21</f>
        <v>6.626889132643754E-5</v>
      </c>
      <c r="I71" s="70">
        <f t="shared" ref="I71:K71" si="31">D71-D21</f>
        <v>-4.1207383701111766E-3</v>
      </c>
      <c r="J71" s="70">
        <f t="shared" si="31"/>
        <v>2.1059531912879237E-3</v>
      </c>
      <c r="K71" s="70">
        <f t="shared" si="31"/>
        <v>-1.6151901285352821E-3</v>
      </c>
    </row>
    <row r="72" spans="1:11" x14ac:dyDescent="0.2">
      <c r="A72" s="409"/>
      <c r="B72" s="405" t="s">
        <v>279</v>
      </c>
      <c r="C72" s="405">
        <v>4.22</v>
      </c>
      <c r="D72" s="405">
        <v>4.37</v>
      </c>
      <c r="E72" s="405">
        <v>4.54</v>
      </c>
      <c r="F72" s="405">
        <v>4.71</v>
      </c>
      <c r="H72" s="70">
        <f>C72-C22</f>
        <v>4.6474685447401853E-3</v>
      </c>
      <c r="I72" s="70">
        <f t="shared" ref="I72" si="32">D72-D22</f>
        <v>-4.3285521803602123E-3</v>
      </c>
      <c r="J72" s="70">
        <f t="shared" ref="J72" si="33">E72-E22</f>
        <v>6.9987275430349882E-4</v>
      </c>
      <c r="K72" s="70">
        <f t="shared" ref="K72" si="34">F72-F22</f>
        <v>-4.9337044932773466E-4</v>
      </c>
    </row>
    <row r="73" spans="1:11" x14ac:dyDescent="0.2">
      <c r="A73" s="409" t="s">
        <v>133</v>
      </c>
      <c r="B73" s="404" t="s">
        <v>278</v>
      </c>
      <c r="C73" s="404">
        <v>30.18</v>
      </c>
      <c r="D73" s="404">
        <v>31.31</v>
      </c>
      <c r="E73" s="404">
        <v>32.5</v>
      </c>
      <c r="F73" s="404">
        <v>33.72</v>
      </c>
      <c r="H73" s="70">
        <f>C73-C25</f>
        <v>3.494769247897267E-3</v>
      </c>
      <c r="I73" s="70">
        <f t="shared" ref="I73:K73" si="35">D73-D25</f>
        <v>-4.569173252065184E-3</v>
      </c>
      <c r="J73" s="70">
        <f t="shared" si="35"/>
        <v>4.4464225406102287E-3</v>
      </c>
      <c r="K73" s="70">
        <f t="shared" si="35"/>
        <v>-1.0771274957548371E-3</v>
      </c>
    </row>
    <row r="74" spans="1:11" x14ac:dyDescent="0.2">
      <c r="A74" s="409"/>
      <c r="B74" s="405" t="s">
        <v>279</v>
      </c>
      <c r="C74" s="405">
        <v>8.4499999999999993</v>
      </c>
      <c r="D74" s="405">
        <v>8.77</v>
      </c>
      <c r="E74" s="405">
        <v>9.1</v>
      </c>
      <c r="F74" s="405">
        <v>9.44</v>
      </c>
      <c r="H74" s="70">
        <f>C74-C26</f>
        <v>3.1079833686895597E-3</v>
      </c>
      <c r="I74" s="70">
        <f t="shared" ref="I74" si="36">D74-D26</f>
        <v>4.5454739989025938E-3</v>
      </c>
      <c r="J74" s="70">
        <f t="shared" ref="J74" si="37">E74-E26</f>
        <v>3.9688330199787458E-3</v>
      </c>
      <c r="K74" s="70">
        <f t="shared" ref="K74" si="38">F74-F26</f>
        <v>9.2496455881097006E-4</v>
      </c>
    </row>
    <row r="75" spans="1:11" x14ac:dyDescent="0.2">
      <c r="A75" s="411" t="s">
        <v>283</v>
      </c>
      <c r="B75" s="404"/>
      <c r="C75" s="404"/>
      <c r="D75" s="404"/>
      <c r="E75" s="404"/>
      <c r="F75" s="404"/>
    </row>
    <row r="76" spans="1:11" x14ac:dyDescent="0.2">
      <c r="A76" s="411"/>
      <c r="B76" s="405"/>
      <c r="C76" s="405"/>
      <c r="D76" s="405"/>
      <c r="E76" s="405"/>
      <c r="F76" s="405"/>
    </row>
    <row r="77" spans="1:11" x14ac:dyDescent="0.2">
      <c r="A77" s="409" t="s">
        <v>284</v>
      </c>
      <c r="B77" s="404" t="s">
        <v>278</v>
      </c>
      <c r="C77" s="404">
        <v>14.83</v>
      </c>
      <c r="D77" s="404">
        <v>15.39</v>
      </c>
      <c r="E77" s="404">
        <v>15.97</v>
      </c>
      <c r="F77" s="404">
        <v>16.579999999999998</v>
      </c>
      <c r="H77" s="70">
        <f>C77-C30</f>
        <v>-4.3275232857347135E-3</v>
      </c>
      <c r="I77" s="70">
        <f t="shared" ref="I77:K77" si="39">D77-D30</f>
        <v>-3.7830711164303921E-3</v>
      </c>
      <c r="J77" s="70">
        <f t="shared" si="39"/>
        <v>-4.3376886223267519E-3</v>
      </c>
      <c r="K77" s="70">
        <f t="shared" si="39"/>
        <v>3.2129028155196693E-3</v>
      </c>
    </row>
    <row r="78" spans="1:11" x14ac:dyDescent="0.2">
      <c r="A78" s="409"/>
      <c r="B78" s="405" t="s">
        <v>279</v>
      </c>
      <c r="C78" s="405">
        <v>0</v>
      </c>
      <c r="D78" s="405">
        <v>0</v>
      </c>
      <c r="E78" s="405">
        <v>0</v>
      </c>
      <c r="F78" s="405">
        <v>0</v>
      </c>
      <c r="H78" s="70">
        <f>C78-C31</f>
        <v>0</v>
      </c>
      <c r="I78" s="70">
        <f t="shared" ref="I78" si="40">D78-D31</f>
        <v>0</v>
      </c>
      <c r="J78" s="70">
        <f t="shared" ref="J78" si="41">E78-E31</f>
        <v>0</v>
      </c>
      <c r="K78" s="70">
        <f t="shared" ref="K78" si="42">F78-F31</f>
        <v>0</v>
      </c>
    </row>
    <row r="79" spans="1:11" x14ac:dyDescent="0.2">
      <c r="A79" s="409" t="s">
        <v>285</v>
      </c>
      <c r="B79" s="404" t="s">
        <v>278</v>
      </c>
      <c r="C79" s="404">
        <v>19.77</v>
      </c>
      <c r="D79" s="404">
        <v>20.51</v>
      </c>
      <c r="E79" s="404">
        <v>21.29</v>
      </c>
      <c r="F79" s="404">
        <v>22.09</v>
      </c>
      <c r="H79" s="70">
        <f>C79-C34</f>
        <v>1.6403174269221665E-3</v>
      </c>
      <c r="I79" s="70">
        <f t="shared" ref="I79:K79" si="43">D79-D34</f>
        <v>-3.8952303468313687E-3</v>
      </c>
      <c r="J79" s="70">
        <f t="shared" si="43"/>
        <v>2.4524098667129124E-3</v>
      </c>
      <c r="K79" s="70">
        <f t="shared" si="43"/>
        <v>-3.7714747692163542E-4</v>
      </c>
    </row>
    <row r="80" spans="1:11" x14ac:dyDescent="0.2">
      <c r="A80" s="409"/>
      <c r="B80" s="405" t="s">
        <v>279</v>
      </c>
      <c r="C80" s="405">
        <v>0</v>
      </c>
      <c r="D80" s="405">
        <v>0</v>
      </c>
      <c r="E80" s="405">
        <v>0</v>
      </c>
      <c r="F80" s="405">
        <v>0</v>
      </c>
      <c r="H80" s="70">
        <f>C80-C35</f>
        <v>0</v>
      </c>
      <c r="I80" s="70">
        <f t="shared" ref="I80" si="44">D80-D35</f>
        <v>0</v>
      </c>
      <c r="J80" s="70">
        <f t="shared" ref="J80" si="45">E80-E35</f>
        <v>0</v>
      </c>
      <c r="K80" s="70">
        <f t="shared" ref="K80" si="46">F80-F35</f>
        <v>0</v>
      </c>
    </row>
    <row r="81" spans="1:11" x14ac:dyDescent="0.2">
      <c r="A81" s="409" t="s">
        <v>282</v>
      </c>
      <c r="B81" s="404" t="s">
        <v>278</v>
      </c>
      <c r="C81" s="404">
        <v>4.7300000000000004</v>
      </c>
      <c r="D81" s="404">
        <v>4.91</v>
      </c>
      <c r="E81" s="404">
        <v>5.09</v>
      </c>
      <c r="F81" s="404">
        <v>5.28</v>
      </c>
      <c r="H81" s="70">
        <f>C81-C38</f>
        <v>1.6444893899842938E-3</v>
      </c>
      <c r="I81" s="70">
        <f t="shared" ref="I81:K81" si="47">D81-D38</f>
        <v>3.3212914981870512E-3</v>
      </c>
      <c r="J81" s="70">
        <f t="shared" si="47"/>
        <v>-1.7271119825306158E-3</v>
      </c>
      <c r="K81" s="70">
        <f t="shared" si="47"/>
        <v>-3.754352608510203E-3</v>
      </c>
    </row>
    <row r="82" spans="1:11" x14ac:dyDescent="0.2">
      <c r="A82" s="409"/>
      <c r="B82" s="405" t="s">
        <v>279</v>
      </c>
      <c r="C82" s="405">
        <v>0</v>
      </c>
      <c r="D82" s="405">
        <v>0</v>
      </c>
      <c r="E82" s="405">
        <v>0</v>
      </c>
      <c r="F82" s="405">
        <v>0</v>
      </c>
      <c r="H82" s="70">
        <f>C82-C39</f>
        <v>0</v>
      </c>
      <c r="I82" s="70">
        <f t="shared" ref="I82" si="48">D82-D39</f>
        <v>0</v>
      </c>
      <c r="J82" s="70">
        <f t="shared" ref="J82" si="49">E82-E39</f>
        <v>0</v>
      </c>
      <c r="K82" s="70">
        <f t="shared" ref="K82" si="50">F82-F39</f>
        <v>0</v>
      </c>
    </row>
    <row r="83" spans="1:11" x14ac:dyDescent="0.2">
      <c r="A83" s="409" t="s">
        <v>286</v>
      </c>
      <c r="B83" s="404" t="s">
        <v>278</v>
      </c>
      <c r="C83" s="404">
        <v>19.329999999999998</v>
      </c>
      <c r="D83" s="404">
        <v>20.059999999999999</v>
      </c>
      <c r="E83" s="404">
        <v>20.82</v>
      </c>
      <c r="F83" s="404">
        <v>21.6</v>
      </c>
      <c r="H83" s="70">
        <f>C83-C42</f>
        <v>-3.4588832096318356E-3</v>
      </c>
      <c r="I83" s="70">
        <f t="shared" ref="I83:K83" si="51">D83-D42</f>
        <v>-2.592766359363452E-3</v>
      </c>
      <c r="J83" s="70">
        <f t="shared" si="51"/>
        <v>7.7510391389523647E-4</v>
      </c>
      <c r="K83" s="70">
        <f t="shared" si="51"/>
        <v>-4.3923296193817407E-3</v>
      </c>
    </row>
    <row r="84" spans="1:11" ht="13.5" thickBot="1" x14ac:dyDescent="0.25">
      <c r="A84" s="410"/>
      <c r="B84" s="406" t="s">
        <v>279</v>
      </c>
      <c r="C84" s="406">
        <v>0</v>
      </c>
      <c r="D84" s="406">
        <v>0</v>
      </c>
      <c r="E84" s="406">
        <v>0</v>
      </c>
      <c r="F84" s="406">
        <v>0</v>
      </c>
      <c r="H84" s="70">
        <f>C84-C43</f>
        <v>0</v>
      </c>
      <c r="I84" s="70">
        <f t="shared" ref="I84" si="52">D84-D43</f>
        <v>0</v>
      </c>
      <c r="J84" s="70">
        <f t="shared" ref="J84" si="53">E84-E43</f>
        <v>0</v>
      </c>
      <c r="K84" s="70">
        <f t="shared" ref="K84" si="54">F84-F43</f>
        <v>0</v>
      </c>
    </row>
    <row r="86" spans="1:11" x14ac:dyDescent="0.2">
      <c r="A86" s="4" t="s">
        <v>292</v>
      </c>
    </row>
    <row r="87" spans="1:11" x14ac:dyDescent="0.2">
      <c r="A87" s="402"/>
      <c r="B87" s="403" t="s">
        <v>287</v>
      </c>
      <c r="C87" s="403" t="s">
        <v>288</v>
      </c>
      <c r="D87" s="403" t="s">
        <v>289</v>
      </c>
    </row>
    <row r="88" spans="1:11" ht="13.5" thickBot="1" x14ac:dyDescent="0.25">
      <c r="A88" s="407" t="s">
        <v>259</v>
      </c>
      <c r="B88" s="408" t="s">
        <v>290</v>
      </c>
      <c r="C88" s="408" t="s">
        <v>290</v>
      </c>
      <c r="D88" s="408" t="s">
        <v>290</v>
      </c>
      <c r="H88" s="352">
        <f>-1.36/100-O5</f>
        <v>-9.868497946286317E-6</v>
      </c>
      <c r="I88" s="352">
        <f t="shared" ref="I88:J88" si="55">-1.36/100-P5</f>
        <v>-9.868497946286317E-6</v>
      </c>
      <c r="J88" s="352">
        <f t="shared" si="55"/>
        <v>-9.868497946286317E-6</v>
      </c>
      <c r="K88" s="352"/>
    </row>
  </sheetData>
  <mergeCells count="12">
    <mergeCell ref="A83:A84"/>
    <mergeCell ref="A61:A62"/>
    <mergeCell ref="A63:A64"/>
    <mergeCell ref="A65:A66"/>
    <mergeCell ref="A67:A68"/>
    <mergeCell ref="A69:A70"/>
    <mergeCell ref="A71:A72"/>
    <mergeCell ref="A73:A74"/>
    <mergeCell ref="A75:A76"/>
    <mergeCell ref="A77:A78"/>
    <mergeCell ref="A79:A80"/>
    <mergeCell ref="A81:A8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
  <sheetViews>
    <sheetView zoomScale="85" zoomScaleNormal="85" workbookViewId="0">
      <selection activeCell="D27" sqref="D27"/>
    </sheetView>
  </sheetViews>
  <sheetFormatPr defaultRowHeight="12.75" x14ac:dyDescent="0.2"/>
  <cols>
    <col min="1" max="1" width="63.28515625" customWidth="1"/>
    <col min="2" max="2" width="6.5703125" customWidth="1"/>
    <col min="3" max="3" width="11.28515625" customWidth="1"/>
    <col min="4" max="4" width="6.5703125" customWidth="1"/>
    <col min="5" max="5" width="11.28515625" customWidth="1"/>
    <col min="6" max="6" width="5.28515625" customWidth="1"/>
    <col min="7" max="7" width="10.42578125" customWidth="1"/>
    <col min="8" max="8" width="10" customWidth="1"/>
    <col min="9" max="9" width="11.5703125" customWidth="1"/>
    <col min="10" max="11" width="10" customWidth="1"/>
    <col min="12" max="12" width="10.42578125" bestFit="1" customWidth="1"/>
    <col min="13" max="13" width="8.85546875" bestFit="1" customWidth="1"/>
    <col min="14" max="14" width="2.5703125" bestFit="1" customWidth="1"/>
  </cols>
  <sheetData>
    <row r="1" spans="1:15" ht="15.75" x14ac:dyDescent="0.25">
      <c r="A1" s="48" t="s">
        <v>94</v>
      </c>
      <c r="B1" s="50"/>
      <c r="C1" s="50"/>
      <c r="D1" s="54"/>
      <c r="E1" s="54"/>
      <c r="F1" s="54"/>
      <c r="G1" s="54"/>
      <c r="H1" s="54"/>
      <c r="I1" s="54"/>
      <c r="J1" s="54"/>
      <c r="K1" s="54"/>
      <c r="L1" s="54"/>
      <c r="M1" s="54"/>
      <c r="N1" s="54"/>
    </row>
    <row r="2" spans="1:15" ht="14.25" customHeight="1" x14ac:dyDescent="0.2">
      <c r="A2" s="59"/>
      <c r="B2" s="49"/>
      <c r="C2" s="49"/>
      <c r="D2" s="49"/>
      <c r="E2" s="49"/>
      <c r="F2" s="49"/>
      <c r="G2" s="49"/>
      <c r="H2" s="419" t="s">
        <v>136</v>
      </c>
      <c r="I2" s="421" t="s">
        <v>135</v>
      </c>
      <c r="J2" s="419" t="s">
        <v>95</v>
      </c>
      <c r="K2" s="419" t="s">
        <v>96</v>
      </c>
      <c r="L2" s="419" t="s">
        <v>97</v>
      </c>
      <c r="M2" s="49"/>
      <c r="N2" s="49"/>
      <c r="O2" s="49"/>
    </row>
    <row r="3" spans="1:15" ht="46.5" customHeight="1" x14ac:dyDescent="0.2">
      <c r="A3" s="59"/>
      <c r="B3" s="49"/>
      <c r="C3" s="49"/>
      <c r="D3" s="49"/>
      <c r="E3" s="49"/>
      <c r="F3" s="49"/>
      <c r="G3" s="49"/>
      <c r="H3" s="420">
        <v>0</v>
      </c>
      <c r="I3" s="422">
        <v>0</v>
      </c>
      <c r="J3" s="420">
        <v>0</v>
      </c>
      <c r="K3" s="420">
        <v>0</v>
      </c>
      <c r="L3" s="420">
        <v>0</v>
      </c>
      <c r="M3" s="49"/>
      <c r="N3" s="49"/>
      <c r="O3" s="49"/>
    </row>
    <row r="4" spans="1:15" ht="14.25" customHeight="1" x14ac:dyDescent="0.2">
      <c r="A4" s="59"/>
      <c r="B4" s="49"/>
      <c r="C4" s="419" t="s">
        <v>138</v>
      </c>
      <c r="D4" s="49"/>
      <c r="E4" s="49"/>
      <c r="F4" s="49"/>
      <c r="G4" s="419" t="s">
        <v>98</v>
      </c>
      <c r="H4" s="49">
        <v>1.0725</v>
      </c>
      <c r="I4" s="57">
        <f>AVERAGE('Recoverable Costs Summary'!D8:H8)</f>
        <v>0.36577452231291485</v>
      </c>
      <c r="J4" s="66">
        <v>6.1928585365853855E-2</v>
      </c>
      <c r="K4" s="68">
        <v>0.3</v>
      </c>
      <c r="L4" s="49"/>
      <c r="M4" s="49"/>
      <c r="N4" s="49"/>
      <c r="O4" s="49"/>
    </row>
    <row r="5" spans="1:15" ht="15" x14ac:dyDescent="0.25">
      <c r="A5" s="59"/>
      <c r="B5" s="51"/>
      <c r="C5" s="420"/>
      <c r="D5" s="51" t="s">
        <v>25</v>
      </c>
      <c r="E5" s="51" t="s">
        <v>99</v>
      </c>
      <c r="F5" s="51" t="s">
        <v>25</v>
      </c>
      <c r="G5" s="420">
        <v>0</v>
      </c>
      <c r="H5" s="56"/>
      <c r="I5" s="49"/>
      <c r="J5" s="49"/>
      <c r="K5" s="49"/>
      <c r="L5" s="49"/>
      <c r="M5" s="49"/>
      <c r="N5" s="49"/>
      <c r="O5" s="49"/>
    </row>
    <row r="6" spans="1:15" ht="15" x14ac:dyDescent="0.25">
      <c r="A6" s="59" t="s">
        <v>100</v>
      </c>
      <c r="B6" s="53"/>
      <c r="C6" s="52">
        <v>22.5</v>
      </c>
      <c r="D6" s="53">
        <v>1</v>
      </c>
      <c r="E6" s="49"/>
      <c r="F6" s="53"/>
      <c r="G6" s="55">
        <f t="shared" ref="G6:G11" si="0">D6*C6+E6*F6</f>
        <v>22.5</v>
      </c>
      <c r="H6" s="52">
        <f t="shared" ref="H6:H11" si="1">G6*$H$4</f>
        <v>24.131250000000001</v>
      </c>
      <c r="I6" s="52">
        <f t="shared" ref="I6:I11" si="2">H6*(1+$I$4)</f>
        <v>32.957846441563525</v>
      </c>
      <c r="J6" s="52">
        <f t="shared" ref="J6:J11" si="3">I6*(1+$J$4/2)</f>
        <v>33.97836284497906</v>
      </c>
      <c r="K6" s="52">
        <f t="shared" ref="K6:K11" si="4">(J6-I6)*$K$4</f>
        <v>0.30615492102466035</v>
      </c>
      <c r="L6" s="58">
        <f t="shared" ref="L6:L11" si="5">SUM(J6:K6)</f>
        <v>34.284517766003717</v>
      </c>
      <c r="M6" s="69"/>
      <c r="N6" s="49"/>
      <c r="O6" s="49"/>
    </row>
    <row r="7" spans="1:15" ht="15" x14ac:dyDescent="0.25">
      <c r="A7" s="59" t="s">
        <v>101</v>
      </c>
      <c r="B7" s="52"/>
      <c r="C7" s="74">
        <v>85</v>
      </c>
      <c r="D7" s="53">
        <v>1</v>
      </c>
      <c r="E7" s="49"/>
      <c r="F7" s="53"/>
      <c r="G7" s="55">
        <f t="shared" si="0"/>
        <v>85</v>
      </c>
      <c r="H7" s="52">
        <f t="shared" si="1"/>
        <v>91.162499999999994</v>
      </c>
      <c r="I7" s="52">
        <f t="shared" si="2"/>
        <v>124.50741989035109</v>
      </c>
      <c r="J7" s="52">
        <f t="shared" si="3"/>
        <v>128.36270408103201</v>
      </c>
      <c r="K7" s="52">
        <f t="shared" si="4"/>
        <v>1.1565852572042756</v>
      </c>
      <c r="L7" s="58">
        <f t="shared" si="5"/>
        <v>129.51928933823629</v>
      </c>
      <c r="M7" s="69"/>
      <c r="N7" s="49"/>
      <c r="O7" s="49"/>
    </row>
    <row r="8" spans="1:15" ht="15.75" customHeight="1" x14ac:dyDescent="0.25">
      <c r="A8" s="59" t="s">
        <v>77</v>
      </c>
      <c r="B8" s="53"/>
      <c r="C8" s="49">
        <v>58.72</v>
      </c>
      <c r="D8" s="53">
        <v>0.5</v>
      </c>
      <c r="E8" s="49">
        <v>66.52</v>
      </c>
      <c r="F8" s="53">
        <v>0.5</v>
      </c>
      <c r="G8" s="55">
        <f t="shared" si="0"/>
        <v>62.62</v>
      </c>
      <c r="H8" s="52">
        <f t="shared" si="1"/>
        <v>67.159949999999995</v>
      </c>
      <c r="I8" s="52">
        <f t="shared" si="2"/>
        <v>91.725348629809233</v>
      </c>
      <c r="J8" s="52">
        <f t="shared" si="3"/>
        <v>94.56555917122617</v>
      </c>
      <c r="K8" s="52">
        <f t="shared" si="4"/>
        <v>0.85206316242508107</v>
      </c>
      <c r="L8" s="58">
        <f t="shared" si="5"/>
        <v>95.417622333651252</v>
      </c>
      <c r="M8" s="69"/>
      <c r="N8" s="49"/>
      <c r="O8" s="49"/>
    </row>
    <row r="9" spans="1:15" ht="15" x14ac:dyDescent="0.25">
      <c r="A9" s="59" t="s">
        <v>78</v>
      </c>
      <c r="B9" s="53"/>
      <c r="C9" s="49">
        <v>141.74</v>
      </c>
      <c r="D9" s="53">
        <v>0.5</v>
      </c>
      <c r="E9" s="49">
        <v>152.80000000000001</v>
      </c>
      <c r="F9" s="53">
        <v>0.5</v>
      </c>
      <c r="G9" s="55">
        <f t="shared" si="0"/>
        <v>147.27000000000001</v>
      </c>
      <c r="H9" s="52">
        <f t="shared" si="1"/>
        <v>157.94707500000001</v>
      </c>
      <c r="I9" s="52">
        <f t="shared" si="2"/>
        <v>215.72009090884714</v>
      </c>
      <c r="J9" s="52">
        <f t="shared" si="3"/>
        <v>222.39971094133631</v>
      </c>
      <c r="K9" s="52">
        <f t="shared" si="4"/>
        <v>2.0038860097467506</v>
      </c>
      <c r="L9" s="58">
        <f t="shared" si="5"/>
        <v>224.40359695108305</v>
      </c>
      <c r="M9" s="69"/>
      <c r="N9" s="49"/>
      <c r="O9" s="49"/>
    </row>
    <row r="10" spans="1:15" ht="15" x14ac:dyDescent="0.25">
      <c r="A10" s="59" t="s">
        <v>79</v>
      </c>
      <c r="B10" s="53"/>
      <c r="C10" s="49">
        <v>197.42</v>
      </c>
      <c r="D10" s="53">
        <v>0.5</v>
      </c>
      <c r="E10" s="49">
        <v>215.01</v>
      </c>
      <c r="F10" s="53">
        <v>0.5</v>
      </c>
      <c r="G10" s="55">
        <f t="shared" si="0"/>
        <v>206.21499999999997</v>
      </c>
      <c r="H10" s="52">
        <f t="shared" si="1"/>
        <v>221.16558749999999</v>
      </c>
      <c r="I10" s="52">
        <f t="shared" si="2"/>
        <v>302.06232461986764</v>
      </c>
      <c r="J10" s="52">
        <f t="shared" si="3"/>
        <v>311.41547084788255</v>
      </c>
      <c r="K10" s="52">
        <f t="shared" si="4"/>
        <v>2.805943868404472</v>
      </c>
      <c r="L10" s="58">
        <f t="shared" si="5"/>
        <v>314.22141471628703</v>
      </c>
      <c r="M10" s="69"/>
      <c r="N10" s="49"/>
      <c r="O10" s="49"/>
    </row>
    <row r="11" spans="1:15" ht="15" x14ac:dyDescent="0.25">
      <c r="A11" s="59" t="s">
        <v>80</v>
      </c>
      <c r="B11" s="53"/>
      <c r="C11" s="49">
        <v>293.61</v>
      </c>
      <c r="D11" s="53">
        <v>1</v>
      </c>
      <c r="E11" s="49"/>
      <c r="F11" s="53"/>
      <c r="G11" s="55">
        <f t="shared" si="0"/>
        <v>293.61</v>
      </c>
      <c r="H11" s="52">
        <f t="shared" si="1"/>
        <v>314.896725</v>
      </c>
      <c r="I11" s="52">
        <f t="shared" si="2"/>
        <v>430.07792416477628</v>
      </c>
      <c r="J11" s="52">
        <f t="shared" si="3"/>
        <v>443.39498288508008</v>
      </c>
      <c r="K11" s="52">
        <f t="shared" si="4"/>
        <v>3.9951176160911412</v>
      </c>
      <c r="L11" s="58">
        <f t="shared" si="5"/>
        <v>447.39010050117122</v>
      </c>
      <c r="M11" s="69"/>
      <c r="N11" s="49"/>
      <c r="O11" s="49"/>
    </row>
    <row r="12" spans="1:15" ht="14.25" x14ac:dyDescent="0.2">
      <c r="A12" s="59"/>
      <c r="B12" s="49"/>
      <c r="C12" s="49"/>
      <c r="D12" s="53"/>
      <c r="E12" s="49"/>
      <c r="F12" s="49"/>
      <c r="G12" s="49"/>
      <c r="H12" s="49"/>
      <c r="I12" s="49"/>
      <c r="J12" s="49"/>
      <c r="K12" s="49"/>
      <c r="L12" s="49"/>
      <c r="M12" s="49"/>
      <c r="N12" s="49"/>
      <c r="O12" s="49"/>
    </row>
    <row r="13" spans="1:15" ht="14.25" x14ac:dyDescent="0.2">
      <c r="A13" s="59"/>
      <c r="B13" s="49"/>
      <c r="C13" s="49"/>
      <c r="D13" s="49"/>
      <c r="E13" s="49"/>
      <c r="F13" s="49"/>
      <c r="G13" s="49"/>
      <c r="H13" s="49"/>
      <c r="I13" s="49"/>
      <c r="J13" s="49"/>
      <c r="K13" s="49"/>
      <c r="L13" s="49"/>
      <c r="M13" s="49"/>
      <c r="N13" s="49"/>
      <c r="O13" s="49"/>
    </row>
    <row r="14" spans="1:15" ht="14.25" x14ac:dyDescent="0.2">
      <c r="A14" s="174" t="s">
        <v>102</v>
      </c>
      <c r="B14" s="49"/>
      <c r="C14" s="49"/>
      <c r="D14" s="49"/>
      <c r="E14" s="49"/>
      <c r="F14" s="49"/>
      <c r="G14" s="49"/>
      <c r="H14" s="49"/>
      <c r="I14" s="49"/>
      <c r="J14" s="49"/>
      <c r="K14" s="49"/>
      <c r="L14" s="49"/>
      <c r="M14" s="49"/>
      <c r="N14" s="49"/>
      <c r="O14" s="49"/>
    </row>
    <row r="15" spans="1:15" ht="14.25" x14ac:dyDescent="0.2">
      <c r="A15" s="174" t="s">
        <v>103</v>
      </c>
      <c r="B15" s="49"/>
      <c r="C15" s="49"/>
      <c r="D15" s="49"/>
      <c r="E15" s="49"/>
      <c r="F15" s="49"/>
      <c r="G15" s="49"/>
      <c r="H15" s="49"/>
      <c r="I15" s="49"/>
      <c r="J15" s="49"/>
      <c r="K15" s="49"/>
      <c r="L15" s="49"/>
      <c r="M15" s="49"/>
      <c r="N15" s="49"/>
      <c r="O15" s="49"/>
    </row>
    <row r="16" spans="1:15" ht="14.25" x14ac:dyDescent="0.2">
      <c r="A16" s="59"/>
      <c r="B16" s="49"/>
      <c r="C16" s="49"/>
      <c r="D16" s="49"/>
      <c r="E16" s="49"/>
      <c r="F16" s="49"/>
      <c r="G16" s="49"/>
      <c r="H16" s="49"/>
      <c r="I16" s="49"/>
      <c r="J16" s="67"/>
      <c r="K16" s="49"/>
      <c r="L16" s="49"/>
      <c r="M16" s="49"/>
      <c r="N16" s="49"/>
      <c r="O16" s="49"/>
    </row>
  </sheetData>
  <mergeCells count="7">
    <mergeCell ref="C4:C5"/>
    <mergeCell ref="L2:L3"/>
    <mergeCell ref="G4:G5"/>
    <mergeCell ref="H2:H3"/>
    <mergeCell ref="I2:I3"/>
    <mergeCell ref="J2:J3"/>
    <mergeCell ref="K2:K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D8"/>
  <sheetViews>
    <sheetView workbookViewId="0">
      <selection activeCell="G16" sqref="G16"/>
    </sheetView>
  </sheetViews>
  <sheetFormatPr defaultRowHeight="12.75" x14ac:dyDescent="0.2"/>
  <cols>
    <col min="2" max="2" width="89.5703125" customWidth="1"/>
  </cols>
  <sheetData>
    <row r="1" spans="2:4" ht="38.25" x14ac:dyDescent="0.2">
      <c r="B1" s="261" t="s">
        <v>216</v>
      </c>
      <c r="C1" s="262" t="s">
        <v>218</v>
      </c>
      <c r="D1" s="262" t="s">
        <v>217</v>
      </c>
    </row>
    <row r="2" spans="2:4" x14ac:dyDescent="0.2">
      <c r="B2" s="109" t="s">
        <v>219</v>
      </c>
      <c r="C2" s="429">
        <v>0</v>
      </c>
      <c r="D2" s="430">
        <v>0</v>
      </c>
    </row>
    <row r="3" spans="2:4" x14ac:dyDescent="0.2">
      <c r="B3" s="109" t="s">
        <v>225</v>
      </c>
      <c r="C3" s="429">
        <v>0</v>
      </c>
      <c r="D3" s="430">
        <v>0</v>
      </c>
    </row>
    <row r="4" spans="2:4" x14ac:dyDescent="0.2">
      <c r="B4" s="109" t="s">
        <v>220</v>
      </c>
      <c r="C4" s="429">
        <v>0</v>
      </c>
      <c r="D4" s="430">
        <v>0</v>
      </c>
    </row>
    <row r="5" spans="2:4" x14ac:dyDescent="0.2">
      <c r="B5" s="109" t="s">
        <v>221</v>
      </c>
      <c r="C5" s="429">
        <v>0</v>
      </c>
      <c r="D5" s="430">
        <v>0</v>
      </c>
    </row>
    <row r="6" spans="2:4" x14ac:dyDescent="0.2">
      <c r="B6" s="109" t="s">
        <v>222</v>
      </c>
      <c r="C6" s="429">
        <v>0</v>
      </c>
      <c r="D6" s="430">
        <v>0</v>
      </c>
    </row>
    <row r="7" spans="2:4" x14ac:dyDescent="0.2">
      <c r="B7" s="109" t="s">
        <v>223</v>
      </c>
      <c r="C7" s="279"/>
      <c r="D7" s="430">
        <v>0</v>
      </c>
    </row>
    <row r="8" spans="2:4" s="5" customFormat="1" x14ac:dyDescent="0.2">
      <c r="B8" s="263" t="s">
        <v>224</v>
      </c>
      <c r="C8" s="432">
        <f>SUM(C2:C7)</f>
        <v>0</v>
      </c>
      <c r="D8" s="433">
        <f>SUM(D2:D7)</f>
        <v>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82"/>
  <sheetViews>
    <sheetView workbookViewId="0">
      <pane xSplit="3" ySplit="5" topLeftCell="D6" activePane="bottomRight" state="frozen"/>
      <selection activeCell="D27" sqref="D27"/>
      <selection pane="topRight" activeCell="D27" sqref="D27"/>
      <selection pane="bottomLeft" activeCell="D27" sqref="D27"/>
      <selection pane="bottomRight" activeCell="L23" sqref="L23"/>
    </sheetView>
  </sheetViews>
  <sheetFormatPr defaultRowHeight="12.75" x14ac:dyDescent="0.2"/>
  <cols>
    <col min="1" max="1" width="9.140625" style="83"/>
    <col min="2" max="2" width="29.140625" style="83" customWidth="1"/>
    <col min="3" max="9" width="10.28515625" style="83" bestFit="1" customWidth="1"/>
    <col min="10" max="10" width="10.85546875" style="83" customWidth="1"/>
    <col min="11" max="11" width="7.7109375" style="83" bestFit="1" customWidth="1"/>
    <col min="12" max="16384" width="9.140625" style="83"/>
  </cols>
  <sheetData>
    <row r="1" spans="1:10" x14ac:dyDescent="0.2">
      <c r="A1" s="82" t="s">
        <v>104</v>
      </c>
      <c r="B1" s="82"/>
    </row>
    <row r="2" spans="1:10" s="78" customFormat="1" x14ac:dyDescent="0.2">
      <c r="B2" s="84" t="s">
        <v>105</v>
      </c>
    </row>
    <row r="3" spans="1:10" s="78" customFormat="1" x14ac:dyDescent="0.2"/>
    <row r="4" spans="1:10" s="78" customFormat="1" x14ac:dyDescent="0.2"/>
    <row r="5" spans="1:10" x14ac:dyDescent="0.2">
      <c r="D5" s="13" t="s">
        <v>106</v>
      </c>
      <c r="E5" s="13" t="s">
        <v>107</v>
      </c>
      <c r="F5" s="13" t="s">
        <v>0</v>
      </c>
      <c r="G5" s="13" t="s">
        <v>1</v>
      </c>
      <c r="H5" s="13" t="s">
        <v>10</v>
      </c>
      <c r="I5" s="13" t="s">
        <v>2</v>
      </c>
      <c r="J5" s="13" t="s">
        <v>3</v>
      </c>
    </row>
    <row r="6" spans="1:10" x14ac:dyDescent="0.2">
      <c r="B6" s="83" t="s">
        <v>108</v>
      </c>
      <c r="D6" s="5"/>
      <c r="E6" s="5"/>
      <c r="F6" s="5"/>
      <c r="G6" s="5"/>
      <c r="H6" s="5"/>
      <c r="I6" s="5"/>
      <c r="J6" s="5"/>
    </row>
    <row r="7" spans="1:10" x14ac:dyDescent="0.2">
      <c r="B7" s="83" t="s">
        <v>109</v>
      </c>
      <c r="D7" s="97">
        <v>3.39E-2</v>
      </c>
      <c r="E7" s="97">
        <v>1.7600000000000001E-2</v>
      </c>
      <c r="F7" s="287">
        <f>[3]Input!$G$87</f>
        <v>2.3800000000000002E-2</v>
      </c>
      <c r="G7" s="287">
        <f>[3]Input!$G$87</f>
        <v>2.3800000000000002E-2</v>
      </c>
      <c r="H7" s="287">
        <f>[3]Input!$G$87</f>
        <v>2.3800000000000002E-2</v>
      </c>
      <c r="I7" s="287">
        <f>[3]Input!$G$87</f>
        <v>2.3800000000000002E-2</v>
      </c>
      <c r="J7" s="287">
        <f>[3]Input!$G$87</f>
        <v>2.3800000000000002E-2</v>
      </c>
    </row>
    <row r="8" spans="1:10" x14ac:dyDescent="0.2">
      <c r="B8" s="83" t="s">
        <v>110</v>
      </c>
      <c r="D8" s="86">
        <v>3.39E-2</v>
      </c>
      <c r="E8" s="86">
        <v>1.7600000000000001E-2</v>
      </c>
      <c r="F8" s="98">
        <v>0</v>
      </c>
      <c r="G8" s="98">
        <v>0</v>
      </c>
      <c r="H8" s="98">
        <v>0</v>
      </c>
      <c r="I8" s="98">
        <v>0</v>
      </c>
      <c r="J8" s="98">
        <v>0</v>
      </c>
    </row>
    <row r="9" spans="1:10" x14ac:dyDescent="0.2">
      <c r="D9" s="83">
        <v>0</v>
      </c>
      <c r="E9" s="83">
        <v>0</v>
      </c>
      <c r="F9" s="83">
        <v>0</v>
      </c>
      <c r="G9" s="83">
        <v>0</v>
      </c>
      <c r="H9" s="83">
        <v>0</v>
      </c>
      <c r="I9" s="83">
        <v>0</v>
      </c>
      <c r="J9" s="83">
        <v>0</v>
      </c>
    </row>
    <row r="10" spans="1:10" x14ac:dyDescent="0.2">
      <c r="D10" s="83">
        <v>0</v>
      </c>
      <c r="E10" s="83">
        <v>0</v>
      </c>
      <c r="F10" s="83">
        <v>0</v>
      </c>
      <c r="G10" s="83">
        <v>0</v>
      </c>
      <c r="H10" s="83">
        <v>0</v>
      </c>
      <c r="I10" s="83">
        <v>0</v>
      </c>
      <c r="J10" s="83">
        <v>0</v>
      </c>
    </row>
    <row r="11" spans="1:10" ht="13.5" thickBot="1" x14ac:dyDescent="0.25">
      <c r="B11" s="83" t="s">
        <v>111</v>
      </c>
      <c r="D11" s="86">
        <f>1+D8</f>
        <v>1.0339</v>
      </c>
      <c r="E11" s="86">
        <f t="shared" ref="E11:J11" si="0">D11*(1+E7)</f>
        <v>1.05209664</v>
      </c>
      <c r="F11" s="86">
        <f t="shared" si="0"/>
        <v>1.0771365400320001</v>
      </c>
      <c r="G11" s="86">
        <f t="shared" si="0"/>
        <v>1.1027723896847617</v>
      </c>
      <c r="H11" s="86">
        <f t="shared" si="0"/>
        <v>1.1290183725592591</v>
      </c>
      <c r="I11" s="86">
        <f t="shared" si="0"/>
        <v>1.1558890098261696</v>
      </c>
      <c r="J11" s="86">
        <f t="shared" si="0"/>
        <v>1.1833991682600324</v>
      </c>
    </row>
    <row r="12" spans="1:10" ht="13.5" thickBot="1" x14ac:dyDescent="0.25">
      <c r="B12" s="99" t="s">
        <v>112</v>
      </c>
      <c r="C12" s="99"/>
      <c r="D12" s="100">
        <f>D11-1</f>
        <v>3.3900000000000041E-2</v>
      </c>
      <c r="E12" s="100">
        <f t="shared" ref="E12:J12" si="1">E11-1</f>
        <v>5.2096640000000027E-2</v>
      </c>
      <c r="F12" s="100">
        <f t="shared" si="1"/>
        <v>7.71365400320001E-2</v>
      </c>
      <c r="G12" s="100">
        <f t="shared" si="1"/>
        <v>0.10277238968476166</v>
      </c>
      <c r="H12" s="100">
        <f t="shared" si="1"/>
        <v>0.12901837255925908</v>
      </c>
      <c r="I12" s="100">
        <f t="shared" si="1"/>
        <v>0.1558890098261696</v>
      </c>
      <c r="J12" s="100">
        <f t="shared" si="1"/>
        <v>0.18339916826003244</v>
      </c>
    </row>
    <row r="13" spans="1:10" s="85" customFormat="1" ht="5.25" customHeight="1" x14ac:dyDescent="0.2"/>
    <row r="15" spans="1:10" x14ac:dyDescent="0.2">
      <c r="F15" s="5" t="s">
        <v>0</v>
      </c>
      <c r="G15" s="5" t="s">
        <v>1</v>
      </c>
      <c r="H15" s="5" t="s">
        <v>10</v>
      </c>
      <c r="I15" s="5" t="s">
        <v>2</v>
      </c>
      <c r="J15" s="5" t="s">
        <v>3</v>
      </c>
    </row>
    <row r="16" spans="1:10" x14ac:dyDescent="0.2">
      <c r="A16" s="82" t="s">
        <v>144</v>
      </c>
    </row>
    <row r="17" spans="1:12" x14ac:dyDescent="0.2">
      <c r="B17" s="283" t="s">
        <v>269</v>
      </c>
      <c r="F17" s="396">
        <f>[3]WACC!$F$27</f>
        <v>6.7460000000000006E-2</v>
      </c>
      <c r="G17" s="396">
        <f>[3]WACC!$F$27</f>
        <v>6.7460000000000006E-2</v>
      </c>
      <c r="H17" s="396">
        <f>[3]WACC!$F$27</f>
        <v>6.7460000000000006E-2</v>
      </c>
      <c r="I17" s="396">
        <f>[3]WACC!$F$27</f>
        <v>6.7460000000000006E-2</v>
      </c>
      <c r="J17" s="396">
        <f>[3]WACC!$F$27</f>
        <v>6.7460000000000006E-2</v>
      </c>
      <c r="K17" s="36"/>
    </row>
    <row r="18" spans="1:12" s="85" customFormat="1" ht="5.25" customHeight="1" x14ac:dyDescent="0.2"/>
    <row r="20" spans="1:12" x14ac:dyDescent="0.2">
      <c r="A20" s="5" t="s">
        <v>16</v>
      </c>
      <c r="C20" s="1" t="s">
        <v>5</v>
      </c>
      <c r="D20" s="1" t="s">
        <v>6</v>
      </c>
      <c r="E20" s="1" t="s">
        <v>7</v>
      </c>
      <c r="F20" s="2" t="s">
        <v>0</v>
      </c>
      <c r="G20" s="2" t="s">
        <v>1</v>
      </c>
      <c r="H20" s="2" t="s">
        <v>10</v>
      </c>
      <c r="I20" s="2" t="s">
        <v>2</v>
      </c>
      <c r="J20" s="2" t="s">
        <v>3</v>
      </c>
      <c r="K20" s="2"/>
      <c r="L20" s="2"/>
    </row>
    <row r="21" spans="1:12" x14ac:dyDescent="0.2">
      <c r="A21" s="82" t="s">
        <v>141</v>
      </c>
      <c r="B21" s="82"/>
      <c r="C21" s="101" t="s">
        <v>8</v>
      </c>
      <c r="D21" s="101" t="s">
        <v>8</v>
      </c>
      <c r="E21" s="102" t="s">
        <v>8</v>
      </c>
      <c r="F21" s="102" t="s">
        <v>9</v>
      </c>
      <c r="G21" s="102" t="s">
        <v>9</v>
      </c>
      <c r="H21" s="102" t="s">
        <v>9</v>
      </c>
      <c r="I21" s="102" t="s">
        <v>9</v>
      </c>
      <c r="J21" s="102" t="s">
        <v>9</v>
      </c>
      <c r="K21" s="102"/>
      <c r="L21" s="102"/>
    </row>
    <row r="22" spans="1:12" x14ac:dyDescent="0.2">
      <c r="C22" s="101"/>
      <c r="D22" s="102"/>
      <c r="E22" s="102"/>
      <c r="F22" s="102"/>
      <c r="G22" s="102"/>
      <c r="H22" s="102"/>
      <c r="I22" s="102"/>
      <c r="J22" s="102"/>
      <c r="K22" s="103"/>
      <c r="L22" s="104"/>
    </row>
    <row r="23" spans="1:12" x14ac:dyDescent="0.2">
      <c r="A23" s="87" t="s">
        <v>11</v>
      </c>
      <c r="C23" s="10">
        <v>698383</v>
      </c>
      <c r="D23" s="10">
        <v>702134</v>
      </c>
      <c r="E23" s="10">
        <v>707638</v>
      </c>
      <c r="F23" s="10">
        <v>711610</v>
      </c>
      <c r="G23" s="10">
        <v>715961.3</v>
      </c>
      <c r="H23" s="10">
        <v>719660.1</v>
      </c>
      <c r="I23" s="10">
        <v>723368.4</v>
      </c>
      <c r="J23" s="10">
        <v>727198.8</v>
      </c>
      <c r="K23" s="71"/>
      <c r="L23" s="72"/>
    </row>
    <row r="24" spans="1:12" x14ac:dyDescent="0.2">
      <c r="A24" s="87" t="s">
        <v>12</v>
      </c>
      <c r="C24" s="10">
        <v>10367</v>
      </c>
      <c r="D24" s="10">
        <v>13171</v>
      </c>
      <c r="E24" s="10">
        <v>17137</v>
      </c>
      <c r="F24" s="10">
        <v>18839.3</v>
      </c>
      <c r="G24" s="10">
        <v>20704.099999999999</v>
      </c>
      <c r="H24" s="10">
        <v>22289.3</v>
      </c>
      <c r="I24" s="10">
        <v>23878.6</v>
      </c>
      <c r="J24" s="10">
        <v>25520.2</v>
      </c>
      <c r="K24" s="71"/>
      <c r="L24" s="72"/>
    </row>
    <row r="25" spans="1:12" x14ac:dyDescent="0.2">
      <c r="A25" s="87" t="s">
        <v>13</v>
      </c>
      <c r="C25" s="10">
        <v>79697</v>
      </c>
      <c r="D25" s="10">
        <v>80273</v>
      </c>
      <c r="E25" s="10">
        <v>79973</v>
      </c>
      <c r="F25" s="10">
        <v>79250.489999999991</v>
      </c>
      <c r="G25" s="10">
        <v>78238.699000000008</v>
      </c>
      <c r="H25" s="10">
        <v>77197.221000000005</v>
      </c>
      <c r="I25" s="10">
        <v>76266.085999999996</v>
      </c>
      <c r="J25" s="10">
        <v>75028.603000000003</v>
      </c>
      <c r="K25" s="71"/>
      <c r="L25" s="72"/>
    </row>
    <row r="26" spans="1:12" x14ac:dyDescent="0.2">
      <c r="A26" s="87" t="s">
        <v>14</v>
      </c>
      <c r="C26" s="10">
        <v>10914</v>
      </c>
      <c r="D26" s="10">
        <v>11458</v>
      </c>
      <c r="E26" s="10">
        <v>11425</v>
      </c>
      <c r="F26" s="10">
        <v>14113.1</v>
      </c>
      <c r="G26" s="10">
        <v>14359</v>
      </c>
      <c r="H26" s="10">
        <v>14603.3</v>
      </c>
      <c r="I26" s="10">
        <v>14861</v>
      </c>
      <c r="J26" s="10">
        <v>15086</v>
      </c>
      <c r="K26" s="71"/>
      <c r="L26" s="72"/>
    </row>
    <row r="27" spans="1:12" x14ac:dyDescent="0.2">
      <c r="A27" s="87" t="s">
        <v>15</v>
      </c>
      <c r="C27" s="10">
        <v>493193</v>
      </c>
      <c r="D27" s="10">
        <v>492822</v>
      </c>
      <c r="E27" s="10">
        <v>492204</v>
      </c>
      <c r="F27" s="10">
        <v>487584.3</v>
      </c>
      <c r="G27" s="10">
        <v>483016.9</v>
      </c>
      <c r="H27" s="10">
        <v>478501.1</v>
      </c>
      <c r="I27" s="10">
        <v>474036.10000000003</v>
      </c>
      <c r="J27" s="10">
        <v>469621.5</v>
      </c>
      <c r="K27" s="72"/>
      <c r="L27" s="72"/>
    </row>
    <row r="28" spans="1:12" x14ac:dyDescent="0.2">
      <c r="A28" s="83" t="s">
        <v>32</v>
      </c>
      <c r="C28" s="10">
        <v>65295</v>
      </c>
      <c r="D28" s="10">
        <v>82125</v>
      </c>
      <c r="E28" s="10">
        <v>97771.626999999993</v>
      </c>
      <c r="F28" s="10">
        <v>113418.433</v>
      </c>
      <c r="G28" s="10">
        <v>127565.171</v>
      </c>
      <c r="H28" s="10">
        <v>141785.261</v>
      </c>
      <c r="I28" s="10">
        <v>153845.16099999996</v>
      </c>
      <c r="J28" s="10">
        <v>165832.18900000001</v>
      </c>
      <c r="K28" s="73"/>
      <c r="L28" s="73"/>
    </row>
    <row r="29" spans="1:12" x14ac:dyDescent="0.2">
      <c r="K29" s="37"/>
      <c r="L29" s="37"/>
    </row>
    <row r="30" spans="1:12" ht="13.5" thickBot="1" x14ac:dyDescent="0.25">
      <c r="A30" s="88" t="s">
        <v>142</v>
      </c>
      <c r="C30" s="89">
        <f t="shared" ref="C30:J30" si="2">SUM(C23:C29)</f>
        <v>1357849</v>
      </c>
      <c r="D30" s="89">
        <f t="shared" si="2"/>
        <v>1381983</v>
      </c>
      <c r="E30" s="89">
        <f t="shared" si="2"/>
        <v>1406148.6270000001</v>
      </c>
      <c r="F30" s="89">
        <f t="shared" si="2"/>
        <v>1424815.6229999999</v>
      </c>
      <c r="G30" s="89">
        <f t="shared" si="2"/>
        <v>1439845.1700000002</v>
      </c>
      <c r="H30" s="89">
        <f t="shared" si="2"/>
        <v>1454036.2820000001</v>
      </c>
      <c r="I30" s="89">
        <f t="shared" si="2"/>
        <v>1466255.3470000001</v>
      </c>
      <c r="J30" s="89">
        <f t="shared" si="2"/>
        <v>1478287.2920000001</v>
      </c>
      <c r="K30" s="90"/>
      <c r="L30" s="90"/>
    </row>
    <row r="31" spans="1:12" ht="13.5" thickTop="1" x14ac:dyDescent="0.2"/>
    <row r="32" spans="1:12" x14ac:dyDescent="0.2">
      <c r="A32" s="32" t="s">
        <v>140</v>
      </c>
    </row>
    <row r="33" spans="1:12" x14ac:dyDescent="0.2">
      <c r="A33" s="87" t="s">
        <v>193</v>
      </c>
      <c r="C33" s="6">
        <v>226</v>
      </c>
      <c r="D33" s="229">
        <f t="shared" ref="D33:J33" si="3">D23-C23</f>
        <v>3751</v>
      </c>
      <c r="E33" s="229">
        <f t="shared" si="3"/>
        <v>5504</v>
      </c>
      <c r="F33" s="229">
        <f t="shared" si="3"/>
        <v>3972</v>
      </c>
      <c r="G33" s="229">
        <f t="shared" si="3"/>
        <v>4351.3000000000466</v>
      </c>
      <c r="H33" s="229">
        <f t="shared" si="3"/>
        <v>3698.7999999999302</v>
      </c>
      <c r="I33" s="229">
        <f t="shared" si="3"/>
        <v>3708.3000000000466</v>
      </c>
      <c r="J33" s="229">
        <f t="shared" si="3"/>
        <v>3830.4000000000233</v>
      </c>
    </row>
    <row r="34" spans="1:12" x14ac:dyDescent="0.2">
      <c r="A34" s="87" t="s">
        <v>12</v>
      </c>
      <c r="C34" s="6"/>
      <c r="D34" s="229">
        <f t="shared" ref="D34:E38" si="4">D24-C24</f>
        <v>2804</v>
      </c>
      <c r="E34" s="229">
        <f t="shared" si="4"/>
        <v>3966</v>
      </c>
      <c r="F34" s="229">
        <f t="shared" ref="F34:J38" si="5">F24-E24</f>
        <v>1702.2999999999993</v>
      </c>
      <c r="G34" s="229">
        <f t="shared" si="5"/>
        <v>1864.7999999999993</v>
      </c>
      <c r="H34" s="229">
        <f t="shared" si="5"/>
        <v>1585.2000000000007</v>
      </c>
      <c r="I34" s="229">
        <f t="shared" si="5"/>
        <v>1589.2999999999993</v>
      </c>
      <c r="J34" s="229">
        <f t="shared" si="5"/>
        <v>1641.6000000000022</v>
      </c>
    </row>
    <row r="35" spans="1:12" x14ac:dyDescent="0.2">
      <c r="A35" s="87" t="s">
        <v>74</v>
      </c>
      <c r="C35" s="6">
        <v>1183</v>
      </c>
      <c r="D35" s="229">
        <f t="shared" si="4"/>
        <v>576</v>
      </c>
      <c r="E35" s="229">
        <f t="shared" si="4"/>
        <v>-300</v>
      </c>
      <c r="F35" s="229">
        <f t="shared" si="5"/>
        <v>-722.51000000000931</v>
      </c>
      <c r="G35" s="229">
        <f t="shared" si="5"/>
        <v>-1011.7909999999829</v>
      </c>
      <c r="H35" s="229">
        <f t="shared" si="5"/>
        <v>-1041.4780000000028</v>
      </c>
      <c r="I35" s="229">
        <f t="shared" si="5"/>
        <v>-931.13500000000931</v>
      </c>
      <c r="J35" s="229">
        <f t="shared" si="5"/>
        <v>-1237.4829999999929</v>
      </c>
    </row>
    <row r="36" spans="1:12" x14ac:dyDescent="0.2">
      <c r="A36" s="87" t="s">
        <v>67</v>
      </c>
      <c r="C36" s="6"/>
      <c r="D36" s="229">
        <f t="shared" si="4"/>
        <v>544</v>
      </c>
      <c r="E36" s="229">
        <f t="shared" si="4"/>
        <v>-33</v>
      </c>
      <c r="F36" s="229">
        <f t="shared" si="5"/>
        <v>2688.1000000000004</v>
      </c>
      <c r="G36" s="229">
        <f t="shared" si="5"/>
        <v>245.89999999999964</v>
      </c>
      <c r="H36" s="229">
        <f t="shared" si="5"/>
        <v>244.29999999999927</v>
      </c>
      <c r="I36" s="229">
        <f t="shared" si="5"/>
        <v>257.70000000000073</v>
      </c>
      <c r="J36" s="229">
        <f t="shared" si="5"/>
        <v>225</v>
      </c>
    </row>
    <row r="37" spans="1:12" x14ac:dyDescent="0.2">
      <c r="A37" s="87" t="s">
        <v>15</v>
      </c>
      <c r="C37" s="6"/>
      <c r="D37" s="229">
        <f t="shared" si="4"/>
        <v>-371</v>
      </c>
      <c r="E37" s="229">
        <f t="shared" si="4"/>
        <v>-618</v>
      </c>
      <c r="F37" s="229">
        <f t="shared" si="5"/>
        <v>-4619.7000000000116</v>
      </c>
      <c r="G37" s="229">
        <f t="shared" si="5"/>
        <v>-4567.3999999999651</v>
      </c>
      <c r="H37" s="229">
        <f t="shared" si="5"/>
        <v>-4515.8000000000466</v>
      </c>
      <c r="I37" s="229">
        <f t="shared" si="5"/>
        <v>-4464.9999999999418</v>
      </c>
      <c r="J37" s="229">
        <f t="shared" si="5"/>
        <v>-4414.6000000000349</v>
      </c>
    </row>
    <row r="38" spans="1:12" x14ac:dyDescent="0.2">
      <c r="A38" s="87" t="s">
        <v>40</v>
      </c>
      <c r="C38" s="6"/>
      <c r="D38" s="229">
        <f t="shared" si="4"/>
        <v>16830</v>
      </c>
      <c r="E38" s="229">
        <f t="shared" si="4"/>
        <v>15646.626999999993</v>
      </c>
      <c r="F38" s="229">
        <f t="shared" si="5"/>
        <v>15646.806000000011</v>
      </c>
      <c r="G38" s="229">
        <f t="shared" si="5"/>
        <v>14146.737999999998</v>
      </c>
      <c r="H38" s="229">
        <f t="shared" si="5"/>
        <v>14220.089999999997</v>
      </c>
      <c r="I38" s="229">
        <f t="shared" si="5"/>
        <v>12059.899999999965</v>
      </c>
      <c r="J38" s="229">
        <f t="shared" si="5"/>
        <v>11987.028000000049</v>
      </c>
    </row>
    <row r="39" spans="1:12" x14ac:dyDescent="0.2">
      <c r="A39" s="87"/>
      <c r="C39" s="6"/>
      <c r="D39" s="6"/>
      <c r="E39" s="6"/>
      <c r="F39" s="6"/>
      <c r="G39" s="6"/>
      <c r="H39" s="6"/>
      <c r="I39" s="6"/>
      <c r="J39" s="6"/>
    </row>
    <row r="40" spans="1:12" x14ac:dyDescent="0.2">
      <c r="A40" s="88" t="s">
        <v>142</v>
      </c>
      <c r="C40" s="6">
        <f t="shared" ref="C40:J40" si="6">SUM(C33:C39)</f>
        <v>1409</v>
      </c>
      <c r="D40" s="6">
        <f t="shared" si="6"/>
        <v>24134</v>
      </c>
      <c r="E40" s="6">
        <f t="shared" si="6"/>
        <v>24165.626999999993</v>
      </c>
      <c r="F40" s="6">
        <f t="shared" si="6"/>
        <v>18666.995999999992</v>
      </c>
      <c r="G40" s="6">
        <f t="shared" si="6"/>
        <v>15029.547000000095</v>
      </c>
      <c r="H40" s="6">
        <f t="shared" si="6"/>
        <v>14191.111999999877</v>
      </c>
      <c r="I40" s="6">
        <f t="shared" si="6"/>
        <v>12219.065000000061</v>
      </c>
      <c r="J40" s="6">
        <f t="shared" si="6"/>
        <v>12031.945000000047</v>
      </c>
      <c r="K40" s="91">
        <f>SUM(F40:J40)</f>
        <v>72138.665000000066</v>
      </c>
    </row>
    <row r="41" spans="1:12" x14ac:dyDescent="0.2">
      <c r="A41" s="87"/>
      <c r="D41" s="91">
        <f t="shared" ref="D41:J41" si="7">D30-C30</f>
        <v>24134</v>
      </c>
      <c r="E41" s="91">
        <f t="shared" si="7"/>
        <v>24165.627000000095</v>
      </c>
      <c r="F41" s="91">
        <f t="shared" si="7"/>
        <v>18666.99599999981</v>
      </c>
      <c r="G41" s="91">
        <f t="shared" si="7"/>
        <v>15029.547000000253</v>
      </c>
      <c r="H41" s="91">
        <f t="shared" si="7"/>
        <v>14191.111999999965</v>
      </c>
      <c r="I41" s="91">
        <f t="shared" si="7"/>
        <v>12219.064999999944</v>
      </c>
      <c r="J41" s="91">
        <f t="shared" si="7"/>
        <v>12031.945000000065</v>
      </c>
      <c r="K41" s="91">
        <f>SUM(F41:J41)</f>
        <v>72138.665000000037</v>
      </c>
      <c r="L41" s="83" t="s">
        <v>124</v>
      </c>
    </row>
    <row r="42" spans="1:12" x14ac:dyDescent="0.2">
      <c r="A42" s="38" t="s">
        <v>36</v>
      </c>
      <c r="B42" s="38"/>
      <c r="C42" s="38"/>
      <c r="D42" s="39">
        <f t="shared" ref="D42:J42" si="8">D40/C30</f>
        <v>1.7773699431969239E-2</v>
      </c>
      <c r="E42" s="39">
        <f t="shared" si="8"/>
        <v>1.7486197008212107E-2</v>
      </c>
      <c r="F42" s="39">
        <f t="shared" si="8"/>
        <v>1.3275265246907638E-2</v>
      </c>
      <c r="G42" s="39">
        <f t="shared" si="8"/>
        <v>1.0548415358020043E-2</v>
      </c>
      <c r="H42" s="39">
        <f t="shared" si="8"/>
        <v>9.85599861407312E-3</v>
      </c>
      <c r="I42" s="39">
        <f t="shared" si="8"/>
        <v>8.4035489012646656E-3</v>
      </c>
      <c r="J42" s="39">
        <f t="shared" si="8"/>
        <v>8.2059001691743173E-3</v>
      </c>
    </row>
    <row r="43" spans="1:12" s="85" customFormat="1" ht="5.25" customHeight="1" x14ac:dyDescent="0.2"/>
    <row r="44" spans="1:12" x14ac:dyDescent="0.2">
      <c r="A44" s="88"/>
    </row>
    <row r="45" spans="1:12" x14ac:dyDescent="0.2">
      <c r="A45" s="82" t="s">
        <v>20</v>
      </c>
      <c r="B45" s="82"/>
    </row>
    <row r="47" spans="1:12" x14ac:dyDescent="0.2">
      <c r="A47" s="83" t="s">
        <v>17</v>
      </c>
      <c r="C47" s="91">
        <f>$C$51*K47</f>
        <v>430556.83</v>
      </c>
      <c r="D47" s="92">
        <f>C47+SUM('Metering AMP'!C5:C7)</f>
        <v>454893.83</v>
      </c>
      <c r="E47" s="92">
        <f>D47+SUM('Metering AMP'!E5:E7)</f>
        <v>481361.83</v>
      </c>
      <c r="F47" s="92">
        <f>E47+SUM('Metering AMP'!G5:G7)</f>
        <v>506717.23000000004</v>
      </c>
      <c r="G47" s="92">
        <f>F47+SUM('Metering AMP'!I5:I7)</f>
        <v>529052.23</v>
      </c>
      <c r="H47" s="92">
        <f>G47+SUM('Metering AMP'!K5:K7)</f>
        <v>591923.98</v>
      </c>
      <c r="I47" s="92">
        <f>H47+SUM('Metering AMP'!M5:M7)</f>
        <v>617250.73</v>
      </c>
      <c r="J47" s="92">
        <f>I47+SUM('Metering AMP'!O5:O7)</f>
        <v>640169.73</v>
      </c>
      <c r="K47" s="76">
        <v>0.31</v>
      </c>
      <c r="L47" s="92"/>
    </row>
    <row r="48" spans="1:12" x14ac:dyDescent="0.2">
      <c r="A48" s="83" t="s">
        <v>21</v>
      </c>
      <c r="C48" s="91">
        <f>$C$51*K48</f>
        <v>750002.22000000009</v>
      </c>
      <c r="D48" s="92">
        <f t="shared" ref="D48:J48" si="9">C48</f>
        <v>750002.22000000009</v>
      </c>
      <c r="E48" s="92">
        <f t="shared" si="9"/>
        <v>750002.22000000009</v>
      </c>
      <c r="F48" s="92">
        <f t="shared" si="9"/>
        <v>750002.22000000009</v>
      </c>
      <c r="G48" s="92">
        <f t="shared" si="9"/>
        <v>750002.22000000009</v>
      </c>
      <c r="H48" s="92">
        <f t="shared" si="9"/>
        <v>750002.22000000009</v>
      </c>
      <c r="I48" s="92">
        <f t="shared" si="9"/>
        <v>750002.22000000009</v>
      </c>
      <c r="J48" s="92">
        <f t="shared" si="9"/>
        <v>750002.22000000009</v>
      </c>
      <c r="K48" s="76">
        <v>0.54</v>
      </c>
      <c r="L48" s="92"/>
    </row>
    <row r="49" spans="1:12" x14ac:dyDescent="0.2">
      <c r="A49" s="83" t="s">
        <v>18</v>
      </c>
      <c r="C49" s="91">
        <f>$C$51*K49</f>
        <v>111111.44</v>
      </c>
      <c r="D49" s="92">
        <f>C49+SUM('Metering AMP'!C8:C9)</f>
        <v>118881.44</v>
      </c>
      <c r="E49" s="92">
        <f>D49+SUM('Metering AMP'!E8:E9)</f>
        <v>125381.44</v>
      </c>
      <c r="F49" s="92">
        <f>E49+SUM('Metering AMP'!G8:G9)</f>
        <v>131081.44</v>
      </c>
      <c r="G49" s="92">
        <f>F49+SUM('Metering AMP'!I8:I9)</f>
        <v>137181.44</v>
      </c>
      <c r="H49" s="92">
        <f>G49+SUM('Metering AMP'!K8:K9)</f>
        <v>144281.44</v>
      </c>
      <c r="I49" s="92">
        <f>H49+SUM('Metering AMP'!M8:M9)</f>
        <v>149681.44</v>
      </c>
      <c r="J49" s="92">
        <f>I49+SUM('Metering AMP'!O8:O9)</f>
        <v>155581.44</v>
      </c>
      <c r="K49" s="76">
        <v>0.08</v>
      </c>
      <c r="L49" s="92"/>
    </row>
    <row r="50" spans="1:12" x14ac:dyDescent="0.2">
      <c r="A50" s="83" t="s">
        <v>22</v>
      </c>
      <c r="C50" s="91">
        <f>$C$51*K50</f>
        <v>97222.510000000009</v>
      </c>
      <c r="D50" s="92">
        <f t="shared" ref="D50:J50" si="10">C50</f>
        <v>97222.510000000009</v>
      </c>
      <c r="E50" s="92">
        <f t="shared" si="10"/>
        <v>97222.510000000009</v>
      </c>
      <c r="F50" s="92">
        <f t="shared" si="10"/>
        <v>97222.510000000009</v>
      </c>
      <c r="G50" s="92">
        <f t="shared" si="10"/>
        <v>97222.510000000009</v>
      </c>
      <c r="H50" s="92">
        <f t="shared" si="10"/>
        <v>97222.510000000009</v>
      </c>
      <c r="I50" s="92">
        <f t="shared" si="10"/>
        <v>97222.510000000009</v>
      </c>
      <c r="J50" s="92">
        <f t="shared" si="10"/>
        <v>97222.510000000009</v>
      </c>
      <c r="K50" s="77">
        <v>7.0000000000000007E-2</v>
      </c>
      <c r="L50" s="92"/>
    </row>
    <row r="51" spans="1:12" ht="13.5" thickBot="1" x14ac:dyDescent="0.25">
      <c r="C51" s="93">
        <v>1388893</v>
      </c>
      <c r="D51" s="94">
        <f t="shared" ref="D51:K51" si="11">SUM(D47:D50)</f>
        <v>1421000</v>
      </c>
      <c r="E51" s="94">
        <f t="shared" si="11"/>
        <v>1453968</v>
      </c>
      <c r="F51" s="94">
        <f t="shared" si="11"/>
        <v>1485023.4000000001</v>
      </c>
      <c r="G51" s="94">
        <f t="shared" si="11"/>
        <v>1513458.4000000001</v>
      </c>
      <c r="H51" s="94">
        <f t="shared" si="11"/>
        <v>1583430.1500000001</v>
      </c>
      <c r="I51" s="94">
        <f t="shared" si="11"/>
        <v>1614156.9000000001</v>
      </c>
      <c r="J51" s="94">
        <f t="shared" si="11"/>
        <v>1642975.9000000001</v>
      </c>
      <c r="K51" s="95">
        <f t="shared" si="11"/>
        <v>1</v>
      </c>
      <c r="L51" s="92"/>
    </row>
    <row r="52" spans="1:12" ht="13.5" thickTop="1" x14ac:dyDescent="0.2">
      <c r="D52" s="96"/>
      <c r="E52" s="96"/>
      <c r="F52" s="96"/>
      <c r="G52" s="96"/>
      <c r="H52" s="96"/>
      <c r="I52" s="96"/>
      <c r="J52" s="96"/>
      <c r="K52" s="91"/>
      <c r="L52" s="91"/>
    </row>
    <row r="53" spans="1:12" x14ac:dyDescent="0.2">
      <c r="A53" s="83" t="s">
        <v>33</v>
      </c>
      <c r="D53" s="6">
        <f t="shared" ref="D53:J53" si="12">D51-C51</f>
        <v>32107</v>
      </c>
      <c r="E53" s="92">
        <f t="shared" si="12"/>
        <v>32968</v>
      </c>
      <c r="F53" s="92">
        <f t="shared" si="12"/>
        <v>31055.40000000014</v>
      </c>
      <c r="G53" s="6">
        <f t="shared" si="12"/>
        <v>28435</v>
      </c>
      <c r="H53" s="6">
        <f t="shared" si="12"/>
        <v>69971.75</v>
      </c>
      <c r="I53" s="6">
        <f t="shared" si="12"/>
        <v>30726.75</v>
      </c>
      <c r="J53" s="6">
        <f t="shared" si="12"/>
        <v>28819</v>
      </c>
      <c r="K53" s="6"/>
      <c r="L53" s="6"/>
    </row>
    <row r="54" spans="1:12" x14ac:dyDescent="0.2">
      <c r="A54" s="83" t="s">
        <v>34</v>
      </c>
      <c r="D54" s="8">
        <f t="shared" ref="D54:J54" si="13">D53/C51</f>
        <v>2.311697157376414E-2</v>
      </c>
      <c r="E54" s="8">
        <f t="shared" si="13"/>
        <v>2.3200562983814215E-2</v>
      </c>
      <c r="F54" s="8">
        <f t="shared" si="13"/>
        <v>2.1359067049618794E-2</v>
      </c>
      <c r="G54" s="8">
        <f t="shared" si="13"/>
        <v>1.9147846424507519E-2</v>
      </c>
      <c r="H54" s="8">
        <f t="shared" si="13"/>
        <v>4.6233018363768696E-2</v>
      </c>
      <c r="I54" s="8">
        <f t="shared" si="13"/>
        <v>1.9405181845249062E-2</v>
      </c>
      <c r="J54" s="8">
        <f t="shared" si="13"/>
        <v>1.7853902554330375E-2</v>
      </c>
    </row>
    <row r="55" spans="1:12" s="85" customFormat="1" ht="5.25" customHeight="1" x14ac:dyDescent="0.2"/>
    <row r="57" spans="1:12" x14ac:dyDescent="0.2">
      <c r="A57" s="82" t="s">
        <v>146</v>
      </c>
      <c r="B57" s="82"/>
      <c r="C57"/>
      <c r="D57"/>
      <c r="E57"/>
    </row>
    <row r="58" spans="1:12" x14ac:dyDescent="0.2">
      <c r="A58" s="427" t="s">
        <v>23</v>
      </c>
      <c r="B58" s="428"/>
      <c r="C58" s="105">
        <f>D64</f>
        <v>76.865600000000001</v>
      </c>
      <c r="D58" s="106">
        <v>65.22</v>
      </c>
      <c r="E58" s="107">
        <f>Inputs!C51</f>
        <v>1388893</v>
      </c>
    </row>
    <row r="59" spans="1:12" x14ac:dyDescent="0.2">
      <c r="A59" s="427" t="s">
        <v>21</v>
      </c>
      <c r="B59" s="428"/>
      <c r="C59" s="105">
        <f>C58+C62</f>
        <v>111.8656</v>
      </c>
      <c r="D59" s="108"/>
      <c r="E59" s="107"/>
    </row>
    <row r="60" spans="1:12" x14ac:dyDescent="0.2">
      <c r="A60" s="427" t="s">
        <v>24</v>
      </c>
      <c r="B60" s="428"/>
      <c r="C60" s="105">
        <f>D64</f>
        <v>76.865600000000001</v>
      </c>
      <c r="D60" s="106">
        <v>210.79</v>
      </c>
      <c r="E60" s="107">
        <f>Inputs!C49</f>
        <v>111111.44</v>
      </c>
    </row>
    <row r="61" spans="1:12" x14ac:dyDescent="0.2">
      <c r="A61" s="427" t="s">
        <v>22</v>
      </c>
      <c r="B61" s="428"/>
      <c r="C61" s="105">
        <f>C60+C62</f>
        <v>111.8656</v>
      </c>
      <c r="D61" s="108"/>
      <c r="E61" s="109"/>
    </row>
    <row r="62" spans="1:12" x14ac:dyDescent="0.2">
      <c r="A62" s="427" t="s">
        <v>131</v>
      </c>
      <c r="B62" s="428"/>
      <c r="C62" s="105">
        <v>35</v>
      </c>
      <c r="D62" s="108"/>
      <c r="E62" s="109"/>
    </row>
    <row r="63" spans="1:12" x14ac:dyDescent="0.2">
      <c r="A63" s="425" t="s">
        <v>132</v>
      </c>
      <c r="B63" s="426"/>
      <c r="C63" s="110">
        <v>147</v>
      </c>
      <c r="D63" s="109" t="s">
        <v>134</v>
      </c>
      <c r="E63" s="109"/>
    </row>
    <row r="64" spans="1:12" x14ac:dyDescent="0.2">
      <c r="A64"/>
      <c r="B64"/>
      <c r="C64"/>
      <c r="D64" s="70">
        <f>D58*(1-$E$64)+D60*$E$64</f>
        <v>76.865600000000001</v>
      </c>
      <c r="E64" s="8">
        <f>E60/E58</f>
        <v>0.08</v>
      </c>
    </row>
    <row r="65" spans="1:10" x14ac:dyDescent="0.2">
      <c r="A65" s="111" t="s">
        <v>147</v>
      </c>
      <c r="B65" s="34"/>
      <c r="C65" s="34"/>
      <c r="D65" s="34"/>
      <c r="E65" s="34"/>
    </row>
    <row r="66" spans="1:10" x14ac:dyDescent="0.2">
      <c r="A66" s="111" t="s">
        <v>148</v>
      </c>
      <c r="B66" s="34"/>
      <c r="C66" s="34"/>
      <c r="D66" s="34"/>
      <c r="E66" s="34"/>
    </row>
    <row r="67" spans="1:10" x14ac:dyDescent="0.2">
      <c r="A67" s="111" t="s">
        <v>145</v>
      </c>
      <c r="B67" s="34"/>
      <c r="C67" s="34"/>
      <c r="D67" s="34"/>
      <c r="E67" s="34"/>
    </row>
    <row r="68" spans="1:10" x14ac:dyDescent="0.2">
      <c r="A68" s="112" t="s">
        <v>149</v>
      </c>
      <c r="B68"/>
      <c r="C68"/>
      <c r="D68"/>
      <c r="E68"/>
    </row>
    <row r="70" spans="1:10" s="85" customFormat="1" ht="5.25" customHeight="1" x14ac:dyDescent="0.2"/>
    <row r="72" spans="1:10" x14ac:dyDescent="0.2">
      <c r="A72" s="423" t="s">
        <v>232</v>
      </c>
      <c r="B72" s="424"/>
      <c r="C72" s="424"/>
      <c r="D72" s="4"/>
      <c r="E72" s="4"/>
    </row>
    <row r="73" spans="1:10" x14ac:dyDescent="0.2">
      <c r="A73" s="231" t="s">
        <v>174</v>
      </c>
      <c r="F73" s="176">
        <v>5.8643454971340553E-3</v>
      </c>
      <c r="G73" s="176">
        <v>8.7451617855262651E-3</v>
      </c>
      <c r="H73" s="176">
        <v>1.2503028227291572E-2</v>
      </c>
      <c r="I73" s="176">
        <v>1.2419878452172349E-2</v>
      </c>
      <c r="J73" s="176">
        <v>1.1675189988527531E-2</v>
      </c>
    </row>
    <row r="74" spans="1:10" x14ac:dyDescent="0.2">
      <c r="A74" s="231" t="s">
        <v>173</v>
      </c>
      <c r="F74" s="176">
        <v>6.6050639218120334E-3</v>
      </c>
      <c r="G74" s="176">
        <v>5.8076015049751952E-3</v>
      </c>
      <c r="H74" s="176">
        <v>9.5279278678637499E-3</v>
      </c>
      <c r="I74" s="176">
        <v>1.0635166891038163E-2</v>
      </c>
      <c r="J74" s="176">
        <v>1.0663543213251627E-2</v>
      </c>
    </row>
    <row r="75" spans="1:10" x14ac:dyDescent="0.2">
      <c r="A75" s="231" t="s">
        <v>234</v>
      </c>
      <c r="F75" s="176">
        <v>5.8643454971340553E-3</v>
      </c>
      <c r="G75" s="176">
        <v>8.7451617855262651E-3</v>
      </c>
      <c r="H75" s="176">
        <v>1.2503028227291572E-2</v>
      </c>
      <c r="I75" s="176">
        <v>1.2419878452172349E-2</v>
      </c>
      <c r="J75" s="176">
        <v>1.1675189988527531E-2</v>
      </c>
    </row>
    <row r="77" spans="1:10" x14ac:dyDescent="0.2">
      <c r="A77" s="5" t="s">
        <v>180</v>
      </c>
    </row>
    <row r="78" spans="1:10" x14ac:dyDescent="0.2">
      <c r="A78" s="231" t="s">
        <v>174</v>
      </c>
      <c r="F78" s="86">
        <f>(1+F73)</f>
        <v>1.0058643454971341</v>
      </c>
      <c r="G78" s="176">
        <f t="shared" ref="G78:J80" si="14">F78*(1+G73)</f>
        <v>1.014660791932799</v>
      </c>
      <c r="H78" s="176">
        <f t="shared" si="14"/>
        <v>1.0273471244554608</v>
      </c>
      <c r="I78" s="176">
        <f t="shared" si="14"/>
        <v>1.0401066508693864</v>
      </c>
      <c r="J78" s="176">
        <f t="shared" si="14"/>
        <v>1.0522500936266175</v>
      </c>
    </row>
    <row r="79" spans="1:10" x14ac:dyDescent="0.2">
      <c r="A79" s="231" t="s">
        <v>173</v>
      </c>
      <c r="F79" s="86">
        <f>(1+F74)</f>
        <v>1.006605063921812</v>
      </c>
      <c r="G79" s="176">
        <f t="shared" si="14"/>
        <v>1.0124510250059602</v>
      </c>
      <c r="H79" s="176">
        <f t="shared" si="14"/>
        <v>1.0220975853419616</v>
      </c>
      <c r="I79" s="176">
        <f t="shared" si="14"/>
        <v>1.0329677637410006</v>
      </c>
      <c r="J79" s="176">
        <f t="shared" si="14"/>
        <v>1.0439828601275487</v>
      </c>
    </row>
    <row r="80" spans="1:10" x14ac:dyDescent="0.2">
      <c r="A80" s="231" t="s">
        <v>234</v>
      </c>
      <c r="F80" s="86">
        <f>(1+F75)</f>
        <v>1.0058643454971341</v>
      </c>
      <c r="G80" s="176">
        <f t="shared" si="14"/>
        <v>1.014660791932799</v>
      </c>
      <c r="H80" s="176">
        <f t="shared" si="14"/>
        <v>1.0273471244554608</v>
      </c>
      <c r="I80" s="176">
        <f t="shared" si="14"/>
        <v>1.0401066508693864</v>
      </c>
      <c r="J80" s="176">
        <f t="shared" si="14"/>
        <v>1.0522500936266175</v>
      </c>
    </row>
    <row r="82" spans="6:11" x14ac:dyDescent="0.2">
      <c r="F82"/>
      <c r="G82"/>
      <c r="H82"/>
      <c r="I82"/>
      <c r="J82"/>
      <c r="K82"/>
    </row>
  </sheetData>
  <mergeCells count="7">
    <mergeCell ref="A72:C72"/>
    <mergeCell ref="A63:B63"/>
    <mergeCell ref="A58:B58"/>
    <mergeCell ref="A59:B59"/>
    <mergeCell ref="A60:B60"/>
    <mergeCell ref="A61:B61"/>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6"/>
  <sheetViews>
    <sheetView workbookViewId="0">
      <pane ySplit="2" topLeftCell="A3" activePane="bottomLeft" state="frozen"/>
      <selection pane="bottomLeft" activeCell="E1" sqref="E1"/>
    </sheetView>
  </sheetViews>
  <sheetFormatPr defaultRowHeight="12.75" x14ac:dyDescent="0.2"/>
  <cols>
    <col min="1" max="1" width="33" style="4" customWidth="1"/>
    <col min="2" max="6" width="10.28515625" style="4" customWidth="1"/>
    <col min="7" max="7" width="9.140625" style="4" customWidth="1"/>
    <col min="8" max="8" width="14.28515625" style="4" bestFit="1" customWidth="1"/>
    <col min="9" max="12" width="11.140625" style="4" customWidth="1"/>
    <col min="13" max="13" width="9.140625" style="4" customWidth="1"/>
    <col min="14" max="14" width="19.140625" style="4" customWidth="1"/>
    <col min="15" max="16384" width="9.140625" style="4"/>
  </cols>
  <sheetData>
    <row r="1" spans="1:12" ht="15" x14ac:dyDescent="0.25">
      <c r="B1" s="360" t="s">
        <v>267</v>
      </c>
      <c r="H1" s="360" t="s">
        <v>268</v>
      </c>
    </row>
    <row r="2" spans="1:12" ht="15" x14ac:dyDescent="0.25">
      <c r="B2" s="361" t="s">
        <v>0</v>
      </c>
      <c r="C2" s="361" t="s">
        <v>1</v>
      </c>
      <c r="D2" s="361" t="s">
        <v>10</v>
      </c>
      <c r="E2" s="361" t="s">
        <v>2</v>
      </c>
      <c r="F2" s="361" t="s">
        <v>3</v>
      </c>
      <c r="H2" s="361" t="str">
        <f>B2</f>
        <v>2014/15</v>
      </c>
      <c r="I2" s="361" t="str">
        <f>C2</f>
        <v>2015/16</v>
      </c>
      <c r="J2" s="361" t="str">
        <f>D2</f>
        <v>2016/17</v>
      </c>
      <c r="K2" s="361" t="str">
        <f>E2</f>
        <v>2017/18</v>
      </c>
      <c r="L2" s="361" t="str">
        <f>F2</f>
        <v>2018/19</v>
      </c>
    </row>
    <row r="3" spans="1:12" ht="15" x14ac:dyDescent="0.25">
      <c r="A3" s="379" t="str">
        <f>'Pricing Summary'!B5</f>
        <v>Existing Customers</v>
      </c>
      <c r="B3" s="361"/>
      <c r="C3" s="361"/>
      <c r="D3" s="361"/>
      <c r="E3" s="361"/>
      <c r="F3" s="361"/>
      <c r="H3" s="361"/>
      <c r="I3" s="361"/>
      <c r="J3" s="361"/>
      <c r="K3" s="361"/>
      <c r="L3" s="361"/>
    </row>
    <row r="4" spans="1:12" ht="15" x14ac:dyDescent="0.25">
      <c r="A4" s="362" t="str">
        <f>'Pricing Summary'!B6</f>
        <v>Residential Anytime</v>
      </c>
      <c r="H4" s="363">
        <f>'Price Build Up'!D6</f>
        <v>711610</v>
      </c>
      <c r="I4" s="363">
        <f>'Price Build Up'!E6</f>
        <v>711610</v>
      </c>
      <c r="J4" s="363">
        <f>'Price Build Up'!F6</f>
        <v>711610</v>
      </c>
      <c r="K4" s="363">
        <f>'Price Build Up'!G6</f>
        <v>711610</v>
      </c>
      <c r="L4" s="363">
        <f>'Price Build Up'!H6</f>
        <v>711610</v>
      </c>
    </row>
    <row r="5" spans="1:12" x14ac:dyDescent="0.2">
      <c r="A5" s="177" t="s">
        <v>258</v>
      </c>
      <c r="B5" s="65">
        <f>'Price Build Up'!L$77*'Pricing Summary'!H$2</f>
        <v>22.218640696128553</v>
      </c>
      <c r="C5" s="65">
        <f>'Price Build Up'!P$77*'Pricing Summary'!I$2</f>
        <v>22.327041245077879</v>
      </c>
      <c r="D5" s="65">
        <f>'Price Build Up'!S$77*'Pricing Summary'!J$2</f>
        <v>22.551920078308882</v>
      </c>
      <c r="E5" s="65">
        <f>'Price Build Up'!V$77*'Pricing Summary'!K$2</f>
        <v>22.78266083101936</v>
      </c>
      <c r="F5" s="65">
        <f>'Price Build Up'!Y$77*'Pricing Summary'!L$2</f>
        <v>23.301759818717088</v>
      </c>
      <c r="H5" s="365">
        <f>B5*H4/10^6</f>
        <v>15.811006905772039</v>
      </c>
      <c r="I5" s="365">
        <f>C5*I4/10^6</f>
        <v>15.88814582040987</v>
      </c>
      <c r="J5" s="365">
        <f>D5*J4/10^6</f>
        <v>16.048171846925385</v>
      </c>
      <c r="K5" s="365">
        <f>E5*K4/10^6</f>
        <v>16.212369273961688</v>
      </c>
      <c r="L5" s="365">
        <f>F5*L4/10^6</f>
        <v>16.581765304597265</v>
      </c>
    </row>
    <row r="6" spans="1:12" x14ac:dyDescent="0.2">
      <c r="A6" s="177" t="s">
        <v>260</v>
      </c>
      <c r="B6" s="65">
        <f>'Price Build Up'!J$77*'Pricing Summary'!H$2</f>
        <v>8.3181765852894056</v>
      </c>
      <c r="C6" s="65">
        <f>'Price Build Up'!O$77*'Pricing Summary'!I$2</f>
        <v>9.2575886154807865</v>
      </c>
      <c r="D6" s="65">
        <f>'Price Build Up'!R$77*'Pricing Summary'!J$2</f>
        <v>10.215506523580787</v>
      </c>
      <c r="E6" s="65">
        <f>'Price Build Up'!U$77*'Pricing Summary'!K$2</f>
        <v>11.191573801101288</v>
      </c>
      <c r="F6" s="65">
        <f>'Price Build Up'!X$77*'Pricing Summary'!L$2</f>
        <v>12.185385086167681</v>
      </c>
      <c r="H6" s="365">
        <f>B6*H4/10^6</f>
        <v>5.9192976398577946</v>
      </c>
      <c r="I6" s="365">
        <f>C6*I4/10^6</f>
        <v>6.587792634662283</v>
      </c>
      <c r="J6" s="365">
        <f>D6*J4/10^6</f>
        <v>7.2694565972453242</v>
      </c>
      <c r="K6" s="365">
        <f>E6*K4/10^6</f>
        <v>7.964035832601688</v>
      </c>
      <c r="L6" s="365">
        <f>F6*L4/10^6</f>
        <v>8.6712418811677843</v>
      </c>
    </row>
    <row r="7" spans="1:12" x14ac:dyDescent="0.2">
      <c r="A7" s="177"/>
      <c r="B7" s="65"/>
      <c r="C7" s="65"/>
      <c r="D7" s="65"/>
      <c r="E7" s="65"/>
      <c r="F7" s="65"/>
    </row>
    <row r="8" spans="1:12" ht="15" x14ac:dyDescent="0.25">
      <c r="A8" s="362" t="str">
        <f>'Pricing Summary'!B7</f>
        <v>Residential TOU</v>
      </c>
      <c r="B8" s="65"/>
      <c r="C8" s="65"/>
      <c r="D8" s="65"/>
      <c r="E8" s="65"/>
      <c r="F8" s="65"/>
      <c r="H8" s="363">
        <f>'Price Build Up'!D7</f>
        <v>18839.3</v>
      </c>
      <c r="I8" s="363">
        <f>'Price Build Up'!E7</f>
        <v>18839.3</v>
      </c>
      <c r="J8" s="363">
        <f>'Price Build Up'!F7</f>
        <v>18839.3</v>
      </c>
      <c r="K8" s="363">
        <f>'Price Build Up'!G7</f>
        <v>18839.3</v>
      </c>
      <c r="L8" s="363">
        <f>'Price Build Up'!H7</f>
        <v>18839.3</v>
      </c>
    </row>
    <row r="9" spans="1:12" x14ac:dyDescent="0.2">
      <c r="A9" s="177" t="s">
        <v>258</v>
      </c>
      <c r="B9" s="65">
        <f>'Price Build Up'!L$78*'Pricing Summary'!H$2</f>
        <v>30.675686788280331</v>
      </c>
      <c r="C9" s="65">
        <f>'Price Build Up'!P$78*'Pricing Summary'!I$2</f>
        <v>30.670429108930829</v>
      </c>
      <c r="D9" s="65">
        <f>'Price Build Up'!S$78*'Pricing Summary'!J$2</f>
        <v>30.945008931020141</v>
      </c>
      <c r="E9" s="65">
        <f>'Price Build Up'!V$78*'Pricing Summary'!K$2</f>
        <v>31.188734374167154</v>
      </c>
      <c r="F9" s="65">
        <f>'Price Build Up'!Y$78*'Pricing Summary'!L$2</f>
        <v>31.824899622807305</v>
      </c>
      <c r="H9" s="365">
        <f>B9*H8/10^6</f>
        <v>0.57790846611044966</v>
      </c>
      <c r="I9" s="365">
        <f>C9*I8/10^6</f>
        <v>0.57780941511188055</v>
      </c>
      <c r="J9" s="365">
        <f>D9*J8/10^6</f>
        <v>0.58298230675416762</v>
      </c>
      <c r="K9" s="365">
        <f>E9*K8/10^6</f>
        <v>0.58757392349524729</v>
      </c>
      <c r="L9" s="365">
        <f>F9*L8/10^6</f>
        <v>0.59955883146395361</v>
      </c>
    </row>
    <row r="10" spans="1:12" x14ac:dyDescent="0.2">
      <c r="A10" s="177" t="s">
        <v>260</v>
      </c>
      <c r="B10" s="65">
        <f>'Price Build Up'!J$78*'Pricing Summary'!H$2</f>
        <v>8.3181765852894074</v>
      </c>
      <c r="C10" s="65">
        <f>'Price Build Up'!O$78*'Pricing Summary'!I$2</f>
        <v>9.2575886154807847</v>
      </c>
      <c r="D10" s="65">
        <f>'Price Build Up'!R$78*'Pricing Summary'!J$2</f>
        <v>10.215506523580789</v>
      </c>
      <c r="E10" s="65">
        <f>'Price Build Up'!U$78*'Pricing Summary'!K$2</f>
        <v>11.191573801101288</v>
      </c>
      <c r="F10" s="65">
        <f>'Price Build Up'!X$78*'Pricing Summary'!L$2</f>
        <v>12.185385086167679</v>
      </c>
      <c r="H10" s="365">
        <f>B10*H8/10^6</f>
        <v>0.15670862414324271</v>
      </c>
      <c r="I10" s="365">
        <f>C10*I8/10^6</f>
        <v>0.17440648920362714</v>
      </c>
      <c r="J10" s="365">
        <f>D10*J8/10^6</f>
        <v>0.19245299204969554</v>
      </c>
      <c r="K10" s="365">
        <f>E10*K8/10^6</f>
        <v>0.21084141631108749</v>
      </c>
      <c r="L10" s="365">
        <f>F10*L8/10^6</f>
        <v>0.22956412525383874</v>
      </c>
    </row>
    <row r="11" spans="1:12" ht="15" x14ac:dyDescent="0.25">
      <c r="A11" s="362"/>
    </row>
    <row r="12" spans="1:12" ht="15" x14ac:dyDescent="0.25">
      <c r="A12" s="362" t="str">
        <f>'Pricing Summary'!B8</f>
        <v>Small Business anytime</v>
      </c>
      <c r="H12" s="363">
        <f>'Price Build Up'!D8</f>
        <v>79250.489999999991</v>
      </c>
      <c r="I12" s="363">
        <f>'Price Build Up'!E8</f>
        <v>79250.489999999991</v>
      </c>
      <c r="J12" s="363">
        <f>'Price Build Up'!F8</f>
        <v>79250.489999999991</v>
      </c>
      <c r="K12" s="363">
        <f>'Price Build Up'!G8</f>
        <v>79250.489999999991</v>
      </c>
      <c r="L12" s="363">
        <f>'Price Build Up'!H8</f>
        <v>79250.489999999991</v>
      </c>
    </row>
    <row r="13" spans="1:12" x14ac:dyDescent="0.2">
      <c r="A13" s="177" t="s">
        <v>258</v>
      </c>
      <c r="B13" s="65">
        <f>'Price Build Up'!L$79*'Pricing Summary'!H$2</f>
        <v>22.218640696128553</v>
      </c>
      <c r="C13" s="65">
        <f>'Price Build Up'!P$79*'Pricing Summary'!I$2</f>
        <v>22.327041245077879</v>
      </c>
      <c r="D13" s="65">
        <f>'Price Build Up'!S$79*'Pricing Summary'!J$2</f>
        <v>22.551920078308886</v>
      </c>
      <c r="E13" s="65">
        <f>'Price Build Up'!V$79*'Pricing Summary'!K$2</f>
        <v>22.782660831019363</v>
      </c>
      <c r="F13" s="65">
        <f>'Price Build Up'!Y$79*'Pricing Summary'!L$2</f>
        <v>23.301759818717095</v>
      </c>
      <c r="H13" s="365">
        <f>B13*H12/10^6</f>
        <v>1.7608381623021288</v>
      </c>
      <c r="I13" s="365">
        <f>C13*I12/10^6</f>
        <v>1.7694289589226317</v>
      </c>
      <c r="J13" s="365">
        <f>D13*J12/10^6</f>
        <v>1.7872507166468172</v>
      </c>
      <c r="K13" s="365">
        <f>E13*K12/10^6</f>
        <v>1.8055370343620913</v>
      </c>
      <c r="L13" s="365">
        <f>F13*L12/10^6</f>
        <v>1.8466758834956407</v>
      </c>
    </row>
    <row r="14" spans="1:12" x14ac:dyDescent="0.2">
      <c r="A14" s="177" t="s">
        <v>260</v>
      </c>
      <c r="B14" s="65">
        <f>'Price Build Up'!J$79*'Pricing Summary'!H$2</f>
        <v>8.3181765852894038</v>
      </c>
      <c r="C14" s="65">
        <f>'Price Build Up'!O$79*'Pricing Summary'!I$2</f>
        <v>9.2575886154807847</v>
      </c>
      <c r="D14" s="65">
        <f>'Price Build Up'!R$79*'Pricing Summary'!J$2</f>
        <v>10.215506523580787</v>
      </c>
      <c r="E14" s="65">
        <f>'Price Build Up'!U$79*'Pricing Summary'!K$2</f>
        <v>11.191573801101288</v>
      </c>
      <c r="F14" s="65">
        <f>'Price Build Up'!X$79*'Pricing Summary'!L$2</f>
        <v>12.185385086167678</v>
      </c>
      <c r="H14" s="365">
        <f>B14*H12/10^6</f>
        <v>0.65921957029071199</v>
      </c>
      <c r="I14" s="365">
        <f>C14*I12/10^6</f>
        <v>0.73366843399527371</v>
      </c>
      <c r="J14" s="365">
        <f>D14*J12/10^6</f>
        <v>0.80958389759197391</v>
      </c>
      <c r="K14" s="365">
        <f>E14*K12/10^6</f>
        <v>0.88693770760843949</v>
      </c>
      <c r="L14" s="365">
        <f>F14*L12/10^6</f>
        <v>0.96569773891748056</v>
      </c>
    </row>
    <row r="15" spans="1:12" ht="15" x14ac:dyDescent="0.25">
      <c r="A15" s="362"/>
      <c r="B15" s="65"/>
      <c r="C15" s="65"/>
      <c r="D15" s="65"/>
      <c r="E15" s="65"/>
      <c r="F15" s="65"/>
    </row>
    <row r="16" spans="1:12" ht="15" x14ac:dyDescent="0.25">
      <c r="A16" s="362" t="str">
        <f>'Pricing Summary'!B9</f>
        <v>Small Business  TOU</v>
      </c>
      <c r="B16" s="65"/>
      <c r="C16" s="65"/>
      <c r="D16" s="65"/>
      <c r="E16" s="65"/>
      <c r="F16" s="65"/>
      <c r="H16" s="363">
        <f>'Price Build Up'!D9</f>
        <v>14113.1</v>
      </c>
      <c r="I16" s="363">
        <f>'Price Build Up'!E9</f>
        <v>14113.1</v>
      </c>
      <c r="J16" s="363">
        <f>'Price Build Up'!F9</f>
        <v>14113.1</v>
      </c>
      <c r="K16" s="363">
        <f>'Price Build Up'!G9</f>
        <v>14113.1</v>
      </c>
      <c r="L16" s="363">
        <f>'Price Build Up'!H9</f>
        <v>14113.1</v>
      </c>
    </row>
    <row r="17" spans="1:12" x14ac:dyDescent="0.2">
      <c r="A17" s="177" t="s">
        <v>258</v>
      </c>
      <c r="B17" s="65">
        <f>'Price Build Up'!L$80*'Pricing Summary'!H$2</f>
        <v>30.675686788280334</v>
      </c>
      <c r="C17" s="65">
        <f>'Price Build Up'!P$80*'Pricing Summary'!I$2</f>
        <v>30.670429108930826</v>
      </c>
      <c r="D17" s="65">
        <f>'Price Build Up'!S$80*'Pricing Summary'!J$2</f>
        <v>30.945008931020141</v>
      </c>
      <c r="E17" s="65">
        <f>'Price Build Up'!V$80*'Pricing Summary'!K$2</f>
        <v>31.188734374167158</v>
      </c>
      <c r="F17" s="65">
        <f>'Price Build Up'!Y$80*'Pricing Summary'!L$2</f>
        <v>31.824899622807301</v>
      </c>
      <c r="H17" s="365">
        <f>B17*H16/10^6</f>
        <v>0.43292903521167919</v>
      </c>
      <c r="I17" s="365">
        <f>C17*I16/10^6</f>
        <v>0.43285483305725164</v>
      </c>
      <c r="J17" s="365">
        <f>D17*J16/10^6</f>
        <v>0.43673000554438035</v>
      </c>
      <c r="K17" s="365">
        <f>E17*K16/10^6</f>
        <v>0.44016972709605856</v>
      </c>
      <c r="L17" s="365">
        <f>F17*L16/10^6</f>
        <v>0.44914799086664176</v>
      </c>
    </row>
    <row r="18" spans="1:12" x14ac:dyDescent="0.2">
      <c r="A18" s="177" t="s">
        <v>260</v>
      </c>
      <c r="B18" s="65">
        <f>'Price Build Up'!J$80*'Pricing Summary'!H$2</f>
        <v>8.3181765852894056</v>
      </c>
      <c r="C18" s="65">
        <f>'Price Build Up'!O$80*'Pricing Summary'!I$2</f>
        <v>9.2575886154807847</v>
      </c>
      <c r="D18" s="65">
        <f>'Price Build Up'!R$80*'Pricing Summary'!J$2</f>
        <v>10.215506523580789</v>
      </c>
      <c r="E18" s="65">
        <f>'Price Build Up'!U$80*'Pricing Summary'!K$2</f>
        <v>11.191573801101288</v>
      </c>
      <c r="F18" s="65">
        <f>'Price Build Up'!X$80*'Pricing Summary'!L$2</f>
        <v>12.185385086167679</v>
      </c>
      <c r="H18" s="365">
        <f>B18*H16/10^6</f>
        <v>0.1173952579658479</v>
      </c>
      <c r="I18" s="365">
        <f>C18*I16/10^6</f>
        <v>0.13065327388914186</v>
      </c>
      <c r="J18" s="365">
        <f>D18*J16/10^6</f>
        <v>0.14417246511794804</v>
      </c>
      <c r="K18" s="365">
        <f>E18*K16/10^6</f>
        <v>0.15794780021232258</v>
      </c>
      <c r="L18" s="365">
        <f>F18*L16/10^6</f>
        <v>0.1719735582595931</v>
      </c>
    </row>
    <row r="19" spans="1:12" ht="15" x14ac:dyDescent="0.25">
      <c r="A19" s="362"/>
      <c r="B19" s="65"/>
      <c r="C19" s="65"/>
      <c r="D19" s="65"/>
      <c r="E19" s="65"/>
      <c r="F19" s="65"/>
    </row>
    <row r="20" spans="1:12" ht="15" x14ac:dyDescent="0.25">
      <c r="A20" s="362" t="str">
        <f>'Pricing Summary'!B10</f>
        <v>Controlled Load</v>
      </c>
      <c r="H20" s="363">
        <f>'Price Build Up'!D10</f>
        <v>487584.3</v>
      </c>
      <c r="I20" s="363">
        <f>'Price Build Up'!E10</f>
        <v>481816.9</v>
      </c>
      <c r="J20" s="363">
        <f>'Price Build Up'!F10</f>
        <v>476101.1</v>
      </c>
      <c r="K20" s="363">
        <f>'Price Build Up'!G10</f>
        <v>470436.10000000003</v>
      </c>
      <c r="L20" s="363">
        <f>'Price Build Up'!H10</f>
        <v>464821.5</v>
      </c>
    </row>
    <row r="21" spans="1:12" x14ac:dyDescent="0.2">
      <c r="A21" s="177" t="s">
        <v>258</v>
      </c>
      <c r="B21" s="65">
        <f>'Price Build Up'!L$81*'Pricing Summary'!H$2</f>
        <v>6.6438973866635509</v>
      </c>
      <c r="C21" s="65">
        <f>'Price Build Up'!P$81*'Pricing Summary'!I$2</f>
        <v>6.7399337311086738</v>
      </c>
      <c r="D21" s="65">
        <f>'Price Build Up'!S$81*'Pricing Summary'!J$2</f>
        <v>6.8219188858150366</v>
      </c>
      <c r="E21" s="65">
        <f>'Price Build Up'!V$81*'Pricing Summary'!K$2</f>
        <v>6.9216518746282167</v>
      </c>
      <c r="F21" s="65">
        <f>'Price Build Up'!Y$81*'Pricing Summary'!L$2</f>
        <v>7.1099417012476547</v>
      </c>
      <c r="H21" s="365">
        <f>B21*H20/10^6</f>
        <v>3.2394600565481766</v>
      </c>
      <c r="I21" s="365">
        <f>C21*I20/10^6</f>
        <v>3.2474139765282146</v>
      </c>
      <c r="J21" s="365">
        <f>D21*J20/10^6</f>
        <v>3.2479230856473129</v>
      </c>
      <c r="K21" s="365">
        <f>E21*K20/10^6</f>
        <v>3.2561949134577874</v>
      </c>
      <c r="L21" s="365">
        <f>F21*L20/10^6</f>
        <v>3.3048537664864868</v>
      </c>
    </row>
    <row r="22" spans="1:12" x14ac:dyDescent="0.2">
      <c r="A22" s="177" t="s">
        <v>260</v>
      </c>
      <c r="B22" s="65">
        <f>'Price Build Up'!J$81*'Pricing Summary'!H$2</f>
        <v>3.7876004413564597</v>
      </c>
      <c r="C22" s="65">
        <f>'Price Build Up'!O$81*'Pricing Summary'!I$2</f>
        <v>4.2153525314552596</v>
      </c>
      <c r="D22" s="65">
        <f>'Price Build Up'!R$81*'Pricing Summary'!J$2</f>
        <v>4.6515310922613962</v>
      </c>
      <c r="E22" s="65">
        <f>'Price Build Up'!U$81*'Pricing Summary'!K$2</f>
        <v>5.0959737911178093</v>
      </c>
      <c r="F22" s="65">
        <f>'Price Build Up'!X$81*'Pricing Summary'!L$2</f>
        <v>5.548496050455193</v>
      </c>
      <c r="H22" s="365">
        <f>B22*H20/10^6</f>
        <v>1.8467745098784802</v>
      </c>
      <c r="I22" s="365">
        <f>C22*I20/10^6</f>
        <v>2.031028089112926</v>
      </c>
      <c r="J22" s="365">
        <f>D22*J20/10^6</f>
        <v>2.2145990697098519</v>
      </c>
      <c r="K22" s="365">
        <f>E22*K20/10^6</f>
        <v>2.3973300359956773</v>
      </c>
      <c r="L22" s="365">
        <f>F22*L20/10^6</f>
        <v>2.5790602569166583</v>
      </c>
    </row>
    <row r="23" spans="1:12" ht="15" x14ac:dyDescent="0.25">
      <c r="A23" s="362"/>
    </row>
    <row r="24" spans="1:12" ht="15" x14ac:dyDescent="0.25">
      <c r="A24" s="362" t="str">
        <f>'Pricing Summary'!B11</f>
        <v>Solar (Gross meter only)</v>
      </c>
      <c r="H24" s="363">
        <f>'Price Build Up'!D11</f>
        <v>113418.433</v>
      </c>
      <c r="I24" s="363">
        <f>'Price Build Up'!E11</f>
        <v>113418.433</v>
      </c>
      <c r="J24" s="363">
        <f>'Price Build Up'!F11</f>
        <v>113418.433</v>
      </c>
      <c r="K24" s="363">
        <f>'Price Build Up'!G11</f>
        <v>113418.433</v>
      </c>
      <c r="L24" s="363">
        <f>'Price Build Up'!H11</f>
        <v>113418.433</v>
      </c>
    </row>
    <row r="25" spans="1:12" x14ac:dyDescent="0.2">
      <c r="A25" s="177" t="s">
        <v>258</v>
      </c>
      <c r="B25" s="65">
        <f>'Price Build Up'!L$82*'Pricing Summary'!H$2</f>
        <v>30.211161995098507</v>
      </c>
      <c r="C25" s="65">
        <f>'Price Build Up'!P$82*'Pricing Summary'!I$2</f>
        <v>30.176505230752102</v>
      </c>
      <c r="D25" s="65">
        <f>'Price Build Up'!S$82*'Pricing Summary'!J$2</f>
        <v>30.440096914976909</v>
      </c>
      <c r="E25" s="65">
        <f>'Price Build Up'!V$82*'Pricing Summary'!K$2</f>
        <v>30.665890317547746</v>
      </c>
      <c r="F25" s="65">
        <f>'Price Build Up'!Y$82*'Pricing Summary'!L$2</f>
        <v>31.277100758384663</v>
      </c>
      <c r="H25" s="365">
        <f>B25*H24/10^6</f>
        <v>3.4265026525932267</v>
      </c>
      <c r="I25" s="365">
        <f>C25*I24/10^6</f>
        <v>3.422571936688207</v>
      </c>
      <c r="J25" s="365">
        <f>D25*J24/10^6</f>
        <v>3.4524680924648155</v>
      </c>
      <c r="K25" s="365">
        <f>E25*K24/10^6</f>
        <v>3.4780772263661377</v>
      </c>
      <c r="L25" s="365">
        <f>F25*L24/10^6</f>
        <v>3.5473997567990998</v>
      </c>
    </row>
    <row r="26" spans="1:12" x14ac:dyDescent="0.2">
      <c r="A26" s="177" t="s">
        <v>260</v>
      </c>
      <c r="B26" s="65">
        <f>'Price Build Up'!J$82*'Pricing Summary'!H$2</f>
        <v>7.5897452684077304</v>
      </c>
      <c r="C26" s="65">
        <f>'Price Build Up'!O$82*'Pricing Summary'!I$2</f>
        <v>8.4468920166313097</v>
      </c>
      <c r="D26" s="65">
        <f>'Price Build Up'!R$82*'Pricing Summary'!J$2</f>
        <v>9.3209240639170776</v>
      </c>
      <c r="E26" s="65">
        <f>'Price Build Up'!U$82*'Pricing Summary'!K$2</f>
        <v>10.21151612159351</v>
      </c>
      <c r="F26" s="65">
        <f>'Price Build Up'!X$82*'Pricing Summary'!L$2</f>
        <v>11.118298325744137</v>
      </c>
      <c r="H26" s="365">
        <f>B26*H24/10^6</f>
        <v>0.86081701521196929</v>
      </c>
      <c r="I26" s="365">
        <f>C26*I24/10^6</f>
        <v>0.95803325624653313</v>
      </c>
      <c r="J26" s="365">
        <f>D26*J24/10^6</f>
        <v>1.0571646014414666</v>
      </c>
      <c r="K26" s="365">
        <f>E26*K24/10^6</f>
        <v>1.1581741570653734</v>
      </c>
      <c r="L26" s="365">
        <f>F26*L24/10^6</f>
        <v>1.2610199737324235</v>
      </c>
    </row>
    <row r="27" spans="1:12" ht="15" x14ac:dyDescent="0.25">
      <c r="A27" s="362"/>
    </row>
    <row r="28" spans="1:12" ht="15" x14ac:dyDescent="0.25">
      <c r="A28" s="380" t="str">
        <f>'Pricing Summary'!B13</f>
        <v>New Customers</v>
      </c>
    </row>
    <row r="29" spans="1:12" ht="15" x14ac:dyDescent="0.25">
      <c r="A29" s="362" t="str">
        <f>'Pricing Summary'!B14</f>
        <v>Anytime Customers</v>
      </c>
      <c r="H29" s="363">
        <f>'Price Build Up'!D17</f>
        <v>0</v>
      </c>
      <c r="I29" s="363">
        <f>'Price Build Up'!E17</f>
        <v>3339.5090000000637</v>
      </c>
      <c r="J29" s="363">
        <f>'Price Build Up'!F17</f>
        <v>5996.830999999991</v>
      </c>
      <c r="K29" s="363">
        <f>'Price Build Up'!G17</f>
        <v>8773.9960000000283</v>
      </c>
      <c r="L29" s="363">
        <f>'Price Build Up'!H17</f>
        <v>11366.913000000059</v>
      </c>
    </row>
    <row r="30" spans="1:12" x14ac:dyDescent="0.2">
      <c r="A30" s="177" t="s">
        <v>258</v>
      </c>
      <c r="B30" s="65">
        <f>'Price Build Up'!L$87*'Pricing Summary'!H$2</f>
        <v>0</v>
      </c>
      <c r="C30" s="65">
        <f>'Price Build Up'!P$87*'Pricing Summary'!I$2</f>
        <v>14.834327523285735</v>
      </c>
      <c r="D30" s="65">
        <f>'Price Build Up'!S$87*'Pricing Summary'!J$2</f>
        <v>14.942139595668847</v>
      </c>
      <c r="E30" s="65">
        <f>'Price Build Up'!V$87*'Pricing Summary'!K$2</f>
        <v>15.045577240906312</v>
      </c>
      <c r="F30" s="65">
        <f>'Price Build Up'!Y$87*'Pricing Summary'!L$2</f>
        <v>15.3734320520248</v>
      </c>
      <c r="H30" s="365">
        <f>B30*H29/10^6</f>
        <v>0</v>
      </c>
      <c r="I30" s="365">
        <f>C30*I29/10^6</f>
        <v>4.9539370272961368E-2</v>
      </c>
      <c r="J30" s="365">
        <f>D30*J29/10^6</f>
        <v>8.960548593363428E-2</v>
      </c>
      <c r="K30" s="365">
        <f>E30*K29/10^6</f>
        <v>0.13200983452940346</v>
      </c>
      <c r="L30" s="365">
        <f>F30*L29/10^6</f>
        <v>0.17474846464677826</v>
      </c>
    </row>
    <row r="31" spans="1:12" x14ac:dyDescent="0.2">
      <c r="A31" s="177" t="s">
        <v>260</v>
      </c>
      <c r="B31" s="65">
        <f>'Price Build Up'!J$87*'Pricing Summary'!H$2</f>
        <v>0</v>
      </c>
      <c r="C31" s="65">
        <f>'Price Build Up'!O$87*'Pricing Summary'!I$2</f>
        <v>0</v>
      </c>
      <c r="D31" s="65">
        <f>'Price Build Up'!R$87*'Pricing Summary'!J$2</f>
        <v>0</v>
      </c>
      <c r="E31" s="65">
        <f>'Price Build Up'!U$87*'Pricing Summary'!K$2</f>
        <v>0</v>
      </c>
      <c r="F31" s="65">
        <f>'Price Build Up'!X$87*'Pricing Summary'!L$2</f>
        <v>0</v>
      </c>
      <c r="H31" s="365">
        <f>B31*H29/10^6</f>
        <v>0</v>
      </c>
      <c r="I31" s="365">
        <f>C31*I29/10^6</f>
        <v>0</v>
      </c>
      <c r="J31" s="365">
        <f>D31*J29/10^6</f>
        <v>0</v>
      </c>
      <c r="K31" s="365">
        <f>E31*K29/10^6</f>
        <v>0</v>
      </c>
      <c r="L31" s="365">
        <f>F31*L29/10^6</f>
        <v>0</v>
      </c>
    </row>
    <row r="32" spans="1:12" x14ac:dyDescent="0.2">
      <c r="A32" s="177"/>
      <c r="B32" s="65"/>
      <c r="C32" s="65"/>
      <c r="D32" s="65"/>
      <c r="E32" s="65"/>
      <c r="F32" s="65"/>
      <c r="H32" s="365"/>
      <c r="I32" s="365"/>
      <c r="J32" s="365"/>
      <c r="K32" s="365"/>
      <c r="L32" s="365"/>
    </row>
    <row r="33" spans="1:12" ht="15" x14ac:dyDescent="0.25">
      <c r="A33" s="362" t="str">
        <f>'Pricing Summary'!B15</f>
        <v>TOU Customers</v>
      </c>
      <c r="H33" s="363">
        <f>'Price Build Up'!D18</f>
        <v>0</v>
      </c>
      <c r="I33" s="363">
        <f>'Price Build Up'!E18</f>
        <v>2110.6999999999989</v>
      </c>
      <c r="J33" s="363">
        <f>'Price Build Up'!F18</f>
        <v>3940.1999999999989</v>
      </c>
      <c r="K33" s="363">
        <f>'Price Build Up'!G18</f>
        <v>5787.1999999999989</v>
      </c>
      <c r="L33" s="363">
        <f>'Price Build Up'!H18</f>
        <v>7653.8000000000011</v>
      </c>
    </row>
    <row r="34" spans="1:12" x14ac:dyDescent="0.2">
      <c r="A34" s="177" t="s">
        <v>258</v>
      </c>
      <c r="B34" s="65">
        <f>'Price Build Up'!L$88*'Pricing Summary'!H$2</f>
        <v>0</v>
      </c>
      <c r="C34" s="65">
        <f>'Price Build Up'!P$88*'Pricing Summary'!I$2</f>
        <v>19.768359682573077</v>
      </c>
      <c r="D34" s="65">
        <f>'Price Build Up'!S$88*'Pricing Summary'!J$2</f>
        <v>19.900767697370249</v>
      </c>
      <c r="E34" s="65">
        <f>'Price Build Up'!V$88*'Pricing Summary'!K$2</f>
        <v>20.041563856749949</v>
      </c>
      <c r="F34" s="65">
        <f>'Price Build Up'!Y$88*'Pricing Summary'!L$2</f>
        <v>20.458874463319539</v>
      </c>
      <c r="H34" s="365">
        <f>B34*H33/10^6</f>
        <v>0</v>
      </c>
      <c r="I34" s="365">
        <f>C34*I33/10^6</f>
        <v>4.1725076782006973E-2</v>
      </c>
      <c r="J34" s="365">
        <f>D34*J33/10^6</f>
        <v>7.8413004881178236E-2</v>
      </c>
      <c r="K34" s="365">
        <f>E34*K33/10^6</f>
        <v>0.11598453835178328</v>
      </c>
      <c r="L34" s="365">
        <f>F34*L33/10^6</f>
        <v>0.15658813336735511</v>
      </c>
    </row>
    <row r="35" spans="1:12" x14ac:dyDescent="0.2">
      <c r="A35" s="177" t="s">
        <v>260</v>
      </c>
      <c r="B35" s="65">
        <f>'Price Build Up'!J$88*'Pricing Summary'!H$2</f>
        <v>0</v>
      </c>
      <c r="C35" s="65">
        <f>'Price Build Up'!O$88*'Pricing Summary'!I$2</f>
        <v>0</v>
      </c>
      <c r="D35" s="65">
        <f>'Price Build Up'!R$88*'Pricing Summary'!J$2</f>
        <v>0</v>
      </c>
      <c r="E35" s="65">
        <f>'Price Build Up'!U$88*'Pricing Summary'!K$2</f>
        <v>0</v>
      </c>
      <c r="F35" s="65">
        <f>'Price Build Up'!X$88*'Pricing Summary'!L$2</f>
        <v>0</v>
      </c>
      <c r="H35" s="365">
        <f>B35*H33/10^6</f>
        <v>0</v>
      </c>
      <c r="I35" s="365">
        <f>C35*I33/10^6</f>
        <v>0</v>
      </c>
      <c r="J35" s="365">
        <f>D35*J33/10^6</f>
        <v>0</v>
      </c>
      <c r="K35" s="365">
        <f>E35*K33/10^6</f>
        <v>0</v>
      </c>
      <c r="L35" s="365">
        <f>F35*L33/10^6</f>
        <v>0</v>
      </c>
    </row>
    <row r="36" spans="1:12" x14ac:dyDescent="0.2">
      <c r="A36" s="177"/>
      <c r="B36" s="65"/>
      <c r="C36" s="65"/>
      <c r="D36" s="65"/>
      <c r="E36" s="65"/>
      <c r="F36" s="65"/>
      <c r="H36" s="365"/>
      <c r="I36" s="365"/>
      <c r="J36" s="365"/>
      <c r="K36" s="365"/>
      <c r="L36" s="365"/>
    </row>
    <row r="37" spans="1:12" ht="15" x14ac:dyDescent="0.25">
      <c r="A37" s="362" t="str">
        <f>'Pricing Summary'!B16</f>
        <v>Controlled Load</v>
      </c>
      <c r="H37" s="363">
        <f>'Price Build Up'!D19</f>
        <v>0</v>
      </c>
      <c r="I37" s="363">
        <f>'Price Build Up'!E19</f>
        <v>1200</v>
      </c>
      <c r="J37" s="363">
        <f>'Price Build Up'!F19</f>
        <v>2400</v>
      </c>
      <c r="K37" s="363">
        <f>'Price Build Up'!G19</f>
        <v>3600</v>
      </c>
      <c r="L37" s="363">
        <f>'Price Build Up'!H19</f>
        <v>4800</v>
      </c>
    </row>
    <row r="38" spans="1:12" x14ac:dyDescent="0.2">
      <c r="A38" s="177" t="s">
        <v>258</v>
      </c>
      <c r="B38" s="65">
        <f>'Price Build Up'!L$89*'Pricing Summary'!H$2</f>
        <v>0</v>
      </c>
      <c r="C38" s="65">
        <f>'Price Build Up'!P$89*'Pricing Summary'!I$2</f>
        <v>4.7283555106100161</v>
      </c>
      <c r="D38" s="65">
        <f>'Price Build Up'!S$89*'Pricing Summary'!J$2</f>
        <v>4.7673456115138784</v>
      </c>
      <c r="E38" s="65">
        <f>'Price Build Up'!V$89*'Pricing Summary'!K$2</f>
        <v>4.7991025209204308</v>
      </c>
      <c r="F38" s="65">
        <f>'Price Build Up'!Y$89*'Pricing Summary'!L$2</f>
        <v>4.9116502588289785</v>
      </c>
      <c r="H38" s="365">
        <f>B38*H37/10^6</f>
        <v>0</v>
      </c>
      <c r="I38" s="365">
        <f>C38*I37/10^6</f>
        <v>5.6740266127320192E-3</v>
      </c>
      <c r="J38" s="365">
        <f>D38*J37/10^6</f>
        <v>1.1441629467633307E-2</v>
      </c>
      <c r="K38" s="365">
        <f>E38*K37/10^6</f>
        <v>1.7276769075313551E-2</v>
      </c>
      <c r="L38" s="365">
        <f>F38*L37/10^6</f>
        <v>2.3575921242379096E-2</v>
      </c>
    </row>
    <row r="39" spans="1:12" x14ac:dyDescent="0.2">
      <c r="A39" s="177" t="s">
        <v>260</v>
      </c>
      <c r="B39" s="65">
        <f>'Price Build Up'!J$89*'Pricing Summary'!H$2</f>
        <v>0</v>
      </c>
      <c r="C39" s="65">
        <f>'Price Build Up'!O$89*'Pricing Summary'!I$2</f>
        <v>0</v>
      </c>
      <c r="D39" s="65">
        <f>'Price Build Up'!R$89*'Pricing Summary'!J$2</f>
        <v>0</v>
      </c>
      <c r="E39" s="65">
        <f>'Price Build Up'!U$89*'Pricing Summary'!K$2</f>
        <v>0</v>
      </c>
      <c r="F39" s="65">
        <f>'Price Build Up'!X$89*'Pricing Summary'!L$2</f>
        <v>0</v>
      </c>
      <c r="H39" s="365">
        <f>B39*H37/10^6</f>
        <v>0</v>
      </c>
      <c r="I39" s="365">
        <f>C39*I37/10^6</f>
        <v>0</v>
      </c>
      <c r="J39" s="365">
        <f>D39*J37/10^6</f>
        <v>0</v>
      </c>
      <c r="K39" s="365">
        <f>E39*K37/10^6</f>
        <v>0</v>
      </c>
      <c r="L39" s="365">
        <f>F39*L37/10^6</f>
        <v>0</v>
      </c>
    </row>
    <row r="40" spans="1:12" ht="15" x14ac:dyDescent="0.25">
      <c r="A40" s="362"/>
      <c r="B40" s="65"/>
      <c r="C40" s="65"/>
      <c r="D40" s="65"/>
      <c r="E40" s="65"/>
      <c r="F40" s="65"/>
    </row>
    <row r="41" spans="1:12" ht="15" x14ac:dyDescent="0.25">
      <c r="A41" s="362" t="str">
        <f>'Pricing Summary'!B17</f>
        <v>Solar Additions (assume single phase 2 element)</v>
      </c>
      <c r="B41" s="65"/>
      <c r="C41" s="65"/>
      <c r="D41" s="65"/>
      <c r="E41" s="65"/>
      <c r="F41" s="65"/>
      <c r="H41" s="363">
        <f>'Price Build Up'!D20</f>
        <v>0</v>
      </c>
      <c r="I41" s="363">
        <f>'Price Build Up'!E20</f>
        <v>14146.737999999998</v>
      </c>
      <c r="J41" s="363">
        <f>'Price Build Up'!F20</f>
        <v>28366.827999999994</v>
      </c>
      <c r="K41" s="363">
        <f>'Price Build Up'!G20</f>
        <v>40426.727999999959</v>
      </c>
      <c r="L41" s="363">
        <f>'Price Build Up'!H20</f>
        <v>52413.756000000008</v>
      </c>
    </row>
    <row r="42" spans="1:12" x14ac:dyDescent="0.2">
      <c r="A42" s="353" t="s">
        <v>258</v>
      </c>
      <c r="B42" s="65">
        <f>'Price Build Up'!L$90*'Pricing Summary'!H$2</f>
        <v>0</v>
      </c>
      <c r="C42" s="65">
        <f>'Price Build Up'!P$90*'Pricing Summary'!I$2</f>
        <v>19.33345888320963</v>
      </c>
      <c r="D42" s="65">
        <f>'Price Build Up'!S$90*'Pricing Summary'!J$2</f>
        <v>19.460733467623506</v>
      </c>
      <c r="E42" s="65">
        <f>'Price Build Up'!V$90*'Pricing Summary'!K$2</f>
        <v>19.599014532906054</v>
      </c>
      <c r="F42" s="65">
        <f>'Price Build Up'!Y$90*'Pricing Summary'!L$2</f>
        <v>20.00328202781165</v>
      </c>
      <c r="H42" s="365">
        <f>B42*H41/10^6</f>
        <v>0</v>
      </c>
      <c r="I42" s="365">
        <f>C42*I41/10^6</f>
        <v>0.27350537745453918</v>
      </c>
      <c r="J42" s="365">
        <f>D42*J41/10^6</f>
        <v>0.55203927902991945</v>
      </c>
      <c r="K42" s="365">
        <f>E42*K41/10^6</f>
        <v>0.79232402958983927</v>
      </c>
      <c r="L42" s="365">
        <f>F42*L41/10^6</f>
        <v>1.0484471434049052</v>
      </c>
    </row>
    <row r="43" spans="1:12" x14ac:dyDescent="0.2">
      <c r="A43" s="353" t="s">
        <v>260</v>
      </c>
      <c r="B43" s="65">
        <f>'Price Build Up'!J$90*'Pricing Summary'!H$2</f>
        <v>0</v>
      </c>
      <c r="C43" s="65">
        <f>'Price Build Up'!O$90*'Pricing Summary'!I$2</f>
        <v>0</v>
      </c>
      <c r="D43" s="65">
        <f>'Price Build Up'!R$90*'Pricing Summary'!J$2</f>
        <v>0</v>
      </c>
      <c r="E43" s="65">
        <f>'Price Build Up'!U$90*'Pricing Summary'!K$2</f>
        <v>0</v>
      </c>
      <c r="F43" s="65">
        <f>'Price Build Up'!X$90*'Pricing Summary'!L$2</f>
        <v>0</v>
      </c>
      <c r="H43" s="365">
        <f>B43*H41/10^6</f>
        <v>0</v>
      </c>
      <c r="I43" s="365">
        <f>C43*I41/10^6</f>
        <v>0</v>
      </c>
      <c r="J43" s="365">
        <f>D43*J41/10^6</f>
        <v>0</v>
      </c>
      <c r="K43" s="365">
        <f>E43*K41/10^6</f>
        <v>0</v>
      </c>
      <c r="L43" s="365">
        <f>F43*L41/10^6</f>
        <v>0</v>
      </c>
    </row>
    <row r="45" spans="1:12" ht="15" x14ac:dyDescent="0.25">
      <c r="A45" s="362" t="s">
        <v>75</v>
      </c>
    </row>
    <row r="46" spans="1:12" ht="15" x14ac:dyDescent="0.25">
      <c r="A46" s="362" t="s">
        <v>270</v>
      </c>
      <c r="H46" s="369">
        <f>SUM(H4,H8,H12,H16,H20,H24,H29,H33,H37,H41)</f>
        <v>1424815.6229999999</v>
      </c>
      <c r="I46" s="369">
        <f t="shared" ref="I46:L46" si="0">SUM(I4,I8,I12,I16,I20,I24,I29,I33,I37,I41)</f>
        <v>1439845.17</v>
      </c>
      <c r="J46" s="369">
        <f t="shared" si="0"/>
        <v>1454036.2819999999</v>
      </c>
      <c r="K46" s="369">
        <f t="shared" si="0"/>
        <v>1466255.3469999998</v>
      </c>
      <c r="L46" s="369">
        <f t="shared" si="0"/>
        <v>1478287.2920000001</v>
      </c>
    </row>
    <row r="47" spans="1:12" ht="15" x14ac:dyDescent="0.25">
      <c r="A47" s="361" t="str">
        <f>A42</f>
        <v>non-capital</v>
      </c>
      <c r="H47" s="365">
        <f t="shared" ref="H47:L48" si="1">SUM(H5,H9,H13,H17,H21,H25,H30,H34,H38,H42)</f>
        <v>25.248645278537701</v>
      </c>
      <c r="I47" s="365">
        <f t="shared" si="1"/>
        <v>25.708668791840296</v>
      </c>
      <c r="J47" s="365">
        <f t="shared" si="1"/>
        <v>26.287025453295243</v>
      </c>
      <c r="K47" s="365">
        <f t="shared" si="1"/>
        <v>26.837517270285346</v>
      </c>
      <c r="L47" s="365">
        <f t="shared" si="1"/>
        <v>27.732761196370504</v>
      </c>
    </row>
    <row r="48" spans="1:12" ht="15" x14ac:dyDescent="0.25">
      <c r="A48" s="361" t="str">
        <f>A43</f>
        <v>capital</v>
      </c>
      <c r="H48" s="365">
        <f t="shared" si="1"/>
        <v>9.5602126173480464</v>
      </c>
      <c r="I48" s="365">
        <f t="shared" si="1"/>
        <v>10.615582177109786</v>
      </c>
      <c r="J48" s="365">
        <f t="shared" si="1"/>
        <v>11.687429623156259</v>
      </c>
      <c r="K48" s="365">
        <f t="shared" si="1"/>
        <v>12.775266949794588</v>
      </c>
      <c r="L48" s="365">
        <f t="shared" si="1"/>
        <v>13.878557534247779</v>
      </c>
    </row>
    <row r="49" spans="1:12" x14ac:dyDescent="0.2">
      <c r="A49" s="391" t="s">
        <v>75</v>
      </c>
      <c r="H49" s="390">
        <f>SUM(H47:H48)</f>
        <v>34.808857895885751</v>
      </c>
      <c r="I49" s="390">
        <f t="shared" ref="I49:L49" si="2">SUM(I47:I48)</f>
        <v>36.324250968950082</v>
      </c>
      <c r="J49" s="390">
        <f t="shared" si="2"/>
        <v>37.974455076451505</v>
      </c>
      <c r="K49" s="390">
        <f t="shared" si="2"/>
        <v>39.612784220079931</v>
      </c>
      <c r="L49" s="390">
        <f t="shared" si="2"/>
        <v>41.611318730618279</v>
      </c>
    </row>
    <row r="50" spans="1:12" ht="15" x14ac:dyDescent="0.25">
      <c r="A50" s="361"/>
      <c r="H50" s="365"/>
      <c r="I50" s="365"/>
      <c r="J50" s="365"/>
      <c r="K50" s="365"/>
      <c r="L50" s="365"/>
    </row>
    <row r="51" spans="1:12" ht="15" x14ac:dyDescent="0.25">
      <c r="A51" s="392" t="s">
        <v>251</v>
      </c>
    </row>
    <row r="52" spans="1:12" ht="15" x14ac:dyDescent="0.25">
      <c r="A52" s="362" t="str">
        <f>A46</f>
        <v>Customers</v>
      </c>
      <c r="H52" s="393">
        <f>'Price Build Up'!D23-H46</f>
        <v>0</v>
      </c>
      <c r="I52" s="393">
        <f>'Price Build Up'!E23-I46</f>
        <v>0</v>
      </c>
      <c r="J52" s="393">
        <f>'Price Build Up'!F23-J46</f>
        <v>0</v>
      </c>
      <c r="K52" s="393">
        <f>'Price Build Up'!G23-K46</f>
        <v>0</v>
      </c>
      <c r="L52" s="393">
        <f>'Price Build Up'!H23-L46</f>
        <v>0</v>
      </c>
    </row>
    <row r="53" spans="1:12" ht="15" x14ac:dyDescent="0.25">
      <c r="A53" s="361" t="str">
        <f t="shared" ref="A53:A54" si="3">A47</f>
        <v>non-capital</v>
      </c>
      <c r="H53" s="394">
        <f>('Price Build Up'!AD34*'Pricing Summary'!H$2)/10^6-H47</f>
        <v>0</v>
      </c>
      <c r="I53" s="394">
        <f>('Price Build Up'!AE34*'Pricing Summary'!I$2)/10^6-I47</f>
        <v>0</v>
      </c>
      <c r="J53" s="394">
        <f>('Price Build Up'!AF34*'Pricing Summary'!J$2)/10^6-J47</f>
        <v>0</v>
      </c>
      <c r="K53" s="394">
        <f>('Price Build Up'!AG34*'Pricing Summary'!K$2)/10^6-K47</f>
        <v>0</v>
      </c>
      <c r="L53" s="394">
        <f>('Price Build Up'!AH34*'Pricing Summary'!L$2)/10^6-L47</f>
        <v>0</v>
      </c>
    </row>
    <row r="54" spans="1:12" ht="15" x14ac:dyDescent="0.25">
      <c r="A54" s="361" t="str">
        <f t="shared" si="3"/>
        <v>capital</v>
      </c>
      <c r="H54" s="394">
        <f>('Price Build Up'!AD27*'Pricing Summary'!H$2)/10^6-H48</f>
        <v>0</v>
      </c>
      <c r="I54" s="394">
        <f>('Price Build Up'!AE27*'Pricing Summary'!I$2)/10^6-I48</f>
        <v>0</v>
      </c>
      <c r="J54" s="394">
        <f>('Price Build Up'!AF27*'Pricing Summary'!J$2)/10^6-J48</f>
        <v>0</v>
      </c>
      <c r="K54" s="394">
        <f>('Price Build Up'!AG27*'Pricing Summary'!K$2)/10^6-K48</f>
        <v>0</v>
      </c>
      <c r="L54" s="394">
        <f>('Price Build Up'!AH27*'Pricing Summary'!L$2)/10^6-L48</f>
        <v>0</v>
      </c>
    </row>
    <row r="55" spans="1:12" ht="15" x14ac:dyDescent="0.25">
      <c r="A55" s="361" t="s">
        <v>75</v>
      </c>
      <c r="H55" s="394">
        <f>SUM('Price Build Up'!AD27,'Price Build Up'!AD34)*'Pricing Summary'!H$2/10^6-H49</f>
        <v>0</v>
      </c>
      <c r="I55" s="394">
        <f>SUM('Price Build Up'!AE27,'Price Build Up'!AE34)*'Pricing Summary'!I$2/10^6-I49</f>
        <v>0</v>
      </c>
      <c r="J55" s="394">
        <f>SUM('Price Build Up'!AF27,'Price Build Up'!AF34)*'Pricing Summary'!J$2/10^6-J49</f>
        <v>0</v>
      </c>
      <c r="K55" s="394">
        <f>SUM('Price Build Up'!AG27,'Price Build Up'!AG34)*'Pricing Summary'!K$2/10^6-K49</f>
        <v>0</v>
      </c>
      <c r="L55" s="394">
        <f>SUM('Price Build Up'!AH27,'Price Build Up'!AH34)*'Pricing Summary'!L$2/10^6-L49</f>
        <v>0</v>
      </c>
    </row>
    <row r="56" spans="1:12" ht="15" x14ac:dyDescent="0.25">
      <c r="A56" s="361"/>
      <c r="H56" s="365"/>
      <c r="I56" s="365"/>
      <c r="J56" s="365"/>
      <c r="K56" s="365"/>
      <c r="L56" s="3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3"/>
  <sheetViews>
    <sheetView workbookViewId="0">
      <selection activeCell="F49" sqref="F49"/>
    </sheetView>
  </sheetViews>
  <sheetFormatPr defaultRowHeight="12.75" x14ac:dyDescent="0.2"/>
  <cols>
    <col min="1" max="1" width="37" bestFit="1" customWidth="1"/>
  </cols>
  <sheetData>
    <row r="1" spans="1:2" x14ac:dyDescent="0.2">
      <c r="A1" s="4" t="s">
        <v>294</v>
      </c>
    </row>
    <row r="4" spans="1:2" x14ac:dyDescent="0.2">
      <c r="A4" t="s">
        <v>293</v>
      </c>
    </row>
    <row r="5" spans="1:2" x14ac:dyDescent="0.2">
      <c r="A5" s="4" t="str">
        <f>'Pricing Summary'!B21</f>
        <v>Single Phase Accumulation</v>
      </c>
      <c r="B5" s="245">
        <f>'Pricing Summary'!C21*'Pricing Summary'!$H$2</f>
        <v>35.100489288834609</v>
      </c>
    </row>
    <row r="6" spans="1:2" x14ac:dyDescent="0.2">
      <c r="A6" s="4" t="str">
        <f>'Pricing Summary'!B22</f>
        <v>Three Phase Accumulation</v>
      </c>
      <c r="B6" s="245">
        <f>'Pricing Summary'!C22*'Pricing Summary'!$H$2</f>
        <v>132.60184842448632</v>
      </c>
    </row>
    <row r="7" spans="1:2" x14ac:dyDescent="0.2">
      <c r="A7" s="4" t="str">
        <f>'Pricing Summary'!B23</f>
        <v>Single Phase TOU</v>
      </c>
      <c r="B7" s="245">
        <f>'Pricing Summary'!C23*'Pricing Summary'!$H$2</f>
        <v>97.68856174519216</v>
      </c>
    </row>
    <row r="8" spans="1:2" x14ac:dyDescent="0.2">
      <c r="A8" s="4" t="str">
        <f>'Pricing Summary'!B24</f>
        <v>Single Phase 2 element (TOU)</v>
      </c>
      <c r="B8" s="245">
        <f>'Pricing Summary'!C24*'Pricing Summary'!$H$2</f>
        <v>229.74440255851883</v>
      </c>
    </row>
    <row r="9" spans="1:2" x14ac:dyDescent="0.2">
      <c r="A9" s="4" t="str">
        <f>'Pricing Summary'!B25</f>
        <v>Three Phase TOU</v>
      </c>
      <c r="B9" s="245">
        <f>'Pricing Summary'!C25*'Pricing Summary'!$H$2</f>
        <v>321.69988438653468</v>
      </c>
    </row>
    <row r="10" spans="1:2" x14ac:dyDescent="0.2">
      <c r="A10" s="4" t="str">
        <f>'Pricing Summary'!B26</f>
        <v>Three Phase CT</v>
      </c>
      <c r="B10" s="245">
        <f>'Pricing Summary'!C26*'Pricing Summary'!$H$2</f>
        <v>458.03798489309912</v>
      </c>
    </row>
    <row r="11" spans="1:2" x14ac:dyDescent="0.2">
      <c r="A11" s="4"/>
    </row>
    <row r="12" spans="1:2" x14ac:dyDescent="0.2">
      <c r="A12" s="4"/>
    </row>
    <row r="13" spans="1:2" x14ac:dyDescent="0.2">
      <c r="A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37"/>
  <sheetViews>
    <sheetView tabSelected="1" workbookViewId="0">
      <selection activeCell="G37" sqref="G37"/>
    </sheetView>
  </sheetViews>
  <sheetFormatPr defaultRowHeight="12.75" x14ac:dyDescent="0.2"/>
  <cols>
    <col min="2" max="2" width="46.7109375" customWidth="1"/>
    <col min="3" max="3" width="12.140625" customWidth="1"/>
    <col min="4" max="4" width="8.85546875" customWidth="1"/>
    <col min="6" max="7" width="9.140625" style="4"/>
  </cols>
  <sheetData>
    <row r="1" spans="2:12" x14ac:dyDescent="0.2">
      <c r="G1" s="357" t="s">
        <v>254</v>
      </c>
      <c r="H1" s="358">
        <f>Inputs!F7</f>
        <v>2.3800000000000002E-2</v>
      </c>
      <c r="I1" s="358">
        <f>Inputs!G7</f>
        <v>2.3800000000000002E-2</v>
      </c>
      <c r="J1" s="358">
        <f>Inputs!H7</f>
        <v>2.3800000000000002E-2</v>
      </c>
      <c r="K1" s="358">
        <f>Inputs!I7</f>
        <v>2.3800000000000002E-2</v>
      </c>
      <c r="L1" s="358">
        <f>Inputs!J7</f>
        <v>2.3800000000000002E-2</v>
      </c>
    </row>
    <row r="2" spans="2:12" s="4" customFormat="1" x14ac:dyDescent="0.2">
      <c r="B2" s="5" t="s">
        <v>186</v>
      </c>
      <c r="G2" s="279" t="s">
        <v>255</v>
      </c>
      <c r="H2" s="359">
        <f>1+H1</f>
        <v>1.0238</v>
      </c>
      <c r="I2" s="359">
        <f>H2*(1+I1)</f>
        <v>1.0481664400000001</v>
      </c>
      <c r="J2" s="359">
        <f t="shared" ref="J2:L2" si="0">I2*(1+J1)</f>
        <v>1.0731128012720001</v>
      </c>
      <c r="K2" s="359">
        <f t="shared" si="0"/>
        <v>1.0986528859422737</v>
      </c>
      <c r="L2" s="359">
        <f t="shared" si="0"/>
        <v>1.1248008246276999</v>
      </c>
    </row>
    <row r="3" spans="2:12" x14ac:dyDescent="0.2">
      <c r="I3" s="341" t="s">
        <v>256</v>
      </c>
    </row>
    <row r="4" spans="2:12" x14ac:dyDescent="0.2">
      <c r="B4" s="35" t="s">
        <v>66</v>
      </c>
      <c r="C4" s="252" t="s">
        <v>1</v>
      </c>
      <c r="D4" s="252" t="s">
        <v>10</v>
      </c>
      <c r="E4" s="252" t="s">
        <v>2</v>
      </c>
      <c r="F4" s="252" t="s">
        <v>3</v>
      </c>
      <c r="I4" s="252" t="s">
        <v>1</v>
      </c>
      <c r="J4" s="252" t="s">
        <v>10</v>
      </c>
      <c r="K4" s="252" t="s">
        <v>2</v>
      </c>
      <c r="L4" s="252" t="s">
        <v>3</v>
      </c>
    </row>
    <row r="5" spans="2:12" x14ac:dyDescent="0.2">
      <c r="B5" s="378" t="s">
        <v>266</v>
      </c>
      <c r="C5" s="60"/>
      <c r="I5" s="60"/>
      <c r="J5" s="4"/>
      <c r="K5" s="4"/>
      <c r="L5" s="4"/>
    </row>
    <row r="6" spans="2:12" x14ac:dyDescent="0.2">
      <c r="B6" s="15" t="s">
        <v>11</v>
      </c>
      <c r="C6" s="237">
        <f>'Price Build Up'!E77</f>
        <v>30.133219930757047</v>
      </c>
      <c r="D6" s="237">
        <f>'Price Build Up'!F77</f>
        <v>30.534932173998143</v>
      </c>
      <c r="E6" s="237">
        <f>'Price Build Up'!G77</f>
        <v>30.923538332111342</v>
      </c>
      <c r="F6" s="237">
        <f>'Price Build Up'!H77</f>
        <v>31.549714516461826</v>
      </c>
      <c r="I6" s="354">
        <f>C6*I$2</f>
        <v>31.584629860558664</v>
      </c>
      <c r="J6" s="354">
        <f t="shared" ref="J6:J11" si="1">D6*J$2</f>
        <v>32.767426601889674</v>
      </c>
      <c r="K6" s="354">
        <f t="shared" ref="K6:K11" si="2">E6*K$2</f>
        <v>33.974234632120648</v>
      </c>
      <c r="L6" s="354">
        <f t="shared" ref="L6:L11" si="3">F6*L$2</f>
        <v>35.487144904884779</v>
      </c>
    </row>
    <row r="7" spans="2:12" x14ac:dyDescent="0.2">
      <c r="B7" s="15" t="s">
        <v>12</v>
      </c>
      <c r="C7" s="237">
        <f>'Price Build Up'!E78</f>
        <v>38.093203713345005</v>
      </c>
      <c r="D7" s="237">
        <f>'Price Build Up'!F78</f>
        <v>38.356187164864544</v>
      </c>
      <c r="E7" s="237">
        <f>'Price Build Up'!G78</f>
        <v>38.574793474392443</v>
      </c>
      <c r="F7" s="237">
        <f>'Price Build Up'!H78</f>
        <v>39.127180337498451</v>
      </c>
      <c r="I7" s="354">
        <f t="shared" ref="I7:I11" si="4">C7*I$2</f>
        <v>39.928017724411617</v>
      </c>
      <c r="J7" s="354">
        <f t="shared" si="1"/>
        <v>41.160515454600926</v>
      </c>
      <c r="K7" s="354">
        <f t="shared" si="2"/>
        <v>42.380308175268446</v>
      </c>
      <c r="L7" s="354">
        <f t="shared" si="3"/>
        <v>44.010284708974986</v>
      </c>
    </row>
    <row r="8" spans="2:12" x14ac:dyDescent="0.2">
      <c r="B8" s="15" t="s">
        <v>13</v>
      </c>
      <c r="C8" s="237">
        <f>'Price Build Up'!E79</f>
        <v>30.133219930757047</v>
      </c>
      <c r="D8" s="237">
        <f>'Price Build Up'!F79</f>
        <v>30.534932173998143</v>
      </c>
      <c r="E8" s="237">
        <f>'Price Build Up'!G79</f>
        <v>30.923538332111342</v>
      </c>
      <c r="F8" s="237">
        <f>'Price Build Up'!H79</f>
        <v>31.549714516461819</v>
      </c>
      <c r="I8" s="354">
        <f t="shared" si="4"/>
        <v>31.584629860558664</v>
      </c>
      <c r="J8" s="354">
        <f t="shared" si="1"/>
        <v>32.767426601889674</v>
      </c>
      <c r="K8" s="354">
        <f t="shared" si="2"/>
        <v>33.974234632120648</v>
      </c>
      <c r="L8" s="354">
        <f t="shared" si="3"/>
        <v>35.487144904884772</v>
      </c>
    </row>
    <row r="9" spans="2:12" x14ac:dyDescent="0.2">
      <c r="B9" s="15" t="s">
        <v>14</v>
      </c>
      <c r="C9" s="237">
        <f>'Price Build Up'!E80</f>
        <v>38.093203713344991</v>
      </c>
      <c r="D9" s="237">
        <f>'Price Build Up'!F80</f>
        <v>38.356187164864544</v>
      </c>
      <c r="E9" s="237">
        <f>'Price Build Up'!G80</f>
        <v>38.574793474392443</v>
      </c>
      <c r="F9" s="237">
        <f>'Price Build Up'!H80</f>
        <v>39.127180337498451</v>
      </c>
      <c r="I9" s="354">
        <f t="shared" si="4"/>
        <v>39.928017724411603</v>
      </c>
      <c r="J9" s="354">
        <f t="shared" si="1"/>
        <v>41.160515454600926</v>
      </c>
      <c r="K9" s="354">
        <f t="shared" si="2"/>
        <v>42.380308175268446</v>
      </c>
      <c r="L9" s="354">
        <f t="shared" si="3"/>
        <v>44.010284708974986</v>
      </c>
    </row>
    <row r="10" spans="2:12" x14ac:dyDescent="0.2">
      <c r="B10" s="15" t="s">
        <v>15</v>
      </c>
      <c r="C10" s="237">
        <f>'Price Build Up'!E81</f>
        <v>10.451857495612943</v>
      </c>
      <c r="D10" s="237">
        <f>'Price Build Up'!F81</f>
        <v>10.691746444993043</v>
      </c>
      <c r="E10" s="237">
        <f>'Price Build Up'!G81</f>
        <v>10.938510078584974</v>
      </c>
      <c r="F10" s="237">
        <f>'Price Build Up'!H81</f>
        <v>11.253937118949651</v>
      </c>
      <c r="I10" s="354">
        <f t="shared" si="4"/>
        <v>10.955286262563936</v>
      </c>
      <c r="J10" s="354">
        <f t="shared" si="1"/>
        <v>11.473449978076435</v>
      </c>
      <c r="K10" s="354">
        <f t="shared" si="2"/>
        <v>12.01762566574603</v>
      </c>
      <c r="L10" s="354">
        <f t="shared" si="3"/>
        <v>12.658437751702849</v>
      </c>
    </row>
    <row r="11" spans="2:12" x14ac:dyDescent="0.2">
      <c r="B11" s="15" t="s">
        <v>133</v>
      </c>
      <c r="C11" s="237">
        <f>'Price Build Up'!E82</f>
        <v>36.848534520322374</v>
      </c>
      <c r="D11" s="237">
        <f>'Price Build Up'!F82</f>
        <v>37.052042368485196</v>
      </c>
      <c r="E11" s="237">
        <f>'Price Build Up'!G82</f>
        <v>37.206843910560735</v>
      </c>
      <c r="F11" s="237">
        <f>'Price Build Up'!H82</f>
        <v>37.691472264132933</v>
      </c>
      <c r="I11" s="354">
        <f t="shared" si="4"/>
        <v>38.623397247383416</v>
      </c>
      <c r="J11" s="354">
        <f t="shared" si="1"/>
        <v>39.761020978893981</v>
      </c>
      <c r="K11" s="354">
        <f t="shared" si="2"/>
        <v>40.877406439141268</v>
      </c>
      <c r="L11" s="354">
        <f t="shared" si="3"/>
        <v>42.395399084128805</v>
      </c>
    </row>
    <row r="12" spans="2:12" s="4" customFormat="1" x14ac:dyDescent="0.2">
      <c r="B12" s="15"/>
      <c r="C12" s="60"/>
      <c r="I12" s="60"/>
    </row>
    <row r="13" spans="2:12" s="4" customFormat="1" x14ac:dyDescent="0.2">
      <c r="B13" s="17" t="s">
        <v>35</v>
      </c>
      <c r="C13" s="60"/>
      <c r="I13" s="60"/>
    </row>
    <row r="14" spans="2:12" s="4" customFormat="1" x14ac:dyDescent="0.2">
      <c r="B14" s="15" t="str">
        <f>'Price Build Up'!B17</f>
        <v>Anytime Customers</v>
      </c>
      <c r="C14" s="237">
        <f>'Price Build Up'!E87</f>
        <v>14.152644997187405</v>
      </c>
      <c r="D14" s="237">
        <f>'Price Build Up'!F87</f>
        <v>13.924108982725189</v>
      </c>
      <c r="E14" s="237">
        <f>'Price Build Up'!G87</f>
        <v>13.694568533356447</v>
      </c>
      <c r="F14" s="237">
        <f>'Price Build Up'!H87</f>
        <v>13.667692728722246</v>
      </c>
      <c r="I14" s="354">
        <f t="shared" ref="I14:I17" si="5">C14*I$2</f>
        <v>14.834327523285735</v>
      </c>
      <c r="J14" s="354">
        <f t="shared" ref="J14:J17" si="6">D14*J$2</f>
        <v>14.942139595668847</v>
      </c>
      <c r="K14" s="354">
        <f t="shared" ref="K14:K17" si="7">E14*K$2</f>
        <v>15.045577240906312</v>
      </c>
      <c r="L14" s="354">
        <f t="shared" ref="L14:L17" si="8">F14*L$2</f>
        <v>15.3734320520248</v>
      </c>
    </row>
    <row r="15" spans="2:12" s="4" customFormat="1" x14ac:dyDescent="0.2">
      <c r="B15" s="15" t="str">
        <f>'Price Build Up'!B18</f>
        <v>TOU Customers</v>
      </c>
      <c r="C15" s="237">
        <f>'Price Build Up'!E88</f>
        <v>18.859943352673145</v>
      </c>
      <c r="D15" s="237">
        <f>'Price Build Up'!F88</f>
        <v>18.544898237893662</v>
      </c>
      <c r="E15" s="237">
        <f>'Price Build Up'!G88</f>
        <v>18.241943486600906</v>
      </c>
      <c r="F15" s="237">
        <f>'Price Build Up'!H88</f>
        <v>18.188886436930968</v>
      </c>
      <c r="I15" s="354">
        <f t="shared" si="5"/>
        <v>19.768359682573077</v>
      </c>
      <c r="J15" s="354">
        <f t="shared" si="6"/>
        <v>19.900767697370249</v>
      </c>
      <c r="K15" s="354">
        <f t="shared" si="7"/>
        <v>20.041563856749949</v>
      </c>
      <c r="L15" s="354">
        <f t="shared" si="8"/>
        <v>20.458874463319539</v>
      </c>
    </row>
    <row r="16" spans="2:12" s="4" customFormat="1" x14ac:dyDescent="0.2">
      <c r="B16" s="15" t="str">
        <f>'Price Build Up'!B19</f>
        <v>Controlled Load</v>
      </c>
      <c r="C16" s="237">
        <f>'Price Build Up'!E89</f>
        <v>4.5110731751820019</v>
      </c>
      <c r="D16" s="237">
        <f>'Price Build Up'!F89</f>
        <v>4.442539130893759</v>
      </c>
      <c r="E16" s="237">
        <f>'Price Build Up'!G89</f>
        <v>4.3681699491504258</v>
      </c>
      <c r="F16" s="237">
        <f>'Price Build Up'!H89</f>
        <v>4.3666844398471127</v>
      </c>
      <c r="I16" s="354">
        <f t="shared" si="5"/>
        <v>4.7283555106100161</v>
      </c>
      <c r="J16" s="354">
        <f t="shared" si="6"/>
        <v>4.7673456115138784</v>
      </c>
      <c r="K16" s="354">
        <f t="shared" si="7"/>
        <v>4.7991025209204308</v>
      </c>
      <c r="L16" s="354">
        <f t="shared" si="8"/>
        <v>4.9116502588289785</v>
      </c>
    </row>
    <row r="17" spans="2:12" s="4" customFormat="1" x14ac:dyDescent="0.2">
      <c r="B17" s="15" t="str">
        <f>'Price Build Up'!B20</f>
        <v>Solar Additions (assume single phase 2 element)</v>
      </c>
      <c r="C17" s="237">
        <f>'Price Build Up'!E90</f>
        <v>18.445027569485649</v>
      </c>
      <c r="D17" s="237">
        <f>'Price Build Up'!F90</f>
        <v>18.134844207017174</v>
      </c>
      <c r="E17" s="237">
        <f>'Price Build Up'!G90</f>
        <v>17.839132617484282</v>
      </c>
      <c r="F17" s="237">
        <f>'Price Build Up'!H90</f>
        <v>17.78384367244092</v>
      </c>
      <c r="I17" s="354">
        <f t="shared" si="5"/>
        <v>19.33345888320963</v>
      </c>
      <c r="J17" s="354">
        <f t="shared" si="6"/>
        <v>19.460733467623506</v>
      </c>
      <c r="K17" s="354">
        <f t="shared" si="7"/>
        <v>19.599014532906054</v>
      </c>
      <c r="L17" s="354">
        <f t="shared" si="8"/>
        <v>20.00328202781165</v>
      </c>
    </row>
    <row r="18" spans="2:12" s="4" customFormat="1" x14ac:dyDescent="0.2">
      <c r="B18" s="15"/>
      <c r="C18" s="60"/>
    </row>
    <row r="19" spans="2:12" x14ac:dyDescent="0.2">
      <c r="H19" s="4"/>
      <c r="I19" s="341" t="s">
        <v>256</v>
      </c>
    </row>
    <row r="20" spans="2:12" s="4" customFormat="1" x14ac:dyDescent="0.2">
      <c r="B20" s="79" t="s">
        <v>209</v>
      </c>
      <c r="C20" s="80" t="s">
        <v>143</v>
      </c>
      <c r="I20" s="80" t="s">
        <v>143</v>
      </c>
    </row>
    <row r="21" spans="2:12" x14ac:dyDescent="0.2">
      <c r="B21" s="254" t="str">
        <f>'New Meter Pricing'!A6</f>
        <v>Single Phase Accumulation</v>
      </c>
      <c r="C21" s="81">
        <f>'New Meter Pricing'!L6</f>
        <v>34.284517766003717</v>
      </c>
      <c r="I21" s="355">
        <f t="shared" ref="I21:I26" si="9">C21*I$2</f>
        <v>35.935880933908877</v>
      </c>
    </row>
    <row r="22" spans="2:12" x14ac:dyDescent="0.2">
      <c r="B22" s="254" t="str">
        <f>'New Meter Pricing'!A7</f>
        <v>Three Phase Accumulation</v>
      </c>
      <c r="C22" s="81">
        <f>'New Meter Pricing'!L7</f>
        <v>129.51928933823629</v>
      </c>
      <c r="I22" s="355">
        <f t="shared" si="9"/>
        <v>135.7577724169891</v>
      </c>
    </row>
    <row r="23" spans="2:12" x14ac:dyDescent="0.2">
      <c r="B23" s="254" t="str">
        <f>'New Meter Pricing'!A8</f>
        <v>Single Phase TOU</v>
      </c>
      <c r="C23" s="81">
        <f>'New Meter Pricing'!L8</f>
        <v>95.417622333651252</v>
      </c>
      <c r="I23" s="355">
        <f t="shared" si="9"/>
        <v>100.01354951472774</v>
      </c>
    </row>
    <row r="24" spans="2:12" x14ac:dyDescent="0.2">
      <c r="B24" s="254" t="str">
        <f>'New Meter Pricing'!A9</f>
        <v>Single Phase 2 element (TOU)</v>
      </c>
      <c r="C24" s="81">
        <f>'New Meter Pricing'!L9</f>
        <v>224.40359695108305</v>
      </c>
      <c r="I24" s="355">
        <f t="shared" si="9"/>
        <v>235.21231933941161</v>
      </c>
    </row>
    <row r="25" spans="2:12" x14ac:dyDescent="0.2">
      <c r="B25" s="254" t="str">
        <f>'New Meter Pricing'!A10</f>
        <v>Three Phase TOU</v>
      </c>
      <c r="C25" s="81">
        <f>'New Meter Pricing'!L10</f>
        <v>314.22141471628703</v>
      </c>
      <c r="I25" s="355">
        <f t="shared" si="9"/>
        <v>329.35634163493421</v>
      </c>
    </row>
    <row r="26" spans="2:12" x14ac:dyDescent="0.2">
      <c r="B26" s="254" t="str">
        <f>'New Meter Pricing'!A11</f>
        <v>Three Phase CT</v>
      </c>
      <c r="C26" s="81">
        <f>'New Meter Pricing'!L11</f>
        <v>447.39010050117122</v>
      </c>
      <c r="I26" s="355">
        <f t="shared" si="9"/>
        <v>468.93928893355491</v>
      </c>
    </row>
    <row r="27" spans="2:12" x14ac:dyDescent="0.2">
      <c r="B27" s="254"/>
      <c r="C27" s="60"/>
      <c r="I27" s="60"/>
    </row>
    <row r="29" spans="2:12" x14ac:dyDescent="0.2">
      <c r="B29" s="5" t="s">
        <v>206</v>
      </c>
      <c r="I29" s="341" t="s">
        <v>256</v>
      </c>
    </row>
    <row r="30" spans="2:12" ht="6" customHeight="1" x14ac:dyDescent="0.2">
      <c r="D30" s="4"/>
    </row>
    <row r="31" spans="2:12" x14ac:dyDescent="0.2">
      <c r="B31" s="79" t="s">
        <v>204</v>
      </c>
      <c r="C31" s="80" t="s">
        <v>207</v>
      </c>
      <c r="D31" s="252" t="s">
        <v>1</v>
      </c>
      <c r="E31" s="252" t="s">
        <v>10</v>
      </c>
      <c r="F31" s="252" t="s">
        <v>2</v>
      </c>
      <c r="G31" s="252" t="s">
        <v>3</v>
      </c>
      <c r="I31" s="252" t="s">
        <v>1</v>
      </c>
      <c r="J31" s="252" t="s">
        <v>10</v>
      </c>
      <c r="K31" s="252" t="s">
        <v>2</v>
      </c>
      <c r="L31" s="252" t="s">
        <v>3</v>
      </c>
    </row>
    <row r="32" spans="2:12" x14ac:dyDescent="0.2">
      <c r="B32" s="246" t="s">
        <v>205</v>
      </c>
      <c r="C32" s="431">
        <f>'Exit fee'!C8</f>
        <v>0</v>
      </c>
      <c r="D32" s="356">
        <f>'Exit fee'!$D$8*Inputs!G80</f>
        <v>0</v>
      </c>
      <c r="E32" s="356">
        <f>'Exit fee'!$D$8*Inputs!H80</f>
        <v>0</v>
      </c>
      <c r="F32" s="356">
        <f>'Exit fee'!$D$8*Inputs!I80</f>
        <v>0</v>
      </c>
      <c r="G32" s="356">
        <f>'Exit fee'!$D$8*Inputs!J80</f>
        <v>0</v>
      </c>
      <c r="I32" s="356">
        <f>D32*I$2</f>
        <v>0</v>
      </c>
      <c r="J32" s="356">
        <f t="shared" ref="J32:L32" si="10">E32*J$2</f>
        <v>0</v>
      </c>
      <c r="K32" s="356">
        <f t="shared" si="10"/>
        <v>0</v>
      </c>
      <c r="L32" s="356">
        <f t="shared" si="10"/>
        <v>0</v>
      </c>
    </row>
    <row r="33" spans="2:4" customFormat="1" x14ac:dyDescent="0.2">
      <c r="B33" s="246"/>
      <c r="C33" s="247"/>
      <c r="D33" s="4"/>
    </row>
    <row r="34" spans="2:4" customFormat="1" x14ac:dyDescent="0.2">
      <c r="B34" s="248" t="s">
        <v>208</v>
      </c>
      <c r="C34" s="249"/>
      <c r="D34" s="4"/>
    </row>
    <row r="35" spans="2:4" customFormat="1" x14ac:dyDescent="0.2">
      <c r="B35" s="198"/>
      <c r="C35" s="198"/>
      <c r="D35" s="4"/>
    </row>
    <row r="36" spans="2:4" customFormat="1" x14ac:dyDescent="0.2">
      <c r="B36" s="198" t="s">
        <v>230</v>
      </c>
      <c r="C36" s="198"/>
      <c r="D36" s="4"/>
    </row>
    <row r="37" spans="2:4" customFormat="1" x14ac:dyDescent="0.2">
      <c r="B37" t="s">
        <v>235</v>
      </c>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AH108"/>
  <sheetViews>
    <sheetView zoomScale="90" zoomScaleNormal="90" workbookViewId="0">
      <pane xSplit="2" ySplit="3" topLeftCell="C4" activePane="bottomRight" state="frozen"/>
      <selection pane="topRight" activeCell="C1" sqref="C1"/>
      <selection pane="bottomLeft" activeCell="A4" sqref="A4"/>
      <selection pane="bottomRight" activeCell="D1" sqref="D1"/>
    </sheetView>
  </sheetViews>
  <sheetFormatPr defaultRowHeight="12.75" x14ac:dyDescent="0.2"/>
  <cols>
    <col min="1" max="1" width="4.42578125" customWidth="1"/>
    <col min="2" max="2" width="46.5703125" customWidth="1"/>
    <col min="3" max="3" width="14.85546875" customWidth="1"/>
    <col min="4" max="6" width="12.85546875" customWidth="1"/>
    <col min="7" max="7" width="14" customWidth="1"/>
    <col min="8" max="8" width="12.85546875" customWidth="1"/>
    <col min="9" max="9" width="15.7109375" customWidth="1"/>
    <col min="10" max="10" width="15.140625" customWidth="1"/>
    <col min="11" max="11" width="1.5703125" customWidth="1"/>
    <col min="12" max="12" width="14.28515625" customWidth="1"/>
    <col min="13" max="13" width="11.28515625" customWidth="1"/>
    <col min="14" max="14" width="0.85546875" customWidth="1"/>
    <col min="15" max="15" width="12.85546875" style="4" customWidth="1"/>
    <col min="16" max="16" width="12" customWidth="1"/>
    <col min="17" max="17" width="17.7109375" customWidth="1"/>
    <col min="18" max="18" width="14.5703125" customWidth="1"/>
    <col min="19" max="19" width="13" customWidth="1"/>
    <col min="20" max="20" width="13.140625" customWidth="1"/>
    <col min="21" max="21" width="13.5703125" customWidth="1"/>
    <col min="22" max="22" width="13.42578125" customWidth="1"/>
    <col min="24" max="25" width="14.28515625" customWidth="1"/>
    <col min="26" max="26" width="10.28515625" style="4" customWidth="1"/>
    <col min="30" max="34" width="14.42578125" customWidth="1"/>
  </cols>
  <sheetData>
    <row r="2" spans="2:20" x14ac:dyDescent="0.2">
      <c r="B2" s="20" t="str">
        <f>Inputs!A20</f>
        <v>Customer Numbers</v>
      </c>
      <c r="C2" s="22" t="str">
        <f>Inputs!E20</f>
        <v>2013/14</v>
      </c>
      <c r="D2" s="22" t="str">
        <f>Inputs!F20</f>
        <v>2014/15</v>
      </c>
      <c r="E2" s="22" t="str">
        <f>Inputs!G20</f>
        <v>2015/16</v>
      </c>
      <c r="F2" s="22" t="str">
        <f>Inputs!H20</f>
        <v>2016/17</v>
      </c>
      <c r="G2" s="22" t="str">
        <f>Inputs!I20</f>
        <v>2017/18</v>
      </c>
      <c r="H2" s="22" t="str">
        <f>Inputs!J20</f>
        <v>2018/19</v>
      </c>
      <c r="I2" s="414" t="s">
        <v>130</v>
      </c>
      <c r="J2" s="13" t="s">
        <v>38</v>
      </c>
      <c r="L2" s="13" t="s">
        <v>37</v>
      </c>
      <c r="O2" t="s">
        <v>125</v>
      </c>
    </row>
    <row r="3" spans="2:20" x14ac:dyDescent="0.2">
      <c r="B3" s="20" t="s">
        <v>139</v>
      </c>
      <c r="C3" s="22" t="str">
        <f>Inputs!E21</f>
        <v>Actual</v>
      </c>
      <c r="D3" s="22" t="str">
        <f>Inputs!F21</f>
        <v>Projected</v>
      </c>
      <c r="E3" s="22" t="str">
        <f>Inputs!G21</f>
        <v>Projected</v>
      </c>
      <c r="F3" s="22" t="str">
        <f>Inputs!H21</f>
        <v>Projected</v>
      </c>
      <c r="G3" s="22" t="str">
        <f>Inputs!I21</f>
        <v>Projected</v>
      </c>
      <c r="H3" s="22" t="str">
        <f>Inputs!J21</f>
        <v>Projected</v>
      </c>
      <c r="I3" s="414"/>
      <c r="J3" s="13" t="s">
        <v>19</v>
      </c>
      <c r="L3" s="13" t="s">
        <v>19</v>
      </c>
      <c r="O3" t="s">
        <v>137</v>
      </c>
    </row>
    <row r="4" spans="2:20" x14ac:dyDescent="0.2">
      <c r="B4" s="15"/>
      <c r="C4" s="15"/>
      <c r="D4" s="15"/>
      <c r="E4" s="15"/>
      <c r="F4" s="15"/>
      <c r="G4" s="15"/>
      <c r="H4" s="15"/>
      <c r="L4" s="4"/>
      <c r="O4" t="s">
        <v>126</v>
      </c>
    </row>
    <row r="5" spans="2:20" x14ac:dyDescent="0.2">
      <c r="B5" s="15"/>
      <c r="C5" s="15"/>
      <c r="D5" s="15"/>
      <c r="E5" s="15"/>
      <c r="F5" s="15"/>
      <c r="G5" s="15"/>
      <c r="H5" s="15"/>
      <c r="L5" s="4"/>
      <c r="O5" s="25" t="s">
        <v>127</v>
      </c>
      <c r="P5" s="25" t="s">
        <v>129</v>
      </c>
      <c r="Q5" s="25" t="s">
        <v>128</v>
      </c>
    </row>
    <row r="6" spans="2:20" x14ac:dyDescent="0.2">
      <c r="B6" s="15" t="str">
        <f>Inputs!A23</f>
        <v>Residential Anytime</v>
      </c>
      <c r="C6" s="75">
        <f>Inputs!D23</f>
        <v>702134</v>
      </c>
      <c r="D6" s="75">
        <f>Inputs!F23</f>
        <v>711610</v>
      </c>
      <c r="E6" s="75">
        <f>Inputs!G23-Inputs!G33</f>
        <v>711610</v>
      </c>
      <c r="F6" s="75">
        <f>Inputs!H23-Inputs!H33-Inputs!G33</f>
        <v>711610</v>
      </c>
      <c r="G6" s="75">
        <f>Inputs!I23-Inputs!I33-Inputs!H33-Inputs!G33</f>
        <v>711610</v>
      </c>
      <c r="H6" s="75">
        <f>Inputs!J23-Inputs!J33-Inputs!I33-Inputs!H33-Inputs!G33</f>
        <v>711610</v>
      </c>
      <c r="I6" s="65">
        <f>Inputs!$C$58</f>
        <v>76.865600000000001</v>
      </c>
      <c r="J6" s="47">
        <f t="shared" ref="J6:J11" si="0">I6/$I$13</f>
        <v>0.1862971307581639</v>
      </c>
      <c r="L6" s="47">
        <f t="shared" ref="L6:L11" si="1">R6/$R$13</f>
        <v>0.14814814814814814</v>
      </c>
      <c r="O6">
        <v>0.75</v>
      </c>
      <c r="P6" s="4">
        <v>1</v>
      </c>
      <c r="Q6">
        <f t="shared" ref="Q6:Q11" si="2">P6*0.25</f>
        <v>0.25</v>
      </c>
      <c r="R6">
        <f t="shared" ref="R6:R11" si="3">O6+Q6</f>
        <v>1</v>
      </c>
    </row>
    <row r="7" spans="2:20" x14ac:dyDescent="0.2">
      <c r="B7" s="15" t="str">
        <f>Inputs!A24</f>
        <v>Residential TOU</v>
      </c>
      <c r="C7" s="75">
        <f>Inputs!D24</f>
        <v>13171</v>
      </c>
      <c r="D7" s="75">
        <f>Inputs!F24</f>
        <v>18839.3</v>
      </c>
      <c r="E7" s="75">
        <f>Inputs!G24-Inputs!G34</f>
        <v>18839.3</v>
      </c>
      <c r="F7" s="75">
        <f>Inputs!H24-Inputs!H34-Inputs!G34</f>
        <v>18839.3</v>
      </c>
      <c r="G7" s="75">
        <f>Inputs!I24-Inputs!I34-Inputs!H34-Inputs!G34</f>
        <v>18839.3</v>
      </c>
      <c r="H7" s="75">
        <f>Inputs!J24-Inputs!J34-Inputs!I34-Inputs!H34-Inputs!G34</f>
        <v>18839.3</v>
      </c>
      <c r="I7" s="65">
        <f>Inputs!$C$58</f>
        <v>76.865600000000001</v>
      </c>
      <c r="J7" s="47">
        <f t="shared" si="0"/>
        <v>0.1862971307581639</v>
      </c>
      <c r="L7" s="47">
        <f t="shared" si="1"/>
        <v>0.22222222222222221</v>
      </c>
      <c r="O7">
        <v>0.75</v>
      </c>
      <c r="P7" s="4">
        <v>3</v>
      </c>
      <c r="Q7" s="4">
        <f t="shared" si="2"/>
        <v>0.75</v>
      </c>
      <c r="R7" s="4">
        <f t="shared" si="3"/>
        <v>1.5</v>
      </c>
      <c r="S7" s="283" t="s">
        <v>241</v>
      </c>
      <c r="T7" s="276">
        <f>C6+C8</f>
        <v>782407</v>
      </c>
    </row>
    <row r="8" spans="2:20" x14ac:dyDescent="0.2">
      <c r="B8" s="15" t="str">
        <f>Inputs!A25</f>
        <v>Small Business anytime</v>
      </c>
      <c r="C8" s="75">
        <f>Inputs!D25</f>
        <v>80273</v>
      </c>
      <c r="D8" s="75">
        <f>Inputs!F25</f>
        <v>79250.489999999991</v>
      </c>
      <c r="E8" s="75">
        <f>Inputs!G25-Inputs!G35</f>
        <v>79250.489999999991</v>
      </c>
      <c r="F8" s="75">
        <f>Inputs!H25-Inputs!H35-Inputs!G35</f>
        <v>79250.489999999991</v>
      </c>
      <c r="G8" s="75">
        <f>Inputs!I25-Inputs!I35-Inputs!H35-Inputs!G35</f>
        <v>79250.489999999991</v>
      </c>
      <c r="H8" s="75">
        <f>Inputs!J25-Inputs!J35-Inputs!I35-Inputs!H35-Inputs!G35</f>
        <v>79250.489999999991</v>
      </c>
      <c r="I8" s="65">
        <f>Inputs!$C$60</f>
        <v>76.865600000000001</v>
      </c>
      <c r="J8" s="47">
        <f t="shared" si="0"/>
        <v>0.1862971307581639</v>
      </c>
      <c r="L8" s="47">
        <f t="shared" si="1"/>
        <v>0.14814814814814814</v>
      </c>
      <c r="O8">
        <v>0.75</v>
      </c>
      <c r="P8" s="4">
        <v>1</v>
      </c>
      <c r="Q8" s="4">
        <f t="shared" si="2"/>
        <v>0.25</v>
      </c>
      <c r="R8" s="4">
        <f t="shared" si="3"/>
        <v>1</v>
      </c>
      <c r="S8" s="279" t="s">
        <v>242</v>
      </c>
      <c r="T8" s="285">
        <f>C6/T7</f>
        <v>0.89740250278946887</v>
      </c>
    </row>
    <row r="9" spans="2:20" x14ac:dyDescent="0.2">
      <c r="B9" s="15" t="str">
        <f>Inputs!A26</f>
        <v>Small Business  TOU</v>
      </c>
      <c r="C9" s="75">
        <f>Inputs!D26</f>
        <v>11458</v>
      </c>
      <c r="D9" s="75">
        <f>Inputs!F26</f>
        <v>14113.1</v>
      </c>
      <c r="E9" s="75">
        <f>Inputs!G26-Inputs!G36</f>
        <v>14113.1</v>
      </c>
      <c r="F9" s="75">
        <f>Inputs!H26-Inputs!H36-Inputs!G36</f>
        <v>14113.1</v>
      </c>
      <c r="G9" s="75">
        <f>Inputs!I26-Inputs!I36-Inputs!H36-Inputs!G36</f>
        <v>14113.1</v>
      </c>
      <c r="H9" s="75">
        <f>Inputs!J26-Inputs!J36-Inputs!I36-Inputs!H36-Inputs!G36</f>
        <v>14113.1</v>
      </c>
      <c r="I9" s="65">
        <f>Inputs!$C$60</f>
        <v>76.865600000000001</v>
      </c>
      <c r="J9" s="47">
        <f t="shared" si="0"/>
        <v>0.1862971307581639</v>
      </c>
      <c r="L9" s="47">
        <f t="shared" si="1"/>
        <v>0.22222222222222221</v>
      </c>
      <c r="O9">
        <v>0.75</v>
      </c>
      <c r="P9" s="4">
        <v>3</v>
      </c>
      <c r="Q9" s="4">
        <f t="shared" si="2"/>
        <v>0.75</v>
      </c>
      <c r="R9" s="4">
        <f t="shared" si="3"/>
        <v>1.5</v>
      </c>
      <c r="S9" s="279" t="s">
        <v>243</v>
      </c>
      <c r="T9" s="285">
        <f>C8/T7</f>
        <v>0.10259749721053109</v>
      </c>
    </row>
    <row r="10" spans="2:20" x14ac:dyDescent="0.2">
      <c r="B10" s="15" t="str">
        <f>Inputs!A27</f>
        <v>Controlled Load</v>
      </c>
      <c r="C10" s="75">
        <f>Inputs!D27</f>
        <v>492822</v>
      </c>
      <c r="D10" s="75">
        <f>Inputs!F27</f>
        <v>487584.3</v>
      </c>
      <c r="E10" s="75">
        <f>Inputs!G27-1200</f>
        <v>481816.9</v>
      </c>
      <c r="F10" s="75">
        <f>Inputs!H27-2400</f>
        <v>476101.1</v>
      </c>
      <c r="G10" s="75">
        <f>Inputs!I27-3600</f>
        <v>470436.10000000003</v>
      </c>
      <c r="H10" s="75">
        <f>Inputs!J27-4800</f>
        <v>464821.5</v>
      </c>
      <c r="I10" s="65">
        <f>Inputs!C62</f>
        <v>35</v>
      </c>
      <c r="J10" s="47">
        <f t="shared" si="0"/>
        <v>8.482857840875159E-2</v>
      </c>
      <c r="L10" s="47">
        <f t="shared" si="1"/>
        <v>3.7037037037037035E-2</v>
      </c>
      <c r="O10">
        <v>0</v>
      </c>
      <c r="P10" s="4">
        <v>1</v>
      </c>
      <c r="Q10" s="4">
        <f t="shared" si="2"/>
        <v>0.25</v>
      </c>
      <c r="R10" s="4">
        <f t="shared" si="3"/>
        <v>0.25</v>
      </c>
      <c r="S10" s="283" t="s">
        <v>244</v>
      </c>
      <c r="T10" s="276">
        <f>SUM(C7,C9)</f>
        <v>24629</v>
      </c>
    </row>
    <row r="11" spans="2:20" x14ac:dyDescent="0.2">
      <c r="B11" s="15" t="str">
        <f>Inputs!A28</f>
        <v>Solar</v>
      </c>
      <c r="C11" s="75">
        <f>Inputs!D28</f>
        <v>82125</v>
      </c>
      <c r="D11" s="75">
        <f>Inputs!F28</f>
        <v>113418.433</v>
      </c>
      <c r="E11" s="75">
        <f>Inputs!G28-Inputs!G38</f>
        <v>113418.433</v>
      </c>
      <c r="F11" s="75">
        <f>Inputs!H28-Inputs!H38-Inputs!G38</f>
        <v>113418.433</v>
      </c>
      <c r="G11" s="75">
        <f>Inputs!I28-Inputs!I38-Inputs!H38-Inputs!G38</f>
        <v>113418.433</v>
      </c>
      <c r="H11" s="75">
        <f>Inputs!J28-Inputs!J38-Inputs!I38-Inputs!H38-Inputs!G38</f>
        <v>113418.433</v>
      </c>
      <c r="I11" s="65">
        <f>(Inputs!C63-Inputs!C58)</f>
        <v>70.134399999999999</v>
      </c>
      <c r="J11" s="47">
        <f t="shared" si="0"/>
        <v>0.16998289855859278</v>
      </c>
      <c r="L11" s="47">
        <f t="shared" si="1"/>
        <v>0.22222222222222221</v>
      </c>
      <c r="O11">
        <v>0</v>
      </c>
      <c r="P11" s="4">
        <v>6</v>
      </c>
      <c r="Q11" s="4">
        <f t="shared" si="2"/>
        <v>1.5</v>
      </c>
      <c r="R11" s="4">
        <f t="shared" si="3"/>
        <v>1.5</v>
      </c>
      <c r="S11" s="279" t="s">
        <v>245</v>
      </c>
      <c r="T11" s="284">
        <f>C7/T10</f>
        <v>0.53477607698241914</v>
      </c>
    </row>
    <row r="12" spans="2:20" x14ac:dyDescent="0.2">
      <c r="B12" s="15"/>
      <c r="C12" s="18"/>
      <c r="D12" s="18"/>
      <c r="E12" s="18"/>
      <c r="F12" s="18"/>
      <c r="G12" s="18"/>
      <c r="H12" s="18"/>
      <c r="I12" s="65"/>
      <c r="L12" s="4"/>
      <c r="O12"/>
      <c r="S12" s="279" t="s">
        <v>246</v>
      </c>
      <c r="T12" s="284">
        <f>C9/T10</f>
        <v>0.46522392301758092</v>
      </c>
    </row>
    <row r="13" spans="2:20" x14ac:dyDescent="0.2">
      <c r="B13" s="14" t="s">
        <v>192</v>
      </c>
      <c r="C13" s="230">
        <f>Inputs!E30</f>
        <v>1406148.6270000001</v>
      </c>
      <c r="D13" s="230">
        <f>Inputs!F30</f>
        <v>1424815.6229999999</v>
      </c>
      <c r="E13" s="230">
        <f>SUM(E6:E11)</f>
        <v>1419048.223</v>
      </c>
      <c r="F13" s="230">
        <f>SUM(F6:F12)</f>
        <v>1413332.423</v>
      </c>
      <c r="G13" s="230">
        <f>SUM(G6:G11)</f>
        <v>1407667.423</v>
      </c>
      <c r="H13" s="230">
        <f>SUM(H6:H11)</f>
        <v>1402052.8230000001</v>
      </c>
      <c r="I13" s="65">
        <f>SUM(I6:I11)</f>
        <v>412.59680000000003</v>
      </c>
      <c r="J13" s="3">
        <f>SUM(J6:J12)</f>
        <v>1</v>
      </c>
      <c r="L13" s="3">
        <f>SUM(L6:L12)</f>
        <v>0.99999999999999989</v>
      </c>
      <c r="O13"/>
      <c r="R13">
        <f>SUM(R6:R12)</f>
        <v>6.75</v>
      </c>
    </row>
    <row r="14" spans="2:20" x14ac:dyDescent="0.2">
      <c r="C14" s="4"/>
      <c r="D14" s="7">
        <f>D13-C13</f>
        <v>18666.99599999981</v>
      </c>
      <c r="E14" s="7">
        <f>E13-D13</f>
        <v>-5767.3999999999069</v>
      </c>
      <c r="F14" s="7">
        <f>F13-E13</f>
        <v>-5715.8000000000466</v>
      </c>
      <c r="G14" s="7">
        <f>G13-F13</f>
        <v>-5665</v>
      </c>
      <c r="H14" s="7">
        <f>H13-G13</f>
        <v>-5614.5999999998603</v>
      </c>
      <c r="L14" s="4"/>
      <c r="O14"/>
    </row>
    <row r="15" spans="2:20" s="4" customFormat="1" x14ac:dyDescent="0.2">
      <c r="B15" s="20" t="s">
        <v>35</v>
      </c>
      <c r="C15" s="21"/>
      <c r="D15" s="21"/>
      <c r="E15" s="21"/>
      <c r="F15" s="21"/>
      <c r="G15" s="21"/>
      <c r="H15" s="21"/>
    </row>
    <row r="16" spans="2:20" s="4" customFormat="1" x14ac:dyDescent="0.2">
      <c r="B16" s="15"/>
      <c r="C16" s="15"/>
      <c r="D16" s="15"/>
      <c r="E16" s="15"/>
      <c r="F16" s="15"/>
      <c r="G16" s="15"/>
      <c r="H16" s="15"/>
    </row>
    <row r="17" spans="2:34" s="4" customFormat="1" x14ac:dyDescent="0.2">
      <c r="B17" s="23" t="s">
        <v>194</v>
      </c>
      <c r="C17" s="15"/>
      <c r="D17" s="18"/>
      <c r="E17" s="18">
        <f>Inputs!G33+Inputs!G35+D17</f>
        <v>3339.5090000000637</v>
      </c>
      <c r="F17" s="18">
        <f>Inputs!H33+Inputs!H35+E17</f>
        <v>5996.830999999991</v>
      </c>
      <c r="G17" s="18">
        <f>Inputs!I33+Inputs!I35+F17</f>
        <v>8773.9960000000283</v>
      </c>
      <c r="H17" s="18">
        <f>Inputs!J33+Inputs!J35+G17</f>
        <v>11366.913000000059</v>
      </c>
      <c r="I17" s="238">
        <f>SUM(D6:H6,D8:H8)/SUM($D$13:$H$13)*SUM($D$22:$H$22)/5</f>
        <v>21970.580949972868</v>
      </c>
      <c r="J17" s="47">
        <f>K17/$K$22</f>
        <v>0.29693246225068143</v>
      </c>
      <c r="K17" s="3">
        <f>J8</f>
        <v>0.1862971307581639</v>
      </c>
      <c r="L17" s="47">
        <f>M17/$M$22</f>
        <v>0.23529411764705885</v>
      </c>
      <c r="M17" s="3">
        <f>L6</f>
        <v>0.14814814814814814</v>
      </c>
    </row>
    <row r="18" spans="2:34" s="4" customFormat="1" x14ac:dyDescent="0.2">
      <c r="B18" s="23" t="s">
        <v>195</v>
      </c>
      <c r="C18" s="15"/>
      <c r="D18" s="18"/>
      <c r="E18" s="18">
        <f>Inputs!G34+Inputs!G36+D18</f>
        <v>2110.6999999999989</v>
      </c>
      <c r="F18" s="18">
        <f>Inputs!H34+Inputs!H36+E18</f>
        <v>3940.1999999999989</v>
      </c>
      <c r="G18" s="18">
        <f>Inputs!I34+Inputs!I36+F18</f>
        <v>5787.1999999999989</v>
      </c>
      <c r="H18" s="18">
        <f>Inputs!J34+Inputs!J36+G18</f>
        <v>7653.8000000000011</v>
      </c>
      <c r="I18" s="238">
        <f>SUM(D7:H7,D9:H9)/SUM($D$13:$H$13)*SUM($D$22:$H$22)/5</f>
        <v>915.43752766797809</v>
      </c>
      <c r="J18" s="47">
        <f>K18/$K$22</f>
        <v>0.29693246225068143</v>
      </c>
      <c r="K18" s="3">
        <f>J9</f>
        <v>0.1862971307581639</v>
      </c>
      <c r="L18" s="47">
        <f>M18/$M$22</f>
        <v>0.35294117647058826</v>
      </c>
      <c r="M18" s="3">
        <f>L7</f>
        <v>0.22222222222222221</v>
      </c>
    </row>
    <row r="19" spans="2:34" s="4" customFormat="1" x14ac:dyDescent="0.2">
      <c r="B19" s="23" t="str">
        <f>Inputs!A37</f>
        <v>Controlled Load</v>
      </c>
      <c r="C19" s="60"/>
      <c r="D19" s="18"/>
      <c r="E19" s="18">
        <v>1200</v>
      </c>
      <c r="F19" s="18">
        <v>2400</v>
      </c>
      <c r="G19" s="18">
        <v>3600</v>
      </c>
      <c r="H19" s="18">
        <v>4800</v>
      </c>
      <c r="I19" s="238">
        <f>SUM(D10:H10)/SUM($D$13:$H$13)*SUM($D$22:$H$22)/5</f>
        <v>13227.788912656211</v>
      </c>
      <c r="J19" s="47">
        <f>K19/$K$22</f>
        <v>0.1352052957210228</v>
      </c>
      <c r="K19" s="3">
        <f>J10</f>
        <v>8.482857840875159E-2</v>
      </c>
      <c r="L19" s="47">
        <f>M19/$M$22</f>
        <v>5.8823529411764712E-2</v>
      </c>
      <c r="M19" s="3">
        <f>L10</f>
        <v>3.7037037037037035E-2</v>
      </c>
      <c r="O19" s="4" t="s">
        <v>171</v>
      </c>
    </row>
    <row r="20" spans="2:34" s="4" customFormat="1" x14ac:dyDescent="0.2">
      <c r="B20" s="23" t="str">
        <f>Inputs!A38</f>
        <v>Solar Additions (assume single phase 2 element)</v>
      </c>
      <c r="C20" s="15"/>
      <c r="D20" s="18"/>
      <c r="E20" s="18">
        <f>Inputs!G38+D20</f>
        <v>14146.737999999998</v>
      </c>
      <c r="F20" s="18">
        <f>Inputs!H38+E20</f>
        <v>28366.827999999994</v>
      </c>
      <c r="G20" s="18">
        <f>Inputs!I38+F20</f>
        <v>40426.727999999959</v>
      </c>
      <c r="H20" s="18">
        <f>Inputs!J38+G20</f>
        <v>52413.756000000008</v>
      </c>
      <c r="I20" s="238">
        <f>SUM(D11:H11)/SUM($D$13:$H$13)*SUM($D$22:$H$22)/5</f>
        <v>3150.8324097029717</v>
      </c>
      <c r="J20" s="47">
        <f>K20/$K$22</f>
        <v>0.27092977977761429</v>
      </c>
      <c r="K20" s="3">
        <f>J11</f>
        <v>0.16998289855859278</v>
      </c>
      <c r="L20" s="47">
        <f>M20/$M$22</f>
        <v>0.35294117647058826</v>
      </c>
      <c r="M20" s="3">
        <f>L11</f>
        <v>0.22222222222222221</v>
      </c>
    </row>
    <row r="21" spans="2:34" s="4" customFormat="1" x14ac:dyDescent="0.2">
      <c r="B21" s="15"/>
      <c r="C21" s="15"/>
      <c r="D21" s="18"/>
      <c r="E21" s="18"/>
      <c r="F21" s="18"/>
      <c r="G21" s="18"/>
      <c r="H21" s="18"/>
      <c r="J21" s="62"/>
      <c r="K21" s="62"/>
      <c r="L21" s="62"/>
      <c r="M21" s="62"/>
      <c r="N21" s="62"/>
      <c r="O21" s="62"/>
    </row>
    <row r="22" spans="2:34" x14ac:dyDescent="0.2">
      <c r="B22" s="14" t="s">
        <v>196</v>
      </c>
      <c r="C22" s="14"/>
      <c r="D22" s="230"/>
      <c r="E22" s="230">
        <f>SUM(E17:E20)</f>
        <v>20796.947000000058</v>
      </c>
      <c r="F22" s="230">
        <f>SUM(F17:F21)</f>
        <v>40703.858999999982</v>
      </c>
      <c r="G22" s="230">
        <f>SUM(G17:G20)</f>
        <v>58587.923999999985</v>
      </c>
      <c r="H22" s="230">
        <f>SUM(H17:H20)</f>
        <v>76234.46900000007</v>
      </c>
      <c r="J22" s="62"/>
      <c r="K22" s="3">
        <f>SUM(K17:K21)</f>
        <v>0.6274057384836722</v>
      </c>
      <c r="L22" s="63"/>
      <c r="M22" s="3">
        <f>SUM(M17:M21)</f>
        <v>0.62962962962962954</v>
      </c>
      <c r="N22" s="64"/>
      <c r="O22" s="62"/>
    </row>
    <row r="23" spans="2:34" x14ac:dyDescent="0.2">
      <c r="B23" s="232" t="s">
        <v>181</v>
      </c>
      <c r="C23" s="232"/>
      <c r="D23" s="233">
        <f>D13</f>
        <v>1424815.6229999999</v>
      </c>
      <c r="E23" s="233">
        <f>E13+E22</f>
        <v>1439845.1700000002</v>
      </c>
      <c r="F23" s="233">
        <f>F13+F22</f>
        <v>1454036.2819999999</v>
      </c>
      <c r="G23" s="233">
        <f>G13+G22</f>
        <v>1466255.3469999998</v>
      </c>
      <c r="H23" s="233">
        <f>H13+H22</f>
        <v>1478287.2920000001</v>
      </c>
      <c r="J23" s="415" t="str">
        <f>$D$2</f>
        <v>2014/15</v>
      </c>
      <c r="K23" s="416"/>
      <c r="L23" s="417"/>
      <c r="M23" s="64"/>
      <c r="N23" s="64"/>
      <c r="O23" s="412" t="str">
        <f>$E$2</f>
        <v>2015/16</v>
      </c>
      <c r="P23" s="413"/>
      <c r="Q23" s="346"/>
      <c r="R23" s="412" t="str">
        <f>$F$2</f>
        <v>2016/17</v>
      </c>
      <c r="S23" s="413"/>
      <c r="U23" s="412" t="str">
        <f>$G$2</f>
        <v>2017/18</v>
      </c>
      <c r="V23" s="413"/>
      <c r="W23" s="4"/>
      <c r="X23" s="412" t="str">
        <f>$G$2</f>
        <v>2017/18</v>
      </c>
      <c r="Y23" s="413"/>
    </row>
    <row r="24" spans="2:34" s="4" customFormat="1" x14ac:dyDescent="0.2">
      <c r="B24" s="232" t="s">
        <v>203</v>
      </c>
      <c r="C24" s="232"/>
      <c r="D24" s="234">
        <f>D22/D23</f>
        <v>0</v>
      </c>
      <c r="E24" s="234">
        <f>E22/E23</f>
        <v>1.4443877323281958E-2</v>
      </c>
      <c r="F24" s="234">
        <f>F22/F23</f>
        <v>2.7993702429496864E-2</v>
      </c>
      <c r="G24" s="234">
        <f>G22/G23</f>
        <v>3.995751771331818E-2</v>
      </c>
      <c r="H24" s="234">
        <f>H22/H23</f>
        <v>5.1569454335808541E-2</v>
      </c>
      <c r="J24" s="399" t="s">
        <v>249</v>
      </c>
      <c r="K24" s="400"/>
      <c r="L24" s="401" t="s">
        <v>250</v>
      </c>
      <c r="M24" s="64"/>
      <c r="N24" s="64"/>
      <c r="O24" s="399" t="s">
        <v>249</v>
      </c>
      <c r="P24" s="401" t="s">
        <v>250</v>
      </c>
      <c r="R24" s="399" t="s">
        <v>249</v>
      </c>
      <c r="S24" s="401" t="s">
        <v>250</v>
      </c>
      <c r="U24" s="399" t="s">
        <v>249</v>
      </c>
      <c r="V24" s="401" t="s">
        <v>250</v>
      </c>
      <c r="X24" s="399" t="s">
        <v>249</v>
      </c>
      <c r="Y24" s="401" t="s">
        <v>250</v>
      </c>
    </row>
    <row r="25" spans="2:34" s="4" customFormat="1" x14ac:dyDescent="0.2">
      <c r="B25" s="5"/>
      <c r="C25" s="5"/>
      <c r="D25" s="5"/>
      <c r="E25" s="5"/>
      <c r="F25" s="5"/>
      <c r="G25" s="5"/>
      <c r="H25" s="5"/>
    </row>
    <row r="26" spans="2:34" x14ac:dyDescent="0.2">
      <c r="B26" s="20" t="s">
        <v>182</v>
      </c>
      <c r="C26" s="21"/>
      <c r="D26" s="21"/>
      <c r="E26" s="21"/>
      <c r="F26" s="21"/>
      <c r="G26" s="21"/>
      <c r="H26" s="21"/>
      <c r="J26" s="299"/>
      <c r="K26" s="306"/>
      <c r="L26" s="302"/>
      <c r="M26" s="4"/>
      <c r="N26" s="4"/>
      <c r="O26" s="299"/>
      <c r="P26" s="302"/>
      <c r="R26" s="299"/>
      <c r="S26" s="302"/>
      <c r="U26" s="299"/>
      <c r="V26" s="302"/>
      <c r="W26" s="4"/>
      <c r="X26" s="299"/>
      <c r="Y26" s="302"/>
      <c r="AB26" s="282" t="s">
        <v>238</v>
      </c>
      <c r="AC26" s="281"/>
      <c r="AD26" s="351" t="s">
        <v>0</v>
      </c>
      <c r="AE26" s="351" t="s">
        <v>1</v>
      </c>
      <c r="AF26" s="351" t="s">
        <v>10</v>
      </c>
      <c r="AG26" s="351" t="s">
        <v>2</v>
      </c>
      <c r="AH26" s="351" t="s">
        <v>3</v>
      </c>
    </row>
    <row r="27" spans="2:34" x14ac:dyDescent="0.2">
      <c r="B27" s="14"/>
      <c r="C27" s="15"/>
      <c r="D27" s="15"/>
      <c r="E27" s="15"/>
      <c r="F27" s="15"/>
      <c r="G27" s="15"/>
      <c r="H27" s="15"/>
      <c r="J27" s="292"/>
      <c r="K27" s="168"/>
      <c r="L27" s="293"/>
      <c r="M27" s="4"/>
      <c r="N27" s="4"/>
      <c r="O27" s="292"/>
      <c r="P27" s="293"/>
      <c r="R27" s="292"/>
      <c r="S27" s="293"/>
      <c r="U27" s="292"/>
      <c r="V27" s="293"/>
      <c r="W27" s="4"/>
      <c r="X27" s="292"/>
      <c r="Y27" s="293"/>
      <c r="AB27" s="279"/>
      <c r="AC27" s="279"/>
      <c r="AD27" s="280">
        <f>'Recoverable Costs Summary'!J66</f>
        <v>9337968.9561907072</v>
      </c>
      <c r="AE27" s="280">
        <f>'Recoverable Costs Summary'!K66</f>
        <v>10127763.84741891</v>
      </c>
      <c r="AF27" s="280">
        <f>'Recoverable Costs Summary'!L66</f>
        <v>10891147.332603544</v>
      </c>
      <c r="AG27" s="280">
        <f>'Recoverable Costs Summary'!M66</f>
        <v>11628119.411744609</v>
      </c>
      <c r="AH27" s="280">
        <f>'Recoverable Costs Summary'!N66</f>
        <v>12338680.084842104</v>
      </c>
    </row>
    <row r="28" spans="2:34" x14ac:dyDescent="0.2">
      <c r="B28" s="290" t="s">
        <v>248</v>
      </c>
      <c r="C28" s="15"/>
      <c r="D28" s="18">
        <f>'Recoverable Costs Summary'!D21+'Recoverable Costs Summary'!D27+'Recoverable Costs Summary'!D33</f>
        <v>6306781.7891163873</v>
      </c>
      <c r="E28" s="18">
        <f>'Recoverable Costs Summary'!E21+'Recoverable Costs Summary'!E27+'Recoverable Costs Summary'!E33</f>
        <v>6572543.3582312958</v>
      </c>
      <c r="F28" s="18">
        <f>'Recoverable Costs Summary'!F21+'Recoverable Costs Summary'!F27+'Recoverable Costs Summary'!F33</f>
        <v>6881930.6795649109</v>
      </c>
      <c r="G28" s="18">
        <f>'Recoverable Costs Summary'!G21+'Recoverable Costs Summary'!G27+'Recoverable Costs Summary'!G33</f>
        <v>7254516.5261992235</v>
      </c>
      <c r="H28" s="18">
        <f>'Recoverable Costs Summary'!H21+'Recoverable Costs Summary'!H27+'Recoverable Costs Summary'!H33</f>
        <v>7521221.2762203896</v>
      </c>
      <c r="J28" s="300">
        <f>'Recoverable Costs Summary'!D21</f>
        <v>6250435.4753194489</v>
      </c>
      <c r="K28" s="296"/>
      <c r="L28" s="303">
        <f>'Recoverable Costs Summary'!D27+'Recoverable Costs Summary'!D33</f>
        <v>56346.313796938026</v>
      </c>
      <c r="M28" s="4"/>
      <c r="N28" s="4"/>
      <c r="O28" s="300">
        <f>'Recoverable Costs Summary'!$E21</f>
        <v>6513822.6663015429</v>
      </c>
      <c r="P28" s="303">
        <f>'Recoverable Costs Summary'!$E27+'Recoverable Costs Summary'!$E33</f>
        <v>58720.691929753266</v>
      </c>
      <c r="R28" s="300">
        <f>'Recoverable Costs Summary'!$F21</f>
        <v>6736401.0287976284</v>
      </c>
      <c r="S28" s="303">
        <f>'Recoverable Costs Summary'!$F27+'Recoverable Costs Summary'!$F33</f>
        <v>145529.65076728215</v>
      </c>
      <c r="U28" s="300">
        <f>'Recoverable Costs Summary'!$G21</f>
        <v>6918170.5628077043</v>
      </c>
      <c r="V28" s="303">
        <f>'Recoverable Costs Summary'!$G27+'Recoverable Costs Summary'!$G33</f>
        <v>336345.96339151927</v>
      </c>
      <c r="W28" s="4"/>
      <c r="X28" s="300">
        <f>'Recoverable Costs Summary'!$H21</f>
        <v>7059131.268331768</v>
      </c>
      <c r="Y28" s="303">
        <f>'Recoverable Costs Summary'!$H27+'Recoverable Costs Summary'!$H33</f>
        <v>462090.00788862107</v>
      </c>
      <c r="AB28" s="280"/>
      <c r="AC28" s="281"/>
      <c r="AD28" s="281"/>
      <c r="AE28" s="281"/>
      <c r="AF28" s="281"/>
      <c r="AG28" s="279"/>
      <c r="AH28" s="279"/>
    </row>
    <row r="29" spans="2:34" s="4" customFormat="1" x14ac:dyDescent="0.2">
      <c r="B29" s="15" t="s">
        <v>168</v>
      </c>
      <c r="C29" s="15"/>
      <c r="D29" s="345">
        <f>('Recoverable Costs Summary'!D37+'Recoverable Costs Summary'!D42+'Recoverable Costs Summary'!D48)*D108*(1-D$24)</f>
        <v>5898529.5922555048</v>
      </c>
      <c r="E29" s="345">
        <f>('Recoverable Costs Summary'!E37+'Recoverable Costs Summary'!E42+'Recoverable Costs Summary'!E48)*E108*(1-E$24)</f>
        <v>6111706.5725914249</v>
      </c>
      <c r="F29" s="345">
        <f>('Recoverable Costs Summary'!F37+'Recoverable Costs Summary'!F42+'Recoverable Costs Summary'!F48)*F108*(1-F$24)</f>
        <v>6001551.7024664162</v>
      </c>
      <c r="G29" s="345">
        <f>('Recoverable Costs Summary'!G37+'Recoverable Costs Summary'!G42+'Recoverable Costs Summary'!G48)*G108*(1-G$24)</f>
        <v>5867057.4190960117</v>
      </c>
      <c r="H29" s="345">
        <f>('Recoverable Costs Summary'!H37+'Recoverable Costs Summary'!H42+'Recoverable Costs Summary'!H48)*H108*(1-H$24)</f>
        <v>5872085.6089730151</v>
      </c>
      <c r="J29" s="301">
        <v>0</v>
      </c>
      <c r="K29" s="168"/>
      <c r="L29" s="304">
        <f>D29</f>
        <v>5898529.5922555048</v>
      </c>
      <c r="O29" s="301">
        <v>0</v>
      </c>
      <c r="P29" s="304">
        <f>$E29</f>
        <v>6111706.5725914249</v>
      </c>
      <c r="R29" s="301">
        <v>0</v>
      </c>
      <c r="S29" s="304">
        <f>$F29</f>
        <v>6001551.7024664162</v>
      </c>
      <c r="U29" s="301">
        <v>0</v>
      </c>
      <c r="V29" s="304">
        <f>$G29</f>
        <v>5867057.4190960117</v>
      </c>
      <c r="X29" s="301">
        <v>0</v>
      </c>
      <c r="Y29" s="304">
        <f>$H29</f>
        <v>5872085.6089730151</v>
      </c>
      <c r="AB29" s="281"/>
      <c r="AC29" s="281"/>
      <c r="AD29" s="281"/>
      <c r="AE29" s="281"/>
      <c r="AF29" s="281"/>
      <c r="AG29" s="279"/>
      <c r="AH29" s="279"/>
    </row>
    <row r="30" spans="2:34" x14ac:dyDescent="0.2">
      <c r="B30" s="290" t="s">
        <v>239</v>
      </c>
      <c r="C30" s="15"/>
      <c r="D30" s="18">
        <f>'Recoverable Costs Summary'!D23</f>
        <v>3087533.4808712578</v>
      </c>
      <c r="E30" s="18">
        <f>'Recoverable Costs Summary'!E23</f>
        <v>3613941.1811173675</v>
      </c>
      <c r="F30" s="18">
        <f>'Recoverable Costs Summary'!F23</f>
        <v>4154746.3038059166</v>
      </c>
      <c r="G30" s="18">
        <f>'Recoverable Costs Summary'!G23</f>
        <v>4709948.8489369052</v>
      </c>
      <c r="H30" s="18">
        <f>'Recoverable Costs Summary'!H23</f>
        <v>5279548.8165103365</v>
      </c>
      <c r="I30" s="4"/>
      <c r="J30" s="300">
        <f>D30</f>
        <v>3087533.4808712578</v>
      </c>
      <c r="K30" s="296"/>
      <c r="L30" s="305">
        <v>0</v>
      </c>
      <c r="M30" s="4"/>
      <c r="N30" s="4"/>
      <c r="O30" s="300">
        <f>$E30</f>
        <v>3613941.1811173675</v>
      </c>
      <c r="P30" s="305">
        <v>0</v>
      </c>
      <c r="R30" s="300">
        <f>$F30</f>
        <v>4154746.3038059166</v>
      </c>
      <c r="S30" s="305">
        <v>0</v>
      </c>
      <c r="U30" s="300">
        <f>$G30</f>
        <v>4709948.8489369052</v>
      </c>
      <c r="V30" s="305">
        <v>0</v>
      </c>
      <c r="W30" s="4"/>
      <c r="X30" s="300">
        <f>$H30</f>
        <v>5279548.8165103365</v>
      </c>
      <c r="Y30" s="305">
        <v>0</v>
      </c>
      <c r="AB30" s="281"/>
      <c r="AC30" s="281"/>
      <c r="AD30" s="281"/>
      <c r="AE30" s="281"/>
      <c r="AF30" s="281"/>
      <c r="AG30" s="279"/>
      <c r="AH30" s="279"/>
    </row>
    <row r="31" spans="2:34" x14ac:dyDescent="0.2">
      <c r="B31" s="15" t="s">
        <v>37</v>
      </c>
      <c r="C31" s="15"/>
      <c r="D31" s="345">
        <f>('Recoverable Costs Summary'!D32+'Recoverable Costs Summary'!D54)*D108*(1-D$24)</f>
        <v>18706820.986443844</v>
      </c>
      <c r="E31" s="345">
        <f>('Recoverable Costs Summary'!E32+'Recoverable Costs Summary'!E54)*E108*(1-E$24)</f>
        <v>18003429.075239185</v>
      </c>
      <c r="F31" s="345">
        <f>('Recoverable Costs Summary'!F32+'Recoverable Costs Summary'!F54)*F108*(1-F$24)</f>
        <v>17667307.985604651</v>
      </c>
      <c r="G31" s="345">
        <f>('Recoverable Costs Summary'!G32+'Recoverable Costs Summary'!G54)*G108*(1-G$24)</f>
        <v>17261625.862512387</v>
      </c>
      <c r="H31" s="345">
        <f>('Recoverable Costs Summary'!H32+'Recoverable Costs Summary'!H54)*H108*(1-H$24)</f>
        <v>17073881.131695524</v>
      </c>
      <c r="I31" s="4"/>
      <c r="J31" s="307">
        <v>0</v>
      </c>
      <c r="K31" s="296"/>
      <c r="L31" s="303">
        <f>D31</f>
        <v>18706820.986443844</v>
      </c>
      <c r="M31" s="4"/>
      <c r="N31" s="4"/>
      <c r="O31" s="307">
        <v>0</v>
      </c>
      <c r="P31" s="303">
        <f>$E31</f>
        <v>18003429.075239185</v>
      </c>
      <c r="R31" s="307">
        <v>0</v>
      </c>
      <c r="S31" s="303">
        <f>$F31</f>
        <v>17667307.985604651</v>
      </c>
      <c r="U31" s="307">
        <v>0</v>
      </c>
      <c r="V31" s="303">
        <f>$G31</f>
        <v>17261625.862512387</v>
      </c>
      <c r="W31" s="4"/>
      <c r="X31" s="307">
        <v>0</v>
      </c>
      <c r="Y31" s="303">
        <f>$H31</f>
        <v>17073881.131695524</v>
      </c>
      <c r="AB31" s="281"/>
      <c r="AC31" s="281"/>
      <c r="AD31" s="281"/>
      <c r="AE31" s="281"/>
      <c r="AF31" s="281"/>
      <c r="AG31" s="279"/>
      <c r="AH31" s="279"/>
    </row>
    <row r="32" spans="2:34" x14ac:dyDescent="0.2">
      <c r="B32" s="15"/>
      <c r="C32" s="15"/>
      <c r="D32" s="15"/>
      <c r="E32" s="15"/>
      <c r="F32" s="15"/>
      <c r="G32" s="15"/>
      <c r="H32" s="15"/>
      <c r="I32" s="4"/>
      <c r="J32" s="168"/>
      <c r="K32" s="168"/>
      <c r="L32" s="168"/>
      <c r="M32" s="4"/>
      <c r="N32" s="4"/>
      <c r="O32" s="168"/>
      <c r="P32" s="168"/>
      <c r="R32" s="168"/>
      <c r="S32" s="168"/>
      <c r="U32" s="168"/>
      <c r="V32" s="168"/>
      <c r="W32" s="4"/>
      <c r="X32" s="168"/>
      <c r="Y32" s="168"/>
      <c r="AB32" s="281"/>
      <c r="AC32" s="281"/>
      <c r="AD32" s="281"/>
      <c r="AE32" s="281"/>
      <c r="AF32" s="281"/>
      <c r="AG32" s="279"/>
      <c r="AH32" s="279"/>
    </row>
    <row r="33" spans="2:34" s="4" customFormat="1" x14ac:dyDescent="0.2">
      <c r="B33" s="20" t="s">
        <v>183</v>
      </c>
      <c r="C33" s="21"/>
      <c r="D33" s="21"/>
      <c r="E33" s="21"/>
      <c r="F33" s="21"/>
      <c r="G33" s="21"/>
      <c r="H33" s="21"/>
      <c r="J33" s="299"/>
      <c r="K33" s="306"/>
      <c r="L33" s="302"/>
      <c r="O33" s="299"/>
      <c r="P33" s="302"/>
      <c r="R33" s="299"/>
      <c r="S33" s="302"/>
      <c r="U33" s="299"/>
      <c r="V33" s="302"/>
      <c r="X33" s="299"/>
      <c r="Y33" s="302"/>
      <c r="AB33" s="282" t="s">
        <v>240</v>
      </c>
      <c r="AC33" s="281"/>
      <c r="AD33" s="351" t="s">
        <v>0</v>
      </c>
      <c r="AE33" s="351" t="s">
        <v>1</v>
      </c>
      <c r="AF33" s="351" t="s">
        <v>10</v>
      </c>
      <c r="AG33" s="351" t="s">
        <v>2</v>
      </c>
      <c r="AH33" s="351" t="s">
        <v>3</v>
      </c>
    </row>
    <row r="34" spans="2:34" s="4" customFormat="1" x14ac:dyDescent="0.2">
      <c r="B34" s="14"/>
      <c r="C34" s="15"/>
      <c r="D34" s="15"/>
      <c r="E34" s="15"/>
      <c r="F34" s="15"/>
      <c r="G34" s="15"/>
      <c r="H34" s="15"/>
      <c r="J34" s="292"/>
      <c r="K34" s="168"/>
      <c r="L34" s="293"/>
      <c r="O34" s="292"/>
      <c r="P34" s="293"/>
      <c r="R34" s="292"/>
      <c r="S34" s="293"/>
      <c r="U34" s="292"/>
      <c r="V34" s="293"/>
      <c r="X34" s="292"/>
      <c r="Y34" s="293"/>
      <c r="AB34" s="279"/>
      <c r="AC34" s="279" t="s">
        <v>75</v>
      </c>
      <c r="AD34" s="280">
        <f>'Recoverable Costs Summary'!J64+'Recoverable Costs Summary'!D27</f>
        <v>24661696.892496284</v>
      </c>
      <c r="AE34" s="280">
        <f>'Recoverable Costs Summary'!K64+'Recoverable Costs Summary'!E27</f>
        <v>24527277.167775273</v>
      </c>
      <c r="AF34" s="280">
        <f>'Recoverable Costs Summary'!L64+'Recoverable Costs Summary'!F27</f>
        <v>24496050.575611677</v>
      </c>
      <c r="AG34" s="280">
        <f>'Recoverable Costs Summary'!M64+'Recoverable Costs Summary'!G27</f>
        <v>24427658.283778876</v>
      </c>
      <c r="AH34" s="280">
        <f>'Recoverable Costs Summary'!N64+'Recoverable Costs Summary'!H27</f>
        <v>24655708.450026989</v>
      </c>
    </row>
    <row r="35" spans="2:34" s="4" customFormat="1" x14ac:dyDescent="0.2">
      <c r="B35" s="15" t="s">
        <v>168</v>
      </c>
      <c r="C35" s="15"/>
      <c r="D35" s="345">
        <f>('Recoverable Costs Summary'!D37+'Recoverable Costs Summary'!D42+'Recoverable Costs Summary'!D48)*D108*D$24</f>
        <v>0</v>
      </c>
      <c r="E35" s="345">
        <f>('Recoverable Costs Summary'!E37+'Recoverable Costs Summary'!E42+'Recoverable Costs Summary'!E48)*E108*E$24</f>
        <v>89570.485068523194</v>
      </c>
      <c r="F35" s="345">
        <f>('Recoverable Costs Summary'!F37+'Recoverable Costs Summary'!F42+'Recoverable Costs Summary'!F48)*F108*F$24</f>
        <v>172844.20162092531</v>
      </c>
      <c r="G35" s="345">
        <f>('Recoverable Costs Summary'!G37+'Recoverable Costs Summary'!G42+'Recoverable Costs Summary'!G48)*G108*G$24</f>
        <v>244190.28852785585</v>
      </c>
      <c r="H35" s="345">
        <f>('Recoverable Costs Summary'!H37+'Recoverable Costs Summary'!H42+'Recoverable Costs Summary'!H48)*H108*H$24</f>
        <v>319285.63673139142</v>
      </c>
      <c r="J35" s="307">
        <v>0</v>
      </c>
      <c r="K35" s="296"/>
      <c r="L35" s="314">
        <f>D35</f>
        <v>0</v>
      </c>
      <c r="O35" s="307">
        <v>0</v>
      </c>
      <c r="P35" s="314">
        <f>$E35</f>
        <v>89570.485068523194</v>
      </c>
      <c r="R35" s="307">
        <v>0</v>
      </c>
      <c r="S35" s="314">
        <f>$F35</f>
        <v>172844.20162092531</v>
      </c>
      <c r="U35" s="307">
        <v>0</v>
      </c>
      <c r="V35" s="314">
        <f>$G35</f>
        <v>244190.28852785585</v>
      </c>
      <c r="X35" s="307">
        <v>0</v>
      </c>
      <c r="Y35" s="314">
        <f>$H35</f>
        <v>319285.63673139142</v>
      </c>
      <c r="AC35" s="348" t="s">
        <v>251</v>
      </c>
      <c r="AD35" s="349">
        <f>SUM(J28:L31,J35:L36)-SUM(AD27,AD34)</f>
        <v>0</v>
      </c>
      <c r="AE35" s="349">
        <f>SUM(O28:P31,O35:P36)-SUM(AE27,AE34)</f>
        <v>0</v>
      </c>
      <c r="AF35" s="349">
        <f>SUM(R28:S31,R35:S36)-SUM(AF27,AF34)</f>
        <v>0</v>
      </c>
      <c r="AG35" s="349">
        <f>SUM(U28:V31,U35:V36)-SUM(AG27,AG34)</f>
        <v>0</v>
      </c>
      <c r="AH35" s="349">
        <f>SUM(X28:Y31,X35:Y36)-SUM(AH27,AH34)</f>
        <v>0</v>
      </c>
    </row>
    <row r="36" spans="2:34" s="4" customFormat="1" x14ac:dyDescent="0.2">
      <c r="B36" s="15" t="s">
        <v>37</v>
      </c>
      <c r="C36" s="15"/>
      <c r="D36" s="345">
        <f>('Recoverable Costs Summary'!D32+'Recoverable Costs Summary'!D54)*D108*D$24</f>
        <v>0</v>
      </c>
      <c r="E36" s="345">
        <f>('Recoverable Costs Summary'!E32+'Recoverable Costs Summary'!E54)*E108*E$24</f>
        <v>263850.34294638585</v>
      </c>
      <c r="F36" s="345">
        <f>('Recoverable Costs Summary'!F32+'Recoverable Costs Summary'!F54)*F108*F$24</f>
        <v>508817.03515240556</v>
      </c>
      <c r="G36" s="345">
        <f>('Recoverable Costs Summary'!G32+'Recoverable Costs Summary'!G54)*G108*G$24</f>
        <v>718438.75025110261</v>
      </c>
      <c r="H36" s="345">
        <f>('Recoverable Costs Summary'!H32+'Recoverable Costs Summary'!H54)*H108*H$24</f>
        <v>928366.06473843846</v>
      </c>
      <c r="J36" s="307">
        <v>0</v>
      </c>
      <c r="K36" s="296"/>
      <c r="L36" s="314">
        <f>D36</f>
        <v>0</v>
      </c>
      <c r="O36" s="307">
        <v>0</v>
      </c>
      <c r="P36" s="314">
        <f>$E36</f>
        <v>263850.34294638585</v>
      </c>
      <c r="R36" s="307">
        <v>0</v>
      </c>
      <c r="S36" s="314">
        <f>$F36</f>
        <v>508817.03515240556</v>
      </c>
      <c r="U36" s="307">
        <v>0</v>
      </c>
      <c r="V36" s="314">
        <f>$G36</f>
        <v>718438.75025110261</v>
      </c>
      <c r="X36" s="307">
        <v>0</v>
      </c>
      <c r="Y36" s="314">
        <f>$H36</f>
        <v>928366.06473843846</v>
      </c>
    </row>
    <row r="37" spans="2:34" s="4" customFormat="1" x14ac:dyDescent="0.2">
      <c r="B37" s="15"/>
      <c r="C37" s="15"/>
      <c r="D37" s="15"/>
      <c r="E37" s="15"/>
      <c r="F37" s="15"/>
      <c r="G37" s="15"/>
      <c r="H37" s="15"/>
      <c r="J37" s="312"/>
      <c r="K37" s="25"/>
      <c r="L37" s="313"/>
      <c r="O37" s="312"/>
      <c r="P37" s="313"/>
      <c r="R37" s="312"/>
      <c r="S37" s="313"/>
      <c r="U37" s="312"/>
      <c r="V37" s="313"/>
      <c r="X37" s="312"/>
      <c r="Y37" s="313"/>
    </row>
    <row r="38" spans="2:34" x14ac:dyDescent="0.2">
      <c r="I38" s="4"/>
      <c r="J38" s="4"/>
      <c r="L38" s="4"/>
      <c r="P38" s="4"/>
      <c r="R38" s="4"/>
      <c r="S38" s="4"/>
      <c r="U38" s="4"/>
      <c r="V38" s="4"/>
      <c r="W38" s="4"/>
      <c r="X38" s="4"/>
      <c r="Y38" s="4"/>
      <c r="AB38" s="4"/>
      <c r="AC38" s="4"/>
      <c r="AD38" s="4"/>
      <c r="AE38" s="4"/>
      <c r="AF38" s="4"/>
      <c r="AG38" s="4"/>
      <c r="AH38" s="4"/>
    </row>
    <row r="39" spans="2:34" x14ac:dyDescent="0.2">
      <c r="B39" s="20" t="s">
        <v>39</v>
      </c>
      <c r="C39" s="21"/>
      <c r="D39" s="21"/>
      <c r="E39" s="21"/>
      <c r="F39" s="21"/>
      <c r="G39" s="21"/>
      <c r="H39" s="21"/>
      <c r="I39" s="4"/>
      <c r="J39" s="299"/>
      <c r="K39" s="306"/>
      <c r="L39" s="302"/>
      <c r="O39" s="299"/>
      <c r="P39" s="302"/>
      <c r="R39" s="299"/>
      <c r="S39" s="302"/>
      <c r="U39" s="299"/>
      <c r="V39" s="302"/>
      <c r="W39" s="4"/>
      <c r="X39" s="299"/>
      <c r="Y39" s="302"/>
      <c r="AB39" s="4"/>
      <c r="AC39" s="4"/>
      <c r="AD39" s="4"/>
      <c r="AE39" s="4"/>
      <c r="AF39" s="4"/>
      <c r="AG39" s="4"/>
      <c r="AH39" s="4"/>
    </row>
    <row r="40" spans="2:34" x14ac:dyDescent="0.2">
      <c r="B40" s="15"/>
      <c r="C40" s="15"/>
      <c r="D40" s="15"/>
      <c r="E40" s="15"/>
      <c r="F40" s="15"/>
      <c r="G40" s="15"/>
      <c r="H40" s="15"/>
      <c r="J40" s="292"/>
      <c r="K40" s="168"/>
      <c r="L40" s="293"/>
      <c r="O40" s="292"/>
      <c r="P40" s="293"/>
      <c r="R40" s="292"/>
      <c r="S40" s="293"/>
      <c r="U40" s="292"/>
      <c r="V40" s="293"/>
      <c r="W40" s="4"/>
      <c r="X40" s="292"/>
      <c r="Y40" s="293"/>
      <c r="AB40" s="4"/>
      <c r="AC40" s="4"/>
      <c r="AD40" s="4"/>
      <c r="AE40" s="4"/>
      <c r="AF40" s="4"/>
      <c r="AG40" s="4"/>
      <c r="AH40" s="4"/>
    </row>
    <row r="41" spans="2:34" x14ac:dyDescent="0.2">
      <c r="B41" s="15" t="s">
        <v>11</v>
      </c>
      <c r="C41" s="15"/>
      <c r="D41" s="18">
        <f t="shared" ref="D41:H46" si="4">D6*$J6</f>
        <v>132570.90121881702</v>
      </c>
      <c r="E41" s="18">
        <f t="shared" si="4"/>
        <v>132570.90121881702</v>
      </c>
      <c r="F41" s="18">
        <f t="shared" si="4"/>
        <v>132570.90121881702</v>
      </c>
      <c r="G41" s="18">
        <f t="shared" si="4"/>
        <v>132570.90121881702</v>
      </c>
      <c r="H41" s="18">
        <f t="shared" si="4"/>
        <v>132570.90121881702</v>
      </c>
      <c r="J41" s="315">
        <f>D41</f>
        <v>132570.90121881702</v>
      </c>
      <c r="K41" s="296"/>
      <c r="L41" s="314">
        <f>J41</f>
        <v>132570.90121881702</v>
      </c>
      <c r="O41" s="315">
        <f>$E41</f>
        <v>132570.90121881702</v>
      </c>
      <c r="P41" s="314">
        <f t="shared" ref="P41:P46" si="5">O41</f>
        <v>132570.90121881702</v>
      </c>
      <c r="R41" s="315">
        <f t="shared" ref="R41:R46" si="6">$F41</f>
        <v>132570.90121881702</v>
      </c>
      <c r="S41" s="314">
        <f t="shared" ref="S41:S46" si="7">R41</f>
        <v>132570.90121881702</v>
      </c>
      <c r="U41" s="315">
        <f t="shared" ref="U41:U46" si="8">$G41</f>
        <v>132570.90121881702</v>
      </c>
      <c r="V41" s="314">
        <f t="shared" ref="V41:V46" si="9">U41</f>
        <v>132570.90121881702</v>
      </c>
      <c r="W41" s="4"/>
      <c r="X41" s="315">
        <f t="shared" ref="X41:X46" si="10">$H41</f>
        <v>132570.90121881702</v>
      </c>
      <c r="Y41" s="314">
        <f t="shared" ref="Y41:Y46" si="11">X41</f>
        <v>132570.90121881702</v>
      </c>
      <c r="AB41" s="4"/>
      <c r="AC41" s="4"/>
      <c r="AD41" s="4"/>
      <c r="AE41" s="4"/>
      <c r="AF41" s="4"/>
      <c r="AG41" s="4"/>
      <c r="AH41" s="4"/>
    </row>
    <row r="42" spans="2:34" x14ac:dyDescent="0.2">
      <c r="B42" s="15" t="s">
        <v>12</v>
      </c>
      <c r="C42" s="15"/>
      <c r="D42" s="18">
        <f t="shared" si="4"/>
        <v>3509.7075354922772</v>
      </c>
      <c r="E42" s="18">
        <f t="shared" si="4"/>
        <v>3509.7075354922772</v>
      </c>
      <c r="F42" s="18">
        <f t="shared" si="4"/>
        <v>3509.7075354922772</v>
      </c>
      <c r="G42" s="18">
        <f t="shared" si="4"/>
        <v>3509.7075354922772</v>
      </c>
      <c r="H42" s="18">
        <f t="shared" si="4"/>
        <v>3509.7075354922772</v>
      </c>
      <c r="J42" s="294">
        <f t="shared" ref="J42:J46" si="12">D42</f>
        <v>3509.7075354922772</v>
      </c>
      <c r="K42" s="168"/>
      <c r="L42" s="295">
        <f t="shared" ref="L42:L46" si="13">J42</f>
        <v>3509.7075354922772</v>
      </c>
      <c r="O42" s="315">
        <f t="shared" ref="O42:O46" si="14">$E42</f>
        <v>3509.7075354922772</v>
      </c>
      <c r="P42" s="295">
        <f t="shared" si="5"/>
        <v>3509.7075354922772</v>
      </c>
      <c r="R42" s="315">
        <f t="shared" si="6"/>
        <v>3509.7075354922772</v>
      </c>
      <c r="S42" s="295">
        <f t="shared" si="7"/>
        <v>3509.7075354922772</v>
      </c>
      <c r="U42" s="315">
        <f t="shared" si="8"/>
        <v>3509.7075354922772</v>
      </c>
      <c r="V42" s="295">
        <f t="shared" si="9"/>
        <v>3509.7075354922772</v>
      </c>
      <c r="W42" s="4"/>
      <c r="X42" s="315">
        <f t="shared" si="10"/>
        <v>3509.7075354922772</v>
      </c>
      <c r="Y42" s="295">
        <f t="shared" si="11"/>
        <v>3509.7075354922772</v>
      </c>
      <c r="AB42" s="4"/>
      <c r="AC42" s="4"/>
      <c r="AD42" s="4"/>
      <c r="AE42" s="4"/>
      <c r="AF42" s="4"/>
      <c r="AG42" s="4"/>
      <c r="AH42" s="4"/>
    </row>
    <row r="43" spans="2:34" x14ac:dyDescent="0.2">
      <c r="B43" s="15" t="s">
        <v>13</v>
      </c>
      <c r="C43" s="15"/>
      <c r="D43" s="18">
        <f t="shared" si="4"/>
        <v>14764.138898178559</v>
      </c>
      <c r="E43" s="18">
        <f t="shared" si="4"/>
        <v>14764.138898178559</v>
      </c>
      <c r="F43" s="18">
        <f t="shared" si="4"/>
        <v>14764.138898178559</v>
      </c>
      <c r="G43" s="18">
        <f t="shared" si="4"/>
        <v>14764.138898178559</v>
      </c>
      <c r="H43" s="18">
        <f t="shared" si="4"/>
        <v>14764.138898178559</v>
      </c>
      <c r="J43" s="315">
        <f t="shared" si="12"/>
        <v>14764.138898178559</v>
      </c>
      <c r="K43" s="296"/>
      <c r="L43" s="314">
        <f t="shared" si="13"/>
        <v>14764.138898178559</v>
      </c>
      <c r="O43" s="315">
        <f t="shared" si="14"/>
        <v>14764.138898178559</v>
      </c>
      <c r="P43" s="314">
        <f t="shared" si="5"/>
        <v>14764.138898178559</v>
      </c>
      <c r="R43" s="315">
        <f t="shared" si="6"/>
        <v>14764.138898178559</v>
      </c>
      <c r="S43" s="314">
        <f t="shared" si="7"/>
        <v>14764.138898178559</v>
      </c>
      <c r="U43" s="315">
        <f t="shared" si="8"/>
        <v>14764.138898178559</v>
      </c>
      <c r="V43" s="314">
        <f t="shared" si="9"/>
        <v>14764.138898178559</v>
      </c>
      <c r="W43" s="4"/>
      <c r="X43" s="315">
        <f t="shared" si="10"/>
        <v>14764.138898178559</v>
      </c>
      <c r="Y43" s="314">
        <f t="shared" si="11"/>
        <v>14764.138898178559</v>
      </c>
      <c r="AB43" s="4"/>
      <c r="AC43" s="4"/>
      <c r="AD43" s="4"/>
      <c r="AE43" s="4"/>
      <c r="AF43" s="4"/>
      <c r="AG43" s="4"/>
      <c r="AH43" s="4"/>
    </row>
    <row r="44" spans="2:34" x14ac:dyDescent="0.2">
      <c r="B44" s="15" t="s">
        <v>14</v>
      </c>
      <c r="C44" s="15"/>
      <c r="D44" s="18">
        <f t="shared" si="4"/>
        <v>2629.2300361030429</v>
      </c>
      <c r="E44" s="18">
        <f t="shared" si="4"/>
        <v>2629.2300361030429</v>
      </c>
      <c r="F44" s="18">
        <f t="shared" si="4"/>
        <v>2629.2300361030429</v>
      </c>
      <c r="G44" s="18">
        <f t="shared" si="4"/>
        <v>2629.2300361030429</v>
      </c>
      <c r="H44" s="18">
        <f t="shared" si="4"/>
        <v>2629.2300361030429</v>
      </c>
      <c r="J44" s="294">
        <f t="shared" si="12"/>
        <v>2629.2300361030429</v>
      </c>
      <c r="K44" s="168"/>
      <c r="L44" s="295">
        <f t="shared" si="13"/>
        <v>2629.2300361030429</v>
      </c>
      <c r="O44" s="315">
        <f t="shared" si="14"/>
        <v>2629.2300361030429</v>
      </c>
      <c r="P44" s="295">
        <f t="shared" si="5"/>
        <v>2629.2300361030429</v>
      </c>
      <c r="R44" s="315">
        <f t="shared" si="6"/>
        <v>2629.2300361030429</v>
      </c>
      <c r="S44" s="295">
        <f t="shared" si="7"/>
        <v>2629.2300361030429</v>
      </c>
      <c r="U44" s="315">
        <f t="shared" si="8"/>
        <v>2629.2300361030429</v>
      </c>
      <c r="V44" s="295">
        <f t="shared" si="9"/>
        <v>2629.2300361030429</v>
      </c>
      <c r="W44" s="4"/>
      <c r="X44" s="315">
        <f t="shared" si="10"/>
        <v>2629.2300361030429</v>
      </c>
      <c r="Y44" s="295">
        <f t="shared" si="11"/>
        <v>2629.2300361030429</v>
      </c>
      <c r="AB44" s="4"/>
      <c r="AC44" s="4"/>
      <c r="AD44" s="4"/>
      <c r="AE44" s="4"/>
      <c r="AF44" s="4"/>
      <c r="AG44" s="4"/>
      <c r="AH44" s="4"/>
    </row>
    <row r="45" spans="2:34" x14ac:dyDescent="0.2">
      <c r="B45" s="15" t="s">
        <v>15</v>
      </c>
      <c r="C45" s="15"/>
      <c r="D45" s="18">
        <f t="shared" si="4"/>
        <v>41361.083023426254</v>
      </c>
      <c r="E45" s="18">
        <f t="shared" si="4"/>
        <v>40871.842680311624</v>
      </c>
      <c r="F45" s="18">
        <f t="shared" si="4"/>
        <v>40386.979491842882</v>
      </c>
      <c r="G45" s="18">
        <f t="shared" si="4"/>
        <v>39906.425595157307</v>
      </c>
      <c r="H45" s="18">
        <f t="shared" si="4"/>
        <v>39430.147058823524</v>
      </c>
      <c r="J45" s="315">
        <f t="shared" si="12"/>
        <v>41361.083023426254</v>
      </c>
      <c r="K45" s="296"/>
      <c r="L45" s="314">
        <f t="shared" si="13"/>
        <v>41361.083023426254</v>
      </c>
      <c r="O45" s="315">
        <f t="shared" si="14"/>
        <v>40871.842680311624</v>
      </c>
      <c r="P45" s="314">
        <f t="shared" si="5"/>
        <v>40871.842680311624</v>
      </c>
      <c r="R45" s="315">
        <f t="shared" si="6"/>
        <v>40386.979491842882</v>
      </c>
      <c r="S45" s="314">
        <f t="shared" si="7"/>
        <v>40386.979491842882</v>
      </c>
      <c r="U45" s="315">
        <f t="shared" si="8"/>
        <v>39906.425595157307</v>
      </c>
      <c r="V45" s="314">
        <f t="shared" si="9"/>
        <v>39906.425595157307</v>
      </c>
      <c r="W45" s="4"/>
      <c r="X45" s="315">
        <f t="shared" si="10"/>
        <v>39430.147058823524</v>
      </c>
      <c r="Y45" s="314">
        <f t="shared" si="11"/>
        <v>39430.147058823524</v>
      </c>
    </row>
    <row r="46" spans="2:34" x14ac:dyDescent="0.2">
      <c r="B46" s="15" t="s">
        <v>133</v>
      </c>
      <c r="C46" s="15"/>
      <c r="D46" s="18">
        <f t="shared" si="4"/>
        <v>19279.193991313554</v>
      </c>
      <c r="E46" s="18">
        <f t="shared" si="4"/>
        <v>19279.193991313554</v>
      </c>
      <c r="F46" s="18">
        <f t="shared" si="4"/>
        <v>19279.193991313554</v>
      </c>
      <c r="G46" s="18">
        <f t="shared" si="4"/>
        <v>19279.193991313554</v>
      </c>
      <c r="H46" s="18">
        <f t="shared" si="4"/>
        <v>19279.193991313554</v>
      </c>
      <c r="J46" s="318">
        <f t="shared" si="12"/>
        <v>19279.193991313554</v>
      </c>
      <c r="K46" s="291"/>
      <c r="L46" s="319">
        <f t="shared" si="13"/>
        <v>19279.193991313554</v>
      </c>
      <c r="O46" s="315">
        <f t="shared" si="14"/>
        <v>19279.193991313554</v>
      </c>
      <c r="P46" s="319">
        <f t="shared" si="5"/>
        <v>19279.193991313554</v>
      </c>
      <c r="R46" s="315">
        <f t="shared" si="6"/>
        <v>19279.193991313554</v>
      </c>
      <c r="S46" s="319">
        <f t="shared" si="7"/>
        <v>19279.193991313554</v>
      </c>
      <c r="U46" s="315">
        <f t="shared" si="8"/>
        <v>19279.193991313554</v>
      </c>
      <c r="V46" s="319">
        <f t="shared" si="9"/>
        <v>19279.193991313554</v>
      </c>
      <c r="W46" s="4"/>
      <c r="X46" s="315">
        <f t="shared" si="10"/>
        <v>19279.193991313554</v>
      </c>
      <c r="Y46" s="319">
        <f t="shared" si="11"/>
        <v>19279.193991313554</v>
      </c>
    </row>
    <row r="47" spans="2:34" x14ac:dyDescent="0.2">
      <c r="B47" s="15"/>
      <c r="C47" s="15"/>
      <c r="D47" s="235">
        <f>SUM(D41:D46)</f>
        <v>214114.25470333072</v>
      </c>
      <c r="E47" s="235">
        <f>SUM(E41:E46)</f>
        <v>213625.01436021607</v>
      </c>
      <c r="F47" s="235">
        <f>SUM(F41:F46)</f>
        <v>213140.15117174733</v>
      </c>
      <c r="G47" s="235">
        <f>SUM(G41:G46)</f>
        <v>212659.59727506177</v>
      </c>
      <c r="H47" s="235">
        <f>SUM(H41:H46)</f>
        <v>212183.31873872798</v>
      </c>
      <c r="J47" s="316">
        <f t="shared" ref="J47:L47" si="15">SUM(J41:J46)</f>
        <v>214114.25470333072</v>
      </c>
      <c r="K47" s="320">
        <f t="shared" si="15"/>
        <v>0</v>
      </c>
      <c r="L47" s="317">
        <f t="shared" si="15"/>
        <v>214114.25470333072</v>
      </c>
      <c r="O47" s="316">
        <f t="shared" ref="O47" si="16">SUM(O41:O46)</f>
        <v>213625.01436021607</v>
      </c>
      <c r="P47" s="317">
        <f t="shared" ref="P47" si="17">SUM(P41:P46)</f>
        <v>213625.01436021607</v>
      </c>
      <c r="R47" s="316">
        <f t="shared" ref="R47" si="18">SUM(R41:R46)</f>
        <v>213140.15117174733</v>
      </c>
      <c r="S47" s="317">
        <f t="shared" ref="S47" si="19">SUM(S41:S46)</f>
        <v>213140.15117174733</v>
      </c>
      <c r="U47" s="316">
        <f t="shared" ref="U47" si="20">SUM(U41:U46)</f>
        <v>212659.59727506177</v>
      </c>
      <c r="V47" s="317">
        <f t="shared" ref="V47" si="21">SUM(V41:V46)</f>
        <v>212659.59727506177</v>
      </c>
      <c r="W47" s="4"/>
      <c r="X47" s="316">
        <f t="shared" ref="X47" si="22">SUM(X41:X46)</f>
        <v>212183.31873872798</v>
      </c>
      <c r="Y47" s="317">
        <f t="shared" ref="Y47" si="23">SUM(Y41:Y46)</f>
        <v>212183.31873872798</v>
      </c>
    </row>
    <row r="48" spans="2:34" x14ac:dyDescent="0.2">
      <c r="B48" s="20" t="s">
        <v>197</v>
      </c>
      <c r="C48" s="21"/>
      <c r="D48" s="21"/>
      <c r="E48" s="21"/>
      <c r="F48" s="21"/>
      <c r="G48" s="21"/>
      <c r="H48" s="21"/>
      <c r="J48" s="299"/>
      <c r="K48" s="306"/>
      <c r="L48" s="302"/>
      <c r="O48" s="299"/>
      <c r="P48" s="302"/>
      <c r="R48" s="299"/>
      <c r="S48" s="302"/>
      <c r="U48" s="299"/>
      <c r="V48" s="302"/>
      <c r="W48" s="4"/>
      <c r="X48" s="299"/>
      <c r="Y48" s="302"/>
    </row>
    <row r="49" spans="2:25" x14ac:dyDescent="0.2">
      <c r="B49" s="15"/>
      <c r="C49" s="15"/>
      <c r="D49" s="15"/>
      <c r="E49" s="15"/>
      <c r="F49" s="15"/>
      <c r="G49" s="15"/>
      <c r="H49" s="15"/>
      <c r="J49" s="297"/>
      <c r="K49" s="296"/>
      <c r="L49" s="298"/>
      <c r="O49" s="297"/>
      <c r="P49" s="298"/>
      <c r="R49" s="297"/>
      <c r="S49" s="298"/>
      <c r="U49" s="297"/>
      <c r="V49" s="298"/>
      <c r="W49" s="4"/>
      <c r="X49" s="297"/>
      <c r="Y49" s="298"/>
    </row>
    <row r="50" spans="2:25" x14ac:dyDescent="0.2">
      <c r="B50" s="15" t="s">
        <v>11</v>
      </c>
      <c r="C50" s="15"/>
      <c r="D50" s="19">
        <f t="shared" ref="D50:H55" si="24">D6*$L6</f>
        <v>105423.70370370369</v>
      </c>
      <c r="E50" s="19">
        <f t="shared" si="24"/>
        <v>105423.70370370369</v>
      </c>
      <c r="F50" s="19">
        <f t="shared" si="24"/>
        <v>105423.70370370369</v>
      </c>
      <c r="G50" s="19">
        <f t="shared" si="24"/>
        <v>105423.70370370369</v>
      </c>
      <c r="H50" s="19">
        <f t="shared" si="24"/>
        <v>105423.70370370369</v>
      </c>
      <c r="J50" s="318">
        <f>D50</f>
        <v>105423.70370370369</v>
      </c>
      <c r="K50" s="291"/>
      <c r="L50" s="319">
        <f>J50</f>
        <v>105423.70370370369</v>
      </c>
      <c r="O50" s="318">
        <f>$E50</f>
        <v>105423.70370370369</v>
      </c>
      <c r="P50" s="319">
        <f t="shared" ref="P50:P55" si="25">O50</f>
        <v>105423.70370370369</v>
      </c>
      <c r="R50" s="318">
        <f t="shared" ref="R50:R55" si="26">$F50</f>
        <v>105423.70370370369</v>
      </c>
      <c r="S50" s="319">
        <f t="shared" ref="S50:S55" si="27">R50</f>
        <v>105423.70370370369</v>
      </c>
      <c r="U50" s="318">
        <f t="shared" ref="U50:U55" si="28">$G50</f>
        <v>105423.70370370369</v>
      </c>
      <c r="V50" s="319">
        <f t="shared" ref="V50:V55" si="29">U50</f>
        <v>105423.70370370369</v>
      </c>
      <c r="W50" s="4"/>
      <c r="X50" s="318">
        <f t="shared" ref="X50:X55" si="30">$H50</f>
        <v>105423.70370370369</v>
      </c>
      <c r="Y50" s="319">
        <f t="shared" ref="Y50:Y55" si="31">X50</f>
        <v>105423.70370370369</v>
      </c>
    </row>
    <row r="51" spans="2:25" x14ac:dyDescent="0.2">
      <c r="B51" s="15" t="s">
        <v>12</v>
      </c>
      <c r="C51" s="15"/>
      <c r="D51" s="19">
        <f t="shared" si="24"/>
        <v>4186.5111111111109</v>
      </c>
      <c r="E51" s="19">
        <f t="shared" si="24"/>
        <v>4186.5111111111109</v>
      </c>
      <c r="F51" s="19">
        <f t="shared" si="24"/>
        <v>4186.5111111111109</v>
      </c>
      <c r="G51" s="19">
        <f t="shared" si="24"/>
        <v>4186.5111111111109</v>
      </c>
      <c r="H51" s="19">
        <f t="shared" si="24"/>
        <v>4186.5111111111109</v>
      </c>
      <c r="J51" s="315">
        <f t="shared" ref="J51:J55" si="32">D51</f>
        <v>4186.5111111111109</v>
      </c>
      <c r="K51" s="296"/>
      <c r="L51" s="314">
        <f t="shared" ref="L51:L55" si="33">J51</f>
        <v>4186.5111111111109</v>
      </c>
      <c r="O51" s="318">
        <f t="shared" ref="O51:O55" si="34">$E51</f>
        <v>4186.5111111111109</v>
      </c>
      <c r="P51" s="314">
        <f t="shared" si="25"/>
        <v>4186.5111111111109</v>
      </c>
      <c r="R51" s="318">
        <f t="shared" si="26"/>
        <v>4186.5111111111109</v>
      </c>
      <c r="S51" s="314">
        <f t="shared" si="27"/>
        <v>4186.5111111111109</v>
      </c>
      <c r="U51" s="318">
        <f t="shared" si="28"/>
        <v>4186.5111111111109</v>
      </c>
      <c r="V51" s="314">
        <f t="shared" si="29"/>
        <v>4186.5111111111109</v>
      </c>
      <c r="W51" s="4"/>
      <c r="X51" s="318">
        <f t="shared" si="30"/>
        <v>4186.5111111111109</v>
      </c>
      <c r="Y51" s="314">
        <f t="shared" si="31"/>
        <v>4186.5111111111109</v>
      </c>
    </row>
    <row r="52" spans="2:25" x14ac:dyDescent="0.2">
      <c r="B52" s="15" t="s">
        <v>13</v>
      </c>
      <c r="C52" s="15"/>
      <c r="D52" s="19">
        <f t="shared" si="24"/>
        <v>11740.813333333332</v>
      </c>
      <c r="E52" s="19">
        <f t="shared" si="24"/>
        <v>11740.813333333332</v>
      </c>
      <c r="F52" s="19">
        <f t="shared" si="24"/>
        <v>11740.813333333332</v>
      </c>
      <c r="G52" s="19">
        <f t="shared" si="24"/>
        <v>11740.813333333332</v>
      </c>
      <c r="H52" s="19">
        <f t="shared" si="24"/>
        <v>11740.813333333332</v>
      </c>
      <c r="J52" s="294">
        <f t="shared" si="32"/>
        <v>11740.813333333332</v>
      </c>
      <c r="K52" s="168"/>
      <c r="L52" s="295">
        <f t="shared" si="33"/>
        <v>11740.813333333332</v>
      </c>
      <c r="O52" s="318">
        <f t="shared" si="34"/>
        <v>11740.813333333332</v>
      </c>
      <c r="P52" s="295">
        <f t="shared" si="25"/>
        <v>11740.813333333332</v>
      </c>
      <c r="R52" s="318">
        <f t="shared" si="26"/>
        <v>11740.813333333332</v>
      </c>
      <c r="S52" s="295">
        <f t="shared" si="27"/>
        <v>11740.813333333332</v>
      </c>
      <c r="U52" s="318">
        <f t="shared" si="28"/>
        <v>11740.813333333332</v>
      </c>
      <c r="V52" s="295">
        <f t="shared" si="29"/>
        <v>11740.813333333332</v>
      </c>
      <c r="W52" s="4"/>
      <c r="X52" s="318">
        <f t="shared" si="30"/>
        <v>11740.813333333332</v>
      </c>
      <c r="Y52" s="295">
        <f t="shared" si="31"/>
        <v>11740.813333333332</v>
      </c>
    </row>
    <row r="53" spans="2:25" x14ac:dyDescent="0.2">
      <c r="B53" s="15" t="s">
        <v>14</v>
      </c>
      <c r="C53" s="15"/>
      <c r="D53" s="19">
        <f t="shared" si="24"/>
        <v>3136.2444444444445</v>
      </c>
      <c r="E53" s="19">
        <f t="shared" si="24"/>
        <v>3136.2444444444445</v>
      </c>
      <c r="F53" s="19">
        <f t="shared" si="24"/>
        <v>3136.2444444444445</v>
      </c>
      <c r="G53" s="19">
        <f t="shared" si="24"/>
        <v>3136.2444444444445</v>
      </c>
      <c r="H53" s="19">
        <f t="shared" si="24"/>
        <v>3136.2444444444445</v>
      </c>
      <c r="J53" s="315">
        <f t="shared" si="32"/>
        <v>3136.2444444444445</v>
      </c>
      <c r="K53" s="296"/>
      <c r="L53" s="314">
        <f t="shared" si="33"/>
        <v>3136.2444444444445</v>
      </c>
      <c r="O53" s="318">
        <f t="shared" si="34"/>
        <v>3136.2444444444445</v>
      </c>
      <c r="P53" s="314">
        <f t="shared" si="25"/>
        <v>3136.2444444444445</v>
      </c>
      <c r="R53" s="318">
        <f t="shared" si="26"/>
        <v>3136.2444444444445</v>
      </c>
      <c r="S53" s="314">
        <f t="shared" si="27"/>
        <v>3136.2444444444445</v>
      </c>
      <c r="U53" s="318">
        <f t="shared" si="28"/>
        <v>3136.2444444444445</v>
      </c>
      <c r="V53" s="314">
        <f t="shared" si="29"/>
        <v>3136.2444444444445</v>
      </c>
      <c r="W53" s="4"/>
      <c r="X53" s="318">
        <f t="shared" si="30"/>
        <v>3136.2444444444445</v>
      </c>
      <c r="Y53" s="314">
        <f t="shared" si="31"/>
        <v>3136.2444444444445</v>
      </c>
    </row>
    <row r="54" spans="2:25" x14ac:dyDescent="0.2">
      <c r="B54" s="15" t="s">
        <v>15</v>
      </c>
      <c r="C54" s="15"/>
      <c r="D54" s="19">
        <f t="shared" si="24"/>
        <v>18058.677777777775</v>
      </c>
      <c r="E54" s="19">
        <f t="shared" si="24"/>
        <v>17845.070370370369</v>
      </c>
      <c r="F54" s="19">
        <f t="shared" si="24"/>
        <v>17633.374074074072</v>
      </c>
      <c r="G54" s="19">
        <f t="shared" si="24"/>
        <v>17423.559259259258</v>
      </c>
      <c r="H54" s="19">
        <f t="shared" si="24"/>
        <v>17215.611111111109</v>
      </c>
      <c r="J54" s="294">
        <f t="shared" si="32"/>
        <v>18058.677777777775</v>
      </c>
      <c r="K54" s="168"/>
      <c r="L54" s="295">
        <f t="shared" si="33"/>
        <v>18058.677777777775</v>
      </c>
      <c r="O54" s="318">
        <f t="shared" si="34"/>
        <v>17845.070370370369</v>
      </c>
      <c r="P54" s="295">
        <f t="shared" si="25"/>
        <v>17845.070370370369</v>
      </c>
      <c r="R54" s="318">
        <f t="shared" si="26"/>
        <v>17633.374074074072</v>
      </c>
      <c r="S54" s="295">
        <f t="shared" si="27"/>
        <v>17633.374074074072</v>
      </c>
      <c r="U54" s="318">
        <f t="shared" si="28"/>
        <v>17423.559259259258</v>
      </c>
      <c r="V54" s="295">
        <f t="shared" si="29"/>
        <v>17423.559259259258</v>
      </c>
      <c r="W54" s="4"/>
      <c r="X54" s="318">
        <f t="shared" si="30"/>
        <v>17215.611111111109</v>
      </c>
      <c r="Y54" s="295">
        <f t="shared" si="31"/>
        <v>17215.611111111109</v>
      </c>
    </row>
    <row r="55" spans="2:25" x14ac:dyDescent="0.2">
      <c r="B55" s="15" t="s">
        <v>133</v>
      </c>
      <c r="C55" s="15"/>
      <c r="D55" s="19">
        <f t="shared" si="24"/>
        <v>25204.096222222222</v>
      </c>
      <c r="E55" s="19">
        <f t="shared" si="24"/>
        <v>25204.096222222222</v>
      </c>
      <c r="F55" s="19">
        <f t="shared" si="24"/>
        <v>25204.096222222222</v>
      </c>
      <c r="G55" s="19">
        <f t="shared" si="24"/>
        <v>25204.096222222222</v>
      </c>
      <c r="H55" s="19">
        <f t="shared" si="24"/>
        <v>25204.096222222222</v>
      </c>
      <c r="J55" s="315">
        <f t="shared" si="32"/>
        <v>25204.096222222222</v>
      </c>
      <c r="K55" s="296"/>
      <c r="L55" s="314">
        <f t="shared" si="33"/>
        <v>25204.096222222222</v>
      </c>
      <c r="O55" s="318">
        <f t="shared" si="34"/>
        <v>25204.096222222222</v>
      </c>
      <c r="P55" s="319">
        <f t="shared" si="25"/>
        <v>25204.096222222222</v>
      </c>
      <c r="R55" s="318">
        <f t="shared" si="26"/>
        <v>25204.096222222222</v>
      </c>
      <c r="S55" s="319">
        <f t="shared" si="27"/>
        <v>25204.096222222222</v>
      </c>
      <c r="U55" s="318">
        <f t="shared" si="28"/>
        <v>25204.096222222222</v>
      </c>
      <c r="V55" s="319">
        <f t="shared" si="29"/>
        <v>25204.096222222222</v>
      </c>
      <c r="W55" s="4"/>
      <c r="X55" s="318">
        <f t="shared" si="30"/>
        <v>25204.096222222222</v>
      </c>
      <c r="Y55" s="319">
        <f t="shared" si="31"/>
        <v>25204.096222222222</v>
      </c>
    </row>
    <row r="56" spans="2:25" s="5" customFormat="1" x14ac:dyDescent="0.2">
      <c r="B56" s="14"/>
      <c r="C56" s="14"/>
      <c r="D56" s="235">
        <f>SUM(D50:D55)</f>
        <v>167750.04659259258</v>
      </c>
      <c r="E56" s="235">
        <f>SUM(E50:E55)</f>
        <v>167536.43918518515</v>
      </c>
      <c r="F56" s="235">
        <f>SUM(F50:F55)</f>
        <v>167324.74288888887</v>
      </c>
      <c r="G56" s="235">
        <f>SUM(G50:G55)</f>
        <v>167114.92807407407</v>
      </c>
      <c r="H56" s="235">
        <f>SUM(H50:H55)</f>
        <v>166906.9799259259</v>
      </c>
      <c r="J56" s="321">
        <f t="shared" ref="J56:L56" si="35">SUM(J50:J55)</f>
        <v>167750.04659259258</v>
      </c>
      <c r="K56" s="322">
        <f t="shared" si="35"/>
        <v>0</v>
      </c>
      <c r="L56" s="323">
        <f t="shared" si="35"/>
        <v>167750.04659259258</v>
      </c>
      <c r="O56" s="316">
        <f t="shared" ref="O56" si="36">SUM(O50:O55)</f>
        <v>167536.43918518515</v>
      </c>
      <c r="P56" s="317">
        <f t="shared" ref="P56" si="37">SUM(P50:P55)</f>
        <v>167536.43918518515</v>
      </c>
      <c r="R56" s="316">
        <f t="shared" ref="R56" si="38">SUM(R50:R55)</f>
        <v>167324.74288888887</v>
      </c>
      <c r="S56" s="317">
        <f t="shared" ref="S56" si="39">SUM(S50:S55)</f>
        <v>167324.74288888887</v>
      </c>
      <c r="U56" s="316">
        <f t="shared" ref="U56" si="40">SUM(U50:U55)</f>
        <v>167114.92807407407</v>
      </c>
      <c r="V56" s="317">
        <f t="shared" ref="V56" si="41">SUM(V50:V55)</f>
        <v>167114.92807407407</v>
      </c>
      <c r="X56" s="316">
        <f t="shared" ref="X56" si="42">SUM(X50:X55)</f>
        <v>166906.9799259259</v>
      </c>
      <c r="Y56" s="317">
        <f t="shared" ref="Y56" si="43">SUM(Y50:Y55)</f>
        <v>166906.9799259259</v>
      </c>
    </row>
    <row r="57" spans="2:25" s="5" customFormat="1" x14ac:dyDescent="0.2">
      <c r="B57" s="171"/>
      <c r="C57" s="171"/>
      <c r="D57" s="240"/>
      <c r="E57" s="240"/>
      <c r="F57" s="240"/>
      <c r="G57" s="240"/>
      <c r="H57" s="240"/>
    </row>
    <row r="58" spans="2:25" s="5" customFormat="1" x14ac:dyDescent="0.2">
      <c r="B58" s="20" t="s">
        <v>198</v>
      </c>
      <c r="C58" s="21"/>
      <c r="D58" s="21"/>
      <c r="E58" s="21"/>
      <c r="F58" s="21"/>
      <c r="G58" s="21"/>
      <c r="H58" s="21"/>
      <c r="J58" s="299"/>
      <c r="K58" s="306"/>
      <c r="L58" s="302"/>
      <c r="O58" s="299"/>
      <c r="P58" s="302"/>
      <c r="R58" s="299"/>
      <c r="S58" s="302"/>
      <c r="U58" s="299"/>
      <c r="V58" s="302"/>
      <c r="X58" s="299"/>
      <c r="Y58" s="302"/>
    </row>
    <row r="59" spans="2:25" s="5" customFormat="1" x14ac:dyDescent="0.2">
      <c r="B59" s="241"/>
      <c r="C59" s="241"/>
      <c r="D59" s="242"/>
      <c r="E59" s="242"/>
      <c r="F59" s="242"/>
      <c r="G59" s="242"/>
      <c r="H59" s="242"/>
      <c r="J59" s="324"/>
      <c r="K59" s="325"/>
      <c r="L59" s="326"/>
      <c r="O59" s="324"/>
      <c r="P59" s="326"/>
      <c r="R59" s="324"/>
      <c r="S59" s="326"/>
      <c r="U59" s="324"/>
      <c r="V59" s="326"/>
      <c r="X59" s="324"/>
      <c r="Y59" s="326"/>
    </row>
    <row r="60" spans="2:25" s="5" customFormat="1" x14ac:dyDescent="0.2">
      <c r="B60" s="243" t="s">
        <v>194</v>
      </c>
      <c r="C60" s="241"/>
      <c r="D60" s="242"/>
      <c r="E60" s="244">
        <f t="shared" ref="E60:H63" si="44">E17*$J17</f>
        <v>991.60863007832984</v>
      </c>
      <c r="F60" s="244">
        <f t="shared" si="44"/>
        <v>1780.6537945312134</v>
      </c>
      <c r="G60" s="244">
        <f t="shared" si="44"/>
        <v>2605.2842360576383</v>
      </c>
      <c r="H60" s="244">
        <f t="shared" si="44"/>
        <v>3375.2054652792972</v>
      </c>
      <c r="J60" s="315">
        <f>D60</f>
        <v>0</v>
      </c>
      <c r="K60" s="296"/>
      <c r="L60" s="314">
        <f>J60</f>
        <v>0</v>
      </c>
      <c r="O60" s="315">
        <f>$E60</f>
        <v>991.60863007832984</v>
      </c>
      <c r="P60" s="314">
        <f>O60</f>
        <v>991.60863007832984</v>
      </c>
      <c r="R60" s="315">
        <f>$F60</f>
        <v>1780.6537945312134</v>
      </c>
      <c r="S60" s="314">
        <f>R60</f>
        <v>1780.6537945312134</v>
      </c>
      <c r="U60" s="315">
        <f>$G60</f>
        <v>2605.2842360576383</v>
      </c>
      <c r="V60" s="314">
        <f>U60</f>
        <v>2605.2842360576383</v>
      </c>
      <c r="X60" s="315">
        <f>$H60</f>
        <v>3375.2054652792972</v>
      </c>
      <c r="Y60" s="314">
        <f>X60</f>
        <v>3375.2054652792972</v>
      </c>
    </row>
    <row r="61" spans="2:25" s="5" customFormat="1" x14ac:dyDescent="0.2">
      <c r="B61" s="243" t="s">
        <v>195</v>
      </c>
      <c r="C61" s="241"/>
      <c r="D61" s="242"/>
      <c r="E61" s="244">
        <f t="shared" si="44"/>
        <v>626.73534807251292</v>
      </c>
      <c r="F61" s="244">
        <f t="shared" si="44"/>
        <v>1169.9732877601346</v>
      </c>
      <c r="G61" s="244">
        <f t="shared" si="44"/>
        <v>1718.4075455371433</v>
      </c>
      <c r="H61" s="244">
        <f t="shared" si="44"/>
        <v>2272.6616795742657</v>
      </c>
      <c r="J61" s="315">
        <f t="shared" ref="J61:J63" si="45">D61</f>
        <v>0</v>
      </c>
      <c r="K61" s="296"/>
      <c r="L61" s="314">
        <f t="shared" ref="L61:L63" si="46">J61</f>
        <v>0</v>
      </c>
      <c r="O61" s="315">
        <f t="shared" ref="O61:O63" si="47">$E61</f>
        <v>626.73534807251292</v>
      </c>
      <c r="P61" s="314">
        <f>O61</f>
        <v>626.73534807251292</v>
      </c>
      <c r="R61" s="315">
        <f>$F61</f>
        <v>1169.9732877601346</v>
      </c>
      <c r="S61" s="314">
        <f>R61</f>
        <v>1169.9732877601346</v>
      </c>
      <c r="U61" s="315">
        <f>$G61</f>
        <v>1718.4075455371433</v>
      </c>
      <c r="V61" s="314">
        <f>U61</f>
        <v>1718.4075455371433</v>
      </c>
      <c r="X61" s="315">
        <f>$H61</f>
        <v>2272.6616795742657</v>
      </c>
      <c r="Y61" s="314">
        <f>X61</f>
        <v>2272.6616795742657</v>
      </c>
    </row>
    <row r="62" spans="2:25" s="5" customFormat="1" x14ac:dyDescent="0.2">
      <c r="B62" s="243" t="s">
        <v>201</v>
      </c>
      <c r="C62" s="241"/>
      <c r="D62" s="242"/>
      <c r="E62" s="244">
        <f t="shared" si="44"/>
        <v>162.24635486522737</v>
      </c>
      <c r="F62" s="244">
        <f t="shared" si="44"/>
        <v>324.49270973045475</v>
      </c>
      <c r="G62" s="244">
        <f t="shared" si="44"/>
        <v>486.73906459568207</v>
      </c>
      <c r="H62" s="244">
        <f t="shared" si="44"/>
        <v>648.9854194609095</v>
      </c>
      <c r="J62" s="294">
        <f t="shared" si="45"/>
        <v>0</v>
      </c>
      <c r="K62" s="168"/>
      <c r="L62" s="295">
        <f t="shared" si="46"/>
        <v>0</v>
      </c>
      <c r="O62" s="294">
        <f t="shared" si="47"/>
        <v>162.24635486522737</v>
      </c>
      <c r="P62" s="295">
        <f>O62</f>
        <v>162.24635486522737</v>
      </c>
      <c r="R62" s="294">
        <f>$F62</f>
        <v>324.49270973045475</v>
      </c>
      <c r="S62" s="295">
        <f>R62</f>
        <v>324.49270973045475</v>
      </c>
      <c r="U62" s="294">
        <f>$G62</f>
        <v>486.73906459568207</v>
      </c>
      <c r="V62" s="295">
        <f>U62</f>
        <v>486.73906459568207</v>
      </c>
      <c r="X62" s="294">
        <f>$H62</f>
        <v>648.9854194609095</v>
      </c>
      <c r="Y62" s="295">
        <f>X62</f>
        <v>648.9854194609095</v>
      </c>
    </row>
    <row r="63" spans="2:25" s="5" customFormat="1" x14ac:dyDescent="0.2">
      <c r="B63" s="243" t="s">
        <v>202</v>
      </c>
      <c r="C63" s="241"/>
      <c r="D63" s="242"/>
      <c r="E63" s="244">
        <f t="shared" si="44"/>
        <v>3832.772610911607</v>
      </c>
      <c r="F63" s="244">
        <f t="shared" si="44"/>
        <v>7685.4184630294612</v>
      </c>
      <c r="G63" s="244">
        <f t="shared" si="44"/>
        <v>10952.804514169502</v>
      </c>
      <c r="H63" s="244">
        <f t="shared" si="44"/>
        <v>14200.447370397613</v>
      </c>
      <c r="J63" s="315">
        <f t="shared" si="45"/>
        <v>0</v>
      </c>
      <c r="K63" s="296"/>
      <c r="L63" s="314">
        <f t="shared" si="46"/>
        <v>0</v>
      </c>
      <c r="O63" s="315">
        <f t="shared" si="47"/>
        <v>3832.772610911607</v>
      </c>
      <c r="P63" s="314">
        <f>O63</f>
        <v>3832.772610911607</v>
      </c>
      <c r="R63" s="315">
        <f>$F63</f>
        <v>7685.4184630294612</v>
      </c>
      <c r="S63" s="314">
        <f>R63</f>
        <v>7685.4184630294612</v>
      </c>
      <c r="U63" s="315">
        <f>$G63</f>
        <v>10952.804514169502</v>
      </c>
      <c r="V63" s="314">
        <f>U63</f>
        <v>10952.804514169502</v>
      </c>
      <c r="X63" s="315">
        <f>$H63</f>
        <v>14200.447370397613</v>
      </c>
      <c r="Y63" s="314">
        <f>X63</f>
        <v>14200.447370397613</v>
      </c>
    </row>
    <row r="64" spans="2:25" s="5" customFormat="1" x14ac:dyDescent="0.2">
      <c r="B64" s="241" t="s">
        <v>200</v>
      </c>
      <c r="C64" s="241"/>
      <c r="D64" s="242"/>
      <c r="E64" s="242">
        <f>SUM(E60:E63)</f>
        <v>5613.3629439276774</v>
      </c>
      <c r="F64" s="242">
        <f>SUM(F60:F63)</f>
        <v>10960.538255051264</v>
      </c>
      <c r="G64" s="242">
        <f>SUM(G60:G63)</f>
        <v>15763.235360359966</v>
      </c>
      <c r="H64" s="242">
        <f>SUM(H60:H63)</f>
        <v>20497.299934712086</v>
      </c>
      <c r="J64" s="316">
        <f t="shared" ref="J64:L64" si="48">SUM(J60:J63)</f>
        <v>0</v>
      </c>
      <c r="K64" s="347">
        <f t="shared" si="48"/>
        <v>0</v>
      </c>
      <c r="L64" s="317">
        <f t="shared" si="48"/>
        <v>0</v>
      </c>
      <c r="O64" s="316">
        <f t="shared" ref="O64" si="49">SUM(O60:O63)</f>
        <v>5613.3629439276774</v>
      </c>
      <c r="P64" s="317">
        <f t="shared" ref="P64" si="50">SUM(P60:P63)</f>
        <v>5613.3629439276774</v>
      </c>
      <c r="R64" s="316">
        <f t="shared" ref="R64" si="51">SUM(R60:R63)</f>
        <v>10960.538255051264</v>
      </c>
      <c r="S64" s="317">
        <f t="shared" ref="S64" si="52">SUM(S60:S63)</f>
        <v>10960.538255051264</v>
      </c>
      <c r="U64" s="316">
        <f t="shared" ref="U64" si="53">SUM(U60:U63)</f>
        <v>15763.235360359966</v>
      </c>
      <c r="V64" s="317">
        <f t="shared" ref="V64" si="54">SUM(V60:V63)</f>
        <v>15763.235360359966</v>
      </c>
      <c r="X64" s="316">
        <f t="shared" ref="X64" si="55">SUM(X60:X63)</f>
        <v>20497.299934712086</v>
      </c>
      <c r="Y64" s="317">
        <f t="shared" ref="Y64" si="56">SUM(Y60:Y63)</f>
        <v>20497.299934712086</v>
      </c>
    </row>
    <row r="65" spans="2:34" s="5" customFormat="1" x14ac:dyDescent="0.2">
      <c r="B65" s="171"/>
      <c r="C65" s="171"/>
      <c r="D65" s="240"/>
      <c r="E65" s="240"/>
      <c r="F65" s="240"/>
      <c r="G65" s="240"/>
      <c r="H65" s="240"/>
      <c r="J65" s="308"/>
      <c r="K65" s="168"/>
      <c r="L65" s="308"/>
      <c r="O65" s="308"/>
      <c r="P65" s="308"/>
      <c r="R65" s="308"/>
      <c r="S65" s="308"/>
      <c r="U65" s="308"/>
      <c r="V65" s="308"/>
      <c r="X65" s="308"/>
      <c r="Y65" s="308"/>
    </row>
    <row r="66" spans="2:34" s="5" customFormat="1" x14ac:dyDescent="0.2">
      <c r="B66" s="20" t="s">
        <v>199</v>
      </c>
      <c r="C66" s="21"/>
      <c r="D66" s="21"/>
      <c r="E66" s="21"/>
      <c r="F66" s="21"/>
      <c r="G66" s="21"/>
      <c r="H66" s="21"/>
      <c r="J66" s="299"/>
      <c r="K66" s="306"/>
      <c r="L66" s="302"/>
      <c r="O66" s="299"/>
      <c r="P66" s="302"/>
      <c r="R66" s="299"/>
      <c r="S66" s="302"/>
      <c r="U66" s="299"/>
      <c r="V66" s="302"/>
      <c r="X66" s="299"/>
      <c r="Y66" s="302"/>
    </row>
    <row r="67" spans="2:34" s="5" customFormat="1" x14ac:dyDescent="0.2">
      <c r="B67" s="241"/>
      <c r="C67" s="241"/>
      <c r="D67" s="242"/>
      <c r="E67" s="242"/>
      <c r="F67" s="242"/>
      <c r="G67" s="242"/>
      <c r="H67" s="242"/>
      <c r="J67" s="324"/>
      <c r="K67" s="325"/>
      <c r="L67" s="326"/>
      <c r="O67" s="324"/>
      <c r="P67" s="326"/>
      <c r="R67" s="324"/>
      <c r="S67" s="326"/>
      <c r="U67" s="324"/>
      <c r="V67" s="326"/>
      <c r="X67" s="324"/>
      <c r="Y67" s="326"/>
    </row>
    <row r="68" spans="2:34" s="5" customFormat="1" x14ac:dyDescent="0.2">
      <c r="B68" s="243" t="s">
        <v>194</v>
      </c>
      <c r="C68" s="241"/>
      <c r="D68" s="242"/>
      <c r="E68" s="244">
        <f t="shared" ref="E68:H71" si="57">E17*$L17</f>
        <v>785.7668235294268</v>
      </c>
      <c r="F68" s="244">
        <f t="shared" si="57"/>
        <v>1411.0190588235275</v>
      </c>
      <c r="G68" s="244">
        <f t="shared" si="57"/>
        <v>2064.4696470588306</v>
      </c>
      <c r="H68" s="244">
        <f t="shared" si="57"/>
        <v>2674.5677647058965</v>
      </c>
      <c r="J68" s="315">
        <f t="shared" ref="J68:J71" si="58">D68</f>
        <v>0</v>
      </c>
      <c r="K68" s="296"/>
      <c r="L68" s="314">
        <f t="shared" ref="L68:L71" si="59">J68</f>
        <v>0</v>
      </c>
      <c r="O68" s="315">
        <f>$E68</f>
        <v>785.7668235294268</v>
      </c>
      <c r="P68" s="314">
        <f>O68</f>
        <v>785.7668235294268</v>
      </c>
      <c r="R68" s="315">
        <f>$F68</f>
        <v>1411.0190588235275</v>
      </c>
      <c r="S68" s="314">
        <f>R68</f>
        <v>1411.0190588235275</v>
      </c>
      <c r="U68" s="315">
        <f>$G68</f>
        <v>2064.4696470588306</v>
      </c>
      <c r="V68" s="314">
        <f>U68</f>
        <v>2064.4696470588306</v>
      </c>
      <c r="X68" s="315">
        <f>$H68</f>
        <v>2674.5677647058965</v>
      </c>
      <c r="Y68" s="314">
        <f>X68</f>
        <v>2674.5677647058965</v>
      </c>
    </row>
    <row r="69" spans="2:34" s="5" customFormat="1" x14ac:dyDescent="0.2">
      <c r="B69" s="243" t="s">
        <v>195</v>
      </c>
      <c r="C69" s="241"/>
      <c r="D69" s="242"/>
      <c r="E69" s="244">
        <f t="shared" si="57"/>
        <v>744.95294117647029</v>
      </c>
      <c r="F69" s="244">
        <f t="shared" si="57"/>
        <v>1390.6588235294114</v>
      </c>
      <c r="G69" s="244">
        <f t="shared" si="57"/>
        <v>2042.541176470588</v>
      </c>
      <c r="H69" s="244">
        <f t="shared" si="57"/>
        <v>2701.3411764705888</v>
      </c>
      <c r="J69" s="294">
        <f t="shared" si="58"/>
        <v>0</v>
      </c>
      <c r="K69" s="168"/>
      <c r="L69" s="295">
        <f t="shared" si="59"/>
        <v>0</v>
      </c>
      <c r="O69" s="315">
        <f t="shared" ref="O69:O71" si="60">$E69</f>
        <v>744.95294117647029</v>
      </c>
      <c r="P69" s="295">
        <f>O69</f>
        <v>744.95294117647029</v>
      </c>
      <c r="R69" s="315">
        <f>$F69</f>
        <v>1390.6588235294114</v>
      </c>
      <c r="S69" s="295">
        <f>R69</f>
        <v>1390.6588235294114</v>
      </c>
      <c r="U69" s="315">
        <f>$G69</f>
        <v>2042.541176470588</v>
      </c>
      <c r="V69" s="295">
        <f>U69</f>
        <v>2042.541176470588</v>
      </c>
      <c r="X69" s="315">
        <f>$H69</f>
        <v>2701.3411764705888</v>
      </c>
      <c r="Y69" s="295">
        <f>X69</f>
        <v>2701.3411764705888</v>
      </c>
    </row>
    <row r="70" spans="2:34" s="5" customFormat="1" x14ac:dyDescent="0.2">
      <c r="B70" s="243" t="s">
        <v>201</v>
      </c>
      <c r="C70" s="241"/>
      <c r="D70" s="242"/>
      <c r="E70" s="244">
        <f t="shared" si="57"/>
        <v>70.588235294117652</v>
      </c>
      <c r="F70" s="244">
        <f t="shared" si="57"/>
        <v>141.1764705882353</v>
      </c>
      <c r="G70" s="244">
        <f t="shared" si="57"/>
        <v>211.76470588235296</v>
      </c>
      <c r="H70" s="244">
        <f t="shared" si="57"/>
        <v>282.35294117647061</v>
      </c>
      <c r="J70" s="315">
        <f t="shared" si="58"/>
        <v>0</v>
      </c>
      <c r="K70" s="296"/>
      <c r="L70" s="314">
        <f t="shared" si="59"/>
        <v>0</v>
      </c>
      <c r="O70" s="315">
        <f t="shared" si="60"/>
        <v>70.588235294117652</v>
      </c>
      <c r="P70" s="314">
        <f>O70</f>
        <v>70.588235294117652</v>
      </c>
      <c r="R70" s="315">
        <f>$F70</f>
        <v>141.1764705882353</v>
      </c>
      <c r="S70" s="314">
        <f>R70</f>
        <v>141.1764705882353</v>
      </c>
      <c r="U70" s="315">
        <f>$G70</f>
        <v>211.76470588235296</v>
      </c>
      <c r="V70" s="314">
        <f>U70</f>
        <v>211.76470588235296</v>
      </c>
      <c r="X70" s="315">
        <f>$H70</f>
        <v>282.35294117647061</v>
      </c>
      <c r="Y70" s="314">
        <f>X70</f>
        <v>282.35294117647061</v>
      </c>
    </row>
    <row r="71" spans="2:34" s="5" customFormat="1" x14ac:dyDescent="0.2">
      <c r="B71" s="243" t="s">
        <v>202</v>
      </c>
      <c r="C71" s="241"/>
      <c r="D71" s="242"/>
      <c r="E71" s="244">
        <f t="shared" si="57"/>
        <v>4992.9663529411755</v>
      </c>
      <c r="F71" s="244">
        <f t="shared" si="57"/>
        <v>10011.821647058821</v>
      </c>
      <c r="G71" s="244">
        <f t="shared" si="57"/>
        <v>14268.256941176458</v>
      </c>
      <c r="H71" s="244">
        <f t="shared" si="57"/>
        <v>18498.972705882356</v>
      </c>
      <c r="J71" s="294">
        <f t="shared" si="58"/>
        <v>0</v>
      </c>
      <c r="K71" s="168"/>
      <c r="L71" s="295">
        <f t="shared" si="59"/>
        <v>0</v>
      </c>
      <c r="O71" s="315">
        <f t="shared" si="60"/>
        <v>4992.9663529411755</v>
      </c>
      <c r="P71" s="295">
        <f>O71</f>
        <v>4992.9663529411755</v>
      </c>
      <c r="R71" s="315">
        <f>$F71</f>
        <v>10011.821647058821</v>
      </c>
      <c r="S71" s="295">
        <f>R71</f>
        <v>10011.821647058821</v>
      </c>
      <c r="U71" s="315">
        <f>$G71</f>
        <v>14268.256941176458</v>
      </c>
      <c r="V71" s="295">
        <f>U71</f>
        <v>14268.256941176458</v>
      </c>
      <c r="X71" s="315">
        <f>$H71</f>
        <v>18498.972705882356</v>
      </c>
      <c r="Y71" s="295">
        <f>X71</f>
        <v>18498.972705882356</v>
      </c>
    </row>
    <row r="72" spans="2:34" s="5" customFormat="1" x14ac:dyDescent="0.2">
      <c r="B72" s="241" t="s">
        <v>200</v>
      </c>
      <c r="C72" s="241"/>
      <c r="D72" s="242"/>
      <c r="E72" s="242">
        <f>SUM(E68:E71)</f>
        <v>6594.27435294119</v>
      </c>
      <c r="F72" s="242">
        <f>SUM(F68:F71)</f>
        <v>12954.675999999996</v>
      </c>
      <c r="G72" s="242">
        <f>SUM(G68:G71)</f>
        <v>18587.03247058823</v>
      </c>
      <c r="H72" s="242">
        <f>SUM(H68:H71)</f>
        <v>24157.234588235311</v>
      </c>
      <c r="J72" s="315">
        <f t="shared" ref="J72:L72" si="61">SUM(J68:J71)</f>
        <v>0</v>
      </c>
      <c r="K72" s="296">
        <f t="shared" si="61"/>
        <v>0</v>
      </c>
      <c r="L72" s="314">
        <f t="shared" si="61"/>
        <v>0</v>
      </c>
      <c r="O72" s="316">
        <f t="shared" ref="O72" si="62">SUM(O68:O71)</f>
        <v>6594.27435294119</v>
      </c>
      <c r="P72" s="317">
        <f t="shared" ref="P72" si="63">SUM(P68:P71)</f>
        <v>6594.27435294119</v>
      </c>
      <c r="R72" s="316">
        <f t="shared" ref="R72" si="64">SUM(R68:R71)</f>
        <v>12954.675999999996</v>
      </c>
      <c r="S72" s="317">
        <f t="shared" ref="S72" si="65">SUM(S68:S71)</f>
        <v>12954.675999999996</v>
      </c>
      <c r="U72" s="316">
        <f t="shared" ref="U72" si="66">SUM(U68:U71)</f>
        <v>18587.03247058823</v>
      </c>
      <c r="V72" s="317">
        <f t="shared" ref="V72" si="67">SUM(V68:V71)</f>
        <v>18587.03247058823</v>
      </c>
      <c r="X72" s="316">
        <f t="shared" ref="X72" si="68">SUM(X68:X71)</f>
        <v>24157.234588235311</v>
      </c>
      <c r="Y72" s="317">
        <f t="shared" ref="Y72" si="69">SUM(Y68:Y71)</f>
        <v>24157.234588235311</v>
      </c>
    </row>
    <row r="73" spans="2:34" s="5" customFormat="1" x14ac:dyDescent="0.2">
      <c r="B73" s="171"/>
      <c r="C73" s="171"/>
      <c r="D73" s="240"/>
      <c r="E73" s="240"/>
      <c r="F73" s="240"/>
      <c r="G73" s="240"/>
      <c r="H73" s="240"/>
      <c r="AD73" s="286"/>
    </row>
    <row r="74" spans="2:34" s="4" customFormat="1" x14ac:dyDescent="0.2">
      <c r="D74" s="7"/>
      <c r="E74" s="7"/>
      <c r="F74" s="7"/>
      <c r="G74" s="7"/>
      <c r="H74" s="7"/>
      <c r="I74" s="62"/>
      <c r="J74" s="62"/>
      <c r="K74" s="62"/>
      <c r="L74" s="62"/>
      <c r="M74" s="62"/>
      <c r="N74" s="62"/>
      <c r="O74" s="62"/>
      <c r="P74" s="62"/>
      <c r="R74" s="62"/>
      <c r="S74" s="62"/>
      <c r="U74" s="62"/>
      <c r="V74" s="62"/>
      <c r="X74" s="62"/>
      <c r="Y74" s="62"/>
      <c r="AB74" s="62"/>
    </row>
    <row r="75" spans="2:34" s="4" customFormat="1" x14ac:dyDescent="0.2">
      <c r="B75" s="20" t="s">
        <v>184</v>
      </c>
      <c r="C75" s="21"/>
      <c r="D75" s="21"/>
      <c r="E75" s="21"/>
      <c r="F75" s="21"/>
      <c r="G75" s="21"/>
      <c r="H75" s="21"/>
      <c r="I75" s="62"/>
      <c r="J75" s="299"/>
      <c r="K75" s="306"/>
      <c r="L75" s="302"/>
      <c r="M75" s="62"/>
      <c r="N75" s="62"/>
      <c r="O75" s="299"/>
      <c r="P75" s="302"/>
      <c r="R75" s="299"/>
      <c r="S75" s="302"/>
      <c r="U75" s="299"/>
      <c r="V75" s="302"/>
      <c r="X75" s="299"/>
      <c r="Y75" s="302"/>
      <c r="AB75" s="5"/>
      <c r="AC75" s="5"/>
      <c r="AD75" s="5"/>
      <c r="AE75" s="5"/>
      <c r="AF75" s="5"/>
      <c r="AG75" s="5"/>
      <c r="AH75" s="5"/>
    </row>
    <row r="76" spans="2:34" s="4" customFormat="1" x14ac:dyDescent="0.2">
      <c r="B76" s="15"/>
      <c r="C76" s="15"/>
      <c r="D76" s="15"/>
      <c r="E76" s="15"/>
      <c r="F76" s="15"/>
      <c r="G76" s="15"/>
      <c r="H76" s="15"/>
      <c r="I76" s="62"/>
      <c r="J76" s="62"/>
      <c r="K76" s="62"/>
      <c r="L76" s="62"/>
      <c r="M76" s="62"/>
      <c r="N76" s="62"/>
      <c r="O76" s="62"/>
      <c r="P76" s="62"/>
      <c r="R76" s="62"/>
      <c r="S76" s="62"/>
      <c r="U76" s="62"/>
      <c r="V76" s="62"/>
      <c r="X76" s="62"/>
      <c r="Y76" s="62"/>
      <c r="AB76" s="5"/>
      <c r="AC76" s="5"/>
      <c r="AD76" s="5"/>
      <c r="AE76" s="5"/>
      <c r="AF76" s="5"/>
      <c r="AG76" s="5"/>
      <c r="AH76" s="5"/>
    </row>
    <row r="77" spans="2:34" s="4" customFormat="1" x14ac:dyDescent="0.2">
      <c r="B77" s="15" t="s">
        <v>11</v>
      </c>
      <c r="C77" s="15"/>
      <c r="D77" s="239">
        <f t="shared" ref="D77:H82" si="70">(((D41/D$47)*(SUM(D$28:D$30))+((D50/D$56)*D$31))/D6)</f>
        <v>29.826936199861255</v>
      </c>
      <c r="E77" s="16">
        <f>(((E41/E$47)*(SUM(E$28:E$30))+((E50/E$56)*E$31))/E6)</f>
        <v>30.133219930757047</v>
      </c>
      <c r="F77" s="16">
        <f t="shared" si="70"/>
        <v>30.534932173998143</v>
      </c>
      <c r="G77" s="16">
        <f t="shared" si="70"/>
        <v>30.923538332111342</v>
      </c>
      <c r="H77" s="16">
        <f t="shared" si="70"/>
        <v>31.549714516461826</v>
      </c>
      <c r="I77" s="62"/>
      <c r="J77" s="381">
        <f>(((J41/J$47)*(SUM(J$28:J$30))+((J50/J$56)*J$31))/D6)</f>
        <v>8.1248061977821884</v>
      </c>
      <c r="K77" s="327"/>
      <c r="L77" s="382">
        <f>(((L41/L$47)*(SUM(L$28:L$30))+((L50/L$56)*L$31))/D6)</f>
        <v>21.70213000207907</v>
      </c>
      <c r="M77" s="350">
        <f>SUM(J77:L77)-D77</f>
        <v>0</v>
      </c>
      <c r="N77" s="62"/>
      <c r="O77" s="387">
        <f>(((O41/O$47)*(SUM(O$28:O$30))+((O50/O$56)*O$31))/$E6)</f>
        <v>8.832174225575077</v>
      </c>
      <c r="P77" s="388">
        <f>(((P41/P$47)*(SUM(P$28:P$30))+((P50/P$56)*P$31))/$E6)</f>
        <v>21.30104570518197</v>
      </c>
      <c r="Q77" s="350">
        <f>SUM(O77:P77)-$E77</f>
        <v>0</v>
      </c>
      <c r="R77" s="239">
        <f t="shared" ref="R77:S82" si="71">(((R41/R$47)*(SUM(R$28:R$30))+((R50/R$56)*R$31))/$F6)</f>
        <v>9.5195085842531846</v>
      </c>
      <c r="S77" s="239">
        <f t="shared" si="71"/>
        <v>21.015423589744955</v>
      </c>
      <c r="T77" s="350">
        <f t="shared" ref="T77:T82" si="72">SUM(R77:S77)-$F77</f>
        <v>0</v>
      </c>
      <c r="U77" s="239">
        <f t="shared" ref="U77:V82" si="73">(((U41/U$47)*(SUM(U$28:U$30))+((U50/U$56)*U$31))/$G6)</f>
        <v>10.186633052442849</v>
      </c>
      <c r="V77" s="239">
        <f t="shared" si="73"/>
        <v>20.736905279668491</v>
      </c>
      <c r="W77" s="350">
        <f t="shared" ref="W77:W82" si="74">SUM(U77:V77)-$G77</f>
        <v>0</v>
      </c>
      <c r="X77" s="239">
        <f t="shared" ref="X77:Y82" si="75">(((X41/X$47)*(SUM(X$28:X$30))+((X50/X$56)*X$31))/$H6)</f>
        <v>10.833371401733233</v>
      </c>
      <c r="Y77" s="239">
        <f t="shared" si="75"/>
        <v>20.716343114728588</v>
      </c>
      <c r="Z77" s="350">
        <f t="shared" ref="Z77:Z82" si="76">SUM(X77:Y77)-$H77</f>
        <v>0</v>
      </c>
      <c r="AB77" s="5"/>
      <c r="AC77" s="5"/>
      <c r="AD77" s="5"/>
      <c r="AE77" s="5"/>
      <c r="AF77" s="5"/>
      <c r="AG77" s="5"/>
      <c r="AH77" s="5"/>
    </row>
    <row r="78" spans="2:34" s="4" customFormat="1" x14ac:dyDescent="0.2">
      <c r="B78" s="15" t="s">
        <v>12</v>
      </c>
      <c r="C78" s="15"/>
      <c r="D78" s="16">
        <f t="shared" si="70"/>
        <v>38.08738364286944</v>
      </c>
      <c r="E78" s="16">
        <f t="shared" si="70"/>
        <v>38.093203713345005</v>
      </c>
      <c r="F78" s="16">
        <f t="shared" si="70"/>
        <v>38.356187164864544</v>
      </c>
      <c r="G78" s="16">
        <f t="shared" si="70"/>
        <v>38.574793474392443</v>
      </c>
      <c r="H78" s="16">
        <f t="shared" si="70"/>
        <v>39.127180337498451</v>
      </c>
      <c r="I78" s="62"/>
      <c r="J78" s="387">
        <f t="shared" ref="J78:J82" si="77">(((J42/J$47)*(SUM(J$28:J$30))+((J51/J$56)*J$31))/D7)</f>
        <v>8.1248061977821902</v>
      </c>
      <c r="K78" s="334"/>
      <c r="L78" s="388">
        <f t="shared" ref="L78:L82" si="78">(((L42/L$47)*(SUM(L$28:L$30))+((L51/L$56)*L$31))/D7)</f>
        <v>29.962577445087252</v>
      </c>
      <c r="M78" s="350">
        <f t="shared" ref="M78:M82" si="79">SUM(J78:L78)-D78</f>
        <v>0</v>
      </c>
      <c r="N78" s="62"/>
      <c r="O78" s="387">
        <f t="shared" ref="O78:P82" si="80">(((O42/O$47)*(SUM(O$28:O$30))+((O51/O$56)*O$31))/$E7)</f>
        <v>8.8321742255750753</v>
      </c>
      <c r="P78" s="388">
        <f t="shared" si="80"/>
        <v>29.261029487769925</v>
      </c>
      <c r="Q78" s="350">
        <f t="shared" ref="Q78:Q82" si="81">SUM(O78:P78)-$E78</f>
        <v>0</v>
      </c>
      <c r="R78" s="239">
        <f t="shared" si="71"/>
        <v>9.5195085842531864</v>
      </c>
      <c r="S78" s="239">
        <f t="shared" si="71"/>
        <v>28.836678580611359</v>
      </c>
      <c r="T78" s="350">
        <f t="shared" si="72"/>
        <v>0</v>
      </c>
      <c r="U78" s="239">
        <f t="shared" si="73"/>
        <v>10.186633052442849</v>
      </c>
      <c r="V78" s="239">
        <f t="shared" si="73"/>
        <v>28.388160421949593</v>
      </c>
      <c r="W78" s="350">
        <f t="shared" si="74"/>
        <v>0</v>
      </c>
      <c r="X78" s="239">
        <f t="shared" si="75"/>
        <v>10.833371401733231</v>
      </c>
      <c r="Y78" s="239">
        <f t="shared" si="75"/>
        <v>28.29380893576522</v>
      </c>
      <c r="Z78" s="350">
        <f t="shared" si="76"/>
        <v>0</v>
      </c>
      <c r="AB78" s="5"/>
      <c r="AC78" s="5"/>
      <c r="AD78" s="5"/>
      <c r="AE78" s="5"/>
      <c r="AF78" s="5"/>
      <c r="AG78" s="5"/>
      <c r="AH78" s="5"/>
    </row>
    <row r="79" spans="2:34" s="4" customFormat="1" x14ac:dyDescent="0.2">
      <c r="B79" s="15" t="s">
        <v>13</v>
      </c>
      <c r="C79" s="15"/>
      <c r="D79" s="16">
        <f t="shared" si="70"/>
        <v>29.826936199861255</v>
      </c>
      <c r="E79" s="16">
        <f t="shared" si="70"/>
        <v>30.133219930757047</v>
      </c>
      <c r="F79" s="16">
        <f t="shared" si="70"/>
        <v>30.534932173998143</v>
      </c>
      <c r="G79" s="16">
        <f t="shared" si="70"/>
        <v>30.923538332111342</v>
      </c>
      <c r="H79" s="16">
        <f t="shared" si="70"/>
        <v>31.549714516461819</v>
      </c>
      <c r="I79" s="62"/>
      <c r="J79" s="383">
        <f t="shared" si="77"/>
        <v>8.1248061977821866</v>
      </c>
      <c r="K79" s="62"/>
      <c r="L79" s="384">
        <f t="shared" si="78"/>
        <v>21.70213000207907</v>
      </c>
      <c r="M79" s="350">
        <f t="shared" si="79"/>
        <v>0</v>
      </c>
      <c r="N79" s="62"/>
      <c r="O79" s="387">
        <f t="shared" si="80"/>
        <v>8.8321742255750753</v>
      </c>
      <c r="P79" s="388">
        <f t="shared" si="80"/>
        <v>21.30104570518197</v>
      </c>
      <c r="Q79" s="350">
        <f t="shared" si="81"/>
        <v>0</v>
      </c>
      <c r="R79" s="239">
        <f t="shared" si="71"/>
        <v>9.5195085842531846</v>
      </c>
      <c r="S79" s="239">
        <f t="shared" si="71"/>
        <v>21.015423589744959</v>
      </c>
      <c r="T79" s="350">
        <f t="shared" si="72"/>
        <v>0</v>
      </c>
      <c r="U79" s="239">
        <f t="shared" si="73"/>
        <v>10.186633052442849</v>
      </c>
      <c r="V79" s="239">
        <f t="shared" si="73"/>
        <v>20.736905279668495</v>
      </c>
      <c r="W79" s="350">
        <f t="shared" si="74"/>
        <v>0</v>
      </c>
      <c r="X79" s="239">
        <f t="shared" si="75"/>
        <v>10.833371401733229</v>
      </c>
      <c r="Y79" s="239">
        <f t="shared" si="75"/>
        <v>20.716343114728591</v>
      </c>
      <c r="Z79" s="350">
        <f t="shared" si="76"/>
        <v>0</v>
      </c>
      <c r="AB79" s="5"/>
      <c r="AC79" s="5"/>
      <c r="AD79" s="5"/>
      <c r="AE79" s="5"/>
      <c r="AF79" s="5"/>
      <c r="AG79" s="5"/>
      <c r="AH79" s="5"/>
    </row>
    <row r="80" spans="2:34" s="4" customFormat="1" x14ac:dyDescent="0.2">
      <c r="B80" s="15" t="s">
        <v>14</v>
      </c>
      <c r="C80" s="15"/>
      <c r="D80" s="16">
        <f t="shared" si="70"/>
        <v>38.08738364286944</v>
      </c>
      <c r="E80" s="16">
        <f t="shared" si="70"/>
        <v>38.093203713344991</v>
      </c>
      <c r="F80" s="16">
        <f t="shared" si="70"/>
        <v>38.356187164864544</v>
      </c>
      <c r="G80" s="16">
        <f t="shared" si="70"/>
        <v>38.574793474392443</v>
      </c>
      <c r="H80" s="16">
        <f t="shared" si="70"/>
        <v>39.127180337498451</v>
      </c>
      <c r="I80" s="62"/>
      <c r="J80" s="387">
        <f t="shared" si="77"/>
        <v>8.1248061977821884</v>
      </c>
      <c r="K80" s="334"/>
      <c r="L80" s="388">
        <f t="shared" si="78"/>
        <v>29.962577445087256</v>
      </c>
      <c r="M80" s="350">
        <f t="shared" si="79"/>
        <v>0</v>
      </c>
      <c r="N80" s="62"/>
      <c r="O80" s="387">
        <f t="shared" si="80"/>
        <v>8.8321742255750753</v>
      </c>
      <c r="P80" s="388">
        <f t="shared" si="80"/>
        <v>29.261029487769921</v>
      </c>
      <c r="Q80" s="350">
        <f t="shared" si="81"/>
        <v>0</v>
      </c>
      <c r="R80" s="239">
        <f t="shared" si="71"/>
        <v>9.5195085842531864</v>
      </c>
      <c r="S80" s="239">
        <f t="shared" si="71"/>
        <v>28.836678580611359</v>
      </c>
      <c r="T80" s="350">
        <f t="shared" si="72"/>
        <v>0</v>
      </c>
      <c r="U80" s="239">
        <f t="shared" si="73"/>
        <v>10.186633052442849</v>
      </c>
      <c r="V80" s="239">
        <f t="shared" si="73"/>
        <v>28.388160421949596</v>
      </c>
      <c r="W80" s="350">
        <f t="shared" si="74"/>
        <v>0</v>
      </c>
      <c r="X80" s="239">
        <f t="shared" si="75"/>
        <v>10.833371401733231</v>
      </c>
      <c r="Y80" s="239">
        <f t="shared" si="75"/>
        <v>28.293808935765217</v>
      </c>
      <c r="Z80" s="350">
        <f t="shared" si="76"/>
        <v>0</v>
      </c>
      <c r="AB80" s="5"/>
      <c r="AC80" s="5"/>
      <c r="AD80" s="5"/>
      <c r="AE80" s="5"/>
      <c r="AF80" s="5"/>
      <c r="AG80" s="5"/>
      <c r="AH80" s="5"/>
    </row>
    <row r="81" spans="2:34" s="4" customFormat="1" x14ac:dyDescent="0.2">
      <c r="B81" s="15" t="s">
        <v>15</v>
      </c>
      <c r="C81" s="15"/>
      <c r="D81" s="16">
        <f t="shared" si="70"/>
        <v>10.188999636667328</v>
      </c>
      <c r="E81" s="16">
        <f t="shared" si="70"/>
        <v>10.451857495612943</v>
      </c>
      <c r="F81" s="16">
        <f t="shared" si="70"/>
        <v>10.691746444993043</v>
      </c>
      <c r="G81" s="16">
        <f t="shared" si="70"/>
        <v>10.938510078584974</v>
      </c>
      <c r="H81" s="16">
        <f t="shared" si="70"/>
        <v>11.253937118949651</v>
      </c>
      <c r="I81" s="62"/>
      <c r="J81" s="387">
        <f t="shared" si="77"/>
        <v>3.6995511245911894</v>
      </c>
      <c r="K81" s="334"/>
      <c r="L81" s="388">
        <f t="shared" si="78"/>
        <v>6.4894485120761383</v>
      </c>
      <c r="M81" s="350">
        <f t="shared" si="79"/>
        <v>0</v>
      </c>
      <c r="N81" s="62"/>
      <c r="O81" s="387">
        <f t="shared" si="80"/>
        <v>4.0216442452166845</v>
      </c>
      <c r="P81" s="388">
        <f t="shared" si="80"/>
        <v>6.4302132503962568</v>
      </c>
      <c r="Q81" s="350">
        <f t="shared" si="81"/>
        <v>0</v>
      </c>
      <c r="R81" s="239">
        <f t="shared" si="71"/>
        <v>4.3346152303353058</v>
      </c>
      <c r="S81" s="239">
        <f t="shared" si="71"/>
        <v>6.3571312146577368</v>
      </c>
      <c r="T81" s="350">
        <f t="shared" si="72"/>
        <v>0</v>
      </c>
      <c r="U81" s="239">
        <f t="shared" si="73"/>
        <v>4.6383838392661954</v>
      </c>
      <c r="V81" s="239">
        <f t="shared" si="73"/>
        <v>6.300126239318776</v>
      </c>
      <c r="W81" s="350">
        <f t="shared" si="74"/>
        <v>0</v>
      </c>
      <c r="X81" s="239">
        <f t="shared" si="75"/>
        <v>4.9328698281241934</v>
      </c>
      <c r="Y81" s="239">
        <f t="shared" si="75"/>
        <v>6.3210672908254564</v>
      </c>
      <c r="Z81" s="350">
        <f t="shared" si="76"/>
        <v>0</v>
      </c>
      <c r="AB81" s="5"/>
      <c r="AC81" s="5"/>
      <c r="AD81" s="5"/>
      <c r="AE81" s="5"/>
      <c r="AF81" s="5"/>
      <c r="AG81" s="5"/>
      <c r="AH81" s="5"/>
    </row>
    <row r="82" spans="2:34" s="4" customFormat="1" x14ac:dyDescent="0.2">
      <c r="B82" s="15" t="s">
        <v>133</v>
      </c>
      <c r="C82" s="15"/>
      <c r="D82" s="16">
        <f t="shared" si="70"/>
        <v>36.922159858865243</v>
      </c>
      <c r="E82" s="16">
        <f t="shared" si="70"/>
        <v>36.848534520322374</v>
      </c>
      <c r="F82" s="16">
        <f t="shared" si="70"/>
        <v>37.052042368485196</v>
      </c>
      <c r="G82" s="16">
        <f t="shared" si="70"/>
        <v>37.206843910560735</v>
      </c>
      <c r="H82" s="16">
        <f t="shared" si="70"/>
        <v>37.691472264132933</v>
      </c>
      <c r="I82" s="62"/>
      <c r="J82" s="385">
        <f t="shared" si="77"/>
        <v>7.4133085255008107</v>
      </c>
      <c r="K82" s="329"/>
      <c r="L82" s="386">
        <f t="shared" si="78"/>
        <v>29.508851333364433</v>
      </c>
      <c r="M82" s="350">
        <f t="shared" si="79"/>
        <v>0</v>
      </c>
      <c r="N82" s="62"/>
      <c r="O82" s="387">
        <f t="shared" si="80"/>
        <v>8.0587316043350032</v>
      </c>
      <c r="P82" s="388">
        <f t="shared" si="80"/>
        <v>28.789802915987369</v>
      </c>
      <c r="Q82" s="350">
        <f t="shared" si="81"/>
        <v>0</v>
      </c>
      <c r="R82" s="239">
        <f t="shared" si="71"/>
        <v>8.6858753831550999</v>
      </c>
      <c r="S82" s="239">
        <f t="shared" si="71"/>
        <v>28.366166985330096</v>
      </c>
      <c r="T82" s="350">
        <f t="shared" si="72"/>
        <v>0</v>
      </c>
      <c r="U82" s="239">
        <f t="shared" si="73"/>
        <v>9.2945790724751731</v>
      </c>
      <c r="V82" s="239">
        <f t="shared" si="73"/>
        <v>27.912264838085555</v>
      </c>
      <c r="W82" s="350">
        <f t="shared" si="74"/>
        <v>0</v>
      </c>
      <c r="X82" s="239">
        <f t="shared" si="75"/>
        <v>9.8846818763883864</v>
      </c>
      <c r="Y82" s="239">
        <f t="shared" si="75"/>
        <v>27.806790387744545</v>
      </c>
      <c r="Z82" s="350">
        <f t="shared" si="76"/>
        <v>0</v>
      </c>
      <c r="AB82" s="5"/>
      <c r="AC82" s="5"/>
      <c r="AD82" s="5"/>
      <c r="AE82" s="5"/>
      <c r="AF82" s="5"/>
      <c r="AG82" s="5"/>
      <c r="AH82" s="5"/>
    </row>
    <row r="83" spans="2:34" s="4" customFormat="1" x14ac:dyDescent="0.2">
      <c r="B83" s="15"/>
      <c r="C83" s="15"/>
      <c r="D83" s="15"/>
      <c r="E83" s="15"/>
      <c r="F83" s="15"/>
      <c r="G83" s="15"/>
      <c r="H83" s="15"/>
      <c r="I83" s="62"/>
      <c r="J83" s="253"/>
      <c r="K83" s="62"/>
      <c r="L83" s="62"/>
      <c r="M83" s="62"/>
      <c r="N83" s="62"/>
      <c r="O83" s="253"/>
      <c r="P83" s="62"/>
      <c r="R83" s="253"/>
      <c r="S83" s="62"/>
      <c r="U83" s="253"/>
      <c r="V83" s="62"/>
      <c r="X83" s="253"/>
      <c r="Y83" s="62"/>
      <c r="AB83" s="5"/>
      <c r="AC83" s="5"/>
      <c r="AD83" s="5"/>
      <c r="AE83" s="5"/>
      <c r="AF83" s="5"/>
      <c r="AG83" s="5"/>
      <c r="AH83" s="5"/>
    </row>
    <row r="84" spans="2:34" s="4" customFormat="1" x14ac:dyDescent="0.2">
      <c r="D84" s="7"/>
      <c r="E84" s="7"/>
      <c r="F84" s="7"/>
      <c r="G84" s="7"/>
      <c r="H84" s="7"/>
      <c r="I84" s="62"/>
      <c r="J84" s="253"/>
      <c r="K84" s="62"/>
      <c r="L84" s="62"/>
      <c r="O84" s="253"/>
      <c r="P84" s="62"/>
      <c r="R84" s="253"/>
      <c r="S84" s="62"/>
      <c r="U84" s="253"/>
      <c r="V84" s="62"/>
      <c r="X84" s="253"/>
      <c r="Y84" s="62"/>
      <c r="AB84" s="5"/>
      <c r="AC84" s="5"/>
      <c r="AD84" s="5"/>
      <c r="AE84" s="5"/>
      <c r="AF84" s="5"/>
      <c r="AG84" s="5"/>
      <c r="AH84" s="5"/>
    </row>
    <row r="85" spans="2:34" s="4" customFormat="1" x14ac:dyDescent="0.2">
      <c r="B85" s="20" t="s">
        <v>185</v>
      </c>
      <c r="C85" s="21"/>
      <c r="D85" s="24"/>
      <c r="E85" s="24"/>
      <c r="F85" s="24"/>
      <c r="G85" s="24"/>
      <c r="H85" s="24"/>
      <c r="I85" s="62"/>
      <c r="J85" s="309"/>
      <c r="K85" s="310"/>
      <c r="L85" s="311"/>
      <c r="O85" s="309"/>
      <c r="P85" s="311"/>
      <c r="R85" s="309"/>
      <c r="S85" s="311"/>
      <c r="U85" s="309"/>
      <c r="V85" s="311"/>
      <c r="X85" s="309"/>
      <c r="Y85" s="311"/>
      <c r="AB85" s="5"/>
      <c r="AC85" s="5"/>
      <c r="AD85" s="5"/>
      <c r="AE85" s="5"/>
      <c r="AF85" s="5"/>
      <c r="AG85" s="5"/>
      <c r="AH85" s="5"/>
    </row>
    <row r="86" spans="2:34" s="4" customFormat="1" x14ac:dyDescent="0.2">
      <c r="B86" s="15"/>
      <c r="C86" s="15"/>
      <c r="D86" s="19"/>
      <c r="E86" s="19"/>
      <c r="F86" s="19"/>
      <c r="G86" s="19"/>
      <c r="H86" s="19"/>
      <c r="I86" s="62"/>
      <c r="J86" s="331"/>
      <c r="K86" s="327"/>
      <c r="L86" s="328"/>
      <c r="M86" s="350">
        <f t="shared" ref="M86:M91" si="82">SUM(J86:L86)-D86</f>
        <v>0</v>
      </c>
      <c r="O86" s="331"/>
      <c r="P86" s="328"/>
      <c r="R86" s="331"/>
      <c r="S86" s="328"/>
      <c r="U86" s="331"/>
      <c r="V86" s="328"/>
      <c r="X86" s="331"/>
      <c r="Y86" s="328"/>
      <c r="AB86" s="5"/>
      <c r="AC86" s="5"/>
      <c r="AD86" s="5"/>
      <c r="AE86" s="5"/>
      <c r="AF86" s="5"/>
      <c r="AG86" s="5"/>
      <c r="AH86" s="5"/>
    </row>
    <row r="87" spans="2:34" s="4" customFormat="1" x14ac:dyDescent="0.2">
      <c r="B87" s="15" t="str">
        <f>B17</f>
        <v>Anytime Customers</v>
      </c>
      <c r="C87" s="15"/>
      <c r="D87" s="236"/>
      <c r="E87" s="236">
        <f>(((E60/E$64)*E$35)+((E68/E$72)*E36))/E$17</f>
        <v>14.152644997187405</v>
      </c>
      <c r="F87" s="236">
        <f>(((F60/F$64)*F$35)+((F68/F$72)*F36))/F$17</f>
        <v>13.924108982725189</v>
      </c>
      <c r="G87" s="236">
        <f>(((G60/G$64)*G$35)+((G68/G$72)*G36))/G$17</f>
        <v>13.694568533356447</v>
      </c>
      <c r="H87" s="236">
        <f>(((H60/H$64)*H$35)+((H68/H$72)*H36))/H$17</f>
        <v>13.667692728722246</v>
      </c>
      <c r="I87" s="62"/>
      <c r="J87" s="333"/>
      <c r="K87" s="334"/>
      <c r="L87" s="335"/>
      <c r="M87" s="350">
        <f t="shared" si="82"/>
        <v>0</v>
      </c>
      <c r="O87" s="333">
        <f>(((O60/O$64)*O$35)+((O68/O$72)*O36))/$E17</f>
        <v>0</v>
      </c>
      <c r="P87" s="389">
        <f>(((P60/P$64)*P$35)+((P68/P$72)*P36))/$E17</f>
        <v>14.152644997187405</v>
      </c>
      <c r="Q87" s="350">
        <f t="shared" ref="Q87:Q90" si="83">SUM(O87:P87)-$E87</f>
        <v>0</v>
      </c>
      <c r="R87" s="236">
        <f>(((R60/R$64)*R$35)+((R68/R$72)*R36))/$F17</f>
        <v>0</v>
      </c>
      <c r="S87" s="236">
        <f>(((S60/S$64)*S$35)+((S68/S$72)*S36))/$F17</f>
        <v>13.924108982725189</v>
      </c>
      <c r="T87" s="350">
        <f>SUM(R87:S87)-$F87</f>
        <v>0</v>
      </c>
      <c r="U87" s="236">
        <f>(((U60/U$64)*U$35)+((U68/U$72)*U36))/$G17</f>
        <v>0</v>
      </c>
      <c r="V87" s="236">
        <f>(((V60/V$64)*V$35)+((V68/V$72)*V36))/$G17</f>
        <v>13.694568533356447</v>
      </c>
      <c r="W87" s="350">
        <f>SUM(U87:V87)-$G87</f>
        <v>0</v>
      </c>
      <c r="X87" s="236">
        <f>(((X60/X$64)*X$35)+((X68/X$72)*X36))/$H17</f>
        <v>0</v>
      </c>
      <c r="Y87" s="236">
        <f>(((Y60/Y$64)*Y$35)+((Y68/Y$72)*Y36))/$H17</f>
        <v>13.667692728722246</v>
      </c>
      <c r="Z87" s="350">
        <f>SUM(X87:Y87)-$H87</f>
        <v>0</v>
      </c>
      <c r="AB87" s="5"/>
      <c r="AC87" s="5"/>
      <c r="AD87" s="5"/>
      <c r="AE87" s="5"/>
      <c r="AF87" s="5"/>
      <c r="AG87" s="5"/>
      <c r="AH87" s="5"/>
    </row>
    <row r="88" spans="2:34" s="4" customFormat="1" x14ac:dyDescent="0.2">
      <c r="B88" s="15" t="str">
        <f>B18</f>
        <v>TOU Customers</v>
      </c>
      <c r="C88" s="15"/>
      <c r="D88" s="236"/>
      <c r="E88" s="236">
        <f>(((E61/E$64)*E35)+((E69/E$72)*E36))/E18</f>
        <v>18.859943352673145</v>
      </c>
      <c r="F88" s="236">
        <f>(((F61/F$64)*F35)+((F69/F$72)*F36))/F18</f>
        <v>18.544898237893662</v>
      </c>
      <c r="G88" s="236">
        <f>(((G61/G$64)*G35)+((G69/G$72)*G36))/G18</f>
        <v>18.241943486600906</v>
      </c>
      <c r="H88" s="236">
        <f>(((H61/H$64)*H35)+((H69/H$72)*H36))/H18</f>
        <v>18.188886436930968</v>
      </c>
      <c r="I88" s="62"/>
      <c r="J88" s="333"/>
      <c r="K88" s="334"/>
      <c r="L88" s="335"/>
      <c r="M88" s="350">
        <f t="shared" si="82"/>
        <v>0</v>
      </c>
      <c r="O88" s="333">
        <f>(((O61/O$64)*O35)+((O69/O$72)*O36))/$E18</f>
        <v>0</v>
      </c>
      <c r="P88" s="389">
        <f>(((P61/P$64)*P35)+((P69/P$72)*P36))/$E18</f>
        <v>18.859943352673145</v>
      </c>
      <c r="Q88" s="350">
        <f t="shared" si="83"/>
        <v>0</v>
      </c>
      <c r="R88" s="236">
        <f>(((R61/R$64)*R35)+((R69/R$72)*R36))/$F18</f>
        <v>0</v>
      </c>
      <c r="S88" s="236">
        <f>(((S61/S$64)*S35)+((S69/S$72)*S36))/$F18</f>
        <v>18.544898237893662</v>
      </c>
      <c r="T88" s="350">
        <f>SUM(R88:S88)-$F88</f>
        <v>0</v>
      </c>
      <c r="U88" s="236">
        <f>(((U61/U$64)*U35)+((U69/U$72)*U36))/$G18</f>
        <v>0</v>
      </c>
      <c r="V88" s="236">
        <f>(((V61/V$64)*V35)+((V69/V$72)*V36))/$G18</f>
        <v>18.241943486600906</v>
      </c>
      <c r="W88" s="350">
        <f>SUM(U88:V88)-$G88</f>
        <v>0</v>
      </c>
      <c r="X88" s="236">
        <f>(((X61/X$64)*X35)+((X69/X$72)*X36))/$H18</f>
        <v>0</v>
      </c>
      <c r="Y88" s="236">
        <f>(((Y61/Y$64)*Y35)+((Y69/Y$72)*Y36))/$H18</f>
        <v>18.188886436930968</v>
      </c>
      <c r="Z88" s="350">
        <f>SUM(X88:Y88)-$H88</f>
        <v>0</v>
      </c>
      <c r="AB88" s="5"/>
      <c r="AC88" s="5"/>
      <c r="AD88" s="5"/>
      <c r="AE88" s="5"/>
      <c r="AF88" s="5"/>
      <c r="AG88" s="5"/>
      <c r="AH88" s="5"/>
    </row>
    <row r="89" spans="2:34" s="4" customFormat="1" x14ac:dyDescent="0.2">
      <c r="B89" s="15" t="str">
        <f>B19</f>
        <v>Controlled Load</v>
      </c>
      <c r="C89" s="15"/>
      <c r="D89" s="236"/>
      <c r="E89" s="236">
        <f>(((E62/E$64)*E35)+((E70/E$72)*E36))/E19</f>
        <v>4.5110731751820019</v>
      </c>
      <c r="F89" s="236">
        <f>(((F62/F$64)*F35)+((F70/F$72)*F36))/F19</f>
        <v>4.442539130893759</v>
      </c>
      <c r="G89" s="236">
        <f>(((G62/G$64)*G35)+((G70/G$72)*G36))/G19</f>
        <v>4.3681699491504258</v>
      </c>
      <c r="H89" s="236">
        <f>(((H62/H$64)*H35)+((H70/H$72)*H36))/H19</f>
        <v>4.3666844398471127</v>
      </c>
      <c r="I89" s="62"/>
      <c r="J89" s="333"/>
      <c r="K89" s="334"/>
      <c r="L89" s="335"/>
      <c r="M89" s="350">
        <f t="shared" si="82"/>
        <v>0</v>
      </c>
      <c r="O89" s="333">
        <f>(((O62/O$64)*O35)+((O70/O$72)*O36))/$E19</f>
        <v>0</v>
      </c>
      <c r="P89" s="389">
        <f>(((P62/P$64)*P35)+((P70/P$72)*P36))/$E19</f>
        <v>4.5110731751820019</v>
      </c>
      <c r="Q89" s="350">
        <f t="shared" si="83"/>
        <v>0</v>
      </c>
      <c r="R89" s="236">
        <f>(((R62/R$64)*R35)+((R70/R$72)*R36))/$F19</f>
        <v>0</v>
      </c>
      <c r="S89" s="236">
        <f>(((S62/S$64)*S35)+((S70/S$72)*S36))/$F19</f>
        <v>4.442539130893759</v>
      </c>
      <c r="T89" s="350">
        <f>SUM(R89:S89)-$F89</f>
        <v>0</v>
      </c>
      <c r="U89" s="236">
        <f>(((U62/U$64)*U35)+((U70/U$72)*U36))/$G19</f>
        <v>0</v>
      </c>
      <c r="V89" s="236">
        <f>(((V62/V$64)*V35)+((V70/V$72)*V36))/$G19</f>
        <v>4.3681699491504258</v>
      </c>
      <c r="W89" s="350">
        <f>SUM(U89:V89)-$G89</f>
        <v>0</v>
      </c>
      <c r="X89" s="236">
        <f>(((X62/X$64)*X35)+((X70/X$72)*X36))/$H19</f>
        <v>0</v>
      </c>
      <c r="Y89" s="236">
        <f>(((Y62/Y$64)*Y35)+((Y70/Y$72)*Y36))/$H19</f>
        <v>4.3666844398471127</v>
      </c>
      <c r="Z89" s="350">
        <f>SUM(X89:Y89)-$H89</f>
        <v>0</v>
      </c>
      <c r="AB89" s="5"/>
      <c r="AC89" s="5"/>
      <c r="AD89" s="5"/>
      <c r="AE89" s="5"/>
      <c r="AF89" s="5"/>
      <c r="AG89" s="5"/>
      <c r="AH89" s="5"/>
    </row>
    <row r="90" spans="2:34" s="4" customFormat="1" x14ac:dyDescent="0.2">
      <c r="B90" s="15" t="str">
        <f>B20</f>
        <v>Solar Additions (assume single phase 2 element)</v>
      </c>
      <c r="C90" s="15"/>
      <c r="D90" s="236"/>
      <c r="E90" s="236">
        <f>(((E63/E$64)*E$35)+((E71/E$72)*E36))/E$20</f>
        <v>18.445027569485649</v>
      </c>
      <c r="F90" s="236">
        <f>(((F63/F$64)*F$35)+((F71/F$72)*F36))/F$20</f>
        <v>18.134844207017174</v>
      </c>
      <c r="G90" s="236">
        <f>(((G63/G$64)*G$35)+((G71/G$72)*G36))/G$20</f>
        <v>17.839132617484282</v>
      </c>
      <c r="H90" s="236">
        <f>(((H63/H$64)*H$35)+((H71/H$72)*H36))/H$20</f>
        <v>17.78384367244092</v>
      </c>
      <c r="I90" s="62"/>
      <c r="J90" s="332"/>
      <c r="K90" s="329"/>
      <c r="L90" s="330"/>
      <c r="M90" s="350">
        <f t="shared" si="82"/>
        <v>0</v>
      </c>
      <c r="O90" s="333">
        <f>(((O63/O$64)*O$35)+((O71/O$72)*O36))/$E$20</f>
        <v>0</v>
      </c>
      <c r="P90" s="389">
        <f>(((P63/P$64)*P$35)+((P71/P$72)*P36))/$E$20</f>
        <v>18.445027569485649</v>
      </c>
      <c r="Q90" s="350">
        <f t="shared" si="83"/>
        <v>0</v>
      </c>
      <c r="R90" s="236">
        <f>(((R63/R$64)*R$35)+((R71/R$72)*R36))/$F$20</f>
        <v>0</v>
      </c>
      <c r="S90" s="236">
        <f>(((S63/S$64)*S$35)+((S71/S$72)*S36))/$F$20</f>
        <v>18.134844207017174</v>
      </c>
      <c r="T90" s="350">
        <f>SUM(R90:S90)-$F90</f>
        <v>0</v>
      </c>
      <c r="U90" s="236">
        <f>(((U63/U$64)*U$35)+((U71/U$72)*U36))/$G$20</f>
        <v>0</v>
      </c>
      <c r="V90" s="236">
        <f>(((V63/V$64)*V$35)+((V71/V$72)*V36))/$G$20</f>
        <v>17.839132617484282</v>
      </c>
      <c r="W90" s="350">
        <f>SUM(U90:V90)-$G90</f>
        <v>0</v>
      </c>
      <c r="X90" s="236">
        <f>(((X63/X$64)*X$35)+((X71/X$72)*X36))/$H$20</f>
        <v>0</v>
      </c>
      <c r="Y90" s="236">
        <f>(((Y63/Y$64)*Y$35)+((Y71/Y$72)*Y36))/$H$20</f>
        <v>17.78384367244092</v>
      </c>
      <c r="Z90" s="350">
        <f>SUM(X90:Y90)-$H90</f>
        <v>0</v>
      </c>
      <c r="AB90" s="5"/>
      <c r="AC90" s="5"/>
      <c r="AD90" s="5"/>
      <c r="AE90" s="5"/>
      <c r="AF90" s="5"/>
      <c r="AG90" s="5"/>
      <c r="AH90" s="5"/>
    </row>
    <row r="91" spans="2:34" s="4" customFormat="1" x14ac:dyDescent="0.2">
      <c r="B91" s="15"/>
      <c r="C91" s="15"/>
      <c r="D91" s="19"/>
      <c r="E91" s="19"/>
      <c r="F91" s="19"/>
      <c r="G91" s="19"/>
      <c r="H91" s="19"/>
      <c r="I91" s="62"/>
      <c r="J91" s="336"/>
      <c r="K91" s="334"/>
      <c r="L91" s="335"/>
      <c r="M91" s="350">
        <f t="shared" si="82"/>
        <v>0</v>
      </c>
      <c r="O91" s="336"/>
      <c r="P91" s="335"/>
      <c r="R91" s="336"/>
      <c r="S91" s="335"/>
      <c r="U91" s="336"/>
      <c r="V91" s="335"/>
      <c r="X91" s="336"/>
      <c r="Y91" s="335"/>
      <c r="AB91" s="5"/>
      <c r="AC91" s="5"/>
      <c r="AD91" s="5"/>
      <c r="AE91" s="5"/>
      <c r="AF91" s="5"/>
      <c r="AG91" s="5"/>
      <c r="AH91" s="5"/>
    </row>
    <row r="92" spans="2:34" s="4" customFormat="1" x14ac:dyDescent="0.2">
      <c r="D92" s="7"/>
      <c r="E92" s="7"/>
      <c r="F92" s="7"/>
      <c r="G92" s="7"/>
      <c r="H92" s="7"/>
      <c r="I92" s="62"/>
      <c r="J92" s="253"/>
      <c r="K92" s="62"/>
      <c r="L92" s="62"/>
    </row>
    <row r="93" spans="2:34" x14ac:dyDescent="0.2">
      <c r="I93" s="62"/>
      <c r="J93" s="253"/>
      <c r="K93" s="62"/>
      <c r="L93" s="62"/>
      <c r="V93" s="245"/>
      <c r="AB93" s="4"/>
      <c r="AE93" s="245"/>
      <c r="AF93" s="245"/>
      <c r="AG93" s="245"/>
      <c r="AH93" s="245"/>
    </row>
    <row r="94" spans="2:34" x14ac:dyDescent="0.2">
      <c r="D94" s="338" t="str">
        <f>D2</f>
        <v>2014/15</v>
      </c>
      <c r="E94" s="338" t="str">
        <f t="shared" ref="E94:H94" si="84">E2</f>
        <v>2015/16</v>
      </c>
      <c r="F94" s="338" t="str">
        <f t="shared" si="84"/>
        <v>2016/17</v>
      </c>
      <c r="G94" s="338" t="str">
        <f t="shared" si="84"/>
        <v>2017/18</v>
      </c>
      <c r="H94" s="338" t="str">
        <f t="shared" si="84"/>
        <v>2018/19</v>
      </c>
      <c r="V94" s="245"/>
      <c r="AB94" s="4"/>
      <c r="AE94" s="245"/>
      <c r="AF94" s="245"/>
      <c r="AG94" s="245"/>
      <c r="AH94" s="245"/>
    </row>
    <row r="95" spans="2:34" x14ac:dyDescent="0.2">
      <c r="B95" s="337" t="str">
        <f>B28</f>
        <v>WACC + CoT + DRC</v>
      </c>
      <c r="V95" s="245"/>
      <c r="AB95" s="4"/>
      <c r="AE95" s="245"/>
      <c r="AF95" s="245"/>
      <c r="AG95" s="245"/>
      <c r="AH95" s="245"/>
    </row>
    <row r="96" spans="2:34" x14ac:dyDescent="0.2">
      <c r="B96" t="str">
        <f>'Recoverable Costs Summary'!B21</f>
        <v>RAB * WACC</v>
      </c>
      <c r="D96" s="269">
        <f>'Recoverable Costs Summary'!D21</f>
        <v>6250435.4753194489</v>
      </c>
      <c r="E96" s="269">
        <f>'Recoverable Costs Summary'!E21</f>
        <v>6513822.6663015429</v>
      </c>
      <c r="F96" s="269">
        <f>'Recoverable Costs Summary'!F21</f>
        <v>6736401.0287976284</v>
      </c>
      <c r="G96" s="269">
        <f>'Recoverable Costs Summary'!G21</f>
        <v>6918170.5628077043</v>
      </c>
      <c r="H96" s="269">
        <f>'Recoverable Costs Summary'!H21</f>
        <v>7059131.268331768</v>
      </c>
      <c r="V96" s="245"/>
      <c r="AB96" s="4"/>
      <c r="AE96" s="245"/>
      <c r="AF96" s="245"/>
      <c r="AG96" s="245"/>
      <c r="AH96" s="245"/>
    </row>
    <row r="97" spans="2:31" x14ac:dyDescent="0.2">
      <c r="B97" t="str">
        <f>'Recoverable Costs Summary'!B27</f>
        <v>Tax Building Block</v>
      </c>
      <c r="D97" s="269">
        <f>'Recoverable Costs Summary'!D27</f>
        <v>0</v>
      </c>
      <c r="E97" s="269">
        <f>'Recoverable Costs Summary'!E27</f>
        <v>0</v>
      </c>
      <c r="F97" s="269">
        <f>'Recoverable Costs Summary'!F27</f>
        <v>84802.463400989378</v>
      </c>
      <c r="G97" s="269">
        <f>'Recoverable Costs Summary'!G27</f>
        <v>273980.16328496276</v>
      </c>
      <c r="H97" s="269">
        <f>'Recoverable Costs Summary'!H27</f>
        <v>398453.47773807659</v>
      </c>
      <c r="AB97" s="4"/>
    </row>
    <row r="98" spans="2:31" x14ac:dyDescent="0.2">
      <c r="B98" t="str">
        <f>'Recoverable Costs Summary'!B33</f>
        <v>Debt rasing costs from Metering PTRM</v>
      </c>
      <c r="D98" s="269">
        <f>'Recoverable Costs Summary'!D33</f>
        <v>56346.313796938026</v>
      </c>
      <c r="E98" s="269">
        <f>'Recoverable Costs Summary'!E33</f>
        <v>58720.691929753266</v>
      </c>
      <c r="F98" s="269">
        <f>'Recoverable Costs Summary'!F33</f>
        <v>60727.187366292761</v>
      </c>
      <c r="G98" s="269">
        <f>'Recoverable Costs Summary'!G33</f>
        <v>62365.800106556489</v>
      </c>
      <c r="H98" s="269">
        <f>'Recoverable Costs Summary'!H33</f>
        <v>63636.530150544488</v>
      </c>
      <c r="AB98" s="4"/>
      <c r="AE98" s="245"/>
    </row>
    <row r="99" spans="2:31" x14ac:dyDescent="0.2">
      <c r="D99" s="339">
        <f>SUM(D96:D98)</f>
        <v>6306781.7891163873</v>
      </c>
      <c r="E99" s="339">
        <f t="shared" ref="E99:H99" si="85">SUM(E96:E98)</f>
        <v>6572543.3582312958</v>
      </c>
      <c r="F99" s="339">
        <f t="shared" si="85"/>
        <v>6881930.6795649109</v>
      </c>
      <c r="G99" s="339">
        <f t="shared" si="85"/>
        <v>7254516.5261992235</v>
      </c>
      <c r="H99" s="339">
        <f t="shared" si="85"/>
        <v>7521221.2762203896</v>
      </c>
    </row>
    <row r="100" spans="2:31" x14ac:dyDescent="0.2">
      <c r="B100" s="341" t="s">
        <v>251</v>
      </c>
      <c r="D100" s="340">
        <f>D28-D99</f>
        <v>0</v>
      </c>
      <c r="E100" s="340">
        <f t="shared" ref="E100:H100" si="86">E28-E99</f>
        <v>0</v>
      </c>
      <c r="F100" s="340">
        <f t="shared" si="86"/>
        <v>0</v>
      </c>
      <c r="G100" s="340">
        <f t="shared" si="86"/>
        <v>0</v>
      </c>
      <c r="H100" s="340">
        <f t="shared" si="86"/>
        <v>0</v>
      </c>
    </row>
    <row r="102" spans="2:31" x14ac:dyDescent="0.2">
      <c r="B102" s="337" t="str">
        <f>'Recoverable Costs Summary'!B23</f>
        <v>Depreciation</v>
      </c>
      <c r="D102" s="269">
        <f>'Recoverable Costs Summary'!D23</f>
        <v>3087533.4808712578</v>
      </c>
      <c r="E102" s="269">
        <f>'Recoverable Costs Summary'!E23</f>
        <v>3613941.1811173675</v>
      </c>
      <c r="F102" s="269">
        <f>'Recoverable Costs Summary'!F23</f>
        <v>4154746.3038059166</v>
      </c>
      <c r="G102" s="269">
        <f>'Recoverable Costs Summary'!G23</f>
        <v>4709948.8489369052</v>
      </c>
      <c r="H102" s="269">
        <f>'Recoverable Costs Summary'!H23</f>
        <v>5279548.8165103365</v>
      </c>
    </row>
    <row r="103" spans="2:31" x14ac:dyDescent="0.2">
      <c r="B103" s="341" t="s">
        <v>251</v>
      </c>
      <c r="D103" s="340">
        <f>D30-D102</f>
        <v>0</v>
      </c>
      <c r="E103" s="340">
        <f t="shared" ref="E103:H103" si="87">E30-E102</f>
        <v>0</v>
      </c>
      <c r="F103" s="340">
        <f t="shared" si="87"/>
        <v>0</v>
      </c>
      <c r="G103" s="340">
        <f t="shared" si="87"/>
        <v>0</v>
      </c>
      <c r="H103" s="340">
        <f t="shared" si="87"/>
        <v>0</v>
      </c>
    </row>
    <row r="105" spans="2:31" x14ac:dyDescent="0.2">
      <c r="B105" s="337" t="s">
        <v>252</v>
      </c>
    </row>
    <row r="106" spans="2:31" x14ac:dyDescent="0.2">
      <c r="B106" s="342" t="s">
        <v>144</v>
      </c>
      <c r="D106" s="339">
        <f>'Recoverable Costs Summary'!J64-'Recoverable Costs Summary'!D33</f>
        <v>24605350.578699347</v>
      </c>
      <c r="E106" s="339">
        <f>'Recoverable Costs Summary'!K64-'Recoverable Costs Summary'!E33</f>
        <v>24468556.475845519</v>
      </c>
      <c r="F106" s="339">
        <f>'Recoverable Costs Summary'!L64-'Recoverable Costs Summary'!F33</f>
        <v>24350520.924844395</v>
      </c>
      <c r="G106" s="339">
        <f>'Recoverable Costs Summary'!M64-'Recoverable Costs Summary'!G33</f>
        <v>24091312.32038736</v>
      </c>
      <c r="H106" s="339">
        <f>'Recoverable Costs Summary'!N64-'Recoverable Costs Summary'!H33</f>
        <v>24193618.44213837</v>
      </c>
    </row>
    <row r="107" spans="2:31" x14ac:dyDescent="0.2">
      <c r="B107" s="343" t="s">
        <v>253</v>
      </c>
      <c r="D107" s="269">
        <f>SUM('Recoverable Costs Summary'!D32,'Recoverable Costs Summary'!D37,'Recoverable Costs Summary'!D42,'Recoverable Costs Summary'!D48,'Recoverable Costs Summary'!D54)</f>
        <v>24633523.706420049</v>
      </c>
      <c r="E107" s="269">
        <f>SUM('Recoverable Costs Summary'!E32,'Recoverable Costs Summary'!E37,'Recoverable Costs Summary'!E42,'Recoverable Costs Summary'!E48,'Recoverable Costs Summary'!E54)</f>
        <v>24647592.03637724</v>
      </c>
      <c r="F107" s="269">
        <f>SUM('Recoverable Costs Summary'!F32,'Recoverable Costs Summary'!F37,'Recoverable Costs Summary'!F42,'Recoverable Costs Summary'!F48,'Recoverable Costs Summary'!F54)</f>
        <v>24759332.959192969</v>
      </c>
      <c r="G107" s="269">
        <f>SUM('Recoverable Costs Summary'!G32,'Recoverable Costs Summary'!G37,'Recoverable Costs Summary'!G42,'Recoverable Costs Summary'!G48,'Recoverable Costs Summary'!G54)</f>
        <v>24736257.600067049</v>
      </c>
      <c r="H107" s="269">
        <f>SUM('Recoverable Costs Summary'!H32,'Recoverable Costs Summary'!H37,'Recoverable Costs Summary'!H42,'Recoverable Costs Summary'!H48,'Recoverable Costs Summary'!H54)</f>
        <v>25061729.898954574</v>
      </c>
    </row>
    <row r="108" spans="2:31" x14ac:dyDescent="0.2">
      <c r="D108" s="344">
        <f>D106/D107</f>
        <v>0.99885630947255188</v>
      </c>
      <c r="E108" s="344">
        <f t="shared" ref="E108:H108" si="88">E106/E107</f>
        <v>0.99273618452190049</v>
      </c>
      <c r="F108" s="344">
        <f t="shared" si="88"/>
        <v>0.98348856833007758</v>
      </c>
      <c r="G108" s="344">
        <f t="shared" si="88"/>
        <v>0.97392712793878966</v>
      </c>
      <c r="H108" s="344">
        <f t="shared" si="88"/>
        <v>0.96536107202829535</v>
      </c>
    </row>
  </sheetData>
  <customSheetViews>
    <customSheetView guid="{935FDB08-2C7A-4709-9BC5-9809E261DD86}" topLeftCell="A68">
      <selection activeCell="E86" sqref="E86:E91"/>
      <pageMargins left="0.7" right="0.7" top="0.75" bottom="0.75" header="0.3" footer="0.3"/>
    </customSheetView>
  </customSheetViews>
  <mergeCells count="6">
    <mergeCell ref="U23:V23"/>
    <mergeCell ref="X23:Y23"/>
    <mergeCell ref="I2:I3"/>
    <mergeCell ref="J23:L23"/>
    <mergeCell ref="O23:P23"/>
    <mergeCell ref="R23:S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1:O68"/>
  <sheetViews>
    <sheetView zoomScale="90" zoomScaleNormal="90" workbookViewId="0">
      <pane xSplit="3" ySplit="12" topLeftCell="D13" activePane="bottomRight" state="frozen"/>
      <selection activeCell="N64" sqref="N64"/>
      <selection pane="topRight" activeCell="N64" sqref="N64"/>
      <selection pane="bottomLeft" activeCell="N64" sqref="N64"/>
      <selection pane="bottomRight" activeCell="I5" sqref="I5"/>
    </sheetView>
  </sheetViews>
  <sheetFormatPr defaultRowHeight="12.75" x14ac:dyDescent="0.2"/>
  <cols>
    <col min="1" max="1" width="1.5703125" style="191" customWidth="1"/>
    <col min="2" max="2" width="39.140625" style="191" customWidth="1"/>
    <col min="3" max="8" width="15.7109375" style="191" customWidth="1"/>
    <col min="9" max="9" width="20" style="191" customWidth="1"/>
    <col min="10" max="14" width="14.85546875" style="191" customWidth="1"/>
    <col min="15" max="16384" width="9.140625" style="191"/>
  </cols>
  <sheetData>
    <row r="1" spans="2:15" ht="8.25" customHeight="1" x14ac:dyDescent="0.2"/>
    <row r="2" spans="2:15" x14ac:dyDescent="0.2">
      <c r="B2" s="40" t="s">
        <v>226</v>
      </c>
      <c r="C2" s="192"/>
      <c r="D2" s="192"/>
      <c r="E2" s="192"/>
      <c r="F2" s="192"/>
      <c r="G2" s="192"/>
      <c r="H2" s="192"/>
    </row>
    <row r="3" spans="2:15" x14ac:dyDescent="0.2">
      <c r="D3" s="191" t="s">
        <v>165</v>
      </c>
    </row>
    <row r="4" spans="2:15" ht="16.5" customHeight="1" x14ac:dyDescent="0.2">
      <c r="B4" s="191" t="s">
        <v>150</v>
      </c>
      <c r="D4" s="193">
        <f>(1+Inputs!$E$7)</f>
        <v>1.0176000000000001</v>
      </c>
      <c r="E4" s="193">
        <f>D4</f>
        <v>1.0176000000000001</v>
      </c>
      <c r="F4" s="193">
        <f>E4</f>
        <v>1.0176000000000001</v>
      </c>
      <c r="G4" s="193">
        <f>F4</f>
        <v>1.0176000000000001</v>
      </c>
      <c r="H4" s="193">
        <f>G4</f>
        <v>1.0176000000000001</v>
      </c>
    </row>
    <row r="5" spans="2:15" ht="9" customHeight="1" x14ac:dyDescent="0.2">
      <c r="D5" s="193"/>
      <c r="E5" s="193"/>
      <c r="F5" s="193"/>
      <c r="G5" s="193"/>
      <c r="H5" s="193"/>
    </row>
    <row r="6" spans="2:15" ht="16.5" customHeight="1" x14ac:dyDescent="0.2">
      <c r="B6" s="191" t="s">
        <v>212</v>
      </c>
      <c r="D6" s="193">
        <v>0.24029024920046588</v>
      </c>
      <c r="E6" s="193">
        <v>0.21055894171515971</v>
      </c>
      <c r="F6" s="193">
        <v>0.19301668890197818</v>
      </c>
      <c r="G6" s="193">
        <v>0.17228332748436942</v>
      </c>
      <c r="H6" s="193">
        <v>0.15894085163364041</v>
      </c>
    </row>
    <row r="7" spans="2:15" ht="16.5" customHeight="1" thickBot="1" x14ac:dyDescent="0.25">
      <c r="B7" s="191" t="s">
        <v>213</v>
      </c>
      <c r="D7" s="193">
        <v>0.16908593202175295</v>
      </c>
      <c r="E7" s="193">
        <v>0.16218175688344155</v>
      </c>
      <c r="F7" s="193">
        <v>0.16869179724975786</v>
      </c>
      <c r="G7" s="193">
        <v>0.17127424292676965</v>
      </c>
      <c r="H7" s="193">
        <v>0.18254882354723861</v>
      </c>
    </row>
    <row r="8" spans="2:15" ht="13.5" thickBot="1" x14ac:dyDescent="0.25">
      <c r="B8" s="194" t="s">
        <v>214</v>
      </c>
      <c r="C8" s="41"/>
      <c r="D8" s="212">
        <f>SUM(D6:D7)</f>
        <v>0.40937618122221886</v>
      </c>
      <c r="E8" s="213">
        <f>SUM(E6:E7)</f>
        <v>0.37274069859860126</v>
      </c>
      <c r="F8" s="213">
        <f>SUM(F6:F7)</f>
        <v>0.36170848615173601</v>
      </c>
      <c r="G8" s="213">
        <f>SUM(G6:G7)</f>
        <v>0.3435575704111391</v>
      </c>
      <c r="H8" s="214">
        <f>SUM(H6:H7)</f>
        <v>0.34148967518087903</v>
      </c>
    </row>
    <row r="9" spans="2:15" ht="16.5" customHeight="1" thickBot="1" x14ac:dyDescent="0.25">
      <c r="D9" s="215"/>
      <c r="E9" s="216"/>
      <c r="F9" s="216"/>
      <c r="G9" s="216"/>
      <c r="H9" s="217"/>
    </row>
    <row r="10" spans="2:15" ht="16.5" customHeight="1" x14ac:dyDescent="0.2">
      <c r="B10" s="184"/>
      <c r="C10" s="196"/>
      <c r="D10" s="196"/>
      <c r="E10" s="196"/>
      <c r="F10" s="196"/>
      <c r="G10" s="196"/>
      <c r="H10" s="196"/>
    </row>
    <row r="11" spans="2:15" x14ac:dyDescent="0.2">
      <c r="B11" s="184" t="s">
        <v>151</v>
      </c>
      <c r="C11" s="179" t="s">
        <v>7</v>
      </c>
      <c r="D11" s="179" t="s">
        <v>0</v>
      </c>
      <c r="E11" s="179" t="s">
        <v>1</v>
      </c>
      <c r="F11" s="179" t="s">
        <v>10</v>
      </c>
      <c r="G11" s="179" t="s">
        <v>2</v>
      </c>
      <c r="H11" s="179" t="s">
        <v>3</v>
      </c>
      <c r="I11" s="197"/>
      <c r="N11" s="198"/>
      <c r="O11" s="198"/>
    </row>
    <row r="12" spans="2:15" ht="13.5" thickBot="1" x14ac:dyDescent="0.25">
      <c r="B12" s="196"/>
      <c r="C12" s="218"/>
      <c r="D12" s="218" t="s">
        <v>9</v>
      </c>
      <c r="E12" s="218" t="s">
        <v>9</v>
      </c>
      <c r="F12" s="218" t="s">
        <v>9</v>
      </c>
      <c r="G12" s="218" t="s">
        <v>9</v>
      </c>
      <c r="H12" s="218" t="s">
        <v>9</v>
      </c>
    </row>
    <row r="13" spans="2:15" x14ac:dyDescent="0.2">
      <c r="B13" s="180" t="s">
        <v>69</v>
      </c>
      <c r="C13" s="219"/>
      <c r="D13" s="219"/>
      <c r="E13" s="219"/>
      <c r="F13" s="219"/>
      <c r="G13" s="219"/>
      <c r="H13" s="220"/>
    </row>
    <row r="14" spans="2:15" x14ac:dyDescent="0.2">
      <c r="B14" s="199" t="s">
        <v>157</v>
      </c>
      <c r="C14" s="221"/>
      <c r="D14" s="200">
        <f>'Metering AMP'!H24</f>
        <v>6345004.4151999988</v>
      </c>
      <c r="E14" s="200">
        <f>'Metering AMP'!J22</f>
        <v>5446326.8505999995</v>
      </c>
      <c r="F14" s="200">
        <f>'Metering AMP'!L22</f>
        <v>5622813.1005999995</v>
      </c>
      <c r="G14" s="200">
        <f>'Metering AMP'!N22</f>
        <v>7634694.2274399996</v>
      </c>
      <c r="H14" s="201">
        <f>'Metering AMP'!P22</f>
        <v>7497353.3274400001</v>
      </c>
      <c r="I14" s="191" t="s">
        <v>122</v>
      </c>
      <c r="J14" s="198"/>
      <c r="K14" s="198"/>
      <c r="L14" s="198"/>
      <c r="M14" s="202"/>
      <c r="N14" s="202"/>
    </row>
    <row r="15" spans="2:15" x14ac:dyDescent="0.2">
      <c r="B15" s="199" t="s">
        <v>70</v>
      </c>
      <c r="C15" s="221"/>
      <c r="D15" s="203">
        <f>D14*D$8</f>
        <v>2597493.6773326937</v>
      </c>
      <c r="E15" s="203">
        <f>E14*E$8</f>
        <v>2030067.6750889637</v>
      </c>
      <c r="F15" s="203">
        <f>F14*F$8</f>
        <v>2033819.2145321746</v>
      </c>
      <c r="G15" s="203">
        <f>G14*G$8</f>
        <v>2622956.9996112348</v>
      </c>
      <c r="H15" s="204">
        <f>H14*H$8</f>
        <v>2560268.7525037681</v>
      </c>
      <c r="J15" s="202"/>
      <c r="K15" s="202"/>
      <c r="L15" s="202"/>
      <c r="M15" s="202"/>
      <c r="N15" s="202"/>
    </row>
    <row r="16" spans="2:15" ht="11.25" customHeight="1" x14ac:dyDescent="0.2">
      <c r="B16" s="199" t="s">
        <v>152</v>
      </c>
      <c r="C16" s="221"/>
      <c r="D16" s="200">
        <f>SUM(D14:D15)</f>
        <v>8942498.0925326925</v>
      </c>
      <c r="E16" s="200">
        <f>SUM(E14:E15)</f>
        <v>7476394.525688963</v>
      </c>
      <c r="F16" s="200">
        <f>SUM(F14:F15)</f>
        <v>7656632.3151321746</v>
      </c>
      <c r="G16" s="200">
        <f>SUM(G14:G15)</f>
        <v>10257651.227051234</v>
      </c>
      <c r="H16" s="201">
        <f>SUM(H14:H15)</f>
        <v>10057622.079943769</v>
      </c>
      <c r="J16" s="202"/>
      <c r="K16" s="202"/>
      <c r="L16" s="202"/>
      <c r="M16" s="202"/>
      <c r="N16" s="202"/>
    </row>
    <row r="17" spans="2:14" ht="16.5" customHeight="1" thickBot="1" x14ac:dyDescent="0.25">
      <c r="B17" s="181" t="s">
        <v>152</v>
      </c>
      <c r="C17" s="222"/>
      <c r="D17" s="182">
        <f>D16*Inputs!F$79</f>
        <v>9001563.8640545532</v>
      </c>
      <c r="E17" s="182">
        <f>E16*Inputs!G$79</f>
        <v>7569483.3008827399</v>
      </c>
      <c r="F17" s="182">
        <f>F16*Inputs!H$79</f>
        <v>7825825.4011478284</v>
      </c>
      <c r="G17" s="182">
        <f>G16*Inputs!I$79</f>
        <v>10595823.049242245</v>
      </c>
      <c r="H17" s="182">
        <f>H16*Inputs!J$79</f>
        <v>10499985.065101681</v>
      </c>
      <c r="J17" s="202"/>
      <c r="K17" s="202"/>
      <c r="L17" s="202"/>
      <c r="M17" s="202"/>
      <c r="N17" s="202"/>
    </row>
    <row r="18" spans="2:14" ht="30.75" customHeight="1" x14ac:dyDescent="0.2">
      <c r="B18" s="288" t="s">
        <v>273</v>
      </c>
      <c r="C18" s="205"/>
      <c r="D18" s="397">
        <f>[3]Assets!G154*10^6</f>
        <v>94859114.136259288</v>
      </c>
      <c r="E18" s="397">
        <f>[3]Assets!H154*10^6</f>
        <v>98856383.720123336</v>
      </c>
      <c r="F18" s="397">
        <f>[3]Assets!I154*10^6</f>
        <v>102234322.16547601</v>
      </c>
      <c r="G18" s="397">
        <f>[3]Assets!J154*10^6</f>
        <v>104992929.47231732</v>
      </c>
      <c r="H18" s="397">
        <f>[3]Assets!K154*10^6</f>
        <v>107132205.64064729</v>
      </c>
      <c r="I18" s="288" t="s">
        <v>272</v>
      </c>
      <c r="J18" s="278"/>
    </row>
    <row r="19" spans="2:14" ht="14.25" customHeight="1" x14ac:dyDescent="0.2">
      <c r="B19" s="196" t="s">
        <v>71</v>
      </c>
      <c r="C19" s="268">
        <f>Inputs!F17</f>
        <v>6.7460000000000006E-2</v>
      </c>
      <c r="D19" s="183"/>
      <c r="E19" s="183"/>
      <c r="F19" s="183"/>
      <c r="G19" s="183"/>
      <c r="H19" s="183"/>
    </row>
    <row r="20" spans="2:14" ht="8.25" customHeight="1" x14ac:dyDescent="0.2">
      <c r="B20" s="196"/>
      <c r="C20" s="185"/>
      <c r="D20" s="196"/>
      <c r="E20" s="196"/>
      <c r="F20" s="196"/>
      <c r="G20" s="196"/>
      <c r="H20" s="196"/>
    </row>
    <row r="21" spans="2:14" x14ac:dyDescent="0.2">
      <c r="B21" s="184" t="s">
        <v>4</v>
      </c>
      <c r="C21" s="185"/>
      <c r="D21" s="398">
        <f>('[3]X factor'!E11*10^6)/[3]Assets!G7</f>
        <v>6250435.4753194489</v>
      </c>
      <c r="E21" s="398">
        <f>('[3]X factor'!F11*10^6)/[3]Assets!H7</f>
        <v>6513822.6663015429</v>
      </c>
      <c r="F21" s="398">
        <f>('[3]X factor'!G11*10^6)/[3]Assets!I7</f>
        <v>6736401.0287976284</v>
      </c>
      <c r="G21" s="398">
        <f>('[3]X factor'!H11*10^6)/[3]Assets!J7</f>
        <v>6918170.5628077043</v>
      </c>
      <c r="H21" s="398">
        <f>('[3]X factor'!I11*10^6)/[3]Assets!K7</f>
        <v>7059131.268331768</v>
      </c>
      <c r="I21" s="195" t="s">
        <v>237</v>
      </c>
    </row>
    <row r="22" spans="2:14" ht="8.25" customHeight="1" x14ac:dyDescent="0.2">
      <c r="B22" s="196"/>
      <c r="C22" s="205"/>
      <c r="D22" s="205"/>
      <c r="E22" s="205"/>
      <c r="F22" s="205"/>
      <c r="G22" s="205"/>
      <c r="H22" s="205"/>
    </row>
    <row r="23" spans="2:14" x14ac:dyDescent="0.2">
      <c r="B23" s="277" t="s">
        <v>239</v>
      </c>
      <c r="C23" s="185"/>
      <c r="D23" s="398">
        <f>('[3]X factor'!E12*10^6)/[3]Assets!G7</f>
        <v>3087533.4808712578</v>
      </c>
      <c r="E23" s="398">
        <f>('[3]X factor'!F12*10^6)/[3]Assets!H7</f>
        <v>3613941.1811173675</v>
      </c>
      <c r="F23" s="398">
        <f>('[3]X factor'!G12*10^6)/[3]Assets!I7</f>
        <v>4154746.3038059166</v>
      </c>
      <c r="G23" s="398">
        <f>('[3]X factor'!H12*10^6)/[3]Assets!J7</f>
        <v>4709948.8489369052</v>
      </c>
      <c r="H23" s="398">
        <f>('[3]X factor'!I12*10^6)/[3]Assets!K7</f>
        <v>5279548.8165103365</v>
      </c>
      <c r="I23" s="195" t="s">
        <v>237</v>
      </c>
    </row>
    <row r="24" spans="2:14" x14ac:dyDescent="0.2">
      <c r="B24" s="184"/>
      <c r="C24" s="185"/>
      <c r="D24" s="185"/>
      <c r="E24" s="185"/>
      <c r="F24" s="185"/>
      <c r="G24" s="185"/>
      <c r="H24" s="185"/>
    </row>
    <row r="25" spans="2:14" x14ac:dyDescent="0.2">
      <c r="B25" s="184" t="s">
        <v>76</v>
      </c>
      <c r="C25" s="185"/>
      <c r="D25" s="398">
        <f>[3]Assets!G153*10^6</f>
        <v>98856383.720123336</v>
      </c>
      <c r="E25" s="398">
        <f>[3]Assets!H153*10^6</f>
        <v>102234322.16547601</v>
      </c>
      <c r="F25" s="398">
        <f>[3]Assets!I153*10^6</f>
        <v>104992929.47231732</v>
      </c>
      <c r="G25" s="398">
        <f>[3]Assets!J153*10^6</f>
        <v>107132205.64064729</v>
      </c>
      <c r="H25" s="398">
        <f>[3]Assets!K153*10^6</f>
        <v>108652150.67046589</v>
      </c>
      <c r="I25" s="288" t="s">
        <v>272</v>
      </c>
      <c r="J25" s="278"/>
    </row>
    <row r="26" spans="2:14" ht="14.25" customHeight="1" x14ac:dyDescent="0.2">
      <c r="B26" s="196"/>
      <c r="C26" s="205"/>
      <c r="D26" s="205"/>
      <c r="E26" s="205"/>
      <c r="F26" s="205"/>
      <c r="G26" s="205"/>
      <c r="H26" s="205"/>
    </row>
    <row r="27" spans="2:14" ht="14.25" customHeight="1" x14ac:dyDescent="0.2">
      <c r="B27" s="184" t="s">
        <v>166</v>
      </c>
      <c r="C27" s="205"/>
      <c r="D27" s="398">
        <f>('[3]X factor'!E15*10^6)/[3]Assets!G7</f>
        <v>0</v>
      </c>
      <c r="E27" s="398">
        <f>('[3]X factor'!F15*10^6)/[3]Assets!H7</f>
        <v>0</v>
      </c>
      <c r="F27" s="398">
        <f>('[3]X factor'!G15*10^6)/[3]Assets!I7</f>
        <v>84802.463400989378</v>
      </c>
      <c r="G27" s="398">
        <f>('[3]X factor'!H15*10^6)/[3]Assets!J7</f>
        <v>273980.16328496276</v>
      </c>
      <c r="H27" s="398">
        <f>('[3]X factor'!I15*10^6)/[3]Assets!K7</f>
        <v>398453.47773807659</v>
      </c>
      <c r="I27" s="195" t="s">
        <v>237</v>
      </c>
    </row>
    <row r="28" spans="2:14" ht="14.25" customHeight="1" x14ac:dyDescent="0.2">
      <c r="B28" s="196"/>
      <c r="C28" s="205"/>
      <c r="D28" s="289"/>
      <c r="E28" s="205"/>
      <c r="F28" s="205"/>
      <c r="G28" s="205"/>
      <c r="H28" s="205"/>
    </row>
    <row r="29" spans="2:14" x14ac:dyDescent="0.2">
      <c r="B29" s="206" t="s">
        <v>172</v>
      </c>
      <c r="C29" s="205"/>
      <c r="D29" s="205">
        <v>12995364.503197974</v>
      </c>
      <c r="E29" s="205">
        <v>12995364.503197974</v>
      </c>
      <c r="F29" s="205">
        <v>12995364.503197974</v>
      </c>
      <c r="G29" s="205">
        <v>12995364.503197974</v>
      </c>
      <c r="H29" s="205">
        <v>12995364.503197974</v>
      </c>
      <c r="I29" s="41"/>
    </row>
    <row r="30" spans="2:14" x14ac:dyDescent="0.2">
      <c r="B30" s="206" t="s">
        <v>231</v>
      </c>
      <c r="C30" s="205"/>
      <c r="D30" s="205">
        <f>D29*(Inputs!F$78-1)</f>
        <v>76209.307307945419</v>
      </c>
      <c r="E30" s="205">
        <f>E29*(Inputs!G$78-1)</f>
        <v>190522.33507226748</v>
      </c>
      <c r="F30" s="205">
        <f>F29*(Inputs!H$78-1)</f>
        <v>355385.85041303298</v>
      </c>
      <c r="G30" s="205">
        <f>G29*(Inputs!I$78-1)</f>
        <v>521200.5470501777</v>
      </c>
      <c r="H30" s="205">
        <f>H29*(Inputs!J$78-1)</f>
        <v>679009.01200411539</v>
      </c>
      <c r="I30" s="41"/>
    </row>
    <row r="31" spans="2:14" x14ac:dyDescent="0.2">
      <c r="B31" s="206" t="s">
        <v>72</v>
      </c>
      <c r="C31" s="205"/>
      <c r="D31" s="205">
        <f>SUM(D29:D30)*D$8</f>
        <v>5351190.969109281</v>
      </c>
      <c r="E31" s="205">
        <f>SUM(E29:E30)*E$8</f>
        <v>4914916.6717389515</v>
      </c>
      <c r="F31" s="205">
        <f>SUM(F29:F30)*F$8</f>
        <v>4829079.6993943918</v>
      </c>
      <c r="G31" s="205">
        <f>SUM(G29:G30)*G$8</f>
        <v>4643718.2489673709</v>
      </c>
      <c r="H31" s="205">
        <f>SUM(H29:H30)*H$8</f>
        <v>4669657.3700083764</v>
      </c>
    </row>
    <row r="32" spans="2:14" ht="13.5" thickBot="1" x14ac:dyDescent="0.25">
      <c r="B32" s="181" t="s">
        <v>175</v>
      </c>
      <c r="C32" s="182"/>
      <c r="D32" s="182">
        <f>SUM(D29:D31)</f>
        <v>18422764.779615201</v>
      </c>
      <c r="E32" s="182">
        <f>SUM(E29:E31)</f>
        <v>18100803.510009192</v>
      </c>
      <c r="F32" s="182">
        <f>SUM(F29:F31)</f>
        <v>18179830.053005397</v>
      </c>
      <c r="G32" s="182">
        <f>SUM(G29:G31)</f>
        <v>18160283.299215522</v>
      </c>
      <c r="H32" s="182">
        <f>SUM(H29:H31)</f>
        <v>18344030.885210466</v>
      </c>
      <c r="I32" s="226"/>
      <c r="J32" s="227"/>
      <c r="K32" s="228"/>
      <c r="L32" s="226"/>
    </row>
    <row r="33" spans="2:13" x14ac:dyDescent="0.2">
      <c r="B33" s="288" t="s">
        <v>247</v>
      </c>
      <c r="C33" s="269"/>
      <c r="D33" s="397">
        <f>[3]Input!G79*10^6</f>
        <v>56346.313796938026</v>
      </c>
      <c r="E33" s="397">
        <f>[3]Input!H79*10^6</f>
        <v>58720.691929753266</v>
      </c>
      <c r="F33" s="397">
        <f>[3]Input!I79*10^6</f>
        <v>60727.187366292761</v>
      </c>
      <c r="G33" s="397">
        <f>[3]Input!J79*10^6</f>
        <v>62365.800106556489</v>
      </c>
      <c r="H33" s="397">
        <f>[3]Input!K79*10^6</f>
        <v>63636.530150544488</v>
      </c>
      <c r="I33" s="226"/>
      <c r="J33" s="227"/>
      <c r="K33" s="228"/>
      <c r="L33" s="226"/>
    </row>
    <row r="34" spans="2:13" x14ac:dyDescent="0.2">
      <c r="B34" s="196" t="s">
        <v>211</v>
      </c>
      <c r="C34" s="205"/>
      <c r="D34" s="205">
        <f>'Metering AMP'!H56</f>
        <v>1444530.96</v>
      </c>
      <c r="E34" s="205">
        <f>'Metering AMP'!J56</f>
        <v>1449124.56</v>
      </c>
      <c r="F34" s="205">
        <f>'Metering AMP'!L56</f>
        <v>1432605.96</v>
      </c>
      <c r="G34" s="205">
        <f>'Metering AMP'!N56</f>
        <v>1437648.96</v>
      </c>
      <c r="H34" s="205">
        <f>'Metering AMP'!P56</f>
        <v>1438953.96</v>
      </c>
      <c r="I34" s="226"/>
      <c r="J34" s="227"/>
      <c r="K34" s="228"/>
      <c r="L34" s="226"/>
    </row>
    <row r="35" spans="2:13" x14ac:dyDescent="0.2">
      <c r="B35" s="206" t="s">
        <v>233</v>
      </c>
      <c r="C35" s="205"/>
      <c r="D35" s="205">
        <f>D34*(Inputs!F$78-1)</f>
        <v>8471.2286307468057</v>
      </c>
      <c r="E35" s="205">
        <f>E34*(Inputs!G$78-1)</f>
        <v>21245.313658868916</v>
      </c>
      <c r="F35" s="205">
        <f>F34*(Inputs!H$78-1)</f>
        <v>39177.653483754948</v>
      </c>
      <c r="G35" s="205">
        <f>G34*(Inputs!I$78-1)</f>
        <v>57659.284911456401</v>
      </c>
      <c r="H35" s="205">
        <f>H34*(Inputs!J$78-1)</f>
        <v>75185.479134391979</v>
      </c>
      <c r="I35" s="41"/>
    </row>
    <row r="36" spans="2:13" x14ac:dyDescent="0.2">
      <c r="B36" s="206" t="s">
        <v>72</v>
      </c>
      <c r="C36" s="205"/>
      <c r="D36" s="205">
        <f>SUM(D34:D35)*D$8</f>
        <v>594824.48728918121</v>
      </c>
      <c r="E36" s="205">
        <f>SUM(E34:E35)*E$8</f>
        <v>548066.69390594389</v>
      </c>
      <c r="F36" s="205">
        <f>SUM(F34:F35)*F$8</f>
        <v>532356.62277614069</v>
      </c>
      <c r="G36" s="205">
        <f>SUM(G34:G35)*G$8</f>
        <v>513724.46763752453</v>
      </c>
      <c r="H36" s="205">
        <f>SUM(H34:H35)*H$8</f>
        <v>517062.98524856183</v>
      </c>
    </row>
    <row r="37" spans="2:13" ht="13.5" thickBot="1" x14ac:dyDescent="0.25">
      <c r="B37" s="181" t="s">
        <v>179</v>
      </c>
      <c r="C37" s="182"/>
      <c r="D37" s="182">
        <f>SUM(D34:D36)</f>
        <v>2047826.6759199279</v>
      </c>
      <c r="E37" s="182">
        <f>SUM(E34:E36)</f>
        <v>2018436.567564813</v>
      </c>
      <c r="F37" s="182">
        <f>SUM(F34:F36)</f>
        <v>2004140.2362598956</v>
      </c>
      <c r="G37" s="182">
        <f>SUM(G34:G36)</f>
        <v>2009032.712548981</v>
      </c>
      <c r="H37" s="182">
        <f>SUM(H34:H36)</f>
        <v>2031202.4243829539</v>
      </c>
    </row>
    <row r="38" spans="2:13" x14ac:dyDescent="0.2">
      <c r="B38" s="186"/>
      <c r="C38" s="187"/>
      <c r="D38" s="187"/>
      <c r="E38" s="187"/>
      <c r="F38" s="187"/>
      <c r="G38" s="187"/>
      <c r="H38" s="187"/>
    </row>
    <row r="39" spans="2:13" x14ac:dyDescent="0.2">
      <c r="B39" s="196" t="s">
        <v>164</v>
      </c>
      <c r="C39" s="205"/>
      <c r="D39" s="205">
        <f>'Metering AMP'!H51+'Metering AMP'!H63</f>
        <v>1520317.31</v>
      </c>
      <c r="E39" s="205">
        <f>'Metering AMP'!J51+'Metering AMP'!J63</f>
        <v>1815324.97</v>
      </c>
      <c r="F39" s="205">
        <f>'Metering AMP'!L51+'Metering AMP'!L63</f>
        <v>1814658.23</v>
      </c>
      <c r="G39" s="205">
        <f>'Metering AMP'!N51+'Metering AMP'!N63</f>
        <v>1733252.23</v>
      </c>
      <c r="H39" s="205">
        <f>'Metering AMP'!P51+'Metering AMP'!P63</f>
        <v>1762612.23</v>
      </c>
      <c r="I39" s="207"/>
      <c r="K39" s="208"/>
      <c r="M39" s="41"/>
    </row>
    <row r="40" spans="2:13" x14ac:dyDescent="0.2">
      <c r="B40" s="206" t="s">
        <v>233</v>
      </c>
      <c r="C40" s="205"/>
      <c r="D40" s="205">
        <f>D39*(Inputs!F78-1)</f>
        <v>8915.6659711135344</v>
      </c>
      <c r="E40" s="205">
        <f>E39*(Inputs!G78-1)</f>
        <v>26614.101675584607</v>
      </c>
      <c r="F40" s="205">
        <f>F39*(Inputs!H78-1)</f>
        <v>49625.684459936274</v>
      </c>
      <c r="G40" s="205">
        <f>G39*(Inputs!I78-1)</f>
        <v>69514.942057195352</v>
      </c>
      <c r="H40" s="205">
        <f>H39*(Inputs!J78-1)</f>
        <v>92096.654044921015</v>
      </c>
      <c r="I40" s="41"/>
    </row>
    <row r="41" spans="2:13" x14ac:dyDescent="0.2">
      <c r="B41" s="206" t="s">
        <v>72</v>
      </c>
      <c r="C41" s="205"/>
      <c r="D41" s="205">
        <f>SUM(D39:D40)*D$8</f>
        <v>626031.55590214371</v>
      </c>
      <c r="E41" s="205">
        <f>SUM(E39:E40)*E$8</f>
        <v>686565.6563524165</v>
      </c>
      <c r="F41" s="205">
        <f>SUM(F39:F40)*F$8</f>
        <v>674327.31245633611</v>
      </c>
      <c r="G41" s="205">
        <f>SUM(G39:G40)*G$8</f>
        <v>619354.30964892998</v>
      </c>
      <c r="H41" s="205">
        <f>SUM(H39:H40)*H$8</f>
        <v>633363.9343675907</v>
      </c>
    </row>
    <row r="42" spans="2:13" s="195" customFormat="1" ht="13.5" thickBot="1" x14ac:dyDescent="0.25">
      <c r="B42" s="188" t="s">
        <v>178</v>
      </c>
      <c r="C42" s="182"/>
      <c r="D42" s="182">
        <f>SUM(D39:D41)</f>
        <v>2155264.5318732574</v>
      </c>
      <c r="E42" s="182">
        <f>SUM(E39:E41)</f>
        <v>2528504.7280280013</v>
      </c>
      <c r="F42" s="182">
        <f>SUM(F39:F41)</f>
        <v>2538611.2269162722</v>
      </c>
      <c r="G42" s="182">
        <f>SUM(G39:G41)</f>
        <v>2422121.4817061252</v>
      </c>
      <c r="H42" s="182">
        <f>SUM(H39:H41)</f>
        <v>2488072.8184125116</v>
      </c>
      <c r="I42" s="209"/>
      <c r="K42" s="210"/>
      <c r="M42" s="44"/>
    </row>
    <row r="43" spans="2:13" ht="20.25" customHeight="1" x14ac:dyDescent="0.2">
      <c r="B43" s="196"/>
      <c r="C43" s="205"/>
      <c r="D43" s="205"/>
      <c r="E43" s="205"/>
      <c r="F43" s="205"/>
      <c r="G43" s="205"/>
      <c r="H43" s="205"/>
    </row>
    <row r="44" spans="2:13" x14ac:dyDescent="0.2">
      <c r="B44" s="196" t="s">
        <v>163</v>
      </c>
      <c r="C44" s="205"/>
      <c r="D44" s="205">
        <f>'Metering AMP'!H38</f>
        <v>506029.43805558293</v>
      </c>
      <c r="E44" s="205">
        <f>'Metering AMP'!J38</f>
        <v>509435.11312625825</v>
      </c>
      <c r="F44" s="205">
        <f>'Metering AMP'!L38</f>
        <v>513187.75783001416</v>
      </c>
      <c r="G44" s="205">
        <f>'Metering AMP'!N38</f>
        <v>533582.22828039364</v>
      </c>
      <c r="H44" s="205">
        <f>'Metering AMP'!P38</f>
        <v>537878.52999758685</v>
      </c>
      <c r="I44" s="207"/>
      <c r="K44" s="208"/>
      <c r="M44" s="41"/>
    </row>
    <row r="45" spans="2:13" x14ac:dyDescent="0.2">
      <c r="B45" s="196" t="s">
        <v>162</v>
      </c>
      <c r="C45" s="205"/>
      <c r="D45" s="205">
        <f>'Metering AMP'!H41</f>
        <v>694691.97228555195</v>
      </c>
      <c r="E45" s="205">
        <f>'Metering AMP'!J41</f>
        <v>710861.80412884639</v>
      </c>
      <c r="F45" s="205">
        <f>'Metering AMP'!L41</f>
        <v>727247.91103963321</v>
      </c>
      <c r="G45" s="205">
        <f>'Metering AMP'!N41</f>
        <v>785753.64860070671</v>
      </c>
      <c r="H45" s="205">
        <f>'Metering AMP'!P41</f>
        <v>804057.6229355773</v>
      </c>
      <c r="I45" s="207"/>
      <c r="K45" s="208"/>
      <c r="M45" s="41"/>
    </row>
    <row r="46" spans="2:13" x14ac:dyDescent="0.2">
      <c r="B46" s="206" t="s">
        <v>233</v>
      </c>
      <c r="C46" s="205"/>
      <c r="D46" s="205">
        <f>(D44+D45)*(Inputs!F$78-1)</f>
        <v>7041.4451960465449</v>
      </c>
      <c r="E46" s="205">
        <f>(E44+E45)*(Inputs!G$78-1)</f>
        <v>17890.51920011314</v>
      </c>
      <c r="F46" s="205">
        <f>(F44+F45)*(Inputs!H$78-1)</f>
        <v>33922.348615571056</v>
      </c>
      <c r="G46" s="205">
        <f>(G44+G45)*(Inputs!I$78-1)</f>
        <v>52914.143393525999</v>
      </c>
      <c r="H46" s="205">
        <f>(H44+H45)*(Inputs!J$78-1)</f>
        <v>70116.289631700696</v>
      </c>
      <c r="I46" s="41"/>
    </row>
    <row r="47" spans="2:13" x14ac:dyDescent="0.2">
      <c r="B47" s="206" t="s">
        <v>72</v>
      </c>
      <c r="C47" s="205"/>
      <c r="D47" s="205">
        <f>SUM(D44:D46)*D$8</f>
        <v>494429.34562185366</v>
      </c>
      <c r="E47" s="205">
        <f>SUM(E44:E46)*E$8</f>
        <v>461522.85006032902</v>
      </c>
      <c r="F47" s="205">
        <f>SUM(F44:F46)*F$8</f>
        <v>460946.10931990593</v>
      </c>
      <c r="G47" s="205">
        <f>SUM(G44:G46)*G$8</f>
        <v>471446.882962187</v>
      </c>
      <c r="H47" s="205">
        <f>SUM(H44:H46)*H$8</f>
        <v>482201.32994984247</v>
      </c>
    </row>
    <row r="48" spans="2:13" s="195" customFormat="1" ht="13.5" thickBot="1" x14ac:dyDescent="0.25">
      <c r="B48" s="188" t="s">
        <v>176</v>
      </c>
      <c r="C48" s="182"/>
      <c r="D48" s="182">
        <f>SUM(D44:D47)</f>
        <v>1702192.2011590349</v>
      </c>
      <c r="E48" s="182">
        <f>SUM(E44:E47)</f>
        <v>1699710.2865155467</v>
      </c>
      <c r="F48" s="182">
        <f>SUM(F44:F47)</f>
        <v>1735304.1268051246</v>
      </c>
      <c r="G48" s="182">
        <f>SUM(G44:G47)</f>
        <v>1843696.9032368134</v>
      </c>
      <c r="H48" s="182">
        <f>SUM(H44:H47)</f>
        <v>1894253.7725147072</v>
      </c>
      <c r="I48" s="209"/>
      <c r="K48" s="210"/>
      <c r="M48" s="44"/>
    </row>
    <row r="49" spans="2:14" ht="7.5" customHeight="1" x14ac:dyDescent="0.2">
      <c r="B49" s="196"/>
      <c r="C49" s="205"/>
      <c r="D49" s="205"/>
      <c r="E49" s="205"/>
      <c r="F49" s="205"/>
      <c r="G49" s="205"/>
      <c r="H49" s="205"/>
    </row>
    <row r="50" spans="2:14" ht="7.5" customHeight="1" x14ac:dyDescent="0.2">
      <c r="B50" s="196"/>
      <c r="C50" s="205"/>
      <c r="D50" s="205"/>
      <c r="E50" s="205"/>
      <c r="F50" s="205"/>
      <c r="G50" s="205"/>
      <c r="H50" s="205"/>
    </row>
    <row r="51" spans="2:14" x14ac:dyDescent="0.2">
      <c r="B51" s="196" t="s">
        <v>153</v>
      </c>
      <c r="C51" s="205"/>
      <c r="D51" s="205">
        <f>'Meter Reads'!$G$4*'Meter Reads'!$O$6*'Meter Reads'!$N$7</f>
        <v>215481.53867168844</v>
      </c>
      <c r="E51" s="205">
        <f>'Meter Reads'!$G$4*'Meter Reads'!$O$6*'Meter Reads'!$N$7</f>
        <v>215481.53867168844</v>
      </c>
      <c r="F51" s="205">
        <f>'Meter Reads'!$G$4*'Meter Reads'!$O$6*'Meter Reads'!$N$7</f>
        <v>215481.53867168844</v>
      </c>
      <c r="G51" s="205">
        <f>'Meter Reads'!$G$4*'Meter Reads'!$O$6*'Meter Reads'!$N$7</f>
        <v>215481.53867168844</v>
      </c>
      <c r="H51" s="205">
        <f>'Meter Reads'!$G$4*'Meter Reads'!$O$6*'Meter Reads'!$N$7</f>
        <v>215481.53867168844</v>
      </c>
      <c r="I51" s="207"/>
      <c r="K51" s="208"/>
      <c r="M51" s="41"/>
    </row>
    <row r="52" spans="2:14" x14ac:dyDescent="0.2">
      <c r="B52" s="206" t="s">
        <v>233</v>
      </c>
      <c r="C52" s="205"/>
      <c r="D52" s="205">
        <f>D51*(Inputs!F$78-1)</f>
        <v>1263.6581910248447</v>
      </c>
      <c r="E52" s="205">
        <f>E51*(Inputs!G$78-1)</f>
        <v>3159.1300038250079</v>
      </c>
      <c r="F52" s="205">
        <f>F51*(Inputs!H$78-1)</f>
        <v>5892.8004559088604</v>
      </c>
      <c r="G52" s="205">
        <f>G51*(Inputs!I$78-1)</f>
        <v>8642.2428403035847</v>
      </c>
      <c r="H52" s="205">
        <f>H51*(Inputs!J$78-1)</f>
        <v>11258.930570403316</v>
      </c>
      <c r="I52" s="41"/>
    </row>
    <row r="53" spans="2:14" x14ac:dyDescent="0.2">
      <c r="B53" s="206" t="s">
        <v>72</v>
      </c>
      <c r="C53" s="205"/>
      <c r="D53" s="205">
        <f>SUM(D51:D52)*D$8</f>
        <v>88730.320989915621</v>
      </c>
      <c r="E53" s="205">
        <f>SUM(E51:E52)*E$8</f>
        <v>81496.275584176197</v>
      </c>
      <c r="F53" s="205">
        <f>SUM(F51:F52)*F$8</f>
        <v>80072.977078684242</v>
      </c>
      <c r="G53" s="205">
        <f>SUM(G51:G52)*G$8</f>
        <v>76999.421847616948</v>
      </c>
      <c r="H53" s="205">
        <f>SUM(H51:H52)*H$8</f>
        <v>77429.529191842012</v>
      </c>
    </row>
    <row r="54" spans="2:14" s="195" customFormat="1" ht="13.5" thickBot="1" x14ac:dyDescent="0.25">
      <c r="B54" s="181" t="s">
        <v>177</v>
      </c>
      <c r="C54" s="182"/>
      <c r="D54" s="182">
        <f>SUM(D51:D53)</f>
        <v>305475.51785262889</v>
      </c>
      <c r="E54" s="182">
        <f>SUM(E51:E53)</f>
        <v>300136.94425968966</v>
      </c>
      <c r="F54" s="182">
        <f>SUM(F51:F53)</f>
        <v>301447.31620628154</v>
      </c>
      <c r="G54" s="182">
        <f>SUM(G51:G53)</f>
        <v>301123.20335960895</v>
      </c>
      <c r="H54" s="182">
        <f>SUM(H51:H53)</f>
        <v>304169.99843393377</v>
      </c>
      <c r="I54" s="209"/>
      <c r="K54" s="210"/>
      <c r="M54" s="44"/>
    </row>
    <row r="55" spans="2:14" ht="7.5" customHeight="1" x14ac:dyDescent="0.2">
      <c r="B55" s="196"/>
      <c r="C55" s="205"/>
      <c r="D55" s="205"/>
      <c r="E55" s="205"/>
      <c r="F55" s="205"/>
      <c r="G55" s="205"/>
      <c r="H55" s="205"/>
    </row>
    <row r="56" spans="2:14" x14ac:dyDescent="0.2">
      <c r="B56" s="206" t="s">
        <v>215</v>
      </c>
      <c r="C56" s="205"/>
      <c r="D56" s="205">
        <v>0</v>
      </c>
      <c r="E56" s="205">
        <v>0</v>
      </c>
      <c r="F56" s="205">
        <v>0</v>
      </c>
      <c r="G56" s="205">
        <v>0</v>
      </c>
      <c r="H56" s="205">
        <v>0</v>
      </c>
      <c r="I56" s="41"/>
    </row>
    <row r="57" spans="2:14" x14ac:dyDescent="0.2">
      <c r="B57" s="206"/>
      <c r="C57" s="205"/>
      <c r="D57" s="205"/>
      <c r="E57" s="205"/>
      <c r="F57" s="205"/>
      <c r="G57" s="205"/>
      <c r="H57" s="205"/>
      <c r="I57" s="41"/>
    </row>
    <row r="58" spans="2:14" x14ac:dyDescent="0.2">
      <c r="B58" s="206" t="s">
        <v>227</v>
      </c>
      <c r="C58" s="205"/>
      <c r="D58" s="264">
        <v>-19873.242062492649</v>
      </c>
      <c r="E58" s="264">
        <v>-128537.51861664822</v>
      </c>
      <c r="F58" s="264">
        <v>-292228.33129704563</v>
      </c>
      <c r="G58" s="264">
        <v>-461518.07523930899</v>
      </c>
      <c r="H58" s="264">
        <v>-614991.59488572949</v>
      </c>
      <c r="I58" s="41"/>
    </row>
    <row r="59" spans="2:14" x14ac:dyDescent="0.2">
      <c r="B59" s="206" t="s">
        <v>229</v>
      </c>
      <c r="C59" s="205"/>
      <c r="D59" s="264">
        <f>D58*(Inputs!F$78-1)</f>
        <v>-116.54355760263485</v>
      </c>
      <c r="E59" s="264">
        <f>E58*(Inputs!G$78-1)</f>
        <v>-1884.4618159969589</v>
      </c>
      <c r="F59" s="264">
        <f>F58*(Inputs!H$78-1)</f>
        <v>-7991.6045453919478</v>
      </c>
      <c r="G59" s="264">
        <f>G58*(Inputs!I$78-1)</f>
        <v>-18509.944313534153</v>
      </c>
      <c r="H59" s="264">
        <f>H58*(Inputs!J$78-1)</f>
        <v>-32133.368412362172</v>
      </c>
      <c r="I59" s="41"/>
    </row>
    <row r="60" spans="2:14" x14ac:dyDescent="0.2">
      <c r="B60" s="206" t="s">
        <v>228</v>
      </c>
      <c r="C60" s="205"/>
      <c r="D60" s="264">
        <f>SUM(D58:D59)*D$8</f>
        <v>-8183.3421006054323</v>
      </c>
      <c r="E60" s="264">
        <f>SUM(E58:E59)*E$8</f>
        <v>-48613.580099077262</v>
      </c>
      <c r="F60" s="264">
        <f>SUM(F58:F59)*F$8</f>
        <v>-108592.0985061394</v>
      </c>
      <c r="G60" s="264">
        <f>SUM(G58:G59)*G$8</f>
        <v>-164917.26012684556</v>
      </c>
      <c r="H60" s="264">
        <f>SUM(H58:H59)*H$8</f>
        <v>-220986.49351810358</v>
      </c>
      <c r="I60" s="41"/>
    </row>
    <row r="61" spans="2:14" ht="13.5" thickBot="1" x14ac:dyDescent="0.25">
      <c r="B61" s="181" t="s">
        <v>75</v>
      </c>
      <c r="C61" s="182"/>
      <c r="D61" s="265">
        <f>SUM(D58:D60)</f>
        <v>-28173.127720700715</v>
      </c>
      <c r="E61" s="265">
        <f>SUM(E58:E60)</f>
        <v>-179035.56053172244</v>
      </c>
      <c r="F61" s="265">
        <f>SUM(F58:F60)</f>
        <v>-408812.03434857697</v>
      </c>
      <c r="G61" s="265">
        <f>SUM(G58:G60)</f>
        <v>-644945.27967968863</v>
      </c>
      <c r="H61" s="265">
        <f>SUM(H58:H60)</f>
        <v>-868111.45681619528</v>
      </c>
      <c r="I61" s="41"/>
    </row>
    <row r="62" spans="2:14" ht="15" customHeight="1" x14ac:dyDescent="0.2">
      <c r="B62" s="196"/>
      <c r="C62" s="205"/>
      <c r="D62" s="205"/>
      <c r="E62" s="205"/>
      <c r="F62" s="205"/>
      <c r="G62" s="205"/>
      <c r="H62" s="205"/>
      <c r="J62" s="278" t="s">
        <v>0</v>
      </c>
      <c r="K62" s="278" t="s">
        <v>1</v>
      </c>
      <c r="L62" s="278" t="s">
        <v>10</v>
      </c>
      <c r="M62" s="278" t="s">
        <v>2</v>
      </c>
      <c r="N62" s="278" t="s">
        <v>3</v>
      </c>
    </row>
    <row r="63" spans="2:14" ht="7.5" customHeight="1" x14ac:dyDescent="0.2">
      <c r="B63" s="196"/>
      <c r="C63" s="205"/>
      <c r="D63" s="205"/>
      <c r="E63" s="205"/>
      <c r="F63" s="205"/>
      <c r="G63" s="205"/>
      <c r="H63" s="205"/>
      <c r="J63" s="278"/>
      <c r="K63" s="278"/>
      <c r="L63" s="278"/>
      <c r="M63" s="278"/>
      <c r="N63" s="278"/>
    </row>
    <row r="64" spans="2:14" s="42" customFormat="1" ht="13.5" thickBot="1" x14ac:dyDescent="0.25">
      <c r="B64" s="189" t="s">
        <v>169</v>
      </c>
      <c r="C64" s="190"/>
      <c r="D64" s="190">
        <f>D54+D48+D42+D37+D32+D56+D61</f>
        <v>24605350.578699347</v>
      </c>
      <c r="E64" s="190">
        <f>E54+E48+E42+E37+E32+E56+E61</f>
        <v>24468556.475845519</v>
      </c>
      <c r="F64" s="190">
        <f>F54+F48+F42+F37+F32+F56+F61</f>
        <v>24350520.924844392</v>
      </c>
      <c r="G64" s="190">
        <f>G54+G48+G42+G37+G32+G56+G61</f>
        <v>24091312.32038736</v>
      </c>
      <c r="H64" s="190">
        <f>H54+H48+H42+H37+H32+H56+H61</f>
        <v>24193618.442138374</v>
      </c>
      <c r="I64" s="43">
        <f>SUM(D64:H64)</f>
        <v>121709358.74191499</v>
      </c>
      <c r="J64" s="398">
        <f>[3]Input!G82*10^6</f>
        <v>24661696.892496284</v>
      </c>
      <c r="K64" s="398">
        <f>[3]Input!H82*10^6</f>
        <v>24527277.167775273</v>
      </c>
      <c r="L64" s="398">
        <f>[3]Input!I82*10^6</f>
        <v>24411248.112210687</v>
      </c>
      <c r="M64" s="398">
        <f>[3]Input!J82*10^6</f>
        <v>24153678.120493915</v>
      </c>
      <c r="N64" s="398">
        <f>[3]Input!K82*10^6</f>
        <v>24257254.972288914</v>
      </c>
    </row>
    <row r="65" spans="2:14" ht="7.5" customHeight="1" thickTop="1" x14ac:dyDescent="0.2">
      <c r="B65" s="196"/>
      <c r="C65" s="205"/>
      <c r="D65" s="205"/>
      <c r="E65" s="205"/>
      <c r="F65" s="205"/>
      <c r="G65" s="205"/>
      <c r="H65" s="205"/>
      <c r="J65" s="278"/>
      <c r="K65" s="278"/>
      <c r="L65" s="278"/>
      <c r="M65" s="278"/>
      <c r="N65" s="278"/>
    </row>
    <row r="66" spans="2:14" s="42" customFormat="1" ht="13.5" thickBot="1" x14ac:dyDescent="0.25">
      <c r="B66" s="189" t="s">
        <v>170</v>
      </c>
      <c r="C66" s="190"/>
      <c r="D66" s="190">
        <f>D21+D23+D27+D32+D37+D42+D48+D54+D33+D28</f>
        <v>34027838.976407692</v>
      </c>
      <c r="E66" s="190">
        <f>E21+E23+E27+E32+E37+E42+E48+E54+E33+E28</f>
        <v>34834076.575725906</v>
      </c>
      <c r="F66" s="190">
        <f>F21+F23+F27+F32+F37+F42+F48+F54+F33+F28</f>
        <v>35796009.942563802</v>
      </c>
      <c r="G66" s="190">
        <f>G21+G23+G27+G32+G37+G42+G48+G54+G33+G28</f>
        <v>36700722.975203179</v>
      </c>
      <c r="H66" s="190">
        <f>H21+H23+H27+H32+H37+H42+H48+H54+H33+H28</f>
        <v>37862499.991685301</v>
      </c>
      <c r="I66" s="43">
        <f>SUM(D66:H66)</f>
        <v>179221148.46158588</v>
      </c>
      <c r="J66" s="270">
        <f>D21+D23</f>
        <v>9337968.9561907072</v>
      </c>
      <c r="K66" s="270">
        <f t="shared" ref="K66:N66" si="0">E21+E23</f>
        <v>10127763.84741891</v>
      </c>
      <c r="L66" s="270">
        <f t="shared" si="0"/>
        <v>10891147.332603544</v>
      </c>
      <c r="M66" s="270">
        <f t="shared" si="0"/>
        <v>11628119.411744609</v>
      </c>
      <c r="N66" s="270">
        <f t="shared" si="0"/>
        <v>12338680.084842104</v>
      </c>
    </row>
    <row r="67" spans="2:14" ht="8.25" customHeight="1" thickTop="1" x14ac:dyDescent="0.2">
      <c r="C67" s="211"/>
      <c r="D67" s="211"/>
      <c r="E67" s="211"/>
      <c r="F67" s="211"/>
      <c r="G67" s="211"/>
      <c r="H67" s="211"/>
    </row>
    <row r="68" spans="2:14" x14ac:dyDescent="0.2">
      <c r="B68" s="223"/>
      <c r="C68" s="223"/>
      <c r="D68" s="224"/>
      <c r="E68" s="223"/>
      <c r="F68" s="223"/>
      <c r="G68" s="223"/>
      <c r="H68" s="223"/>
      <c r="J68" s="207"/>
      <c r="K68" s="207"/>
      <c r="L68" s="207"/>
      <c r="M68" s="207"/>
      <c r="N68" s="207"/>
    </row>
  </sheetData>
  <pageMargins left="0.7" right="0.7" top="0.75" bottom="0.75" header="0.3" footer="0.3"/>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4"/>
  <sheetViews>
    <sheetView topLeftCell="A16" zoomScaleNormal="100" workbookViewId="0">
      <selection activeCell="C19" sqref="C19"/>
    </sheetView>
  </sheetViews>
  <sheetFormatPr defaultRowHeight="12.75" x14ac:dyDescent="0.2"/>
  <cols>
    <col min="1" max="1" width="45" style="4" bestFit="1" customWidth="1"/>
    <col min="2" max="2" width="0.7109375" style="4" customWidth="1"/>
    <col min="3" max="4" width="12.85546875" style="4" bestFit="1" customWidth="1"/>
    <col min="5" max="5" width="12.5703125" style="4" customWidth="1"/>
    <col min="6" max="6" width="8.85546875" style="4" customWidth="1"/>
    <col min="7" max="8" width="9.140625" style="4"/>
    <col min="9" max="9" width="11.28515625" style="4" bestFit="1" customWidth="1"/>
    <col min="10" max="16384" width="9.140625" style="4"/>
  </cols>
  <sheetData>
    <row r="1" spans="1:9" x14ac:dyDescent="0.2">
      <c r="A1" s="4" t="s">
        <v>73</v>
      </c>
      <c r="D1" s="4" t="s">
        <v>41</v>
      </c>
      <c r="E1" s="26">
        <v>41688</v>
      </c>
    </row>
    <row r="2" spans="1:9" ht="15.75" x14ac:dyDescent="0.25">
      <c r="A2" s="27" t="s">
        <v>65</v>
      </c>
      <c r="B2" s="28"/>
      <c r="C2" s="29" t="s">
        <v>42</v>
      </c>
    </row>
    <row r="4" spans="1:9" x14ac:dyDescent="0.2">
      <c r="C4" s="271">
        <f>C17+C25</f>
        <v>6727.6434577538384</v>
      </c>
      <c r="D4" s="45"/>
      <c r="E4" s="46"/>
    </row>
    <row r="5" spans="1:9" x14ac:dyDescent="0.2">
      <c r="A5" s="4" t="s">
        <v>43</v>
      </c>
      <c r="C5" s="272">
        <v>873.54032954784759</v>
      </c>
    </row>
    <row r="6" spans="1:9" x14ac:dyDescent="0.2">
      <c r="A6" s="4" t="s">
        <v>44</v>
      </c>
      <c r="C6" s="272">
        <v>2649.9562029806998</v>
      </c>
    </row>
    <row r="7" spans="1:9" x14ac:dyDescent="0.2">
      <c r="A7" s="4" t="s">
        <v>45</v>
      </c>
      <c r="C7" s="272">
        <v>1306.9964118228752</v>
      </c>
    </row>
    <row r="8" spans="1:9" x14ac:dyDescent="0.2">
      <c r="A8" s="4" t="s">
        <v>46</v>
      </c>
      <c r="C8" s="272">
        <v>445.77480401161415</v>
      </c>
    </row>
    <row r="9" spans="1:9" x14ac:dyDescent="0.2">
      <c r="A9" s="4" t="s">
        <v>47</v>
      </c>
      <c r="C9" s="272">
        <v>614.07783410154786</v>
      </c>
      <c r="F9" s="4" t="s">
        <v>48</v>
      </c>
    </row>
    <row r="10" spans="1:9" x14ac:dyDescent="0.2">
      <c r="A10" s="30" t="s">
        <v>49</v>
      </c>
      <c r="C10" s="272">
        <v>103.72045970022808</v>
      </c>
      <c r="D10" s="9">
        <v>0.83865091802141623</v>
      </c>
      <c r="E10" s="259">
        <f>C10*D10</f>
        <v>86.985258745199587</v>
      </c>
      <c r="F10" s="31">
        <f>E10/C17</f>
        <v>1.409990210270892E-2</v>
      </c>
      <c r="I10" s="7"/>
    </row>
    <row r="11" spans="1:9" x14ac:dyDescent="0.2">
      <c r="A11" s="4" t="s">
        <v>50</v>
      </c>
      <c r="C11" s="272">
        <v>25.753673070704188</v>
      </c>
    </row>
    <row r="12" spans="1:9" x14ac:dyDescent="0.2">
      <c r="A12" s="4" t="s">
        <v>51</v>
      </c>
      <c r="C12" s="272">
        <v>64.489961266025574</v>
      </c>
    </row>
    <row r="13" spans="1:9" x14ac:dyDescent="0.2">
      <c r="A13" s="4" t="s">
        <v>52</v>
      </c>
      <c r="C13" s="272">
        <v>83.138550554431461</v>
      </c>
    </row>
    <row r="14" spans="1:9" x14ac:dyDescent="0.2">
      <c r="A14" s="4" t="s">
        <v>53</v>
      </c>
      <c r="C14" s="272">
        <v>26.12571134621038</v>
      </c>
    </row>
    <row r="15" spans="1:9" x14ac:dyDescent="0.2">
      <c r="A15" s="4" t="s">
        <v>54</v>
      </c>
      <c r="C15" s="272">
        <v>115.32914084106028</v>
      </c>
    </row>
    <row r="16" spans="1:9" x14ac:dyDescent="0.2">
      <c r="A16" s="4" t="s">
        <v>55</v>
      </c>
      <c r="C16" s="272">
        <v>1.7618930971062423</v>
      </c>
    </row>
    <row r="17" spans="1:10" x14ac:dyDescent="0.2">
      <c r="A17" s="32" t="s">
        <v>56</v>
      </c>
      <c r="C17" s="273">
        <f>SUM(C5:C16)-SUM(C14:C15)</f>
        <v>6169.2101201530813</v>
      </c>
    </row>
    <row r="18" spans="1:10" x14ac:dyDescent="0.2">
      <c r="A18" s="4" t="s">
        <v>57</v>
      </c>
      <c r="C18" s="272">
        <v>96.02695276134466</v>
      </c>
      <c r="D18" s="259">
        <f>C18*$F$10</f>
        <v>1.3539706331564136</v>
      </c>
      <c r="J18" s="3"/>
    </row>
    <row r="19" spans="1:10" x14ac:dyDescent="0.2">
      <c r="A19" s="4" t="s">
        <v>58</v>
      </c>
      <c r="C19" s="272">
        <v>133.74242829368671</v>
      </c>
      <c r="D19" s="259">
        <f t="shared" ref="D19:D24" si="0">C19*$F$10</f>
        <v>1.8857551459195503</v>
      </c>
      <c r="J19" s="3"/>
    </row>
    <row r="20" spans="1:10" x14ac:dyDescent="0.2">
      <c r="A20" s="4" t="s">
        <v>59</v>
      </c>
      <c r="C20" s="272">
        <v>129.35483768128051</v>
      </c>
      <c r="D20" s="259">
        <f t="shared" si="0"/>
        <v>1.8238905478178582</v>
      </c>
      <c r="J20" s="3"/>
    </row>
    <row r="21" spans="1:10" x14ac:dyDescent="0.2">
      <c r="A21" s="4" t="s">
        <v>60</v>
      </c>
      <c r="C21" s="272">
        <v>79.502330958284858</v>
      </c>
      <c r="D21" s="259">
        <f t="shared" si="0"/>
        <v>1.1209750834489811</v>
      </c>
      <c r="J21" s="3"/>
    </row>
    <row r="22" spans="1:10" x14ac:dyDescent="0.2">
      <c r="A22" s="4" t="s">
        <v>51</v>
      </c>
      <c r="C22" s="272">
        <v>96.691268297504493</v>
      </c>
      <c r="D22" s="259">
        <f t="shared" si="0"/>
        <v>1.363337417181576</v>
      </c>
      <c r="J22" s="3"/>
    </row>
    <row r="23" spans="1:10" x14ac:dyDescent="0.2">
      <c r="A23" s="4" t="s">
        <v>61</v>
      </c>
      <c r="C23" s="272">
        <v>7.9003153740637799</v>
      </c>
      <c r="D23" s="259">
        <f t="shared" si="0"/>
        <v>0.1113936733548255</v>
      </c>
      <c r="J23" s="3"/>
    </row>
    <row r="24" spans="1:10" x14ac:dyDescent="0.2">
      <c r="A24" s="4" t="s">
        <v>62</v>
      </c>
      <c r="C24" s="272">
        <v>15.215204234592505</v>
      </c>
      <c r="D24" s="259">
        <f t="shared" si="0"/>
        <v>0.21453289018047653</v>
      </c>
      <c r="J24" s="3"/>
    </row>
    <row r="25" spans="1:10" x14ac:dyDescent="0.2">
      <c r="A25" s="32" t="s">
        <v>63</v>
      </c>
      <c r="C25" s="274">
        <f>SUM(C18:C24)</f>
        <v>558.43333760075757</v>
      </c>
      <c r="E25" s="259">
        <f>C25*F10</f>
        <v>7.8738553910596822</v>
      </c>
      <c r="F25" s="4" t="s">
        <v>64</v>
      </c>
    </row>
    <row r="27" spans="1:10" x14ac:dyDescent="0.2">
      <c r="E27" s="260">
        <f>SUM(E10:E25)</f>
        <v>94.859114136259265</v>
      </c>
      <c r="G27" s="70"/>
    </row>
    <row r="30" spans="1:10" x14ac:dyDescent="0.2">
      <c r="A30" s="4" t="s">
        <v>210</v>
      </c>
    </row>
    <row r="31" spans="1:10" ht="15.75" x14ac:dyDescent="0.25">
      <c r="A31" s="255" t="s">
        <v>65</v>
      </c>
      <c r="B31" s="256"/>
      <c r="C31" s="257" t="s">
        <v>42</v>
      </c>
    </row>
    <row r="32" spans="1:10" x14ac:dyDescent="0.2">
      <c r="A32" s="258" t="s">
        <v>43</v>
      </c>
      <c r="C32" s="275">
        <v>605.15968402617182</v>
      </c>
    </row>
    <row r="33" spans="1:9" x14ac:dyDescent="0.2">
      <c r="A33" s="258" t="s">
        <v>44</v>
      </c>
      <c r="C33" s="275">
        <v>2397.9184882965951</v>
      </c>
    </row>
    <row r="34" spans="1:9" x14ac:dyDescent="0.2">
      <c r="A34" s="258" t="s">
        <v>45</v>
      </c>
      <c r="C34" s="275">
        <v>962.65282392449376</v>
      </c>
    </row>
    <row r="35" spans="1:9" x14ac:dyDescent="0.2">
      <c r="A35" s="258" t="s">
        <v>46</v>
      </c>
      <c r="C35" s="275">
        <v>274.09954716707563</v>
      </c>
    </row>
    <row r="36" spans="1:9" x14ac:dyDescent="0.2">
      <c r="A36" s="258" t="s">
        <v>47</v>
      </c>
      <c r="C36" s="275">
        <v>505.39899369056832</v>
      </c>
      <c r="F36" s="4" t="s">
        <v>48</v>
      </c>
    </row>
    <row r="37" spans="1:9" x14ac:dyDescent="0.2">
      <c r="A37" s="258" t="s">
        <v>49</v>
      </c>
      <c r="C37" s="275">
        <v>95.501186019105432</v>
      </c>
      <c r="E37" s="3">
        <f>C37*D10</f>
        <v>80.09215732705681</v>
      </c>
      <c r="F37" s="31">
        <f>E37/C44</f>
        <v>1.6127165478820246E-2</v>
      </c>
      <c r="I37" s="7"/>
    </row>
    <row r="38" spans="1:9" x14ac:dyDescent="0.2">
      <c r="A38" s="258" t="s">
        <v>50</v>
      </c>
      <c r="C38" s="275">
        <v>35.739681229310953</v>
      </c>
    </row>
    <row r="39" spans="1:9" x14ac:dyDescent="0.2">
      <c r="A39" s="258" t="s">
        <v>51</v>
      </c>
      <c r="C39" s="275">
        <v>33.832220983580157</v>
      </c>
    </row>
    <row r="40" spans="1:9" x14ac:dyDescent="0.2">
      <c r="A40" s="258" t="s">
        <v>52</v>
      </c>
      <c r="C40" s="275">
        <v>53.731478428737233</v>
      </c>
    </row>
    <row r="41" spans="1:9" x14ac:dyDescent="0.2">
      <c r="A41" s="258" t="s">
        <v>53</v>
      </c>
      <c r="C41" s="275">
        <v>0</v>
      </c>
    </row>
    <row r="42" spans="1:9" x14ac:dyDescent="0.2">
      <c r="A42" s="258" t="s">
        <v>54</v>
      </c>
      <c r="C42" s="275">
        <v>-45.387508281446578</v>
      </c>
    </row>
    <row r="43" spans="1:9" x14ac:dyDescent="0.2">
      <c r="A43" s="258" t="s">
        <v>55</v>
      </c>
      <c r="C43" s="275">
        <v>2.2544503042978894</v>
      </c>
    </row>
    <row r="44" spans="1:9" x14ac:dyDescent="0.2">
      <c r="A44" s="32" t="s">
        <v>56</v>
      </c>
      <c r="C44" s="276">
        <f>SUM(C32:C43)-SUM(C41:C42)</f>
        <v>4966.2885540699372</v>
      </c>
    </row>
    <row r="45" spans="1:9" x14ac:dyDescent="0.2">
      <c r="A45" s="258" t="s">
        <v>57</v>
      </c>
      <c r="C45" s="275">
        <v>48.100259277898694</v>
      </c>
      <c r="D45" s="259">
        <f>C45*$F$37</f>
        <v>0.77572084094883109</v>
      </c>
    </row>
    <row r="46" spans="1:9" x14ac:dyDescent="0.2">
      <c r="A46" s="258" t="s">
        <v>58</v>
      </c>
      <c r="C46" s="275">
        <v>57.303520216129684</v>
      </c>
      <c r="D46" s="259">
        <f t="shared" ref="D46:D51" si="1">C46*$F$37</f>
        <v>0.92414335304444473</v>
      </c>
    </row>
    <row r="47" spans="1:9" x14ac:dyDescent="0.2">
      <c r="A47" s="258" t="s">
        <v>59</v>
      </c>
      <c r="C47" s="275">
        <v>214.40600341997023</v>
      </c>
      <c r="D47" s="259">
        <f t="shared" si="1"/>
        <v>3.4577610968063595</v>
      </c>
    </row>
    <row r="48" spans="1:9" x14ac:dyDescent="0.2">
      <c r="A48" s="258" t="s">
        <v>60</v>
      </c>
      <c r="C48" s="275">
        <v>74.465838611405033</v>
      </c>
      <c r="D48" s="259">
        <f t="shared" si="1"/>
        <v>1.200922901805251</v>
      </c>
    </row>
    <row r="49" spans="1:6" x14ac:dyDescent="0.2">
      <c r="A49" s="258" t="s">
        <v>51</v>
      </c>
      <c r="C49" s="275">
        <v>97.74441858754308</v>
      </c>
      <c r="D49" s="259">
        <f t="shared" si="1"/>
        <v>1.5763404131923808</v>
      </c>
    </row>
    <row r="50" spans="1:6" x14ac:dyDescent="0.2">
      <c r="A50" s="258" t="s">
        <v>61</v>
      </c>
      <c r="C50" s="275">
        <v>6.457511654885904</v>
      </c>
      <c r="D50" s="259">
        <f t="shared" si="1"/>
        <v>0.10414135903975535</v>
      </c>
    </row>
    <row r="51" spans="1:6" x14ac:dyDescent="0.2">
      <c r="A51" s="258" t="s">
        <v>62</v>
      </c>
      <c r="C51" s="275">
        <v>13.11726106804343</v>
      </c>
      <c r="D51" s="259">
        <f t="shared" si="1"/>
        <v>0.21154423987322279</v>
      </c>
    </row>
    <row r="52" spans="1:6" x14ac:dyDescent="0.2">
      <c r="A52" s="32" t="s">
        <v>63</v>
      </c>
      <c r="C52" s="274">
        <f>SUM(C45:C51)</f>
        <v>511.59481283587604</v>
      </c>
      <c r="E52" s="3">
        <f>C52*F37</f>
        <v>8.2505742047102455</v>
      </c>
      <c r="F52" s="4" t="s">
        <v>64</v>
      </c>
    </row>
    <row r="53" spans="1:6" x14ac:dyDescent="0.2">
      <c r="A53" s="266" t="s">
        <v>31</v>
      </c>
      <c r="C53" s="275">
        <f>C52+C44</f>
        <v>5477.8833669058131</v>
      </c>
    </row>
    <row r="54" spans="1:6" x14ac:dyDescent="0.2">
      <c r="C54" s="3">
        <v>0</v>
      </c>
      <c r="E54" s="33">
        <f>SUM(E37:E52)</f>
        <v>88.342731531767058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P65"/>
  <sheetViews>
    <sheetView zoomScale="90" zoomScaleNormal="90" workbookViewId="0">
      <pane xSplit="1" ySplit="1" topLeftCell="B2" activePane="bottomRight" state="frozen"/>
      <selection activeCell="D27" sqref="D27"/>
      <selection pane="topRight" activeCell="D27" sqref="D27"/>
      <selection pane="bottomLeft" activeCell="D27" sqref="D27"/>
      <selection pane="bottomRight" activeCell="H51" sqref="H51"/>
    </sheetView>
  </sheetViews>
  <sheetFormatPr defaultRowHeight="12.75" x14ac:dyDescent="0.2"/>
  <cols>
    <col min="1" max="1" width="3.140625" style="83" customWidth="1"/>
    <col min="2" max="2" width="37.85546875" style="83" customWidth="1"/>
    <col min="3" max="3" width="9.42578125" style="83" customWidth="1"/>
    <col min="4" max="4" width="14.28515625" style="83" customWidth="1"/>
    <col min="5" max="5" width="9" style="83" customWidth="1"/>
    <col min="6" max="6" width="13.140625" style="83" customWidth="1"/>
    <col min="7" max="7" width="9" style="83" bestFit="1" customWidth="1"/>
    <col min="8" max="8" width="14.28515625" style="83" bestFit="1" customWidth="1"/>
    <col min="9" max="9" width="9" style="83" bestFit="1" customWidth="1"/>
    <col min="10" max="10" width="14.28515625" style="83" bestFit="1" customWidth="1"/>
    <col min="11" max="11" width="10.140625" style="83" bestFit="1" customWidth="1"/>
    <col min="12" max="12" width="14.28515625" style="83" bestFit="1" customWidth="1"/>
    <col min="13" max="13" width="9" style="83" bestFit="1" customWidth="1"/>
    <col min="14" max="14" width="14.28515625" style="83" bestFit="1" customWidth="1"/>
    <col min="15" max="15" width="9" style="83" bestFit="1" customWidth="1"/>
    <col min="16" max="16" width="13.140625" style="83" bestFit="1" customWidth="1"/>
    <col min="17" max="17" width="9.140625" style="83" customWidth="1"/>
    <col min="18" max="16384" width="9.140625" style="83"/>
  </cols>
  <sheetData>
    <row r="1" spans="2:16" x14ac:dyDescent="0.2">
      <c r="B1" s="5" t="s">
        <v>236</v>
      </c>
    </row>
    <row r="2" spans="2:16" x14ac:dyDescent="0.2">
      <c r="B2" s="166" t="s">
        <v>68</v>
      </c>
      <c r="C2" s="167"/>
      <c r="D2" s="167"/>
      <c r="E2" s="167"/>
      <c r="F2" s="167"/>
      <c r="G2" s="167"/>
      <c r="H2" s="167"/>
      <c r="I2" s="167"/>
      <c r="J2" s="167"/>
      <c r="K2" s="167"/>
      <c r="L2" s="167"/>
      <c r="M2" s="167"/>
      <c r="N2" s="167"/>
      <c r="O2" s="167"/>
      <c r="P2" s="167"/>
    </row>
    <row r="3" spans="2:16" ht="13.5" thickBot="1" x14ac:dyDescent="0.25">
      <c r="B3" s="116" t="s">
        <v>113</v>
      </c>
      <c r="C3" s="6"/>
      <c r="D3" s="113"/>
      <c r="E3" s="6"/>
      <c r="F3" s="113"/>
      <c r="G3" s="6"/>
      <c r="H3" s="113"/>
      <c r="I3" s="61" t="s">
        <v>123</v>
      </c>
      <c r="J3" s="113"/>
      <c r="K3" s="6"/>
      <c r="L3" s="113"/>
      <c r="M3" s="6"/>
      <c r="N3" s="113"/>
      <c r="O3" s="6"/>
      <c r="P3" s="113"/>
    </row>
    <row r="4" spans="2:16" ht="13.5" thickBot="1" x14ac:dyDescent="0.25">
      <c r="B4" s="117" t="s">
        <v>114</v>
      </c>
      <c r="C4" s="118" t="s">
        <v>83</v>
      </c>
      <c r="D4" s="119">
        <v>0</v>
      </c>
      <c r="E4" s="120" t="s">
        <v>84</v>
      </c>
      <c r="F4" s="121">
        <v>0</v>
      </c>
      <c r="G4" s="120" t="s">
        <v>85</v>
      </c>
      <c r="H4" s="121">
        <v>0</v>
      </c>
      <c r="I4" s="122" t="s">
        <v>86</v>
      </c>
      <c r="J4" s="123">
        <v>0</v>
      </c>
      <c r="K4" s="124" t="s">
        <v>87</v>
      </c>
      <c r="L4" s="123">
        <v>0</v>
      </c>
      <c r="M4" s="122" t="s">
        <v>88</v>
      </c>
      <c r="N4" s="123">
        <v>0</v>
      </c>
      <c r="O4" s="122" t="s">
        <v>89</v>
      </c>
      <c r="P4" s="123">
        <v>0</v>
      </c>
    </row>
    <row r="5" spans="2:16" ht="13.5" thickBot="1" x14ac:dyDescent="0.25">
      <c r="B5" s="125" t="s">
        <v>26</v>
      </c>
      <c r="C5" s="126"/>
      <c r="D5" s="127">
        <v>0</v>
      </c>
      <c r="E5" s="128"/>
      <c r="F5" s="127">
        <v>0</v>
      </c>
      <c r="G5" s="128">
        <v>6189.4</v>
      </c>
      <c r="H5" s="127">
        <v>387580.22799999994</v>
      </c>
      <c r="I5" s="128">
        <v>3042</v>
      </c>
      <c r="J5" s="127">
        <v>190490.03999999998</v>
      </c>
      <c r="K5" s="128">
        <v>2840.25</v>
      </c>
      <c r="L5" s="127">
        <v>177856.45499999999</v>
      </c>
      <c r="M5" s="128">
        <v>3347.25</v>
      </c>
      <c r="N5" s="127">
        <v>209604.79499999998</v>
      </c>
      <c r="O5" s="128">
        <v>3687</v>
      </c>
      <c r="P5" s="127">
        <v>230879.94</v>
      </c>
    </row>
    <row r="6" spans="2:16" ht="13.5" thickBot="1" x14ac:dyDescent="0.25">
      <c r="B6" s="125" t="s">
        <v>27</v>
      </c>
      <c r="C6" s="126">
        <v>22337</v>
      </c>
      <c r="D6" s="127">
        <v>1311628.6399999999</v>
      </c>
      <c r="E6" s="128">
        <v>24668</v>
      </c>
      <c r="F6" s="129">
        <v>1448504.96</v>
      </c>
      <c r="G6" s="128">
        <v>17366</v>
      </c>
      <c r="H6" s="129">
        <v>1019731.52</v>
      </c>
      <c r="I6" s="128">
        <v>17493</v>
      </c>
      <c r="J6" s="129">
        <v>1027188.96</v>
      </c>
      <c r="K6" s="128">
        <v>58231.5</v>
      </c>
      <c r="L6" s="129">
        <v>3419353.6799999997</v>
      </c>
      <c r="M6" s="128">
        <v>20179.5</v>
      </c>
      <c r="N6" s="129">
        <v>1184940.24</v>
      </c>
      <c r="O6" s="128">
        <v>17432</v>
      </c>
      <c r="P6" s="129">
        <v>1023607.04</v>
      </c>
    </row>
    <row r="7" spans="2:16" ht="13.5" thickBot="1" x14ac:dyDescent="0.25">
      <c r="B7" s="130" t="s">
        <v>28</v>
      </c>
      <c r="C7" s="126">
        <v>2000</v>
      </c>
      <c r="D7" s="127">
        <v>290000</v>
      </c>
      <c r="E7" s="128">
        <v>1800</v>
      </c>
      <c r="F7" s="129">
        <v>261000</v>
      </c>
      <c r="G7" s="128">
        <v>1800</v>
      </c>
      <c r="H7" s="129">
        <v>261000</v>
      </c>
      <c r="I7" s="128">
        <v>1800</v>
      </c>
      <c r="J7" s="129">
        <v>261000</v>
      </c>
      <c r="K7" s="128">
        <v>1800</v>
      </c>
      <c r="L7" s="129">
        <v>261000</v>
      </c>
      <c r="M7" s="128">
        <v>1800</v>
      </c>
      <c r="N7" s="129">
        <v>261000</v>
      </c>
      <c r="O7" s="128">
        <v>1800</v>
      </c>
      <c r="P7" s="129">
        <v>261000</v>
      </c>
    </row>
    <row r="8" spans="2:16" ht="13.5" thickBot="1" x14ac:dyDescent="0.25">
      <c r="B8" s="130" t="s">
        <v>115</v>
      </c>
      <c r="C8" s="126"/>
      <c r="D8" s="131">
        <v>0</v>
      </c>
      <c r="E8" s="128"/>
      <c r="F8" s="129"/>
      <c r="G8" s="128">
        <v>3700</v>
      </c>
      <c r="H8" s="129">
        <v>327450</v>
      </c>
      <c r="I8" s="128">
        <v>3600</v>
      </c>
      <c r="J8" s="129">
        <v>318600</v>
      </c>
      <c r="K8" s="128">
        <v>4200</v>
      </c>
      <c r="L8" s="129">
        <v>371700</v>
      </c>
      <c r="M8" s="128">
        <v>3000</v>
      </c>
      <c r="N8" s="129">
        <v>265500</v>
      </c>
      <c r="O8" s="128">
        <v>3400</v>
      </c>
      <c r="P8" s="129">
        <v>300900</v>
      </c>
    </row>
    <row r="9" spans="2:16" ht="13.5" thickBot="1" x14ac:dyDescent="0.25">
      <c r="B9" s="130" t="s">
        <v>116</v>
      </c>
      <c r="C9" s="126">
        <v>7770</v>
      </c>
      <c r="D9" s="131">
        <v>1533953.4</v>
      </c>
      <c r="E9" s="128">
        <v>6500</v>
      </c>
      <c r="F9" s="131">
        <v>1283230</v>
      </c>
      <c r="G9" s="128">
        <v>2000</v>
      </c>
      <c r="H9" s="131">
        <v>394840</v>
      </c>
      <c r="I9" s="128">
        <v>2500</v>
      </c>
      <c r="J9" s="131">
        <v>493549.99999999994</v>
      </c>
      <c r="K9" s="128">
        <v>2900</v>
      </c>
      <c r="L9" s="131">
        <v>572518</v>
      </c>
      <c r="M9" s="128">
        <v>2400</v>
      </c>
      <c r="N9" s="131">
        <v>473807.99999999994</v>
      </c>
      <c r="O9" s="128">
        <v>2500</v>
      </c>
      <c r="P9" s="131">
        <v>493549.99999999994</v>
      </c>
    </row>
    <row r="10" spans="2:16" ht="13.5" thickBot="1" x14ac:dyDescent="0.25">
      <c r="B10" s="130" t="s">
        <v>30</v>
      </c>
      <c r="C10" s="128"/>
      <c r="D10" s="131">
        <v>0</v>
      </c>
      <c r="E10" s="128">
        <v>110</v>
      </c>
      <c r="F10" s="131">
        <v>23540</v>
      </c>
      <c r="G10" s="128">
        <v>110</v>
      </c>
      <c r="H10" s="131">
        <v>23540</v>
      </c>
      <c r="I10" s="128">
        <v>110</v>
      </c>
      <c r="J10" s="131">
        <v>23540</v>
      </c>
      <c r="K10" s="128">
        <v>110</v>
      </c>
      <c r="L10" s="131">
        <v>23540</v>
      </c>
      <c r="M10" s="128">
        <v>110</v>
      </c>
      <c r="N10" s="131">
        <v>23540</v>
      </c>
      <c r="O10" s="128">
        <v>110</v>
      </c>
      <c r="P10" s="131">
        <v>23540</v>
      </c>
    </row>
    <row r="11" spans="2:16" ht="13.5" thickBot="1" x14ac:dyDescent="0.25">
      <c r="B11" s="114"/>
      <c r="C11" s="12"/>
      <c r="D11" s="115"/>
      <c r="E11" s="12"/>
      <c r="F11" s="115"/>
      <c r="G11" s="12"/>
      <c r="H11" s="115"/>
      <c r="I11" s="12"/>
      <c r="J11" s="115"/>
      <c r="K11" s="12"/>
      <c r="L11" s="115"/>
      <c r="M11" s="12"/>
      <c r="N11" s="115"/>
      <c r="O11" s="12"/>
      <c r="P11" s="115"/>
    </row>
    <row r="12" spans="2:16" ht="13.5" thickBot="1" x14ac:dyDescent="0.25">
      <c r="B12" s="114"/>
      <c r="C12" s="12"/>
      <c r="D12" s="115"/>
      <c r="E12" s="12"/>
      <c r="F12" s="115"/>
      <c r="G12" s="12"/>
      <c r="H12" s="115"/>
      <c r="I12" s="12"/>
      <c r="J12" s="115"/>
      <c r="K12" s="12"/>
      <c r="L12" s="115"/>
      <c r="M12" s="12"/>
      <c r="N12" s="115"/>
      <c r="O12" s="12"/>
      <c r="P12" s="115"/>
    </row>
    <row r="13" spans="2:16" ht="13.5" thickBot="1" x14ac:dyDescent="0.25">
      <c r="B13" s="130" t="s">
        <v>75</v>
      </c>
      <c r="C13" s="126">
        <f>SUM(C5:C12)</f>
        <v>32107</v>
      </c>
      <c r="D13" s="131">
        <f>SUM(D4:D12)</f>
        <v>3135582.04</v>
      </c>
      <c r="E13" s="128">
        <f t="shared" ref="E13:P13" si="0">SUM(E5:E12)</f>
        <v>33078</v>
      </c>
      <c r="F13" s="131">
        <f t="shared" si="0"/>
        <v>3016274.96</v>
      </c>
      <c r="G13" s="128">
        <f t="shared" si="0"/>
        <v>31165.4</v>
      </c>
      <c r="H13" s="131">
        <f t="shared" si="0"/>
        <v>2414141.7479999997</v>
      </c>
      <c r="I13" s="128">
        <f t="shared" si="0"/>
        <v>28545</v>
      </c>
      <c r="J13" s="131">
        <f t="shared" si="0"/>
        <v>2314369</v>
      </c>
      <c r="K13" s="128">
        <f t="shared" si="0"/>
        <v>70081.75</v>
      </c>
      <c r="L13" s="131">
        <f t="shared" si="0"/>
        <v>4825968.1349999998</v>
      </c>
      <c r="M13" s="128">
        <f t="shared" si="0"/>
        <v>30836.75</v>
      </c>
      <c r="N13" s="131">
        <f t="shared" si="0"/>
        <v>2418393.0349999997</v>
      </c>
      <c r="O13" s="128">
        <f t="shared" si="0"/>
        <v>28929</v>
      </c>
      <c r="P13" s="131">
        <f t="shared" si="0"/>
        <v>2333476.98</v>
      </c>
    </row>
    <row r="14" spans="2:16" x14ac:dyDescent="0.2">
      <c r="C14" s="6"/>
      <c r="D14" s="113"/>
      <c r="E14" s="6"/>
      <c r="F14" s="113"/>
      <c r="G14" s="6"/>
      <c r="H14" s="113"/>
      <c r="I14" s="6"/>
      <c r="J14" s="113"/>
      <c r="K14" s="6"/>
      <c r="L14" s="113"/>
      <c r="M14" s="6"/>
      <c r="N14" s="113"/>
      <c r="O14" s="6"/>
      <c r="P14" s="113"/>
    </row>
    <row r="15" spans="2:16" ht="13.5" thickBot="1" x14ac:dyDescent="0.25">
      <c r="B15" s="116" t="s">
        <v>81</v>
      </c>
      <c r="C15" s="6"/>
      <c r="D15" s="113"/>
      <c r="E15" s="6"/>
      <c r="F15" s="113"/>
      <c r="G15" s="6"/>
      <c r="H15" s="113"/>
      <c r="I15" s="6"/>
      <c r="J15" s="113"/>
      <c r="K15" s="6"/>
      <c r="L15" s="113"/>
      <c r="M15" s="6"/>
      <c r="N15" s="113"/>
      <c r="O15" s="6"/>
      <c r="P15" s="113"/>
    </row>
    <row r="16" spans="2:16" ht="13.5" thickBot="1" x14ac:dyDescent="0.25">
      <c r="B16" s="117" t="s">
        <v>82</v>
      </c>
      <c r="C16" s="118" t="s">
        <v>83</v>
      </c>
      <c r="D16" s="119"/>
      <c r="E16" s="118" t="s">
        <v>84</v>
      </c>
      <c r="F16" s="121"/>
      <c r="G16" s="118" t="s">
        <v>85</v>
      </c>
      <c r="H16" s="121"/>
      <c r="I16" s="118" t="s">
        <v>86</v>
      </c>
      <c r="J16" s="121"/>
      <c r="K16" s="118" t="s">
        <v>87</v>
      </c>
      <c r="L16" s="121"/>
      <c r="M16" s="118" t="s">
        <v>88</v>
      </c>
      <c r="N16" s="132"/>
      <c r="O16" s="118" t="s">
        <v>89</v>
      </c>
      <c r="P16" s="121"/>
    </row>
    <row r="17" spans="2:16" ht="13.5" thickBot="1" x14ac:dyDescent="0.25">
      <c r="B17" s="125" t="s">
        <v>26</v>
      </c>
      <c r="C17" s="126">
        <v>0</v>
      </c>
      <c r="D17" s="127">
        <v>0</v>
      </c>
      <c r="E17" s="128">
        <v>0</v>
      </c>
      <c r="F17" s="133">
        <v>0</v>
      </c>
      <c r="G17" s="128">
        <v>30520.199999999997</v>
      </c>
      <c r="H17" s="133">
        <v>3835218.9171999996</v>
      </c>
      <c r="I17" s="128">
        <v>30520.199999999997</v>
      </c>
      <c r="J17" s="133">
        <v>4203097.5213155262</v>
      </c>
      <c r="K17" s="128">
        <v>30520.199999999997</v>
      </c>
      <c r="L17" s="133">
        <v>4203097.5213155262</v>
      </c>
      <c r="M17" s="128">
        <v>30520.199999999997</v>
      </c>
      <c r="N17" s="133">
        <v>4131465.0673712045</v>
      </c>
      <c r="O17" s="128">
        <v>30520.200000000004</v>
      </c>
      <c r="P17" s="133">
        <v>3994124.1673712051</v>
      </c>
    </row>
    <row r="18" spans="2:16" ht="13.5" thickBot="1" x14ac:dyDescent="0.25">
      <c r="B18" s="130" t="s">
        <v>117</v>
      </c>
      <c r="C18" s="126">
        <v>0</v>
      </c>
      <c r="D18" s="127">
        <v>0</v>
      </c>
      <c r="E18" s="128">
        <v>0</v>
      </c>
      <c r="F18" s="133">
        <v>0</v>
      </c>
      <c r="G18" s="128">
        <v>0</v>
      </c>
      <c r="H18" s="133">
        <v>0</v>
      </c>
      <c r="I18" s="128">
        <v>0</v>
      </c>
      <c r="J18" s="133">
        <v>0</v>
      </c>
      <c r="K18" s="128">
        <v>0</v>
      </c>
      <c r="L18" s="133">
        <v>0</v>
      </c>
      <c r="M18" s="128">
        <v>0</v>
      </c>
      <c r="N18" s="133">
        <v>0</v>
      </c>
      <c r="O18" s="128">
        <v>0</v>
      </c>
      <c r="P18" s="133">
        <v>0</v>
      </c>
    </row>
    <row r="19" spans="2:16" ht="13.5" thickBot="1" x14ac:dyDescent="0.25">
      <c r="B19" s="130" t="s">
        <v>118</v>
      </c>
      <c r="C19" s="126">
        <v>0</v>
      </c>
      <c r="D19" s="127">
        <v>0</v>
      </c>
      <c r="E19" s="128">
        <v>0</v>
      </c>
      <c r="F19" s="133">
        <v>0</v>
      </c>
      <c r="G19" s="128">
        <v>0</v>
      </c>
      <c r="H19" s="133">
        <v>0</v>
      </c>
      <c r="I19" s="128">
        <v>0</v>
      </c>
      <c r="J19" s="133">
        <v>0</v>
      </c>
      <c r="K19" s="128">
        <v>0</v>
      </c>
      <c r="L19" s="133">
        <v>0</v>
      </c>
      <c r="M19" s="128">
        <v>0</v>
      </c>
      <c r="N19" s="133">
        <v>0</v>
      </c>
      <c r="O19" s="128">
        <v>0</v>
      </c>
      <c r="P19" s="133">
        <v>0</v>
      </c>
    </row>
    <row r="20" spans="2:16" ht="13.5" thickBot="1" x14ac:dyDescent="0.25">
      <c r="B20" s="130" t="s">
        <v>29</v>
      </c>
      <c r="C20" s="126">
        <v>0</v>
      </c>
      <c r="D20" s="131">
        <v>0</v>
      </c>
      <c r="E20" s="128">
        <v>0</v>
      </c>
      <c r="F20" s="133">
        <v>0</v>
      </c>
      <c r="G20" s="128">
        <v>0</v>
      </c>
      <c r="H20" s="131">
        <v>95643.75</v>
      </c>
      <c r="I20" s="128">
        <v>5101</v>
      </c>
      <c r="J20" s="131">
        <v>1243229.3292844731</v>
      </c>
      <c r="K20" s="128">
        <v>5101</v>
      </c>
      <c r="L20" s="131">
        <v>1419715.5792844731</v>
      </c>
      <c r="M20" s="128">
        <v>14513.6</v>
      </c>
      <c r="N20" s="131">
        <v>3503229.1600687951</v>
      </c>
      <c r="O20" s="128">
        <v>14513.6</v>
      </c>
      <c r="P20" s="131">
        <v>3503229.1600687951</v>
      </c>
    </row>
    <row r="21" spans="2:16" ht="13.5" thickBot="1" x14ac:dyDescent="0.25">
      <c r="B21" s="130" t="s">
        <v>30</v>
      </c>
      <c r="C21" s="126"/>
      <c r="D21" s="131"/>
      <c r="E21" s="126"/>
      <c r="F21" s="133"/>
      <c r="G21" s="126"/>
      <c r="H21" s="131"/>
      <c r="I21" s="126"/>
      <c r="J21" s="131"/>
      <c r="K21" s="126"/>
      <c r="L21" s="131"/>
      <c r="M21" s="126"/>
      <c r="N21" s="131"/>
      <c r="O21" s="126"/>
      <c r="P21" s="131"/>
    </row>
    <row r="22" spans="2:16" ht="13.5" thickBot="1" x14ac:dyDescent="0.25">
      <c r="B22" s="134" t="s">
        <v>75</v>
      </c>
      <c r="C22" s="135">
        <f>SUM(C17:C21)</f>
        <v>0</v>
      </c>
      <c r="D22" s="135">
        <f t="shared" ref="D22:P22" si="1">SUM(D17:D21)</f>
        <v>0</v>
      </c>
      <c r="E22" s="135">
        <f t="shared" si="1"/>
        <v>0</v>
      </c>
      <c r="F22" s="136">
        <f t="shared" si="1"/>
        <v>0</v>
      </c>
      <c r="G22" s="135">
        <f t="shared" si="1"/>
        <v>30520.199999999997</v>
      </c>
      <c r="H22" s="136">
        <f t="shared" si="1"/>
        <v>3930862.6671999996</v>
      </c>
      <c r="I22" s="135">
        <f t="shared" si="1"/>
        <v>35621.199999999997</v>
      </c>
      <c r="J22" s="136">
        <f t="shared" si="1"/>
        <v>5446326.8505999995</v>
      </c>
      <c r="K22" s="135">
        <f t="shared" si="1"/>
        <v>35621.199999999997</v>
      </c>
      <c r="L22" s="136">
        <f t="shared" si="1"/>
        <v>5622813.1005999995</v>
      </c>
      <c r="M22" s="135">
        <f t="shared" si="1"/>
        <v>45033.799999999996</v>
      </c>
      <c r="N22" s="136">
        <f t="shared" si="1"/>
        <v>7634694.2274399996</v>
      </c>
      <c r="O22" s="135">
        <f t="shared" si="1"/>
        <v>45033.8</v>
      </c>
      <c r="P22" s="136">
        <f t="shared" si="1"/>
        <v>7497353.3274400001</v>
      </c>
    </row>
    <row r="23" spans="2:16" ht="13.5" thickBot="1" x14ac:dyDescent="0.25">
      <c r="C23" s="6"/>
      <c r="D23" s="113"/>
      <c r="E23" s="6"/>
      <c r="F23" s="113"/>
      <c r="G23" s="6"/>
      <c r="H23" s="113"/>
      <c r="I23" s="6"/>
      <c r="J23" s="113"/>
      <c r="K23" s="6"/>
      <c r="L23" s="113"/>
      <c r="M23" s="6"/>
      <c r="N23" s="113"/>
      <c r="O23" s="6"/>
      <c r="P23" s="113"/>
    </row>
    <row r="24" spans="2:16" ht="13.5" thickBot="1" x14ac:dyDescent="0.25">
      <c r="B24" s="137" t="s">
        <v>90</v>
      </c>
      <c r="C24" s="138">
        <f t="shared" ref="C24:P24" si="2">C22+C13</f>
        <v>32107</v>
      </c>
      <c r="D24" s="139">
        <f t="shared" si="2"/>
        <v>3135582.04</v>
      </c>
      <c r="E24" s="138">
        <f t="shared" si="2"/>
        <v>33078</v>
      </c>
      <c r="F24" s="139">
        <f t="shared" si="2"/>
        <v>3016274.96</v>
      </c>
      <c r="G24" s="138">
        <f t="shared" si="2"/>
        <v>61685.599999999999</v>
      </c>
      <c r="H24" s="139">
        <f t="shared" si="2"/>
        <v>6345004.4151999988</v>
      </c>
      <c r="I24" s="138">
        <f t="shared" si="2"/>
        <v>64166.2</v>
      </c>
      <c r="J24" s="139">
        <f t="shared" si="2"/>
        <v>7760695.8505999995</v>
      </c>
      <c r="K24" s="138">
        <f t="shared" si="2"/>
        <v>105702.95</v>
      </c>
      <c r="L24" s="139">
        <f t="shared" si="2"/>
        <v>10448781.235599998</v>
      </c>
      <c r="M24" s="138">
        <f t="shared" si="2"/>
        <v>75870.549999999988</v>
      </c>
      <c r="N24" s="139">
        <f t="shared" si="2"/>
        <v>10053087.26244</v>
      </c>
      <c r="O24" s="138">
        <f t="shared" si="2"/>
        <v>73962.8</v>
      </c>
      <c r="P24" s="139">
        <f t="shared" si="2"/>
        <v>9830830.3074399997</v>
      </c>
    </row>
    <row r="26" spans="2:16" x14ac:dyDescent="0.2">
      <c r="F26" s="36"/>
      <c r="H26" s="250"/>
      <c r="I26" s="250"/>
      <c r="J26" s="250"/>
      <c r="K26" s="250"/>
      <c r="L26" s="250"/>
    </row>
    <row r="27" spans="2:16" x14ac:dyDescent="0.2">
      <c r="H27" s="250"/>
      <c r="I27" s="250"/>
      <c r="J27" s="250"/>
      <c r="K27" s="250"/>
      <c r="L27" s="250"/>
    </row>
    <row r="28" spans="2:16" x14ac:dyDescent="0.2">
      <c r="B28" s="164" t="s">
        <v>160</v>
      </c>
      <c r="C28" s="165"/>
      <c r="D28" s="165"/>
      <c r="E28" s="165"/>
      <c r="F28" s="165"/>
      <c r="G28" s="165"/>
      <c r="H28" s="251"/>
      <c r="I28" s="251"/>
      <c r="J28" s="251"/>
      <c r="K28" s="251"/>
      <c r="L28" s="251"/>
      <c r="M28" s="165"/>
      <c r="N28" s="165"/>
      <c r="O28" s="165"/>
      <c r="P28" s="165"/>
    </row>
    <row r="30" spans="2:16" ht="13.5" thickBot="1" x14ac:dyDescent="0.25">
      <c r="B30" s="116" t="s">
        <v>119</v>
      </c>
      <c r="C30" s="6"/>
      <c r="D30" s="113"/>
      <c r="E30" s="176"/>
      <c r="F30" s="176">
        <f>'Recoverable Costs Summary'!D4</f>
        <v>1.0176000000000001</v>
      </c>
      <c r="G30" s="6"/>
      <c r="H30" s="113"/>
      <c r="I30" s="6"/>
      <c r="J30" s="113"/>
      <c r="K30" s="6"/>
      <c r="L30" s="113"/>
      <c r="M30" s="6"/>
      <c r="N30" s="113"/>
      <c r="O30" s="6"/>
      <c r="P30" s="113"/>
    </row>
    <row r="31" spans="2:16" ht="13.5" thickBot="1" x14ac:dyDescent="0.25">
      <c r="B31" s="140" t="s">
        <v>114</v>
      </c>
      <c r="C31" s="141" t="s">
        <v>83</v>
      </c>
      <c r="D31" s="142">
        <v>0</v>
      </c>
      <c r="E31" s="143" t="s">
        <v>84</v>
      </c>
      <c r="F31" s="144">
        <v>0</v>
      </c>
      <c r="G31" s="143" t="s">
        <v>85</v>
      </c>
      <c r="H31" s="144">
        <v>0</v>
      </c>
      <c r="I31" s="143" t="s">
        <v>86</v>
      </c>
      <c r="J31" s="144">
        <v>0</v>
      </c>
      <c r="K31" s="143" t="s">
        <v>87</v>
      </c>
      <c r="L31" s="144">
        <v>0</v>
      </c>
      <c r="M31" s="143" t="s">
        <v>88</v>
      </c>
      <c r="N31" s="144">
        <v>0</v>
      </c>
      <c r="O31" s="143" t="s">
        <v>89</v>
      </c>
      <c r="P31" s="144">
        <v>0</v>
      </c>
    </row>
    <row r="32" spans="2:16" ht="13.5" thickBot="1" x14ac:dyDescent="0.25">
      <c r="B32" s="145" t="s">
        <v>26</v>
      </c>
      <c r="C32" s="146">
        <v>189.07926428571429</v>
      </c>
      <c r="D32" s="147">
        <v>4254.2834464285716</v>
      </c>
      <c r="E32" s="148">
        <v>189.04279899903062</v>
      </c>
      <c r="F32" s="149">
        <v>4253.4629774781888</v>
      </c>
      <c r="G32" s="148">
        <v>189.00634074493794</v>
      </c>
      <c r="H32" s="149">
        <v>4252.642666761104</v>
      </c>
      <c r="I32" s="148">
        <v>190.16355952208002</v>
      </c>
      <c r="J32" s="149">
        <v>4278.6800892468009</v>
      </c>
      <c r="K32" s="148">
        <v>190.71355654988645</v>
      </c>
      <c r="L32" s="149">
        <v>4291.0550223724449</v>
      </c>
      <c r="M32" s="148">
        <v>191.22453857826613</v>
      </c>
      <c r="N32" s="149">
        <v>4302.5521180109881</v>
      </c>
      <c r="O32" s="148">
        <v>191.83320063154031</v>
      </c>
      <c r="P32" s="149">
        <v>4316.2470142096572</v>
      </c>
    </row>
    <row r="33" spans="2:16" ht="13.5" thickBot="1" x14ac:dyDescent="0.25">
      <c r="B33" s="145" t="s">
        <v>117</v>
      </c>
      <c r="C33" s="146">
        <v>515.99356578947368</v>
      </c>
      <c r="D33" s="147">
        <v>30299.142183157895</v>
      </c>
      <c r="E33" s="148">
        <v>640.31587876333106</v>
      </c>
      <c r="F33" s="150">
        <v>37599.348400982795</v>
      </c>
      <c r="G33" s="148">
        <v>777.2104475066925</v>
      </c>
      <c r="H33" s="150">
        <v>45637.797477592983</v>
      </c>
      <c r="I33" s="148">
        <v>871.72289324655571</v>
      </c>
      <c r="J33" s="150">
        <v>51187.568291437754</v>
      </c>
      <c r="K33" s="148">
        <v>966.42043255213775</v>
      </c>
      <c r="L33" s="150">
        <v>56748.207799461525</v>
      </c>
      <c r="M33" s="148">
        <v>1292.6806885087815</v>
      </c>
      <c r="N33" s="150">
        <v>75906.210029235648</v>
      </c>
      <c r="O33" s="148">
        <v>1400.2858564281985</v>
      </c>
      <c r="P33" s="150">
        <v>82224.785489463815</v>
      </c>
    </row>
    <row r="34" spans="2:16" ht="13.5" thickBot="1" x14ac:dyDescent="0.25">
      <c r="B34" s="151" t="s">
        <v>118</v>
      </c>
      <c r="C34" s="146">
        <v>2490.4056161616159</v>
      </c>
      <c r="D34" s="147">
        <v>361108.81434343429</v>
      </c>
      <c r="E34" s="148">
        <v>2479.6959500793796</v>
      </c>
      <c r="F34" s="150">
        <v>359555.91276151006</v>
      </c>
      <c r="G34" s="148">
        <v>2464.852489028151</v>
      </c>
      <c r="H34" s="150">
        <v>357403.61090908188</v>
      </c>
      <c r="I34" s="148">
        <v>2450.3331851768494</v>
      </c>
      <c r="J34" s="150">
        <v>355298.31185064313</v>
      </c>
      <c r="K34" s="148">
        <v>2436.1309594561189</v>
      </c>
      <c r="L34" s="150">
        <v>353238.98912113725</v>
      </c>
      <c r="M34" s="148">
        <v>2422.2388873920368</v>
      </c>
      <c r="N34" s="150">
        <v>351224.63867184531</v>
      </c>
      <c r="O34" s="148">
        <v>2408.6501957300002</v>
      </c>
      <c r="P34" s="150">
        <v>349254.27838085004</v>
      </c>
    </row>
    <row r="35" spans="2:16" ht="13.5" thickBot="1" x14ac:dyDescent="0.25">
      <c r="B35" s="151" t="s">
        <v>115</v>
      </c>
      <c r="C35" s="146">
        <v>250.5573072</v>
      </c>
      <c r="D35" s="152">
        <v>23489.74755</v>
      </c>
      <c r="E35" s="148">
        <v>249.7174391062656</v>
      </c>
      <c r="F35" s="150">
        <v>23411.009916212399</v>
      </c>
      <c r="G35" s="148">
        <v>248.88038625038138</v>
      </c>
      <c r="H35" s="150">
        <v>23332.536210973256</v>
      </c>
      <c r="I35" s="148">
        <v>260.44853919567009</v>
      </c>
      <c r="J35" s="150">
        <v>24417.050549594071</v>
      </c>
      <c r="K35" s="148">
        <v>271.64271569228617</v>
      </c>
      <c r="L35" s="150">
        <v>25466.50459615183</v>
      </c>
      <c r="M35" s="148">
        <v>284.81056930928565</v>
      </c>
      <c r="N35" s="150">
        <v>26700.990872745529</v>
      </c>
      <c r="O35" s="148">
        <v>293.91188428096092</v>
      </c>
      <c r="P35" s="150">
        <v>27554.239151340087</v>
      </c>
    </row>
    <row r="36" spans="2:16" ht="13.5" thickBot="1" x14ac:dyDescent="0.25">
      <c r="B36" s="153" t="s">
        <v>29</v>
      </c>
      <c r="C36" s="146">
        <v>180.98146333333338</v>
      </c>
      <c r="D36" s="152">
        <v>35729.360491266671</v>
      </c>
      <c r="E36" s="148">
        <v>207.47978639052783</v>
      </c>
      <c r="F36" s="152">
        <v>40960.659429218002</v>
      </c>
      <c r="G36" s="148">
        <v>229.45116946971422</v>
      </c>
      <c r="H36" s="152">
        <v>45298.249876710979</v>
      </c>
      <c r="I36" s="148">
        <v>235.63333580298246</v>
      </c>
      <c r="J36" s="152">
        <v>46518.733154224792</v>
      </c>
      <c r="K36" s="148">
        <v>243.53974940547039</v>
      </c>
      <c r="L36" s="152">
        <v>48079.617327627959</v>
      </c>
      <c r="M36" s="148">
        <v>252.81522311379632</v>
      </c>
      <c r="N36" s="152">
        <v>49910.781347125667</v>
      </c>
      <c r="O36" s="148">
        <v>260.31247662642397</v>
      </c>
      <c r="P36" s="152">
        <v>51390.889135588615</v>
      </c>
    </row>
    <row r="37" spans="2:16" ht="13.5" thickBot="1" x14ac:dyDescent="0.25">
      <c r="B37" s="153" t="s">
        <v>30</v>
      </c>
      <c r="C37" s="146">
        <v>88.539999999999992</v>
      </c>
      <c r="D37" s="152">
        <v>34394.177390919998</v>
      </c>
      <c r="E37" s="148">
        <v>87.338385714285707</v>
      </c>
      <c r="F37" s="152">
        <v>33927.399269186084</v>
      </c>
      <c r="G37" s="148">
        <v>77.497459371428576</v>
      </c>
      <c r="H37" s="152">
        <v>30104.600914462724</v>
      </c>
      <c r="I37" s="148">
        <v>71.396865704057149</v>
      </c>
      <c r="J37" s="152">
        <v>27734.769191111744</v>
      </c>
      <c r="K37" s="148">
        <v>65.292272892102289</v>
      </c>
      <c r="L37" s="152">
        <v>25363.383963263193</v>
      </c>
      <c r="M37" s="148">
        <v>65.739350163181271</v>
      </c>
      <c r="N37" s="152">
        <v>25537.055241430564</v>
      </c>
      <c r="O37" s="148">
        <v>59.56376099539451</v>
      </c>
      <c r="P37" s="152">
        <v>23138.090826134634</v>
      </c>
    </row>
    <row r="38" spans="2:16" ht="13.5" thickBot="1" x14ac:dyDescent="0.25">
      <c r="B38" s="154" t="s">
        <v>31</v>
      </c>
      <c r="C38" s="155">
        <f t="shared" ref="C38:P38" si="3">SUM(C32:C37)</f>
        <v>3715.5572167701375</v>
      </c>
      <c r="D38" s="156">
        <f t="shared" si="3"/>
        <v>489275.52540520736</v>
      </c>
      <c r="E38" s="155">
        <f t="shared" si="3"/>
        <v>3853.5902390528204</v>
      </c>
      <c r="F38" s="156">
        <f t="shared" si="3"/>
        <v>499707.79275458748</v>
      </c>
      <c r="G38" s="155">
        <f t="shared" si="3"/>
        <v>3986.8982923713061</v>
      </c>
      <c r="H38" s="156">
        <f t="shared" si="3"/>
        <v>506029.43805558293</v>
      </c>
      <c r="I38" s="155">
        <f t="shared" si="3"/>
        <v>4079.6983786481951</v>
      </c>
      <c r="J38" s="156">
        <f t="shared" si="3"/>
        <v>509435.11312625825</v>
      </c>
      <c r="K38" s="155">
        <f t="shared" si="3"/>
        <v>4173.7396865480023</v>
      </c>
      <c r="L38" s="156">
        <f t="shared" si="3"/>
        <v>513187.75783001416</v>
      </c>
      <c r="M38" s="155">
        <f t="shared" si="3"/>
        <v>4509.5092570653478</v>
      </c>
      <c r="N38" s="156">
        <f t="shared" si="3"/>
        <v>533582.22828039364</v>
      </c>
      <c r="O38" s="155">
        <f t="shared" si="3"/>
        <v>4614.5573746925184</v>
      </c>
      <c r="P38" s="156">
        <f t="shared" si="3"/>
        <v>537878.52999758685</v>
      </c>
    </row>
    <row r="39" spans="2:16" ht="13.5" customHeight="1" thickBot="1" x14ac:dyDescent="0.25">
      <c r="B39" s="157"/>
      <c r="C39" s="158"/>
      <c r="D39" s="159"/>
      <c r="E39" s="160"/>
      <c r="F39" s="159"/>
      <c r="G39" s="160"/>
      <c r="H39" s="159"/>
      <c r="I39" s="160"/>
      <c r="J39" s="159"/>
      <c r="K39" s="160"/>
      <c r="L39" s="159"/>
      <c r="M39" s="160"/>
      <c r="N39" s="159"/>
      <c r="O39" s="160"/>
      <c r="P39" s="159"/>
    </row>
    <row r="40" spans="2:16" ht="13.5" thickBot="1" x14ac:dyDescent="0.25">
      <c r="B40" s="140" t="s">
        <v>91</v>
      </c>
      <c r="C40" s="141"/>
      <c r="D40" s="142"/>
      <c r="E40" s="143"/>
      <c r="F40" s="144"/>
      <c r="G40" s="143"/>
      <c r="H40" s="144"/>
      <c r="I40" s="143"/>
      <c r="J40" s="144"/>
      <c r="K40" s="143"/>
      <c r="L40" s="144"/>
      <c r="M40" s="143"/>
      <c r="N40" s="144"/>
      <c r="O40" s="143"/>
      <c r="P40" s="144"/>
    </row>
    <row r="41" spans="2:16" ht="13.5" thickBot="1" x14ac:dyDescent="0.25">
      <c r="B41" s="153" t="s">
        <v>120</v>
      </c>
      <c r="C41" s="146">
        <v>5572.8257059405714</v>
      </c>
      <c r="D41" s="267">
        <v>971029.85753892164</v>
      </c>
      <c r="E41" s="148">
        <v>5789.0656130851385</v>
      </c>
      <c r="F41" s="267">
        <v>1008708.3024264025</v>
      </c>
      <c r="G41" s="178">
        <v>3986.8982923713061</v>
      </c>
      <c r="H41" s="152">
        <v>694691.97228555195</v>
      </c>
      <c r="I41" s="178">
        <v>4079.6983786481951</v>
      </c>
      <c r="J41" s="152">
        <v>710861.80412884639</v>
      </c>
      <c r="K41" s="178">
        <v>4173.7396865480023</v>
      </c>
      <c r="L41" s="152">
        <v>727247.91103963321</v>
      </c>
      <c r="M41" s="178">
        <v>4509.5092570653478</v>
      </c>
      <c r="N41" s="152">
        <v>785753.64860070671</v>
      </c>
      <c r="O41" s="178">
        <v>4614.5573746925184</v>
      </c>
      <c r="P41" s="152">
        <v>804057.6229355773</v>
      </c>
    </row>
    <row r="42" spans="2:16" x14ac:dyDescent="0.2">
      <c r="B42" s="157"/>
      <c r="C42" s="158"/>
      <c r="D42" s="159"/>
      <c r="E42" s="160"/>
      <c r="F42" s="159"/>
      <c r="G42" s="160"/>
      <c r="H42" s="159"/>
      <c r="I42" s="160"/>
      <c r="J42" s="159"/>
      <c r="K42" s="160"/>
      <c r="L42" s="159"/>
      <c r="M42" s="160"/>
      <c r="N42" s="159"/>
      <c r="O42" s="160"/>
      <c r="P42" s="159"/>
    </row>
    <row r="43" spans="2:16" x14ac:dyDescent="0.2">
      <c r="B43" s="157"/>
      <c r="C43" s="158"/>
      <c r="D43" s="159"/>
      <c r="E43" s="160"/>
      <c r="F43" s="159"/>
      <c r="G43" s="160"/>
      <c r="H43" s="159"/>
      <c r="I43" s="160"/>
      <c r="J43" s="159"/>
      <c r="K43" s="160"/>
      <c r="L43" s="159"/>
      <c r="M43" s="160"/>
      <c r="N43" s="159"/>
      <c r="O43" s="160"/>
      <c r="P43" s="159"/>
    </row>
    <row r="44" spans="2:16" ht="13.5" thickBot="1" x14ac:dyDescent="0.25">
      <c r="B44" s="116" t="s">
        <v>93</v>
      </c>
      <c r="C44" s="6"/>
      <c r="D44" s="113"/>
      <c r="E44" s="6"/>
      <c r="F44" s="113"/>
      <c r="G44" s="6"/>
      <c r="H44" s="113"/>
      <c r="I44" s="6"/>
      <c r="J44" s="113"/>
      <c r="K44" s="6"/>
      <c r="L44" s="113"/>
      <c r="M44" s="6"/>
      <c r="N44" s="113"/>
      <c r="O44" s="6"/>
      <c r="P44" s="113"/>
    </row>
    <row r="45" spans="2:16" ht="13.5" thickBot="1" x14ac:dyDescent="0.25">
      <c r="B45" s="140" t="s">
        <v>92</v>
      </c>
      <c r="C45" s="118" t="s">
        <v>83</v>
      </c>
      <c r="D45" s="119"/>
      <c r="E45" s="118" t="s">
        <v>84</v>
      </c>
      <c r="F45" s="121"/>
      <c r="G45" s="118" t="s">
        <v>85</v>
      </c>
      <c r="H45" s="121"/>
      <c r="I45" s="118" t="s">
        <v>86</v>
      </c>
      <c r="J45" s="121"/>
      <c r="K45" s="118" t="s">
        <v>87</v>
      </c>
      <c r="L45" s="121"/>
      <c r="M45" s="118" t="s">
        <v>88</v>
      </c>
      <c r="N45" s="132"/>
      <c r="O45" s="118" t="s">
        <v>89</v>
      </c>
      <c r="P45" s="121"/>
    </row>
    <row r="46" spans="2:16" ht="13.5" thickBot="1" x14ac:dyDescent="0.25">
      <c r="B46" s="145" t="s">
        <v>26</v>
      </c>
      <c r="C46" s="146">
        <v>0</v>
      </c>
      <c r="D46" s="147">
        <v>0</v>
      </c>
      <c r="E46" s="148">
        <v>1315</v>
      </c>
      <c r="F46" s="147">
        <v>82345.3</v>
      </c>
      <c r="G46" s="148">
        <v>800</v>
      </c>
      <c r="H46" s="147">
        <v>50096</v>
      </c>
      <c r="I46" s="148">
        <v>0</v>
      </c>
      <c r="J46" s="147">
        <v>0</v>
      </c>
      <c r="K46" s="148">
        <v>1300</v>
      </c>
      <c r="L46" s="147">
        <v>81406</v>
      </c>
      <c r="M46" s="148">
        <v>0</v>
      </c>
      <c r="N46" s="147">
        <v>0</v>
      </c>
      <c r="O46" s="148">
        <v>0</v>
      </c>
      <c r="P46" s="147">
        <v>0</v>
      </c>
    </row>
    <row r="47" spans="2:16" ht="13.5" thickBot="1" x14ac:dyDescent="0.25">
      <c r="B47" s="145" t="s">
        <v>27</v>
      </c>
      <c r="C47" s="146">
        <v>0</v>
      </c>
      <c r="D47" s="147">
        <v>0</v>
      </c>
      <c r="E47" s="148">
        <v>0</v>
      </c>
      <c r="F47" s="147">
        <v>0</v>
      </c>
      <c r="G47" s="148">
        <v>0</v>
      </c>
      <c r="H47" s="147">
        <v>0</v>
      </c>
      <c r="I47" s="148">
        <v>142</v>
      </c>
      <c r="J47" s="147">
        <v>8338.24</v>
      </c>
      <c r="K47" s="148">
        <v>0</v>
      </c>
      <c r="L47" s="147">
        <v>0</v>
      </c>
      <c r="M47" s="148">
        <v>0</v>
      </c>
      <c r="N47" s="147">
        <v>0</v>
      </c>
      <c r="O47" s="148">
        <v>500</v>
      </c>
      <c r="P47" s="147">
        <v>29360</v>
      </c>
    </row>
    <row r="48" spans="2:16" ht="13.5" thickBot="1" x14ac:dyDescent="0.25">
      <c r="B48" s="145" t="s">
        <v>28</v>
      </c>
      <c r="C48" s="146">
        <v>0</v>
      </c>
      <c r="D48" s="147">
        <v>0</v>
      </c>
      <c r="E48" s="148">
        <v>0</v>
      </c>
      <c r="F48" s="147">
        <v>0</v>
      </c>
      <c r="G48" s="148">
        <v>0</v>
      </c>
      <c r="H48" s="147">
        <v>0</v>
      </c>
      <c r="I48" s="148">
        <v>431</v>
      </c>
      <c r="J48" s="147">
        <v>62495</v>
      </c>
      <c r="K48" s="148">
        <v>0</v>
      </c>
      <c r="L48" s="147">
        <v>0</v>
      </c>
      <c r="M48" s="148">
        <v>0</v>
      </c>
      <c r="N48" s="147">
        <v>0</v>
      </c>
      <c r="O48" s="148">
        <v>0</v>
      </c>
      <c r="P48" s="147">
        <v>0</v>
      </c>
    </row>
    <row r="49" spans="2:16" ht="13.5" thickBot="1" x14ac:dyDescent="0.25">
      <c r="B49" s="151" t="s">
        <v>29</v>
      </c>
      <c r="C49" s="146">
        <v>0</v>
      </c>
      <c r="D49" s="147">
        <v>0</v>
      </c>
      <c r="E49" s="148">
        <v>315</v>
      </c>
      <c r="F49" s="147">
        <v>27877.5</v>
      </c>
      <c r="G49" s="148">
        <v>500</v>
      </c>
      <c r="H49" s="147">
        <v>44250</v>
      </c>
      <c r="I49" s="148">
        <v>127</v>
      </c>
      <c r="J49" s="147">
        <v>11239.5</v>
      </c>
      <c r="K49" s="148">
        <v>0</v>
      </c>
      <c r="L49" s="147">
        <v>0</v>
      </c>
      <c r="M49" s="148">
        <v>0</v>
      </c>
      <c r="N49" s="147">
        <v>0</v>
      </c>
      <c r="O49" s="148">
        <v>0</v>
      </c>
      <c r="P49" s="147">
        <v>0</v>
      </c>
    </row>
    <row r="50" spans="2:16" ht="13.5" thickBot="1" x14ac:dyDescent="0.25">
      <c r="B50" s="151" t="s">
        <v>30</v>
      </c>
      <c r="C50" s="146">
        <v>0</v>
      </c>
      <c r="D50" s="152">
        <v>0</v>
      </c>
      <c r="E50" s="148">
        <v>0</v>
      </c>
      <c r="F50" s="147">
        <v>0</v>
      </c>
      <c r="G50" s="148">
        <v>0</v>
      </c>
      <c r="H50" s="147">
        <v>0</v>
      </c>
      <c r="I50" s="148">
        <v>0</v>
      </c>
      <c r="J50" s="147">
        <v>0</v>
      </c>
      <c r="K50" s="148">
        <v>0</v>
      </c>
      <c r="L50" s="147">
        <v>0</v>
      </c>
      <c r="M50" s="148">
        <v>0</v>
      </c>
      <c r="N50" s="147">
        <v>0</v>
      </c>
      <c r="O50" s="148">
        <v>0</v>
      </c>
      <c r="P50" s="147">
        <v>0</v>
      </c>
    </row>
    <row r="51" spans="2:16" ht="13.5" thickBot="1" x14ac:dyDescent="0.25">
      <c r="B51" s="154" t="s">
        <v>31</v>
      </c>
      <c r="C51" s="155">
        <f t="shared" ref="C51:M51" si="4">SUM(C46:C50)</f>
        <v>0</v>
      </c>
      <c r="D51" s="156">
        <f t="shared" si="4"/>
        <v>0</v>
      </c>
      <c r="E51" s="161">
        <f t="shared" si="4"/>
        <v>1630</v>
      </c>
      <c r="F51" s="162">
        <f t="shared" si="4"/>
        <v>110222.8</v>
      </c>
      <c r="G51" s="161">
        <f t="shared" si="4"/>
        <v>1300</v>
      </c>
      <c r="H51" s="162">
        <f t="shared" si="4"/>
        <v>94346</v>
      </c>
      <c r="I51" s="161">
        <f t="shared" si="4"/>
        <v>700</v>
      </c>
      <c r="J51" s="162">
        <f t="shared" si="4"/>
        <v>82072.740000000005</v>
      </c>
      <c r="K51" s="161">
        <f t="shared" si="4"/>
        <v>1300</v>
      </c>
      <c r="L51" s="162">
        <f t="shared" si="4"/>
        <v>81406</v>
      </c>
      <c r="M51" s="161">
        <f t="shared" si="4"/>
        <v>0</v>
      </c>
      <c r="N51" s="162">
        <v>0</v>
      </c>
      <c r="O51" s="161">
        <f>SUM(O46:O50)</f>
        <v>500</v>
      </c>
      <c r="P51" s="162">
        <f>SUM(P46:P50)</f>
        <v>29360</v>
      </c>
    </row>
    <row r="52" spans="2:16" ht="13.5" thickBot="1" x14ac:dyDescent="0.25">
      <c r="C52" s="6"/>
      <c r="D52" s="113"/>
      <c r="E52" s="6"/>
      <c r="F52" s="113"/>
      <c r="G52" s="6"/>
      <c r="H52" s="113"/>
      <c r="I52" s="6"/>
      <c r="J52" s="113"/>
      <c r="K52" s="6"/>
      <c r="L52" s="113"/>
      <c r="M52" s="6"/>
      <c r="N52" s="113"/>
      <c r="O52" s="6"/>
      <c r="P52" s="113"/>
    </row>
    <row r="53" spans="2:16" ht="13.5" thickBot="1" x14ac:dyDescent="0.25">
      <c r="B53" s="140" t="s">
        <v>114</v>
      </c>
      <c r="C53" s="141" t="s">
        <v>83</v>
      </c>
      <c r="D53" s="142"/>
      <c r="E53" s="143" t="s">
        <v>84</v>
      </c>
      <c r="F53" s="144">
        <v>0</v>
      </c>
      <c r="G53" s="143" t="s">
        <v>85</v>
      </c>
      <c r="H53" s="144">
        <v>0</v>
      </c>
      <c r="I53" s="143" t="s">
        <v>86</v>
      </c>
      <c r="J53" s="144">
        <v>0</v>
      </c>
      <c r="K53" s="143" t="s">
        <v>87</v>
      </c>
      <c r="L53" s="144">
        <v>0</v>
      </c>
      <c r="M53" s="143" t="s">
        <v>88</v>
      </c>
      <c r="N53" s="144">
        <v>0</v>
      </c>
      <c r="O53" s="143" t="s">
        <v>89</v>
      </c>
      <c r="P53" s="144">
        <v>0</v>
      </c>
    </row>
    <row r="54" spans="2:16" ht="13.5" thickBot="1" x14ac:dyDescent="0.25">
      <c r="B54" s="151" t="s">
        <v>187</v>
      </c>
      <c r="C54" s="146"/>
      <c r="D54" s="147"/>
      <c r="E54" s="148"/>
      <c r="F54" s="147"/>
      <c r="G54" s="148"/>
      <c r="H54" s="147">
        <v>1444530.96</v>
      </c>
      <c r="I54" s="148"/>
      <c r="J54" s="147">
        <v>1449124.56</v>
      </c>
      <c r="K54" s="148"/>
      <c r="L54" s="147">
        <v>1432605.96</v>
      </c>
      <c r="M54" s="148"/>
      <c r="N54" s="147">
        <v>1437648.96</v>
      </c>
      <c r="O54" s="148"/>
      <c r="P54" s="147">
        <v>1438953.96</v>
      </c>
    </row>
    <row r="55" spans="2:16" ht="13.5" thickBot="1" x14ac:dyDescent="0.25">
      <c r="B55" s="153"/>
      <c r="C55" s="146"/>
      <c r="D55" s="152"/>
      <c r="E55" s="148"/>
      <c r="F55" s="152"/>
      <c r="G55" s="148"/>
      <c r="H55" s="152"/>
      <c r="I55" s="148"/>
      <c r="J55" s="152"/>
      <c r="K55" s="148"/>
      <c r="L55" s="152"/>
      <c r="M55" s="148"/>
      <c r="N55" s="152"/>
      <c r="O55" s="148"/>
      <c r="P55" s="152"/>
    </row>
    <row r="56" spans="2:16" ht="13.5" thickBot="1" x14ac:dyDescent="0.25">
      <c r="B56" s="154" t="s">
        <v>31</v>
      </c>
      <c r="C56" s="155"/>
      <c r="D56" s="156"/>
      <c r="E56" s="155"/>
      <c r="F56" s="156"/>
      <c r="G56" s="155"/>
      <c r="H56" s="156">
        <f>SUM(H54:H55)</f>
        <v>1444530.96</v>
      </c>
      <c r="I56" s="155">
        <f t="shared" ref="I56:O56" si="5">SUM(I54:I55)</f>
        <v>0</v>
      </c>
      <c r="J56" s="156">
        <f>SUM(J54:J55)</f>
        <v>1449124.56</v>
      </c>
      <c r="K56" s="155">
        <f t="shared" si="5"/>
        <v>0</v>
      </c>
      <c r="L56" s="156">
        <f>SUM(L54:L55)</f>
        <v>1432605.96</v>
      </c>
      <c r="M56" s="155">
        <f t="shared" si="5"/>
        <v>0</v>
      </c>
      <c r="N56" s="156">
        <f>SUM(N54:N55)</f>
        <v>1437648.96</v>
      </c>
      <c r="O56" s="155">
        <f t="shared" si="5"/>
        <v>0</v>
      </c>
      <c r="P56" s="156">
        <f>SUM(P54:P55)</f>
        <v>1438953.96</v>
      </c>
    </row>
    <row r="57" spans="2:16" ht="13.5" thickBot="1" x14ac:dyDescent="0.25">
      <c r="C57" s="6"/>
      <c r="D57" s="113"/>
      <c r="E57" s="6"/>
      <c r="F57" s="113"/>
      <c r="G57" s="6"/>
      <c r="H57" s="113"/>
      <c r="I57" s="6"/>
      <c r="J57" s="113"/>
      <c r="K57" s="6"/>
      <c r="L57" s="113"/>
      <c r="M57" s="6"/>
      <c r="N57" s="113"/>
      <c r="O57" s="6"/>
      <c r="P57" s="113"/>
    </row>
    <row r="58" spans="2:16" ht="13.5" thickBot="1" x14ac:dyDescent="0.25">
      <c r="B58" s="140" t="s">
        <v>121</v>
      </c>
      <c r="C58" s="141" t="s">
        <v>83</v>
      </c>
      <c r="D58" s="142"/>
      <c r="E58" s="143" t="s">
        <v>84</v>
      </c>
      <c r="F58" s="144"/>
      <c r="G58" s="143" t="s">
        <v>85</v>
      </c>
      <c r="H58" s="144"/>
      <c r="I58" s="143" t="s">
        <v>86</v>
      </c>
      <c r="J58" s="144"/>
      <c r="K58" s="143" t="s">
        <v>87</v>
      </c>
      <c r="L58" s="144"/>
      <c r="M58" s="143" t="s">
        <v>88</v>
      </c>
      <c r="N58" s="144"/>
      <c r="O58" s="143" t="s">
        <v>89</v>
      </c>
      <c r="P58" s="144">
        <v>0</v>
      </c>
    </row>
    <row r="59" spans="2:16" ht="13.5" thickBot="1" x14ac:dyDescent="0.25">
      <c r="B59" s="163" t="s">
        <v>188</v>
      </c>
      <c r="C59" s="146"/>
      <c r="D59" s="147"/>
      <c r="E59" s="146"/>
      <c r="F59" s="147"/>
      <c r="G59" s="146"/>
      <c r="H59" s="147">
        <v>894520.39000000013</v>
      </c>
      <c r="I59" s="146"/>
      <c r="J59" s="147">
        <v>1153487.5900000001</v>
      </c>
      <c r="K59" s="146"/>
      <c r="L59" s="147">
        <v>1153487.5900000001</v>
      </c>
      <c r="M59" s="146"/>
      <c r="N59" s="147">
        <v>1153487.5900000001</v>
      </c>
      <c r="O59" s="146"/>
      <c r="P59" s="147">
        <v>1153487.5900000001</v>
      </c>
    </row>
    <row r="60" spans="2:16" ht="13.5" thickBot="1" x14ac:dyDescent="0.25">
      <c r="B60" s="163" t="s">
        <v>189</v>
      </c>
      <c r="C60" s="146"/>
      <c r="D60" s="147"/>
      <c r="E60" s="146"/>
      <c r="F60" s="147"/>
      <c r="G60" s="146"/>
      <c r="H60" s="147">
        <v>531450.91999999993</v>
      </c>
      <c r="I60" s="146"/>
      <c r="J60" s="147">
        <v>579764.64</v>
      </c>
      <c r="K60" s="146"/>
      <c r="L60" s="147">
        <v>579764.64</v>
      </c>
      <c r="M60" s="148"/>
      <c r="N60" s="147">
        <v>579764.64</v>
      </c>
      <c r="O60" s="148"/>
      <c r="P60" s="147">
        <v>579764.64</v>
      </c>
    </row>
    <row r="61" spans="2:16" ht="13.5" thickBot="1" x14ac:dyDescent="0.25">
      <c r="B61" s="163" t="s">
        <v>190</v>
      </c>
      <c r="C61" s="146"/>
      <c r="D61" s="147"/>
      <c r="E61" s="146"/>
      <c r="F61" s="147"/>
      <c r="G61" s="146"/>
      <c r="H61" s="147"/>
      <c r="I61" s="146"/>
      <c r="J61" s="147"/>
      <c r="K61" s="146"/>
      <c r="L61" s="147"/>
      <c r="M61" s="148"/>
      <c r="N61" s="149"/>
      <c r="O61" s="148"/>
      <c r="P61" s="149"/>
    </row>
    <row r="62" spans="2:16" ht="13.5" thickBot="1" x14ac:dyDescent="0.25">
      <c r="B62" s="163" t="s">
        <v>191</v>
      </c>
      <c r="C62" s="146"/>
      <c r="D62" s="147"/>
      <c r="E62" s="146"/>
      <c r="F62" s="147"/>
      <c r="G62" s="148"/>
      <c r="H62" s="149"/>
      <c r="I62" s="148"/>
      <c r="J62" s="149"/>
      <c r="K62" s="148"/>
      <c r="L62" s="149"/>
      <c r="M62" s="148"/>
      <c r="N62" s="149"/>
      <c r="O62" s="146"/>
      <c r="P62" s="147"/>
    </row>
    <row r="63" spans="2:16" ht="13.5" thickBot="1" x14ac:dyDescent="0.25">
      <c r="B63" s="154" t="s">
        <v>31</v>
      </c>
      <c r="C63" s="161"/>
      <c r="D63" s="156"/>
      <c r="E63" s="161"/>
      <c r="F63" s="156"/>
      <c r="G63" s="161">
        <v>2800</v>
      </c>
      <c r="H63" s="156">
        <f>SUM(H59:H62)</f>
        <v>1425971.31</v>
      </c>
      <c r="I63" s="161">
        <v>2200</v>
      </c>
      <c r="J63" s="156">
        <f>SUM(J59:J62)</f>
        <v>1733252.23</v>
      </c>
      <c r="K63" s="161">
        <v>2800</v>
      </c>
      <c r="L63" s="156">
        <f>SUM(L59:L62)</f>
        <v>1733252.23</v>
      </c>
      <c r="M63" s="161">
        <v>0</v>
      </c>
      <c r="N63" s="156">
        <f>SUM(N59:N62)</f>
        <v>1733252.23</v>
      </c>
      <c r="O63" s="161">
        <v>1200</v>
      </c>
      <c r="P63" s="156">
        <f>SUM(P59:P62)</f>
        <v>1733252.23</v>
      </c>
    </row>
    <row r="64" spans="2:16" x14ac:dyDescent="0.2">
      <c r="C64" s="6"/>
      <c r="D64" s="113"/>
      <c r="E64" s="6"/>
      <c r="F64" s="113"/>
      <c r="G64" s="6"/>
      <c r="H64" s="113"/>
      <c r="I64" s="6"/>
      <c r="J64" s="113"/>
      <c r="K64" s="6"/>
      <c r="L64" s="113"/>
      <c r="M64" s="6"/>
      <c r="N64" s="113"/>
      <c r="O64" s="6"/>
      <c r="P64" s="113"/>
    </row>
    <row r="65" spans="2:16" x14ac:dyDescent="0.2">
      <c r="B65" s="225" t="s">
        <v>167</v>
      </c>
      <c r="H65" s="113">
        <f>H51+H56+H63</f>
        <v>2964848.27</v>
      </c>
      <c r="J65" s="113">
        <f>J51+J56+J63</f>
        <v>3264449.5300000003</v>
      </c>
      <c r="L65" s="113">
        <f>L51+L56+L63</f>
        <v>3247264.19</v>
      </c>
      <c r="N65" s="113">
        <f>N51+N56+N63</f>
        <v>3170901.19</v>
      </c>
      <c r="P65" s="113">
        <f>P51+P56+P63</f>
        <v>3201566.19</v>
      </c>
    </row>
  </sheetData>
  <customSheetViews>
    <customSheetView guid="{935FDB08-2C7A-4709-9BC5-9809E261DD86}" topLeftCell="B69">
      <selection activeCell="L111" sqref="L11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Z17"/>
  <sheetViews>
    <sheetView workbookViewId="0">
      <selection activeCell="D27" sqref="D27"/>
    </sheetView>
  </sheetViews>
  <sheetFormatPr defaultRowHeight="12.75" x14ac:dyDescent="0.2"/>
  <cols>
    <col min="1" max="1" width="1.5703125" customWidth="1"/>
    <col min="2" max="2" width="16" customWidth="1"/>
    <col min="3" max="3" width="12" bestFit="1" customWidth="1"/>
    <col min="4" max="4" width="10.5703125" customWidth="1"/>
    <col min="5" max="5" width="15" bestFit="1" customWidth="1"/>
    <col min="6" max="6" width="10.28515625" bestFit="1" customWidth="1"/>
    <col min="7" max="7" width="12.28515625" bestFit="1" customWidth="1"/>
    <col min="8" max="8" width="10.28515625" bestFit="1" customWidth="1"/>
    <col min="9" max="9" width="12.28515625" bestFit="1" customWidth="1"/>
    <col min="10" max="12" width="3.85546875" customWidth="1"/>
    <col min="13" max="13" width="15.7109375" customWidth="1"/>
    <col min="14" max="14" width="9.7109375" customWidth="1"/>
    <col min="15" max="15" width="13.28515625" customWidth="1"/>
    <col min="16" max="16" width="10.7109375" customWidth="1"/>
    <col min="17" max="17" width="12" customWidth="1"/>
    <col min="18" max="18" width="10.7109375" customWidth="1"/>
  </cols>
  <sheetData>
    <row r="1" spans="2:26" s="168" customFormat="1" x14ac:dyDescent="0.2">
      <c r="M1" s="173"/>
      <c r="Z1" s="170"/>
    </row>
    <row r="2" spans="2:26" s="168" customFormat="1" x14ac:dyDescent="0.2">
      <c r="B2" s="171" t="s">
        <v>154</v>
      </c>
      <c r="R2" s="169"/>
      <c r="Z2" s="170"/>
    </row>
    <row r="3" spans="2:26" s="168" customFormat="1" x14ac:dyDescent="0.2">
      <c r="B3" s="168" t="s">
        <v>155</v>
      </c>
      <c r="E3" s="169"/>
      <c r="F3" s="169"/>
      <c r="G3" s="169"/>
      <c r="H3" s="169"/>
      <c r="I3" s="169"/>
      <c r="J3" s="169"/>
      <c r="K3" s="169"/>
      <c r="L3" s="169"/>
      <c r="Z3" s="170"/>
    </row>
    <row r="4" spans="2:26" s="168" customFormat="1" x14ac:dyDescent="0.2">
      <c r="E4" s="169"/>
      <c r="F4" s="169" t="s">
        <v>156</v>
      </c>
      <c r="G4" s="169">
        <f>400*12</f>
        <v>4800</v>
      </c>
      <c r="H4" s="169"/>
      <c r="I4" s="169"/>
      <c r="J4" s="169"/>
      <c r="K4" s="169"/>
      <c r="L4" s="169"/>
      <c r="M4" s="418" t="s">
        <v>158</v>
      </c>
      <c r="N4" s="418" t="s">
        <v>159</v>
      </c>
      <c r="O4" s="83"/>
      <c r="P4" s="83"/>
      <c r="R4" s="169"/>
      <c r="Z4" s="170"/>
    </row>
    <row r="5" spans="2:26" s="168" customFormat="1" x14ac:dyDescent="0.2">
      <c r="E5" s="169"/>
      <c r="F5" s="169"/>
      <c r="G5" s="169"/>
      <c r="H5" s="169"/>
      <c r="I5" s="169"/>
      <c r="J5" s="169"/>
      <c r="K5" s="169"/>
      <c r="L5" s="169"/>
      <c r="M5" s="418"/>
      <c r="N5" s="418"/>
      <c r="O5" s="83" t="s">
        <v>75</v>
      </c>
      <c r="P5" s="83"/>
      <c r="Z5" s="170"/>
    </row>
    <row r="6" spans="2:26" s="168" customFormat="1" x14ac:dyDescent="0.2">
      <c r="E6" s="169"/>
      <c r="F6" s="169"/>
      <c r="G6" s="169"/>
      <c r="H6" s="169"/>
      <c r="I6" s="169"/>
      <c r="J6" s="169"/>
      <c r="K6" s="169"/>
      <c r="L6" s="169"/>
      <c r="M6" s="175">
        <v>70.833974446536843</v>
      </c>
      <c r="N6" s="175">
        <v>18.95</v>
      </c>
      <c r="O6" s="65">
        <f>SUM(M6:N6)</f>
        <v>89.783974446536845</v>
      </c>
      <c r="P6" s="36"/>
    </row>
    <row r="7" spans="2:26" s="168" customFormat="1" x14ac:dyDescent="0.2">
      <c r="C7"/>
      <c r="E7" s="169"/>
      <c r="F7" s="169"/>
      <c r="G7" s="169"/>
      <c r="H7" s="169"/>
      <c r="I7" s="169"/>
      <c r="J7" s="169"/>
      <c r="K7" s="169"/>
      <c r="L7" s="169"/>
      <c r="M7" s="177" t="s">
        <v>161</v>
      </c>
      <c r="N7" s="83">
        <v>0.5</v>
      </c>
      <c r="O7" s="83"/>
      <c r="P7" s="83"/>
    </row>
    <row r="8" spans="2:26" s="168" customFormat="1" x14ac:dyDescent="0.2">
      <c r="E8" s="169"/>
      <c r="F8" s="169"/>
      <c r="G8" s="169"/>
      <c r="H8" s="169"/>
      <c r="I8" s="169"/>
      <c r="J8" s="169"/>
      <c r="K8" s="169"/>
      <c r="L8" s="169"/>
    </row>
    <row r="9" spans="2:26" s="168" customFormat="1" x14ac:dyDescent="0.2">
      <c r="E9" s="169"/>
      <c r="F9" s="169"/>
      <c r="G9" s="169"/>
      <c r="H9" s="169"/>
      <c r="I9" s="169"/>
      <c r="J9" s="169"/>
      <c r="K9" s="169"/>
      <c r="L9" s="169"/>
      <c r="O9" s="171"/>
      <c r="R9" s="169"/>
    </row>
    <row r="10" spans="2:26" s="168" customFormat="1" x14ac:dyDescent="0.2">
      <c r="E10" s="169"/>
      <c r="F10" s="169"/>
      <c r="G10" s="169"/>
      <c r="H10" s="169"/>
      <c r="I10" s="169"/>
      <c r="J10" s="169"/>
      <c r="K10" s="169"/>
      <c r="L10" s="169"/>
    </row>
    <row r="11" spans="2:26" s="168" customFormat="1" x14ac:dyDescent="0.2"/>
    <row r="12" spans="2:26" x14ac:dyDescent="0.2">
      <c r="O12" s="171"/>
      <c r="P12" s="168"/>
      <c r="Q12" s="168"/>
      <c r="R12" s="172"/>
      <c r="S12" s="168"/>
    </row>
    <row r="13" spans="2:26" x14ac:dyDescent="0.2">
      <c r="O13" s="168"/>
      <c r="P13" s="168"/>
      <c r="Q13" s="168"/>
      <c r="R13" s="168"/>
      <c r="S13" s="168"/>
    </row>
    <row r="14" spans="2:26" x14ac:dyDescent="0.2">
      <c r="O14" s="168"/>
      <c r="P14" s="168"/>
      <c r="Q14" s="168"/>
      <c r="R14" s="168"/>
      <c r="S14" s="168"/>
    </row>
    <row r="15" spans="2:26" x14ac:dyDescent="0.2">
      <c r="F15" s="11"/>
      <c r="G15" s="11"/>
      <c r="H15" s="11"/>
      <c r="I15" s="11"/>
      <c r="O15" s="168"/>
      <c r="P15" s="168"/>
      <c r="Q15" s="168"/>
      <c r="R15" s="168"/>
      <c r="S15" s="168"/>
    </row>
    <row r="17" spans="15:15" x14ac:dyDescent="0.2">
      <c r="O17" s="11"/>
    </row>
  </sheetData>
  <customSheetViews>
    <customSheetView guid="{935FDB08-2C7A-4709-9BC5-9809E261DD86}" topLeftCell="C1">
      <pageMargins left="0.7" right="0.7" top="0.75" bottom="0.75" header="0.3" footer="0.3"/>
    </customSheetView>
  </customSheetViews>
  <mergeCells count="2">
    <mergeCell ref="M4:M5"/>
    <mergeCell ref="N4:N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A1E837E562164AABFA2BD95B4BFCA3" ma:contentTypeVersion="0" ma:contentTypeDescription="Create a new document." ma:contentTypeScope="" ma:versionID="14996546c3df5d90b867dc7e93fdfa2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F9061E-63FD-4610-985F-6AFC0871FB8E}">
  <ds:schemaRefs>
    <ds:schemaRef ds:uri="http://schemas.microsoft.com/sharepoint/v3/contenttype/forms"/>
  </ds:schemaRefs>
</ds:datastoreItem>
</file>

<file path=customXml/itemProps2.xml><?xml version="1.0" encoding="utf-8"?>
<ds:datastoreItem xmlns:ds="http://schemas.openxmlformats.org/officeDocument/2006/customXml" ds:itemID="{93A18BA4-F2AB-4D8E-83B4-C24F4DA42BF3}">
  <ds:schemaRef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6A54FF2-C776-4581-B687-D1C3F8EF4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AER Smoothed Charges</vt:lpstr>
      <vt:lpstr>AER Unsmoothed Charges </vt:lpstr>
      <vt:lpstr>AER Upfront charge</vt:lpstr>
      <vt:lpstr>Pricing Summary</vt:lpstr>
      <vt:lpstr>Price Build Up</vt:lpstr>
      <vt:lpstr>Recoverable Costs Summary</vt:lpstr>
      <vt:lpstr>RFM</vt:lpstr>
      <vt:lpstr>Metering AMP</vt:lpstr>
      <vt:lpstr>Meter Reads</vt:lpstr>
      <vt:lpstr>New Meter Pricing</vt:lpstr>
      <vt:lpstr>Exit fee</vt:lpstr>
      <vt:lpstr>Inputs</vt:lpstr>
      <vt:lpstr>'Metering AMP'!_ftn1</vt:lpstr>
      <vt:lpstr>'Metering AMP'!_ftnref1</vt:lpstr>
      <vt:lpstr>Dr</vt:lpstr>
      <vt:lpstr>Dv</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Moffitt, Shannon</cp:lastModifiedBy>
  <cp:lastPrinted>2014-02-09T22:38:42Z</cp:lastPrinted>
  <dcterms:created xsi:type="dcterms:W3CDTF">2013-06-17T04:35:42Z</dcterms:created>
  <dcterms:modified xsi:type="dcterms:W3CDTF">2015-04-29T07:49:57Z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0x01010022A1E837E562164AABFA2BD95B4BFCA3</vt:lpwstr>
  </property>
</Properties>
</file>