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345" yWindow="45" windowWidth="6870" windowHeight="8940" tabRatio="835" activeTab="11"/>
  </bookViews>
  <sheets>
    <sheet name="Readme" sheetId="28" r:id="rId1"/>
    <sheet name="TNSP Charts-updated" sheetId="15" r:id="rId2"/>
    <sheet name="TNSP Analysis" sheetId="23" r:id="rId3"/>
    <sheet name="Asset cost and Total user cost" sheetId="22" r:id="rId4"/>
    <sheet name="Opex" sheetId="4" r:id="rId5"/>
    <sheet name="RAB" sheetId="7" r:id="rId6"/>
    <sheet name="Depreciation" sheetId="27" r:id="rId7"/>
    <sheet name="Capex" sheetId="1" r:id="rId8"/>
    <sheet name="CPI" sheetId="2" r:id="rId9"/>
    <sheet name="Physical data" sheetId="5" r:id="rId10"/>
    <sheet name="Network characteristics chartsU" sheetId="25" r:id="rId11"/>
    <sheet name="Network size table" sheetId="2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GoBack" localSheetId="0">Readme!$A$12</definedName>
    <definedName name="_Ref390772024" localSheetId="9">'Physical data'!$B$27</definedName>
    <definedName name="Capex_base" localSheetId="3">'Asset cost and Total user cost'!#REF!</definedName>
    <definedName name="Capex_base" localSheetId="6">Depreciation!#REF!</definedName>
    <definedName name="Capex_base" localSheetId="4">Opex!#REF!</definedName>
    <definedName name="Capex_base" localSheetId="5">RAB!#REF!</definedName>
    <definedName name="Capex_base" localSheetId="0">[1]Capex!#REF!</definedName>
    <definedName name="Capex_base">Capex!#REF!</definedName>
    <definedName name="Capex_Base_Index" localSheetId="3">'Asset cost and Total user cost'!#REF!</definedName>
    <definedName name="Capex_base_index" localSheetId="6">Depreciation!#REF!</definedName>
    <definedName name="Capex_Base_Index" localSheetId="4">Opex!#REF!</definedName>
    <definedName name="Capex_Base_Index" localSheetId="5">RAB!#REF!</definedName>
    <definedName name="Capex_Base_Index" localSheetId="0">[1]Capex!#REF!</definedName>
    <definedName name="Capex_Base_Index">Capex!#REF!</definedName>
    <definedName name="Capex_Years">[2]Capex!$C$1:$CZ$1</definedName>
    <definedName name="currency_base" localSheetId="0">[1]CPI!$E$8</definedName>
    <definedName name="currency_base">CPI!$E$9</definedName>
    <definedName name="Real_year" localSheetId="0">[1]CPI!$E$6</definedName>
    <definedName name="Real_year">CPI!$E$7</definedName>
    <definedName name="RemovingHVAssets">[1]Zonesubstationtransformation!#REF!</definedName>
  </definedNames>
  <calcPr calcId="162913"/>
</workbook>
</file>

<file path=xl/calcChain.xml><?xml version="1.0" encoding="utf-8"?>
<calcChain xmlns="http://schemas.openxmlformats.org/spreadsheetml/2006/main">
  <c r="Q49" i="5" l="1"/>
  <c r="Q50" i="5"/>
  <c r="Q51" i="5"/>
  <c r="Q52" i="5"/>
  <c r="Q48" i="5"/>
  <c r="P15" i="7" l="1"/>
  <c r="P19" i="1"/>
  <c r="P18" i="1"/>
  <c r="P17" i="1"/>
  <c r="P16" i="1"/>
  <c r="P15" i="1"/>
  <c r="P19" i="27"/>
  <c r="P18" i="27"/>
  <c r="P17" i="27"/>
  <c r="P16" i="27"/>
  <c r="P15" i="27"/>
  <c r="P19" i="7"/>
  <c r="P18" i="7"/>
  <c r="P17" i="7"/>
  <c r="P16" i="7"/>
  <c r="P16" i="4"/>
  <c r="P17" i="4"/>
  <c r="P18" i="4"/>
  <c r="P19" i="4"/>
  <c r="P15" i="4"/>
  <c r="B2" i="22" l="1"/>
  <c r="P7" i="5" l="1"/>
  <c r="G30" i="5" s="1"/>
  <c r="O12" i="1"/>
  <c r="O12" i="27"/>
  <c r="O12" i="7"/>
  <c r="O11" i="7" l="1"/>
  <c r="O11" i="27"/>
  <c r="O11" i="1"/>
  <c r="P6" i="5"/>
  <c r="G29" i="5" s="1"/>
  <c r="P5" i="5" l="1"/>
  <c r="G28" i="5" s="1"/>
  <c r="O10" i="1" l="1"/>
  <c r="O10" i="27"/>
  <c r="O10" i="7"/>
  <c r="O9" i="7" l="1"/>
  <c r="O9" i="27"/>
  <c r="O9" i="1"/>
  <c r="P4" i="5"/>
  <c r="G27" i="5" s="1"/>
  <c r="P3" i="5" l="1"/>
  <c r="G26" i="5" s="1"/>
  <c r="O8" i="1"/>
  <c r="O8" i="27"/>
  <c r="O8" i="7"/>
  <c r="O17" i="27" l="1"/>
  <c r="O18" i="27"/>
  <c r="O15" i="27"/>
  <c r="O16" i="27"/>
  <c r="O19" i="27"/>
  <c r="D7" i="22" l="1"/>
  <c r="E7" i="22"/>
  <c r="F7" i="22"/>
  <c r="G7" i="22"/>
  <c r="H7" i="22"/>
  <c r="I7" i="22"/>
  <c r="J7" i="22"/>
  <c r="K7" i="22"/>
  <c r="L7" i="22"/>
  <c r="M7" i="22"/>
  <c r="N7" i="22"/>
  <c r="D8" i="22"/>
  <c r="E8" i="22"/>
  <c r="F8" i="22"/>
  <c r="G8" i="22"/>
  <c r="H8" i="22"/>
  <c r="I8" i="22"/>
  <c r="J8" i="22"/>
  <c r="K8" i="22"/>
  <c r="L8" i="22"/>
  <c r="M8" i="22"/>
  <c r="N8" i="22"/>
  <c r="D9" i="22"/>
  <c r="E9" i="22"/>
  <c r="F9" i="22"/>
  <c r="G9" i="22"/>
  <c r="H9" i="22"/>
  <c r="I9" i="22"/>
  <c r="J9" i="22"/>
  <c r="K9" i="22"/>
  <c r="L9" i="22"/>
  <c r="M9" i="22"/>
  <c r="N9" i="22"/>
  <c r="D10" i="22"/>
  <c r="E10" i="22"/>
  <c r="F10" i="22"/>
  <c r="G10" i="22"/>
  <c r="H10" i="22"/>
  <c r="I10" i="22"/>
  <c r="J10" i="22"/>
  <c r="K10" i="22"/>
  <c r="L10" i="22"/>
  <c r="M10" i="22"/>
  <c r="N10" i="22"/>
  <c r="D11" i="22"/>
  <c r="E11" i="22"/>
  <c r="F11" i="22"/>
  <c r="G11" i="22"/>
  <c r="H11" i="22"/>
  <c r="I11" i="22"/>
  <c r="J11" i="22"/>
  <c r="K11" i="22"/>
  <c r="L11" i="22"/>
  <c r="M11" i="22"/>
  <c r="N11" i="22"/>
  <c r="E38" i="23"/>
  <c r="E39" i="23"/>
  <c r="E40" i="23"/>
  <c r="E41" i="23"/>
  <c r="E37" i="23"/>
  <c r="O15" i="1"/>
  <c r="O16" i="1"/>
  <c r="O17" i="1"/>
  <c r="O18" i="1"/>
  <c r="O19" i="1"/>
  <c r="E52" i="5" l="1"/>
  <c r="F52" i="5"/>
  <c r="G52" i="5"/>
  <c r="H52" i="5"/>
  <c r="I52" i="5"/>
  <c r="J52" i="5"/>
  <c r="K52" i="5"/>
  <c r="L52" i="5"/>
  <c r="M52" i="5"/>
  <c r="N52" i="5"/>
  <c r="O52" i="5"/>
  <c r="P52" i="5"/>
  <c r="D52" i="5"/>
  <c r="E51" i="5"/>
  <c r="F51" i="5"/>
  <c r="G51" i="5"/>
  <c r="H51" i="5"/>
  <c r="I51" i="5"/>
  <c r="J51" i="5"/>
  <c r="K51" i="5"/>
  <c r="L51" i="5"/>
  <c r="M51" i="5"/>
  <c r="N51" i="5"/>
  <c r="O51" i="5"/>
  <c r="P51" i="5"/>
  <c r="D51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E49" i="5"/>
  <c r="F49" i="5"/>
  <c r="G49" i="5"/>
  <c r="H49" i="5"/>
  <c r="I49" i="5"/>
  <c r="J49" i="5"/>
  <c r="K49" i="5"/>
  <c r="L49" i="5"/>
  <c r="M49" i="5"/>
  <c r="N49" i="5"/>
  <c r="O49" i="5"/>
  <c r="P49" i="5"/>
  <c r="D49" i="5"/>
  <c r="E48" i="5"/>
  <c r="F48" i="5"/>
  <c r="G48" i="5"/>
  <c r="H48" i="5"/>
  <c r="I48" i="5"/>
  <c r="J48" i="5"/>
  <c r="K48" i="5"/>
  <c r="L48" i="5"/>
  <c r="M48" i="5"/>
  <c r="N48" i="5"/>
  <c r="O48" i="5"/>
  <c r="P48" i="5"/>
  <c r="D48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E36" i="5"/>
  <c r="F36" i="5"/>
  <c r="G36" i="5"/>
  <c r="H36" i="5"/>
  <c r="I36" i="5"/>
  <c r="J36" i="5"/>
  <c r="K36" i="5"/>
  <c r="L36" i="5"/>
  <c r="M36" i="5"/>
  <c r="N36" i="5"/>
  <c r="O36" i="5"/>
  <c r="P36" i="5"/>
  <c r="D36" i="5"/>
  <c r="E35" i="5"/>
  <c r="F35" i="5"/>
  <c r="G35" i="5"/>
  <c r="H35" i="5"/>
  <c r="I35" i="5"/>
  <c r="J35" i="5"/>
  <c r="K35" i="5"/>
  <c r="L35" i="5"/>
  <c r="M35" i="5"/>
  <c r="N35" i="5"/>
  <c r="O35" i="5"/>
  <c r="P35" i="5"/>
  <c r="D35" i="5"/>
  <c r="E34" i="5"/>
  <c r="F34" i="5"/>
  <c r="G34" i="5"/>
  <c r="H34" i="5"/>
  <c r="I34" i="5"/>
  <c r="J34" i="5"/>
  <c r="K34" i="5"/>
  <c r="L34" i="5"/>
  <c r="M34" i="5"/>
  <c r="N34" i="5"/>
  <c r="O34" i="5"/>
  <c r="P34" i="5"/>
  <c r="D34" i="5"/>
  <c r="E33" i="5"/>
  <c r="F33" i="5"/>
  <c r="G33" i="5"/>
  <c r="H33" i="5"/>
  <c r="I33" i="5"/>
  <c r="J33" i="5"/>
  <c r="K33" i="5"/>
  <c r="L33" i="5"/>
  <c r="M33" i="5"/>
  <c r="N33" i="5"/>
  <c r="O33" i="5"/>
  <c r="D26" i="5" s="1"/>
  <c r="P33" i="5"/>
  <c r="D33" i="5"/>
  <c r="E27" i="5"/>
  <c r="E28" i="5"/>
  <c r="E29" i="5"/>
  <c r="E30" i="5"/>
  <c r="E26" i="5"/>
  <c r="E15" i="5"/>
  <c r="F15" i="5"/>
  <c r="G15" i="5"/>
  <c r="H15" i="5"/>
  <c r="I15" i="5"/>
  <c r="J15" i="5"/>
  <c r="K15" i="5"/>
  <c r="L15" i="5"/>
  <c r="M15" i="5"/>
  <c r="N15" i="5"/>
  <c r="O15" i="5"/>
  <c r="P15" i="5"/>
  <c r="D15" i="5"/>
  <c r="E14" i="5"/>
  <c r="F14" i="5"/>
  <c r="G14" i="5"/>
  <c r="H14" i="5"/>
  <c r="I14" i="5"/>
  <c r="J14" i="5"/>
  <c r="K14" i="5"/>
  <c r="L14" i="5"/>
  <c r="M14" i="5"/>
  <c r="N14" i="5"/>
  <c r="O14" i="5"/>
  <c r="P14" i="5"/>
  <c r="D14" i="5"/>
  <c r="E13" i="5"/>
  <c r="F13" i="5"/>
  <c r="G13" i="5"/>
  <c r="H13" i="5"/>
  <c r="I13" i="5"/>
  <c r="J13" i="5"/>
  <c r="K13" i="5"/>
  <c r="L13" i="5"/>
  <c r="M13" i="5"/>
  <c r="N13" i="5"/>
  <c r="O13" i="5"/>
  <c r="P13" i="5"/>
  <c r="D13" i="5"/>
  <c r="E12" i="5"/>
  <c r="F12" i="5"/>
  <c r="G12" i="5"/>
  <c r="H12" i="5"/>
  <c r="I12" i="5"/>
  <c r="J12" i="5"/>
  <c r="K12" i="5"/>
  <c r="L12" i="5"/>
  <c r="M12" i="5"/>
  <c r="N12" i="5"/>
  <c r="O12" i="5"/>
  <c r="P12" i="5"/>
  <c r="D12" i="5"/>
  <c r="E11" i="5"/>
  <c r="F11" i="5"/>
  <c r="G11" i="5"/>
  <c r="G16" i="5" s="1"/>
  <c r="H11" i="5"/>
  <c r="I11" i="5"/>
  <c r="J11" i="5"/>
  <c r="K11" i="5"/>
  <c r="L11" i="5"/>
  <c r="M11" i="5"/>
  <c r="N11" i="5"/>
  <c r="O11" i="5"/>
  <c r="O16" i="5" s="1"/>
  <c r="P11" i="5"/>
  <c r="D11" i="5"/>
  <c r="O4" i="1"/>
  <c r="N4" i="1"/>
  <c r="M4" i="1"/>
  <c r="L4" i="1"/>
  <c r="K4" i="1"/>
  <c r="J4" i="1"/>
  <c r="I4" i="1"/>
  <c r="H4" i="1"/>
  <c r="G4" i="1"/>
  <c r="F4" i="1"/>
  <c r="E4" i="1"/>
  <c r="D4" i="1"/>
  <c r="C4" i="1"/>
  <c r="O3" i="1"/>
  <c r="N3" i="1"/>
  <c r="M3" i="1"/>
  <c r="L3" i="1"/>
  <c r="K3" i="1"/>
  <c r="J3" i="1"/>
  <c r="I3" i="1"/>
  <c r="H3" i="1"/>
  <c r="G3" i="1"/>
  <c r="F3" i="1"/>
  <c r="E3" i="1"/>
  <c r="D3" i="1"/>
  <c r="C3" i="1"/>
  <c r="B2" i="1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2" i="27"/>
  <c r="O15" i="7"/>
  <c r="O16" i="7"/>
  <c r="O17" i="7"/>
  <c r="O18" i="7"/>
  <c r="O19" i="7"/>
  <c r="O3" i="7"/>
  <c r="O4" i="7"/>
  <c r="R10" i="2"/>
  <c r="R11" i="2"/>
  <c r="R12" i="2"/>
  <c r="E8" i="2"/>
  <c r="E9" i="2"/>
  <c r="F6" i="2"/>
  <c r="G6" i="2"/>
  <c r="H6" i="2"/>
  <c r="I6" i="2"/>
  <c r="J6" i="2"/>
  <c r="K6" i="2"/>
  <c r="L6" i="2"/>
  <c r="M6" i="2"/>
  <c r="N6" i="2"/>
  <c r="R6" i="2"/>
  <c r="F5" i="2"/>
  <c r="G5" i="2"/>
  <c r="H5" i="2"/>
  <c r="I5" i="2"/>
  <c r="J5" i="2"/>
  <c r="K5" i="2"/>
  <c r="L5" i="2"/>
  <c r="M5" i="2"/>
  <c r="N5" i="2"/>
  <c r="R5" i="2"/>
  <c r="L4" i="2"/>
  <c r="K4" i="2"/>
  <c r="J4" i="2"/>
  <c r="I4" i="2"/>
  <c r="H4" i="2"/>
  <c r="G4" i="2"/>
  <c r="F4" i="2"/>
  <c r="M4" i="2"/>
  <c r="N4" i="2"/>
  <c r="R4" i="2"/>
  <c r="R3" i="2"/>
  <c r="N3" i="2"/>
  <c r="M3" i="2"/>
  <c r="L3" i="2"/>
  <c r="K3" i="2"/>
  <c r="J3" i="2"/>
  <c r="I3" i="2"/>
  <c r="H3" i="2"/>
  <c r="F3" i="2"/>
  <c r="G3" i="2"/>
  <c r="K16" i="5" l="1"/>
  <c r="N16" i="5"/>
  <c r="J16" i="5"/>
  <c r="F16" i="5"/>
  <c r="P41" i="5"/>
  <c r="F27" i="5"/>
  <c r="D28" i="5"/>
  <c r="M16" i="5"/>
  <c r="P43" i="5"/>
  <c r="P42" i="5"/>
  <c r="F28" i="5"/>
  <c r="F29" i="5"/>
  <c r="I16" i="5"/>
  <c r="P16" i="5"/>
  <c r="F26" i="5"/>
  <c r="H16" i="5"/>
  <c r="F30" i="5"/>
  <c r="P40" i="5"/>
  <c r="P44" i="5"/>
  <c r="D27" i="5"/>
  <c r="L16" i="5"/>
  <c r="D30" i="5"/>
  <c r="D29" i="5"/>
  <c r="F41" i="23"/>
  <c r="O11" i="22"/>
  <c r="P11" i="22" s="1"/>
  <c r="O10" i="22"/>
  <c r="P10" i="22" s="1"/>
  <c r="F40" i="23"/>
  <c r="F39" i="23"/>
  <c r="O9" i="22"/>
  <c r="P9" i="22" s="1"/>
  <c r="F38" i="23"/>
  <c r="O8" i="22"/>
  <c r="P8" i="22" s="1"/>
  <c r="O7" i="22"/>
  <c r="F37" i="23"/>
  <c r="O3" i="4"/>
  <c r="O4" i="4"/>
  <c r="D12" i="4"/>
  <c r="E12" i="4"/>
  <c r="F12" i="4"/>
  <c r="G12" i="4"/>
  <c r="H12" i="4"/>
  <c r="I12" i="4"/>
  <c r="J12" i="4"/>
  <c r="K12" i="4"/>
  <c r="L12" i="4"/>
  <c r="M12" i="4"/>
  <c r="N12" i="4"/>
  <c r="O12" i="4"/>
  <c r="O19" i="4" s="1"/>
  <c r="C12" i="4"/>
  <c r="D11" i="4"/>
  <c r="E11" i="4"/>
  <c r="F11" i="4"/>
  <c r="G11" i="4"/>
  <c r="H11" i="4"/>
  <c r="I11" i="4"/>
  <c r="J11" i="4"/>
  <c r="K11" i="4"/>
  <c r="L11" i="4"/>
  <c r="M11" i="4"/>
  <c r="N11" i="4"/>
  <c r="O11" i="4"/>
  <c r="O18" i="4" s="1"/>
  <c r="C11" i="4"/>
  <c r="D10" i="4"/>
  <c r="E10" i="4"/>
  <c r="F10" i="4"/>
  <c r="G10" i="4"/>
  <c r="H10" i="4"/>
  <c r="I10" i="4"/>
  <c r="J10" i="4"/>
  <c r="K10" i="4"/>
  <c r="L10" i="4"/>
  <c r="M10" i="4"/>
  <c r="N10" i="4"/>
  <c r="O10" i="4"/>
  <c r="O17" i="4" s="1"/>
  <c r="C10" i="4"/>
  <c r="O9" i="4"/>
  <c r="O16" i="4" s="1"/>
  <c r="N9" i="4"/>
  <c r="M9" i="4"/>
  <c r="L9" i="4"/>
  <c r="K9" i="4"/>
  <c r="J9" i="4"/>
  <c r="I9" i="4"/>
  <c r="H9" i="4"/>
  <c r="G9" i="4"/>
  <c r="F9" i="4"/>
  <c r="E9" i="4"/>
  <c r="D9" i="4"/>
  <c r="C9" i="4"/>
  <c r="D8" i="4"/>
  <c r="E8" i="4"/>
  <c r="F8" i="4"/>
  <c r="G8" i="4"/>
  <c r="H8" i="4"/>
  <c r="I8" i="4"/>
  <c r="J8" i="4"/>
  <c r="K8" i="4"/>
  <c r="L8" i="4"/>
  <c r="M8" i="4"/>
  <c r="N8" i="4"/>
  <c r="O8" i="4"/>
  <c r="O15" i="4" s="1"/>
  <c r="C8" i="4"/>
  <c r="O15" i="22" l="1"/>
  <c r="P53" i="23" s="1"/>
  <c r="P21" i="23" s="1"/>
  <c r="P7" i="22"/>
  <c r="O16" i="22"/>
  <c r="P54" i="23" s="1"/>
  <c r="P22" i="23" s="1"/>
  <c r="O18" i="22"/>
  <c r="P56" i="23" s="1"/>
  <c r="P16" i="23" s="1"/>
  <c r="O17" i="22"/>
  <c r="P55" i="23" s="1"/>
  <c r="P47" i="23" s="1"/>
  <c r="O19" i="22"/>
  <c r="P57" i="23" s="1"/>
  <c r="P25" i="23" s="1"/>
  <c r="P46" i="23"/>
  <c r="P14" i="23"/>
  <c r="P29" i="23"/>
  <c r="P45" i="23"/>
  <c r="P13" i="23"/>
  <c r="O42" i="5"/>
  <c r="O43" i="5"/>
  <c r="O44" i="5"/>
  <c r="P24" i="23" l="1"/>
  <c r="P48" i="23"/>
  <c r="P30" i="23"/>
  <c r="P32" i="23"/>
  <c r="P31" i="23"/>
  <c r="P23" i="23"/>
  <c r="P33" i="23"/>
  <c r="P17" i="23"/>
  <c r="P15" i="23"/>
  <c r="P49" i="23"/>
  <c r="O41" i="5"/>
  <c r="O40" i="5" l="1"/>
  <c r="Q6" i="2" l="1"/>
  <c r="Q5" i="2"/>
  <c r="Q3" i="2"/>
  <c r="Q4" i="2"/>
  <c r="J10" i="2" l="1"/>
  <c r="Q11" i="2" l="1"/>
  <c r="N4" i="7" s="1"/>
  <c r="K10" i="2"/>
  <c r="L10" i="2"/>
  <c r="G10" i="2"/>
  <c r="M10" i="2"/>
  <c r="H10" i="2"/>
  <c r="N10" i="2"/>
  <c r="I10" i="2"/>
  <c r="Q12" i="2"/>
  <c r="N3" i="7" s="1"/>
  <c r="N17" i="7" s="1"/>
  <c r="Q10" i="2"/>
  <c r="N4" i="4" l="1"/>
  <c r="N16" i="4" s="1"/>
  <c r="N16" i="22" s="1"/>
  <c r="N18" i="1"/>
  <c r="N16" i="27"/>
  <c r="N3" i="4"/>
  <c r="N17" i="4" s="1"/>
  <c r="N17" i="22" s="1"/>
  <c r="N17" i="1"/>
  <c r="N17" i="27"/>
  <c r="N40" i="5"/>
  <c r="N42" i="5"/>
  <c r="N41" i="5"/>
  <c r="N43" i="5"/>
  <c r="N44" i="5"/>
  <c r="N16" i="7"/>
  <c r="N18" i="7"/>
  <c r="N19" i="7"/>
  <c r="N15" i="7"/>
  <c r="N16" i="1" l="1"/>
  <c r="N15" i="27"/>
  <c r="N18" i="4"/>
  <c r="N18" i="22" s="1"/>
  <c r="N19" i="4"/>
  <c r="N19" i="22" s="1"/>
  <c r="N15" i="4"/>
  <c r="N15" i="22" s="1"/>
  <c r="N18" i="27"/>
  <c r="N19" i="27"/>
  <c r="N19" i="1"/>
  <c r="N15" i="1"/>
  <c r="O54" i="23"/>
  <c r="M7" i="1"/>
  <c r="M14" i="1"/>
  <c r="O46" i="23" l="1"/>
  <c r="O22" i="23"/>
  <c r="O55" i="23"/>
  <c r="O47" i="23" s="1"/>
  <c r="O30" i="23"/>
  <c r="O14" i="23"/>
  <c r="M41" i="5"/>
  <c r="M40" i="5"/>
  <c r="M43" i="5"/>
  <c r="M42" i="5"/>
  <c r="M44" i="5"/>
  <c r="O57" i="23" l="1"/>
  <c r="O49" i="23" s="1"/>
  <c r="O53" i="23"/>
  <c r="O15" i="23"/>
  <c r="O23" i="23"/>
  <c r="O31" i="23"/>
  <c r="O56" i="23"/>
  <c r="O48" i="23" s="1"/>
  <c r="O51" i="23" s="1"/>
  <c r="P6" i="2"/>
  <c r="P5" i="2"/>
  <c r="P4" i="2"/>
  <c r="P10" i="2" s="1"/>
  <c r="P3" i="2"/>
  <c r="O6" i="2"/>
  <c r="O5" i="2"/>
  <c r="O4" i="2"/>
  <c r="O10" i="2" s="1"/>
  <c r="O3" i="2"/>
  <c r="O45" i="23" l="1"/>
  <c r="O50" i="23" s="1"/>
  <c r="O21" i="23"/>
  <c r="O25" i="23"/>
  <c r="O13" i="23"/>
  <c r="O32" i="23"/>
  <c r="O17" i="23"/>
  <c r="O16" i="23"/>
  <c r="O33" i="23"/>
  <c r="O24" i="23"/>
  <c r="O29" i="23"/>
  <c r="P12" i="2"/>
  <c r="P11" i="2"/>
  <c r="O12" i="2"/>
  <c r="L3" i="7" s="1"/>
  <c r="L17" i="7" s="1"/>
  <c r="O11" i="2"/>
  <c r="L4" i="7" s="1"/>
  <c r="M3" i="7" l="1"/>
  <c r="M17" i="7" s="1"/>
  <c r="M17" i="27"/>
  <c r="L18" i="7"/>
  <c r="L15" i="7"/>
  <c r="L16" i="7"/>
  <c r="L19" i="7"/>
  <c r="M4" i="7"/>
  <c r="M16" i="7" s="1"/>
  <c r="L4" i="4"/>
  <c r="L17" i="27"/>
  <c r="L3" i="4"/>
  <c r="M4" i="4"/>
  <c r="M15" i="4" s="1"/>
  <c r="M15" i="22" s="1"/>
  <c r="M17" i="1"/>
  <c r="M3" i="4"/>
  <c r="M17" i="4" s="1"/>
  <c r="M17" i="22" s="1"/>
  <c r="M19" i="27" l="1"/>
  <c r="M18" i="27"/>
  <c r="M15" i="27"/>
  <c r="M16" i="27"/>
  <c r="M18" i="7"/>
  <c r="M15" i="7"/>
  <c r="M19" i="7"/>
  <c r="L15" i="27"/>
  <c r="L18" i="27"/>
  <c r="L19" i="27"/>
  <c r="L16" i="27"/>
  <c r="M19" i="1"/>
  <c r="M18" i="1"/>
  <c r="M16" i="1"/>
  <c r="M15" i="1"/>
  <c r="M16" i="4"/>
  <c r="M16" i="22" s="1"/>
  <c r="M18" i="4"/>
  <c r="M18" i="22" s="1"/>
  <c r="M19" i="4"/>
  <c r="M19" i="22" s="1"/>
  <c r="N55" i="23"/>
  <c r="N47" i="23" s="1"/>
  <c r="N53" i="23" l="1"/>
  <c r="N31" i="23"/>
  <c r="N23" i="23"/>
  <c r="N15" i="23"/>
  <c r="N56" i="23"/>
  <c r="N48" i="23" s="1"/>
  <c r="N57" i="23"/>
  <c r="N49" i="23" s="1"/>
  <c r="N54" i="23"/>
  <c r="N46" i="23" l="1"/>
  <c r="N22" i="23"/>
  <c r="N45" i="23"/>
  <c r="N50" i="23" s="1"/>
  <c r="N21" i="23"/>
  <c r="N30" i="23"/>
  <c r="N33" i="23"/>
  <c r="N25" i="23"/>
  <c r="N29" i="23"/>
  <c r="N13" i="23"/>
  <c r="N32" i="23"/>
  <c r="N24" i="23"/>
  <c r="N17" i="23"/>
  <c r="N16" i="23"/>
  <c r="N14" i="23"/>
  <c r="F25" i="5" l="1"/>
  <c r="D4" i="26" s="1"/>
  <c r="E25" i="5"/>
  <c r="D25" i="5"/>
  <c r="B4" i="26" s="1"/>
  <c r="F13" i="26"/>
  <c r="E13" i="26"/>
  <c r="D13" i="26"/>
  <c r="C13" i="26"/>
  <c r="B13" i="26"/>
  <c r="D40" i="5" l="1"/>
  <c r="D41" i="5"/>
  <c r="D42" i="5"/>
  <c r="D43" i="5"/>
  <c r="D44" i="5"/>
  <c r="A14" i="1" l="1"/>
  <c r="A14" i="27"/>
  <c r="B2" i="4"/>
  <c r="A14" i="4" s="1"/>
  <c r="B2" i="7"/>
  <c r="A14" i="7" s="1"/>
  <c r="D7" i="2" l="1"/>
  <c r="D9" i="2" s="1"/>
  <c r="G12" i="2" l="1"/>
  <c r="D3" i="7" s="1"/>
  <c r="D17" i="7" s="1"/>
  <c r="I12" i="2"/>
  <c r="F3" i="7" s="1"/>
  <c r="F17" i="7" s="1"/>
  <c r="K12" i="2"/>
  <c r="H3" i="7" s="1"/>
  <c r="H17" i="7" s="1"/>
  <c r="M12" i="2"/>
  <c r="J3" i="7" s="1"/>
  <c r="J17" i="7" s="1"/>
  <c r="H12" i="2"/>
  <c r="E3" i="7" s="1"/>
  <c r="E17" i="7" s="1"/>
  <c r="J12" i="2"/>
  <c r="G3" i="7" s="1"/>
  <c r="G17" i="7" s="1"/>
  <c r="L12" i="2"/>
  <c r="I3" i="7" s="1"/>
  <c r="I17" i="7" s="1"/>
  <c r="N12" i="2"/>
  <c r="K3" i="7" s="1"/>
  <c r="K17" i="7" s="1"/>
  <c r="F12" i="2"/>
  <c r="M11" i="2"/>
  <c r="J4" i="7" s="1"/>
  <c r="K11" i="2"/>
  <c r="H4" i="7" s="1"/>
  <c r="I11" i="2"/>
  <c r="F4" i="7" s="1"/>
  <c r="G11" i="2"/>
  <c r="D4" i="7" s="1"/>
  <c r="N11" i="2"/>
  <c r="K4" i="7" s="1"/>
  <c r="L11" i="2"/>
  <c r="I4" i="7" s="1"/>
  <c r="J11" i="2"/>
  <c r="G4" i="7" s="1"/>
  <c r="H11" i="2"/>
  <c r="E4" i="7" s="1"/>
  <c r="F11" i="2"/>
  <c r="F10" i="2"/>
  <c r="D16" i="26" l="1"/>
  <c r="F16" i="7"/>
  <c r="F19" i="7"/>
  <c r="F15" i="7"/>
  <c r="F18" i="7"/>
  <c r="H18" i="7"/>
  <c r="H15" i="7"/>
  <c r="H19" i="7"/>
  <c r="H16" i="7"/>
  <c r="G18" i="7"/>
  <c r="G16" i="7"/>
  <c r="G19" i="7"/>
  <c r="G15" i="7"/>
  <c r="K16" i="7"/>
  <c r="K18" i="7"/>
  <c r="K19" i="7"/>
  <c r="K15" i="7"/>
  <c r="I19" i="7"/>
  <c r="I15" i="7"/>
  <c r="I18" i="7"/>
  <c r="I16" i="7"/>
  <c r="J16" i="7"/>
  <c r="J19" i="7"/>
  <c r="J15" i="7"/>
  <c r="J18" i="7"/>
  <c r="E19" i="7"/>
  <c r="E15" i="7"/>
  <c r="E18" i="7"/>
  <c r="E16" i="7"/>
  <c r="D18" i="7"/>
  <c r="D19" i="7"/>
  <c r="D15" i="7"/>
  <c r="D16" i="7"/>
  <c r="C4" i="4"/>
  <c r="C4" i="7"/>
  <c r="E4" i="4"/>
  <c r="I4" i="4"/>
  <c r="F4" i="4"/>
  <c r="J4" i="4"/>
  <c r="C3" i="4"/>
  <c r="C3" i="7"/>
  <c r="I17" i="27"/>
  <c r="I3" i="4"/>
  <c r="E17" i="27"/>
  <c r="E3" i="4"/>
  <c r="J17" i="27"/>
  <c r="J3" i="4"/>
  <c r="F17" i="27"/>
  <c r="F3" i="4"/>
  <c r="G4" i="4"/>
  <c r="K4" i="4"/>
  <c r="D4" i="4"/>
  <c r="H4" i="4"/>
  <c r="K17" i="27"/>
  <c r="K3" i="4"/>
  <c r="G17" i="27"/>
  <c r="G3" i="4"/>
  <c r="H17" i="27"/>
  <c r="H3" i="4"/>
  <c r="D17" i="27"/>
  <c r="D3" i="4"/>
  <c r="B3" i="26"/>
  <c r="D14" i="1"/>
  <c r="E14" i="1"/>
  <c r="F14" i="1"/>
  <c r="G14" i="1"/>
  <c r="H14" i="1"/>
  <c r="I14" i="1"/>
  <c r="J14" i="1"/>
  <c r="K14" i="1"/>
  <c r="L14" i="1"/>
  <c r="C14" i="1"/>
  <c r="D18" i="26" l="1"/>
  <c r="D15" i="26"/>
  <c r="E16" i="26"/>
  <c r="D17" i="26"/>
  <c r="D14" i="26"/>
  <c r="J18" i="27"/>
  <c r="J19" i="27"/>
  <c r="J16" i="27"/>
  <c r="J15" i="27"/>
  <c r="F18" i="27"/>
  <c r="F15" i="27"/>
  <c r="F19" i="27"/>
  <c r="F16" i="27"/>
  <c r="G18" i="27"/>
  <c r="G15" i="27"/>
  <c r="G16" i="27"/>
  <c r="G19" i="27"/>
  <c r="E19" i="27"/>
  <c r="E16" i="27"/>
  <c r="E18" i="27"/>
  <c r="E15" i="27"/>
  <c r="D15" i="27"/>
  <c r="D18" i="27"/>
  <c r="D19" i="27"/>
  <c r="D16" i="27"/>
  <c r="H18" i="27"/>
  <c r="H15" i="27"/>
  <c r="H19" i="27"/>
  <c r="H16" i="27"/>
  <c r="K18" i="27"/>
  <c r="K15" i="27"/>
  <c r="K19" i="27"/>
  <c r="K16" i="27"/>
  <c r="I19" i="27"/>
  <c r="I18" i="27"/>
  <c r="I15" i="27"/>
  <c r="I16" i="27"/>
  <c r="F14" i="26" l="1"/>
  <c r="E18" i="26"/>
  <c r="E17" i="26"/>
  <c r="E14" i="26"/>
  <c r="E15" i="26"/>
  <c r="E16" i="5" l="1"/>
  <c r="E40" i="5" l="1"/>
  <c r="I40" i="5"/>
  <c r="E41" i="5"/>
  <c r="I41" i="5"/>
  <c r="E42" i="5"/>
  <c r="I42" i="5"/>
  <c r="E43" i="5"/>
  <c r="I43" i="5"/>
  <c r="E44" i="5"/>
  <c r="I44" i="5"/>
  <c r="F40" i="5"/>
  <c r="J40" i="5"/>
  <c r="F41" i="5"/>
  <c r="J41" i="5"/>
  <c r="F42" i="5"/>
  <c r="F43" i="5"/>
  <c r="F44" i="5"/>
  <c r="G40" i="5"/>
  <c r="K40" i="5"/>
  <c r="G41" i="5"/>
  <c r="K41" i="5"/>
  <c r="G42" i="5"/>
  <c r="K42" i="5"/>
  <c r="G43" i="5"/>
  <c r="K43" i="5"/>
  <c r="G44" i="5"/>
  <c r="K44" i="5"/>
  <c r="H40" i="5"/>
  <c r="L40" i="5"/>
  <c r="Q40" i="5" s="1"/>
  <c r="H41" i="5"/>
  <c r="L41" i="5"/>
  <c r="Q41" i="5" s="1"/>
  <c r="H42" i="5"/>
  <c r="L42" i="5"/>
  <c r="Q42" i="5" s="1"/>
  <c r="H43" i="5"/>
  <c r="L43" i="5"/>
  <c r="Q43" i="5" s="1"/>
  <c r="H44" i="5"/>
  <c r="L44" i="5"/>
  <c r="Q44" i="5" s="1"/>
  <c r="J42" i="5"/>
  <c r="J43" i="5"/>
  <c r="J44" i="5"/>
  <c r="L7" i="1" l="1"/>
  <c r="B9" i="26" l="1"/>
  <c r="B8" i="26"/>
  <c r="B6" i="26"/>
  <c r="B5" i="26"/>
  <c r="B7" i="26"/>
  <c r="A14" i="22" l="1"/>
  <c r="A6" i="22" l="1"/>
  <c r="C13" i="22" s="1"/>
  <c r="D7" i="1"/>
  <c r="E7" i="1"/>
  <c r="F7" i="1"/>
  <c r="G7" i="1"/>
  <c r="H7" i="1"/>
  <c r="I7" i="1"/>
  <c r="J7" i="1"/>
  <c r="K7" i="1"/>
  <c r="C7" i="1"/>
  <c r="C3" i="26" l="1"/>
  <c r="D3" i="26"/>
  <c r="A5" i="26"/>
  <c r="A6" i="26"/>
  <c r="A7" i="26"/>
  <c r="A8" i="26"/>
  <c r="A9" i="26"/>
  <c r="B5" i="22" l="1"/>
  <c r="C8" i="26" l="1"/>
  <c r="C7" i="26"/>
  <c r="C6" i="26"/>
  <c r="D6" i="26"/>
  <c r="C9" i="26"/>
  <c r="D9" i="26"/>
  <c r="D8" i="26"/>
  <c r="D7" i="26"/>
  <c r="C17" i="7" l="1"/>
  <c r="C18" i="7" l="1"/>
  <c r="C15" i="7"/>
  <c r="C19" i="7"/>
  <c r="C16" i="7"/>
  <c r="L17" i="4" l="1"/>
  <c r="K17" i="4"/>
  <c r="I17" i="4"/>
  <c r="I17" i="22" s="1"/>
  <c r="G17" i="4"/>
  <c r="G17" i="22" s="1"/>
  <c r="E17" i="4"/>
  <c r="E17" i="22" s="1"/>
  <c r="C17" i="4"/>
  <c r="J17" i="4"/>
  <c r="J17" i="22" s="1"/>
  <c r="H17" i="4"/>
  <c r="H17" i="22" s="1"/>
  <c r="F17" i="4"/>
  <c r="F17" i="22" s="1"/>
  <c r="D17" i="4"/>
  <c r="D17" i="22" s="1"/>
  <c r="D39" i="23" l="1"/>
  <c r="K17" i="22"/>
  <c r="L17" i="22"/>
  <c r="M55" i="23" s="1"/>
  <c r="B16" i="26"/>
  <c r="C16" i="4"/>
  <c r="C15" i="4"/>
  <c r="C19" i="4"/>
  <c r="C18" i="4"/>
  <c r="L15" i="4"/>
  <c r="L19" i="4"/>
  <c r="L16" i="4"/>
  <c r="L18" i="4"/>
  <c r="L18" i="22" s="1"/>
  <c r="L17" i="1"/>
  <c r="K16" i="4"/>
  <c r="K18" i="4"/>
  <c r="K15" i="4"/>
  <c r="K19" i="4"/>
  <c r="K17" i="1"/>
  <c r="C17" i="1"/>
  <c r="C17" i="27"/>
  <c r="F19" i="4"/>
  <c r="F19" i="22" s="1"/>
  <c r="F18" i="4"/>
  <c r="F18" i="22" s="1"/>
  <c r="F16" i="4"/>
  <c r="F16" i="22" s="1"/>
  <c r="J19" i="4"/>
  <c r="J19" i="22" s="1"/>
  <c r="J18" i="4"/>
  <c r="J18" i="22" s="1"/>
  <c r="J16" i="4"/>
  <c r="J16" i="22" s="1"/>
  <c r="E19" i="4"/>
  <c r="E19" i="22" s="1"/>
  <c r="E18" i="4"/>
  <c r="E18" i="22" s="1"/>
  <c r="E16" i="4"/>
  <c r="E16" i="22" s="1"/>
  <c r="I19" i="4"/>
  <c r="I19" i="22" s="1"/>
  <c r="I18" i="4"/>
  <c r="I18" i="22" s="1"/>
  <c r="I16" i="4"/>
  <c r="I16" i="22" s="1"/>
  <c r="D19" i="4"/>
  <c r="D19" i="22" s="1"/>
  <c r="D18" i="4"/>
  <c r="D18" i="22" s="1"/>
  <c r="D16" i="4"/>
  <c r="D16" i="22" s="1"/>
  <c r="H19" i="4"/>
  <c r="H19" i="22" s="1"/>
  <c r="H18" i="4"/>
  <c r="H18" i="22" s="1"/>
  <c r="H16" i="4"/>
  <c r="H16" i="22" s="1"/>
  <c r="G19" i="4"/>
  <c r="G19" i="22" s="1"/>
  <c r="G18" i="4"/>
  <c r="G18" i="22" s="1"/>
  <c r="G16" i="4"/>
  <c r="G16" i="22" s="1"/>
  <c r="M47" i="23" l="1"/>
  <c r="M31" i="23"/>
  <c r="U31" i="23" s="1"/>
  <c r="M23" i="23"/>
  <c r="D41" i="23"/>
  <c r="K19" i="22"/>
  <c r="D37" i="23"/>
  <c r="K15" i="22"/>
  <c r="D40" i="23"/>
  <c r="K18" i="22"/>
  <c r="L56" i="23" s="1"/>
  <c r="L16" i="22"/>
  <c r="M54" i="23" s="1"/>
  <c r="L15" i="22"/>
  <c r="M53" i="23" s="1"/>
  <c r="M21" i="23" s="1"/>
  <c r="D38" i="23"/>
  <c r="K16" i="22"/>
  <c r="L54" i="23" s="1"/>
  <c r="L22" i="23" s="1"/>
  <c r="L19" i="22"/>
  <c r="M57" i="23" s="1"/>
  <c r="M49" i="23" s="1"/>
  <c r="B17" i="26"/>
  <c r="B15" i="26"/>
  <c r="B18" i="26"/>
  <c r="C19" i="27"/>
  <c r="C18" i="27"/>
  <c r="C15" i="27"/>
  <c r="C16" i="27"/>
  <c r="C18" i="1"/>
  <c r="C16" i="1"/>
  <c r="C19" i="1"/>
  <c r="C15" i="1"/>
  <c r="M56" i="23"/>
  <c r="M48" i="23" s="1"/>
  <c r="M15" i="23"/>
  <c r="L16" i="1"/>
  <c r="L18" i="1"/>
  <c r="L15" i="1"/>
  <c r="L19" i="1"/>
  <c r="L53" i="23"/>
  <c r="L21" i="23" s="1"/>
  <c r="L55" i="23"/>
  <c r="K16" i="1"/>
  <c r="K19" i="1"/>
  <c r="K18" i="1"/>
  <c r="K15" i="1"/>
  <c r="M25" i="23" l="1"/>
  <c r="M22" i="23"/>
  <c r="M46" i="23"/>
  <c r="M30" i="23"/>
  <c r="U30" i="23" s="1"/>
  <c r="M33" i="23"/>
  <c r="U33" i="23" s="1"/>
  <c r="M45" i="23"/>
  <c r="M50" i="23" s="1"/>
  <c r="Q56" i="23"/>
  <c r="L48" i="23"/>
  <c r="Q48" i="23" s="1"/>
  <c r="Q53" i="23"/>
  <c r="L45" i="23"/>
  <c r="Q45" i="23" s="1"/>
  <c r="Q54" i="23"/>
  <c r="L46" i="23"/>
  <c r="Q55" i="23"/>
  <c r="L47" i="23"/>
  <c r="M29" i="23"/>
  <c r="U29" i="23" s="1"/>
  <c r="M13" i="23"/>
  <c r="L31" i="23"/>
  <c r="Q31" i="23" s="1"/>
  <c r="L23" i="23"/>
  <c r="Q23" i="23" s="1"/>
  <c r="L32" i="23"/>
  <c r="L24" i="23"/>
  <c r="M32" i="23"/>
  <c r="U32" i="23" s="1"/>
  <c r="M24" i="23"/>
  <c r="L30" i="23"/>
  <c r="Q30" i="23" s="1"/>
  <c r="Q22" i="23"/>
  <c r="M17" i="23"/>
  <c r="M16" i="23"/>
  <c r="M14" i="23"/>
  <c r="L57" i="23"/>
  <c r="Q46" i="23" l="1"/>
  <c r="Q47" i="23"/>
  <c r="L50" i="23"/>
  <c r="Q57" i="23"/>
  <c r="L49" i="23"/>
  <c r="Q24" i="23"/>
  <c r="Q32" i="23"/>
  <c r="L29" i="23"/>
  <c r="Q29" i="23" s="1"/>
  <c r="L13" i="23"/>
  <c r="Q13" i="23" s="1"/>
  <c r="Q21" i="23"/>
  <c r="L33" i="23"/>
  <c r="Q33" i="23" s="1"/>
  <c r="L25" i="23"/>
  <c r="Q25" i="23" s="1"/>
  <c r="S29" i="23"/>
  <c r="L14" i="23"/>
  <c r="Q14" i="23" s="1"/>
  <c r="L16" i="23"/>
  <c r="Q16" i="23" s="1"/>
  <c r="L15" i="23"/>
  <c r="Q15" i="23" s="1"/>
  <c r="J15" i="4"/>
  <c r="J15" i="22" s="1"/>
  <c r="D15" i="1"/>
  <c r="F15" i="1"/>
  <c r="H15" i="1"/>
  <c r="J15" i="1"/>
  <c r="C14" i="26" s="1"/>
  <c r="E15" i="1"/>
  <c r="G15" i="1"/>
  <c r="I15" i="1"/>
  <c r="G19" i="1"/>
  <c r="D19" i="1"/>
  <c r="H19" i="1"/>
  <c r="E19" i="1"/>
  <c r="I19" i="1"/>
  <c r="F19" i="1"/>
  <c r="J19" i="1"/>
  <c r="C18" i="26" s="1"/>
  <c r="E18" i="1"/>
  <c r="I18" i="1"/>
  <c r="F18" i="1"/>
  <c r="J18" i="1"/>
  <c r="C17" i="26" s="1"/>
  <c r="G18" i="1"/>
  <c r="D18" i="1"/>
  <c r="H18" i="1"/>
  <c r="E17" i="1"/>
  <c r="I17" i="1"/>
  <c r="D17" i="1"/>
  <c r="H17" i="1"/>
  <c r="G17" i="1"/>
  <c r="F17" i="1"/>
  <c r="J17" i="1"/>
  <c r="C16" i="26" s="1"/>
  <c r="E55" i="23"/>
  <c r="E47" i="23" s="1"/>
  <c r="D16" i="1"/>
  <c r="F16" i="1"/>
  <c r="H16" i="1"/>
  <c r="J16" i="1"/>
  <c r="C15" i="26" s="1"/>
  <c r="E16" i="1"/>
  <c r="G16" i="1"/>
  <c r="I16" i="1"/>
  <c r="Q49" i="23" l="1"/>
  <c r="L51" i="23"/>
  <c r="B14" i="26"/>
  <c r="F55" i="23"/>
  <c r="F47" i="23" s="1"/>
  <c r="J55" i="23"/>
  <c r="J47" i="23" s="1"/>
  <c r="L17" i="23"/>
  <c r="Q17" i="23" s="1"/>
  <c r="C9" i="22"/>
  <c r="C17" i="22" s="1"/>
  <c r="G54" i="23"/>
  <c r="F54" i="23"/>
  <c r="I56" i="23"/>
  <c r="I48" i="23" s="1"/>
  <c r="H56" i="23"/>
  <c r="H48" i="23" s="1"/>
  <c r="I57" i="23"/>
  <c r="I49" i="23" s="1"/>
  <c r="H57" i="23"/>
  <c r="H49" i="23" s="1"/>
  <c r="K53" i="23"/>
  <c r="H54" i="23"/>
  <c r="C8" i="22"/>
  <c r="C16" i="22" s="1"/>
  <c r="I54" i="23"/>
  <c r="E54" i="23"/>
  <c r="C5" i="26"/>
  <c r="G55" i="23"/>
  <c r="G47" i="23" s="1"/>
  <c r="G56" i="23"/>
  <c r="G48" i="23" s="1"/>
  <c r="G57" i="23"/>
  <c r="G49" i="23" s="1"/>
  <c r="E56" i="23"/>
  <c r="E48" i="23" s="1"/>
  <c r="C10" i="22"/>
  <c r="C18" i="22" s="1"/>
  <c r="F56" i="23"/>
  <c r="F48" i="23" s="1"/>
  <c r="F57" i="23"/>
  <c r="F49" i="23" s="1"/>
  <c r="E57" i="23"/>
  <c r="E49" i="23" s="1"/>
  <c r="C11" i="22"/>
  <c r="C19" i="22" s="1"/>
  <c r="C7" i="22"/>
  <c r="C15" i="22" s="1"/>
  <c r="D53" i="23" s="1"/>
  <c r="D29" i="23" s="1"/>
  <c r="R29" i="23" s="1"/>
  <c r="I46" i="23" l="1"/>
  <c r="I22" i="23"/>
  <c r="F46" i="23"/>
  <c r="F22" i="23"/>
  <c r="K45" i="23"/>
  <c r="K21" i="23"/>
  <c r="G46" i="23"/>
  <c r="G22" i="23"/>
  <c r="E46" i="23"/>
  <c r="E22" i="23"/>
  <c r="H46" i="23"/>
  <c r="H22" i="23"/>
  <c r="I30" i="23"/>
  <c r="H33" i="23"/>
  <c r="H25" i="23"/>
  <c r="K54" i="23"/>
  <c r="F15" i="26"/>
  <c r="F16" i="26"/>
  <c r="E33" i="23"/>
  <c r="E25" i="23"/>
  <c r="G31" i="23"/>
  <c r="G23" i="23"/>
  <c r="I33" i="23"/>
  <c r="I25" i="23"/>
  <c r="K56" i="23"/>
  <c r="K48" i="23" s="1"/>
  <c r="F17" i="26"/>
  <c r="F30" i="23"/>
  <c r="J31" i="23"/>
  <c r="J23" i="23"/>
  <c r="F31" i="23"/>
  <c r="F23" i="23"/>
  <c r="E31" i="23"/>
  <c r="E23" i="23"/>
  <c r="F33" i="23"/>
  <c r="F25" i="23"/>
  <c r="G33" i="23"/>
  <c r="G25" i="23"/>
  <c r="H30" i="23"/>
  <c r="T29" i="23"/>
  <c r="E30" i="23"/>
  <c r="K57" i="23"/>
  <c r="K49" i="23" s="1"/>
  <c r="F18" i="26"/>
  <c r="G30" i="23"/>
  <c r="J57" i="23"/>
  <c r="J49" i="23" s="1"/>
  <c r="J56" i="23"/>
  <c r="J48" i="23" s="1"/>
  <c r="J54" i="23"/>
  <c r="D45" i="23"/>
  <c r="R45" i="23" s="1"/>
  <c r="D21" i="23"/>
  <c r="D13" i="23"/>
  <c r="R13" i="23" s="1"/>
  <c r="F15" i="23"/>
  <c r="J15" i="23"/>
  <c r="H55" i="23"/>
  <c r="H47" i="23" s="1"/>
  <c r="I55" i="23"/>
  <c r="I47" i="23" s="1"/>
  <c r="E15" i="23"/>
  <c r="D55" i="23"/>
  <c r="D31" i="23" s="1"/>
  <c r="R31" i="23" s="1"/>
  <c r="D5" i="26"/>
  <c r="G15" i="4"/>
  <c r="F15" i="4"/>
  <c r="E15" i="4"/>
  <c r="D15" i="4"/>
  <c r="I15" i="4"/>
  <c r="I15" i="22" s="1"/>
  <c r="H15" i="4"/>
  <c r="H15" i="22" s="1"/>
  <c r="D57" i="23"/>
  <c r="D33" i="23" s="1"/>
  <c r="R33" i="23" s="1"/>
  <c r="D56" i="23"/>
  <c r="D32" i="23" s="1"/>
  <c r="R32" i="23" s="1"/>
  <c r="D54" i="23"/>
  <c r="D30" i="23" s="1"/>
  <c r="R30" i="23" s="1"/>
  <c r="G15" i="22" l="1"/>
  <c r="H53" i="23" s="1"/>
  <c r="D15" i="22"/>
  <c r="E53" i="23" s="1"/>
  <c r="E45" i="23" s="1"/>
  <c r="E50" i="23" s="1"/>
  <c r="E15" i="22"/>
  <c r="F53" i="23" s="1"/>
  <c r="F15" i="22"/>
  <c r="G53" i="23" s="1"/>
  <c r="K46" i="23"/>
  <c r="K22" i="23"/>
  <c r="J46" i="23"/>
  <c r="J22" i="23"/>
  <c r="K55" i="23"/>
  <c r="K47" i="23" s="1"/>
  <c r="K50" i="23" s="1"/>
  <c r="G32" i="23"/>
  <c r="G24" i="23"/>
  <c r="H32" i="23"/>
  <c r="H24" i="23"/>
  <c r="T33" i="23"/>
  <c r="K32" i="23"/>
  <c r="K24" i="23"/>
  <c r="I31" i="23"/>
  <c r="I23" i="23"/>
  <c r="J32" i="23"/>
  <c r="J24" i="23"/>
  <c r="T30" i="23"/>
  <c r="K29" i="23"/>
  <c r="K13" i="23"/>
  <c r="T31" i="23"/>
  <c r="H31" i="23"/>
  <c r="H23" i="23"/>
  <c r="J33" i="23"/>
  <c r="J25" i="23"/>
  <c r="K30" i="23"/>
  <c r="T45" i="23"/>
  <c r="S45" i="23"/>
  <c r="K33" i="23"/>
  <c r="K25" i="23"/>
  <c r="T32" i="23"/>
  <c r="F32" i="23"/>
  <c r="F24" i="23"/>
  <c r="I32" i="23"/>
  <c r="I24" i="23"/>
  <c r="E32" i="23"/>
  <c r="E24" i="23"/>
  <c r="J30" i="23"/>
  <c r="J53" i="23"/>
  <c r="I53" i="23"/>
  <c r="H15" i="23"/>
  <c r="G14" i="23"/>
  <c r="J16" i="23"/>
  <c r="E14" i="23"/>
  <c r="F16" i="23"/>
  <c r="K17" i="23"/>
  <c r="F14" i="23"/>
  <c r="H16" i="23"/>
  <c r="J17" i="23"/>
  <c r="D46" i="23"/>
  <c r="R46" i="23" s="1"/>
  <c r="D22" i="23"/>
  <c r="D14" i="23"/>
  <c r="R14" i="23" s="1"/>
  <c r="G15" i="23"/>
  <c r="D48" i="23"/>
  <c r="R48" i="23" s="1"/>
  <c r="D24" i="23"/>
  <c r="D16" i="23"/>
  <c r="R16" i="23" s="1"/>
  <c r="F17" i="23"/>
  <c r="J14" i="23"/>
  <c r="K16" i="23"/>
  <c r="I17" i="23"/>
  <c r="H14" i="23"/>
  <c r="G16" i="23"/>
  <c r="E17" i="23"/>
  <c r="D47" i="23"/>
  <c r="D23" i="23"/>
  <c r="D15" i="23"/>
  <c r="R15" i="23" s="1"/>
  <c r="I15" i="23"/>
  <c r="K14" i="23"/>
  <c r="H17" i="23"/>
  <c r="G17" i="23"/>
  <c r="D49" i="23"/>
  <c r="R49" i="23" s="1"/>
  <c r="D25" i="23"/>
  <c r="D17" i="23"/>
  <c r="R17" i="23" s="1"/>
  <c r="I16" i="23"/>
  <c r="I14" i="23"/>
  <c r="E16" i="23"/>
  <c r="K31" i="23" l="1"/>
  <c r="G45" i="23"/>
  <c r="G50" i="23" s="1"/>
  <c r="G21" i="23"/>
  <c r="H45" i="23"/>
  <c r="H50" i="23" s="1"/>
  <c r="H21" i="23"/>
  <c r="F45" i="23"/>
  <c r="F50" i="23" s="1"/>
  <c r="F21" i="23"/>
  <c r="D50" i="23"/>
  <c r="R47" i="23"/>
  <c r="E21" i="23"/>
  <c r="K23" i="23"/>
  <c r="J45" i="23"/>
  <c r="J50" i="23" s="1"/>
  <c r="J21" i="23"/>
  <c r="I45" i="23"/>
  <c r="I50" i="23" s="1"/>
  <c r="I21" i="23"/>
  <c r="K15" i="23"/>
  <c r="H29" i="23"/>
  <c r="H13" i="23"/>
  <c r="T48" i="23"/>
  <c r="S48" i="23"/>
  <c r="T46" i="23"/>
  <c r="S46" i="23"/>
  <c r="F29" i="23"/>
  <c r="F13" i="23"/>
  <c r="G29" i="23"/>
  <c r="G13" i="23"/>
  <c r="T47" i="23"/>
  <c r="S47" i="23"/>
  <c r="I29" i="23"/>
  <c r="I13" i="23"/>
  <c r="J29" i="23"/>
  <c r="J13" i="23"/>
  <c r="E29" i="23"/>
  <c r="E13" i="23"/>
  <c r="T49" i="23"/>
  <c r="S49" i="23"/>
  <c r="D6" i="23"/>
  <c r="D5" i="23"/>
  <c r="F5" i="23"/>
  <c r="E8" i="23"/>
  <c r="D7" i="23"/>
  <c r="F7" i="23"/>
  <c r="E5" i="23"/>
  <c r="E7" i="23"/>
  <c r="F8" i="23"/>
  <c r="F6" i="23"/>
  <c r="D8" i="23"/>
  <c r="E6" i="23"/>
  <c r="F4" i="23" l="1"/>
  <c r="E4" i="23"/>
  <c r="D4" i="23"/>
</calcChain>
</file>

<file path=xl/comments1.xml><?xml version="1.0" encoding="utf-8"?>
<comments xmlns="http://schemas.openxmlformats.org/spreadsheetml/2006/main">
  <authors>
    <author>Author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Average of the difference between pre-tax real WACC and real tax allowance from FY2014-FY2018.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P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Derived from confidential numbers.</t>
        </r>
      </text>
    </comment>
  </commentList>
</comments>
</file>

<file path=xl/sharedStrings.xml><?xml version="1.0" encoding="utf-8"?>
<sst xmlns="http://schemas.openxmlformats.org/spreadsheetml/2006/main" count="455" uniqueCount="136">
  <si>
    <t>CPI (Dec)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</si>
  <si>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</si>
  <si>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</si>
  <si>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</si>
  <si>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</si>
  <si>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</si>
  <si>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</si>
  <si>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</si>
  <si>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</si>
  <si>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</si>
  <si>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Index Numbers ;  All groups CPI ;  Australia ;</t>
  </si>
  <si>
    <t>Index Numbers</t>
  </si>
  <si>
    <t>Original</t>
  </si>
  <si>
    <t>INDEX</t>
  </si>
  <si>
    <t>Quarter</t>
  </si>
  <si>
    <t>A2325846C</t>
  </si>
  <si>
    <t>Financial year data (Real December previous year)</t>
  </si>
  <si>
    <t>Calander year data (Real June same year)</t>
  </si>
  <si>
    <t>$ '000</t>
  </si>
  <si>
    <t>Maximum demand</t>
  </si>
  <si>
    <t>DNSP Network services capex</t>
  </si>
  <si>
    <t>Powerlink</t>
  </si>
  <si>
    <t>Energy transported</t>
  </si>
  <si>
    <t>Depreciation</t>
  </si>
  <si>
    <t>5 year average</t>
  </si>
  <si>
    <t>Opex</t>
  </si>
  <si>
    <t>Capex</t>
  </si>
  <si>
    <t>Total user cost per entry/exit point</t>
  </si>
  <si>
    <t>RAB</t>
  </si>
  <si>
    <t>Asset cost</t>
  </si>
  <si>
    <t>TasNetworks</t>
  </si>
  <si>
    <t>Prescribed transmission services RAB</t>
  </si>
  <si>
    <t>Average real WACC</t>
  </si>
  <si>
    <t>Benchmarking metrics</t>
  </si>
  <si>
    <t>Total user cost per MWh energy</t>
  </si>
  <si>
    <t>Return on assets</t>
  </si>
  <si>
    <t>AusNet Services</t>
  </si>
  <si>
    <t>Circuit line length</t>
  </si>
  <si>
    <t>ElectraNet</t>
  </si>
  <si>
    <t>TransGrid</t>
  </si>
  <si>
    <t>AVG Last 5YRs</t>
  </si>
  <si>
    <t>total overhead circuit kilometres</t>
  </si>
  <si>
    <t>total underground circuit kilometres</t>
  </si>
  <si>
    <t>actual additions (recognised in RAB)</t>
  </si>
  <si>
    <t>CPI conversion</t>
  </si>
  <si>
    <t>Total user cost ($)</t>
  </si>
  <si>
    <t>Transmission system non-coincident summated maximum demand (MVA)</t>
  </si>
  <si>
    <t>Voltage of entry/exit points (kV)</t>
  </si>
  <si>
    <t>Circuit line length (km)</t>
  </si>
  <si>
    <t>Connection density (kV/km)</t>
  </si>
  <si>
    <t>Total user cost per MVA of maximum demand ($/MVA)</t>
  </si>
  <si>
    <t>Total user cost per km of transmission circuit length ($/km)</t>
  </si>
  <si>
    <t>Total energy transported</t>
  </si>
  <si>
    <t>Prescribed transmission services opex ($'000)</t>
  </si>
  <si>
    <t>TNSP Asset cost ($'000)</t>
  </si>
  <si>
    <t>Transmission inputs (avg last 5 years)</t>
  </si>
  <si>
    <t>Transmission outputs (avg last 5 yrs)</t>
  </si>
  <si>
    <t>Total user cost per MWh of energy transported ($/MWh)</t>
  </si>
  <si>
    <t>Convert to real (Calendar year TNSP)</t>
  </si>
  <si>
    <t>Convert to real (Financial year TNSP)</t>
  </si>
  <si>
    <t>Convert to real (March ending TNSP)</t>
  </si>
  <si>
    <t>March ending data (Real September previous year)</t>
  </si>
  <si>
    <t>Summary tables used in the annual benchmarking report</t>
  </si>
  <si>
    <t>TNSP depreciation</t>
  </si>
  <si>
    <t>Nominal</t>
  </si>
  <si>
    <t>$'000</t>
  </si>
  <si>
    <t>Nominal - Prescribed transmission services capex ($'000)</t>
  </si>
  <si>
    <t>MWh</t>
  </si>
  <si>
    <t>TOPED01</t>
  </si>
  <si>
    <t>MVA</t>
  </si>
  <si>
    <t>TOPSD0204</t>
  </si>
  <si>
    <t>kV</t>
  </si>
  <si>
    <t>km</t>
  </si>
  <si>
    <t>TPA01+TPA02</t>
  </si>
  <si>
    <t>kv/km</t>
  </si>
  <si>
    <t>GWh</t>
  </si>
  <si>
    <t>Total user cost per MVA MD</t>
  </si>
  <si>
    <t>Summary</t>
  </si>
  <si>
    <t>Data worksheets</t>
  </si>
  <si>
    <t>– Physical data: this presents key operational data submitted under DNSP EBRINs.</t>
  </si>
  <si>
    <t xml:space="preserve">– CPI: this contains consumer price index sourced from the Australian Bureau of Statistics.  This index is used to convert nominal values into real values. </t>
  </si>
  <si>
    <t>– Opex: this presents network services opex data submitted under DNSP EBRINs.</t>
  </si>
  <si>
    <t>Analysis worksheets</t>
  </si>
  <si>
    <t>AER TNSP Partial Performance Indicator Analysis</t>
  </si>
  <si>
    <t>– Asset cost and total user cost: this calculates asset cost and total user costs.</t>
  </si>
  <si>
    <t>– RAB: this presents network services RAB data submitted under DNSP EBRINs.</t>
  </si>
  <si>
    <t>– Depreciation: this presents network services depreciation data submitted under DNSP EBRINs.</t>
  </si>
  <si>
    <t>– Capex: this presents network services capex data submitted under DNSP EBRINs.</t>
  </si>
  <si>
    <t>– Data analysis: TNSP Analysis</t>
  </si>
  <si>
    <t>– Graphical analysis: TNSP Charts</t>
  </si>
  <si>
    <t>– Data analysis: Network Size Table</t>
  </si>
  <si>
    <t>Asset cost and total user cost</t>
  </si>
  <si>
    <t>CPI</t>
  </si>
  <si>
    <t>Physical data</t>
  </si>
  <si>
    <t>Network Characteristics Charts</t>
  </si>
  <si>
    <t xml:space="preserve">TNSP Analysis </t>
  </si>
  <si>
    <t>TNSP Charts</t>
  </si>
  <si>
    <t>– Graphical analysis: Network Characteristics Charts</t>
  </si>
  <si>
    <t>End User Number</t>
  </si>
  <si>
    <t>#</t>
  </si>
  <si>
    <t>Total user cost per total end user number ($/#)</t>
  </si>
  <si>
    <t>*These are used to convert to $2018</t>
  </si>
  <si>
    <t>$'000 2018</t>
  </si>
  <si>
    <t>Average(2014-2018)</t>
  </si>
  <si>
    <t>$ 2018/MVA</t>
  </si>
  <si>
    <t>$ 2018/MWh</t>
  </si>
  <si>
    <t>$ 2018/kV</t>
  </si>
  <si>
    <t>$ 2018/km</t>
  </si>
  <si>
    <t>$, 2018</t>
  </si>
  <si>
    <t>$2018/mva</t>
  </si>
  <si>
    <t>$2018/ mwh</t>
  </si>
  <si>
    <t>$2018/ kV</t>
  </si>
  <si>
    <t>Total cost per MVA of maximum demand served ($2018), 2006 to 2018</t>
  </si>
  <si>
    <t>Total cost per MWh of energy transported ($2018), 2006 to 2018</t>
  </si>
  <si>
    <t>End User Number (millions, 2018)</t>
  </si>
  <si>
    <t>Total cost per km of transmission circuit length ($2018), 2006 to 2018</t>
  </si>
  <si>
    <t>Total cost per end user ($2018), 2006 to 2018</t>
  </si>
  <si>
    <t>Five year average circuit length by TNSP (2014–18)</t>
  </si>
  <si>
    <t>Energy transported in 2018 (MWh)</t>
  </si>
  <si>
    <t>Maximum demand for 2018 (MVA)</t>
  </si>
  <si>
    <t>This spreadsheet contains the PPI analysis on Electricity Transmission Network Service Providers for the years up to 2018.</t>
  </si>
  <si>
    <t>Date: August 2019</t>
  </si>
  <si>
    <t>Average NSP performance 2014-2018</t>
  </si>
  <si>
    <t>Change between 2018 and 2006</t>
  </si>
  <si>
    <t>Five year average circuit length by TNSP (2014 to 2018)</t>
  </si>
  <si>
    <t>Energy transported in 2018 (GWh)</t>
  </si>
  <si>
    <t>Maximum demand in 2018 (MVA)</t>
  </si>
  <si>
    <t>Energy transported in 2018</t>
  </si>
  <si>
    <t xml:space="preserve"> Average 2014-18</t>
  </si>
  <si>
    <t>Average 2014-18</t>
  </si>
  <si>
    <t>ENT</t>
  </si>
  <si>
    <t>PLK</t>
  </si>
  <si>
    <t>ANT</t>
  </si>
  <si>
    <t>TNT</t>
  </si>
  <si>
    <t>TRG</t>
  </si>
  <si>
    <t>Connection density (end user per circuit km, 2014-18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</si>
</sst>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\-yyyy"/>
    <numFmt numFmtId="165" formatCode="0.0;\-0.0;0.0;@"/>
    <numFmt numFmtId="166" formatCode="#,##0.000"/>
    <numFmt numFmtId="167" formatCode="#,##0.0"/>
    <numFmt numFmtId="168" formatCode="_-&quot;$&quot;* #,##0_-;\-&quot;$&quot;* #,##0_-;_-&quot;$&quot;* &quot;-&quot;??_-;_-@_-"/>
    <numFmt numFmtId="169" formatCode="_-* #,##0_-;\-* #,##0_-;_-* &quot;-&quot;??_-;_-@_-"/>
    <numFmt numFmtId="170" formatCode="#,##0.0000"/>
    <numFmt numFmtId="171" formatCode="0.000"/>
    <numFmt numFmtId="172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0" fontId="4" fillId="0" borderId="0" xfId="0" applyFont="1"/>
    <xf numFmtId="0" fontId="5" fillId="0" borderId="0" xfId="0" applyFont="1"/>
    <xf numFmtId="3" fontId="0" fillId="0" borderId="0" xfId="0" applyNumberFormat="1"/>
    <xf numFmtId="3" fontId="0" fillId="0" borderId="0" xfId="0" applyNumberFormat="1" applyBorder="1"/>
    <xf numFmtId="0" fontId="5" fillId="0" borderId="0" xfId="0" applyFont="1" applyFill="1" applyBorder="1"/>
    <xf numFmtId="168" fontId="0" fillId="0" borderId="0" xfId="3" applyNumberFormat="1" applyFont="1"/>
    <xf numFmtId="0" fontId="5" fillId="0" borderId="0" xfId="0" applyFont="1" applyAlignment="1">
      <alignment wrapText="1"/>
    </xf>
    <xf numFmtId="0" fontId="0" fillId="0" borderId="0" xfId="0"/>
    <xf numFmtId="0" fontId="5" fillId="0" borderId="1" xfId="0" applyFont="1" applyFill="1" applyBorder="1"/>
    <xf numFmtId="1" fontId="0" fillId="0" borderId="0" xfId="0" applyNumberFormat="1"/>
    <xf numFmtId="0" fontId="7" fillId="0" borderId="0" xfId="0" applyFont="1"/>
    <xf numFmtId="166" fontId="0" fillId="0" borderId="0" xfId="0" applyNumberFormat="1"/>
    <xf numFmtId="0" fontId="0" fillId="0" borderId="0" xfId="0" applyFill="1" applyBorder="1"/>
    <xf numFmtId="0" fontId="5" fillId="3" borderId="0" xfId="0" applyFont="1" applyFill="1"/>
    <xf numFmtId="170" fontId="0" fillId="0" borderId="0" xfId="0" applyNumberFormat="1"/>
    <xf numFmtId="0" fontId="0" fillId="3" borderId="0" xfId="0" applyFill="1"/>
    <xf numFmtId="0" fontId="0" fillId="3" borderId="0" xfId="0" applyNumberFormat="1" applyFill="1" applyBorder="1"/>
    <xf numFmtId="0" fontId="0" fillId="3" borderId="0" xfId="0" applyFill="1" applyAlignment="1">
      <alignment horizontal="right"/>
    </xf>
    <xf numFmtId="0" fontId="0" fillId="3" borderId="0" xfId="0" applyFont="1" applyFill="1" applyAlignment="1">
      <alignment horizontal="left"/>
    </xf>
    <xf numFmtId="171" fontId="0" fillId="3" borderId="0" xfId="0" applyNumberFormat="1" applyFill="1" applyBorder="1"/>
    <xf numFmtId="0" fontId="8" fillId="3" borderId="0" xfId="0" applyFont="1" applyFill="1"/>
    <xf numFmtId="165" fontId="0" fillId="3" borderId="0" xfId="0" applyNumberFormat="1" applyFill="1" applyBorder="1"/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1" fontId="0" fillId="0" borderId="1" xfId="0" applyNumberFormat="1" applyFill="1" applyBorder="1"/>
    <xf numFmtId="3" fontId="0" fillId="0" borderId="1" xfId="0" applyNumberFormat="1" applyFill="1" applyBorder="1"/>
    <xf numFmtId="0" fontId="0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10" fontId="0" fillId="0" borderId="0" xfId="8" applyNumberFormat="1" applyFont="1" applyFill="1"/>
    <xf numFmtId="166" fontId="0" fillId="0" borderId="0" xfId="0" applyNumberFormat="1" applyFill="1" applyBorder="1"/>
    <xf numFmtId="0" fontId="0" fillId="0" borderId="1" xfId="0" applyFill="1" applyBorder="1"/>
    <xf numFmtId="10" fontId="0" fillId="0" borderId="0" xfId="0" applyNumberFormat="1" applyFill="1"/>
    <xf numFmtId="3" fontId="0" fillId="0" borderId="0" xfId="0" applyNumberFormat="1" applyFill="1"/>
    <xf numFmtId="6" fontId="0" fillId="0" borderId="1" xfId="0" applyNumberFormat="1" applyFill="1" applyBorder="1"/>
    <xf numFmtId="0" fontId="5" fillId="0" borderId="0" xfId="0" applyFont="1" applyFill="1" applyAlignment="1">
      <alignment wrapText="1"/>
    </xf>
    <xf numFmtId="0" fontId="5" fillId="0" borderId="1" xfId="6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0" fillId="0" borderId="1" xfId="0" applyNumberFormat="1" applyFill="1" applyBorder="1"/>
    <xf numFmtId="3" fontId="0" fillId="0" borderId="0" xfId="0" applyNumberFormat="1" applyFill="1" applyBorder="1"/>
    <xf numFmtId="168" fontId="0" fillId="0" borderId="0" xfId="3" applyNumberFormat="1" applyFont="1" applyFill="1"/>
    <xf numFmtId="0" fontId="0" fillId="0" borderId="0" xfId="3" applyNumberFormat="1" applyFont="1" applyFill="1"/>
    <xf numFmtId="1" fontId="0" fillId="0" borderId="0" xfId="0" applyNumberFormat="1" applyFill="1"/>
    <xf numFmtId="167" fontId="0" fillId="0" borderId="1" xfId="0" applyNumberFormat="1" applyFill="1" applyBorder="1"/>
    <xf numFmtId="0" fontId="7" fillId="0" borderId="0" xfId="0" applyFont="1" applyFill="1"/>
    <xf numFmtId="169" fontId="0" fillId="0" borderId="0" xfId="7" applyNumberFormat="1" applyFont="1" applyFill="1"/>
    <xf numFmtId="169" fontId="5" fillId="0" borderId="0" xfId="7" applyNumberFormat="1" applyFont="1" applyFill="1"/>
    <xf numFmtId="0" fontId="5" fillId="0" borderId="0" xfId="0" applyFont="1" applyAlignment="1">
      <alignment vertical="top"/>
    </xf>
    <xf numFmtId="9" fontId="0" fillId="0" borderId="0" xfId="8" applyFont="1" applyFill="1"/>
    <xf numFmtId="9" fontId="0" fillId="0" borderId="0" xfId="8" applyFont="1" applyFill="1" applyBorder="1"/>
    <xf numFmtId="165" fontId="0" fillId="3" borderId="0" xfId="0" applyNumberFormat="1" applyFill="1"/>
    <xf numFmtId="165" fontId="11" fillId="0" borderId="0" xfId="0" applyNumberFormat="1" applyFont="1" applyAlignment="1"/>
    <xf numFmtId="0" fontId="0" fillId="0" borderId="0" xfId="0"/>
    <xf numFmtId="164" fontId="11" fillId="0" borderId="0" xfId="0" applyNumberFormat="1" applyFont="1" applyAlignment="1">
      <alignment horizontal="left"/>
    </xf>
    <xf numFmtId="172" fontId="0" fillId="3" borderId="0" xfId="0" applyNumberFormat="1" applyFill="1"/>
    <xf numFmtId="3" fontId="12" fillId="0" borderId="1" xfId="0" applyNumberFormat="1" applyFont="1" applyFill="1" applyBorder="1"/>
    <xf numFmtId="3" fontId="15" fillId="0" borderId="1" xfId="0" applyNumberFormat="1" applyFont="1" applyFill="1" applyBorder="1"/>
    <xf numFmtId="1" fontId="0" fillId="0" borderId="1" xfId="0" applyNumberFormat="1" applyFont="1" applyFill="1" applyBorder="1" applyAlignment="1">
      <alignment wrapText="1"/>
    </xf>
  </cellXfs>
  <cellStyles count="9">
    <cellStyle name="20% - Accent4" xfId="6" builtinId="42"/>
    <cellStyle name="Comma" xfId="7" builtinId="3"/>
    <cellStyle name="Comma 2" xfId="4"/>
    <cellStyle name="Currency" xfId="3" builtinId="4"/>
    <cellStyle name="Normal" xfId="0" builtinId="0"/>
    <cellStyle name="Normal 2" xfId="2"/>
    <cellStyle name="Normal 3" xfId="1"/>
    <cellStyle name="Percent" xfId="8" builtinId="5"/>
    <cellStyle name="Percent 2" xfId="5"/>
  </cellStyles>
  <dxfs count="0"/>
  <tableStyles count="0" defaultTableStyle="TableStyleMedium2" defaultPivotStyle="PivotStyleLight16"/>
  <colors>
    <mruColors>
      <color rgb="FFA1D99B"/>
      <color rgb="FFBD0026"/>
      <color rgb="FFC6DBEF"/>
      <color rgb="FFAC0000"/>
      <color rgb="FFFCC0C0"/>
      <color rgb="FF006D2C"/>
      <color rgb="FF238B45"/>
      <color rgb="FF74C476"/>
      <color rgb="FF41AB5D"/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340597187073299"/>
          <c:y val="5.824049968555034E-2"/>
          <c:w val="0.62800775136956943"/>
          <c:h val="0.86134638953502918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Analysis'!$B$13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 w="9525">
                <a:solidFill>
                  <a:srgbClr val="F79646"/>
                </a:solidFill>
              </a:ln>
            </c:spPr>
          </c:marker>
          <c:cat>
            <c:numRef>
              <c:f>'TNSP Analysis'!$D$12:$P$12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Analysis'!$D$13:$P$13</c:f>
              <c:numCache>
                <c:formatCode>#,##0</c:formatCode>
                <c:ptCount val="13"/>
                <c:pt idx="0">
                  <c:v>43819.246024206106</c:v>
                </c:pt>
                <c:pt idx="1">
                  <c:v>46336.788325943082</c:v>
                </c:pt>
                <c:pt idx="2">
                  <c:v>41614.978153606055</c:v>
                </c:pt>
                <c:pt idx="3">
                  <c:v>44215.724018776571</c:v>
                </c:pt>
                <c:pt idx="4">
                  <c:v>45465.204989057813</c:v>
                </c:pt>
                <c:pt idx="5">
                  <c:v>46371.181255969488</c:v>
                </c:pt>
                <c:pt idx="6">
                  <c:v>51298.084287424106</c:v>
                </c:pt>
                <c:pt idx="7">
                  <c:v>51128.356956199888</c:v>
                </c:pt>
                <c:pt idx="8">
                  <c:v>67817.517763382479</c:v>
                </c:pt>
                <c:pt idx="9">
                  <c:v>78455.414985822863</c:v>
                </c:pt>
                <c:pt idx="10">
                  <c:v>80559.524536450408</c:v>
                </c:pt>
                <c:pt idx="11">
                  <c:v>79805.963406083494</c:v>
                </c:pt>
                <c:pt idx="12">
                  <c:v>83718.794897849395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C2-4834-8DE8-AF958C0B08D1}"/>
            </c:ext>
          </c:extLst>
        </c:ser>
        <c:ser>
          <c:idx val="3"/>
          <c:order val="1"/>
          <c:tx>
            <c:strRef>
              <c:f>'TNSP Analysis'!$B$14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Analysis'!$D$12:$P$12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Analysis'!$D$14:$P$14</c:f>
              <c:numCache>
                <c:formatCode>#,##0</c:formatCode>
                <c:ptCount val="13"/>
                <c:pt idx="0">
                  <c:v>43044.193928288209</c:v>
                </c:pt>
                <c:pt idx="1">
                  <c:v>41861.871975236718</c:v>
                </c:pt>
                <c:pt idx="2">
                  <c:v>46399.411320859414</c:v>
                </c:pt>
                <c:pt idx="3">
                  <c:v>47657.227908329718</c:v>
                </c:pt>
                <c:pt idx="4">
                  <c:v>49479.80970337864</c:v>
                </c:pt>
                <c:pt idx="5">
                  <c:v>52444.240736812499</c:v>
                </c:pt>
                <c:pt idx="6">
                  <c:v>55724.336211593632</c:v>
                </c:pt>
                <c:pt idx="7">
                  <c:v>55100.077546636865</c:v>
                </c:pt>
                <c:pt idx="8">
                  <c:v>59316.438935021528</c:v>
                </c:pt>
                <c:pt idx="9">
                  <c:v>62816.26379871423</c:v>
                </c:pt>
                <c:pt idx="10">
                  <c:v>62850.430861878347</c:v>
                </c:pt>
                <c:pt idx="11">
                  <c:v>60519.878343713732</c:v>
                </c:pt>
                <c:pt idx="12">
                  <c:v>55200.10150116033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C2-4834-8DE8-AF958C0B08D1}"/>
            </c:ext>
          </c:extLst>
        </c:ser>
        <c:ser>
          <c:idx val="4"/>
          <c:order val="2"/>
          <c:tx>
            <c:strRef>
              <c:f>'TNSP Analysis'!$B$15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Analysis'!$D$12:$P$12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Analysis'!$D$15:$P$15</c:f>
              <c:numCache>
                <c:formatCode>#,##0</c:formatCode>
                <c:ptCount val="13"/>
                <c:pt idx="0">
                  <c:v>35943.959690011812</c:v>
                </c:pt>
                <c:pt idx="1">
                  <c:v>30173.774940452982</c:v>
                </c:pt>
                <c:pt idx="2">
                  <c:v>30123.033513323433</c:v>
                </c:pt>
                <c:pt idx="3">
                  <c:v>30996.775822977444</c:v>
                </c:pt>
                <c:pt idx="4">
                  <c:v>32842.956850405884</c:v>
                </c:pt>
                <c:pt idx="5">
                  <c:v>33068.824456752394</c:v>
                </c:pt>
                <c:pt idx="6">
                  <c:v>34988.361586307961</c:v>
                </c:pt>
                <c:pt idx="7">
                  <c:v>33408.445408721025</c:v>
                </c:pt>
                <c:pt idx="8">
                  <c:v>31356.60326962472</c:v>
                </c:pt>
                <c:pt idx="9">
                  <c:v>38173.865626170802</c:v>
                </c:pt>
                <c:pt idx="10">
                  <c:v>36876.556341064846</c:v>
                </c:pt>
                <c:pt idx="11">
                  <c:v>37450.163306810857</c:v>
                </c:pt>
                <c:pt idx="12">
                  <c:v>35075.865753734863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C2-4834-8DE8-AF958C0B08D1}"/>
            </c:ext>
          </c:extLst>
        </c:ser>
        <c:ser>
          <c:idx val="5"/>
          <c:order val="3"/>
          <c:tx>
            <c:strRef>
              <c:f>'TNSP Analysis'!$B$16</c:f>
              <c:strCache>
                <c:ptCount val="1"/>
                <c:pt idx="0">
                  <c:v>TNT</c:v>
                </c:pt>
              </c:strCache>
            </c:strRef>
          </c:tx>
          <c:spPr>
            <a:ln>
              <a:solidFill>
                <a:srgbClr val="8064A2"/>
              </a:solidFill>
            </a:ln>
          </c:spPr>
          <c:marker>
            <c:symbol val="triangle"/>
            <c:size val="7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cat>
            <c:numRef>
              <c:f>'TNSP Analysis'!$D$12:$P$12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Analysis'!$D$16:$P$16</c:f>
              <c:numCache>
                <c:formatCode>#,##0</c:formatCode>
                <c:ptCount val="13"/>
                <c:pt idx="0">
                  <c:v>46608.86054740601</c:v>
                </c:pt>
                <c:pt idx="1">
                  <c:v>47004.02395286996</c:v>
                </c:pt>
                <c:pt idx="2">
                  <c:v>53934.9484946999</c:v>
                </c:pt>
                <c:pt idx="3">
                  <c:v>54061.443494197527</c:v>
                </c:pt>
                <c:pt idx="4">
                  <c:v>58621.810117543573</c:v>
                </c:pt>
                <c:pt idx="5">
                  <c:v>60989.08322886243</c:v>
                </c:pt>
                <c:pt idx="6">
                  <c:v>61821.553401938632</c:v>
                </c:pt>
                <c:pt idx="7">
                  <c:v>61519.645491220443</c:v>
                </c:pt>
                <c:pt idx="8">
                  <c:v>65512.604140745803</c:v>
                </c:pt>
                <c:pt idx="9">
                  <c:v>57439.2323659787</c:v>
                </c:pt>
                <c:pt idx="10">
                  <c:v>58978.023339898347</c:v>
                </c:pt>
                <c:pt idx="11">
                  <c:v>57272.913185069046</c:v>
                </c:pt>
                <c:pt idx="12">
                  <c:v>54732.733356894234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C2-4834-8DE8-AF958C0B08D1}"/>
            </c:ext>
          </c:extLst>
        </c:ser>
        <c:ser>
          <c:idx val="0"/>
          <c:order val="4"/>
          <c:tx>
            <c:strRef>
              <c:f>'TNSP Analysis'!$B$17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Analysis'!$D$12:$P$12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Analysis'!$D$17:$P$17</c:f>
              <c:numCache>
                <c:formatCode>#,##0</c:formatCode>
                <c:ptCount val="13"/>
                <c:pt idx="0">
                  <c:v>26080.332520099146</c:v>
                </c:pt>
                <c:pt idx="1">
                  <c:v>25856.398992221759</c:v>
                </c:pt>
                <c:pt idx="2">
                  <c:v>26004.416393599622</c:v>
                </c:pt>
                <c:pt idx="3">
                  <c:v>27259.620145877438</c:v>
                </c:pt>
                <c:pt idx="4">
                  <c:v>29869.353912323833</c:v>
                </c:pt>
                <c:pt idx="5">
                  <c:v>28670.309177104831</c:v>
                </c:pt>
                <c:pt idx="6">
                  <c:v>31705.327991969221</c:v>
                </c:pt>
                <c:pt idx="7">
                  <c:v>33085.764836275528</c:v>
                </c:pt>
                <c:pt idx="8">
                  <c:v>37460.141379791712</c:v>
                </c:pt>
                <c:pt idx="9">
                  <c:v>39602.636013356707</c:v>
                </c:pt>
                <c:pt idx="10">
                  <c:v>37055.890365204061</c:v>
                </c:pt>
                <c:pt idx="11">
                  <c:v>36228.387908816279</c:v>
                </c:pt>
                <c:pt idx="12">
                  <c:v>34175.008443674604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D1-4469-83F1-2FD80C44F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19584"/>
        <c:axId val="48421504"/>
      </c:lineChart>
      <c:catAx>
        <c:axId val="4841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421504"/>
        <c:crosses val="autoZero"/>
        <c:auto val="1"/>
        <c:lblAlgn val="ctr"/>
        <c:lblOffset val="100"/>
        <c:noMultiLvlLbl val="0"/>
      </c:catAx>
      <c:valAx>
        <c:axId val="48421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MVA of maximum demand</a:t>
                </a:r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484195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170532456523981"/>
          <c:y val="6.7336234711487961E-2"/>
          <c:w val="0.12272971397121578"/>
          <c:h val="0.471767839723868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98856362812389"/>
          <c:y val="3.7448969862505802E-2"/>
          <c:w val="0.86501143637187616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data'!$D$24</c:f>
              <c:strCache>
                <c:ptCount val="1"/>
                <c:pt idx="0">
                  <c:v>Circuit line length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89-4C87-9955-3AE49454F5F4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89-4C87-9955-3AE49454F5F4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F89-4C87-9955-3AE49454F5F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F89-4C87-9955-3AE49454F5F4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F89-4C87-9955-3AE49454F5F4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F89-4C87-9955-3AE49454F5F4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F89-4C87-9955-3AE49454F5F4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F89-4C87-9955-3AE49454F5F4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F89-4C87-9955-3AE49454F5F4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F89-4C87-9955-3AE49454F5F4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F89-4C87-9955-3AE49454F5F4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AF89-4C87-9955-3AE49454F5F4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AF89-4C87-9955-3AE49454F5F4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data'!$D$26:$D$30</c:f>
              <c:numCache>
                <c:formatCode>#,##0</c:formatCode>
                <c:ptCount val="5"/>
                <c:pt idx="0">
                  <c:v>5523</c:v>
                </c:pt>
                <c:pt idx="1">
                  <c:v>14669</c:v>
                </c:pt>
                <c:pt idx="2">
                  <c:v>6578</c:v>
                </c:pt>
                <c:pt idx="3">
                  <c:v>3548</c:v>
                </c:pt>
                <c:pt idx="4">
                  <c:v>13032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F89-4C87-9955-3AE49454F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22656"/>
        <c:axId val="46024192"/>
      </c:barChart>
      <c:catAx>
        <c:axId val="4602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24192"/>
        <c:crosses val="autoZero"/>
        <c:auto val="1"/>
        <c:lblAlgn val="ctr"/>
        <c:lblOffset val="100"/>
        <c:noMultiLvlLbl val="0"/>
      </c:catAx>
      <c:valAx>
        <c:axId val="46024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Circuit length (km)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6022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5266890192175"/>
          <c:y val="4.4929835603229447E-2"/>
          <c:w val="0.86724733109807828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data'!$B$2</c:f>
              <c:strCache>
                <c:ptCount val="1"/>
                <c:pt idx="0">
                  <c:v>Total energy transported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770-4DA2-84B7-6AE3FBF867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770-4DA2-84B7-6AE3FBF867D7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770-4DA2-84B7-6AE3FBF867D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770-4DA2-84B7-6AE3FBF867D7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770-4DA2-84B7-6AE3FBF867D7}"/>
              </c:ext>
            </c:extLst>
          </c:dPt>
          <c:cat>
            <c:strRef>
              <c:f>'Physical data'!$B$3:$B$7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data'!$P$3:$P$7</c:f>
              <c:numCache>
                <c:formatCode>#,##0</c:formatCode>
                <c:ptCount val="5"/>
                <c:pt idx="0">
                  <c:v>11444832.423724381</c:v>
                </c:pt>
                <c:pt idx="1">
                  <c:v>54849858.036833994</c:v>
                </c:pt>
                <c:pt idx="2">
                  <c:v>42163488.406169996</c:v>
                </c:pt>
                <c:pt idx="3">
                  <c:v>12434326.120010002</c:v>
                </c:pt>
                <c:pt idx="4">
                  <c:v>75700000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70-4DA2-84B7-6AE3FBF86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68864"/>
        <c:axId val="46070400"/>
      </c:barChart>
      <c:catAx>
        <c:axId val="4606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70400"/>
        <c:crosses val="autoZero"/>
        <c:auto val="1"/>
        <c:lblAlgn val="ctr"/>
        <c:lblOffset val="100"/>
        <c:noMultiLvlLbl val="0"/>
      </c:catAx>
      <c:valAx>
        <c:axId val="460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Energy transported (MWh)</a:t>
                </a:r>
              </a:p>
            </c:rich>
          </c:tx>
          <c:layout>
            <c:manualLayout>
              <c:xMode val="edge"/>
              <c:yMode val="edge"/>
              <c:x val="2.5688295758768721E-3"/>
              <c:y val="0.25338113550076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606886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203498457127"/>
          <c:y val="3.7448969862505802E-2"/>
          <c:w val="0.87279650154287303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data'!$B$10</c:f>
              <c:strCache>
                <c:ptCount val="1"/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F7F-4C16-98C2-A5EC7FB7C6B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F7F-4C16-98C2-A5EC7FB7C6BF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F7F-4C16-98C2-A5EC7FB7C6B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F7F-4C16-98C2-A5EC7FB7C6BF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F7F-4C16-98C2-A5EC7FB7C6BF}"/>
              </c:ext>
            </c:extLst>
          </c:dPt>
          <c:cat>
            <c:strRef>
              <c:f>'Physical data'!$B$11:$B$15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data'!$P$11:$P$15</c:f>
              <c:numCache>
                <c:formatCode>#,##0</c:formatCode>
                <c:ptCount val="5"/>
                <c:pt idx="0">
                  <c:v>3327.2034278649999</c:v>
                </c:pt>
                <c:pt idx="1">
                  <c:v>12321.175319</c:v>
                </c:pt>
                <c:pt idx="2">
                  <c:v>10266.162</c:v>
                </c:pt>
                <c:pt idx="3">
                  <c:v>2535.3500470044319</c:v>
                </c:pt>
                <c:pt idx="4">
                  <c:v>18500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7F-4C16-98C2-A5EC7FB7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105344"/>
        <c:axId val="46106880"/>
      </c:barChart>
      <c:catAx>
        <c:axId val="4610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106880"/>
        <c:crosses val="autoZero"/>
        <c:auto val="1"/>
        <c:lblAlgn val="ctr"/>
        <c:lblOffset val="100"/>
        <c:noMultiLvlLbl val="0"/>
      </c:catAx>
      <c:valAx>
        <c:axId val="46106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Maximum</a:t>
                </a:r>
                <a:r>
                  <a:rPr lang="en-AU" b="0" baseline="0"/>
                  <a:t> demand (MVA)</a:t>
                </a:r>
                <a:endParaRPr lang="en-AU" b="0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6105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30B-45FE-BDB3-CBA5F4893EA7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30B-45FE-BDB3-CBA5F4893EA7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30B-45FE-BDB3-CBA5F4893EA7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30B-45FE-BDB3-CBA5F4893EA7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30B-45FE-BDB3-CBA5F4893EA7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30B-45FE-BDB3-CBA5F4893EA7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30B-45FE-BDB3-CBA5F4893EA7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30B-45FE-BDB3-CBA5F4893EA7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30B-45FE-BDB3-CBA5F4893EA7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30B-45FE-BDB3-CBA5F4893EA7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30B-45FE-BDB3-CBA5F4893EA7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30B-45FE-BDB3-CBA5F4893EA7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30B-45FE-BDB3-CBA5F4893EA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0B-45FE-BDB3-CBA5F4893E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0B-45FE-BDB3-CBA5F4893EA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0B-45FE-BDB3-CBA5F4893EA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0B-45FE-BDB3-CBA5F4893EA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0B-45FE-BDB3-CBA5F4893EA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0B-45FE-BDB3-CBA5F4893EA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0B-45FE-BDB3-CBA5F4893EA7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0B-45FE-BDB3-CBA5F4893EA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0B-45FE-BDB3-CBA5F4893EA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0B-45FE-BDB3-CBA5F4893EA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0B-45FE-BDB3-CBA5F4893EA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0B-45FE-BDB3-CBA5F4893EA7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0B-45FE-BDB3-CBA5F4893EA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169074</c:v>
                </c:pt>
                <c:pt idx="1">
                  <c:v>1609696.2</c:v>
                </c:pt>
                <c:pt idx="2">
                  <c:v>314395.72017981031</c:v>
                </c:pt>
                <c:pt idx="3">
                  <c:v>896579.25652216526</c:v>
                </c:pt>
                <c:pt idx="4">
                  <c:v>1325025.9033333333</c:v>
                </c:pt>
                <c:pt idx="5">
                  <c:v>687766</c:v>
                </c:pt>
                <c:pt idx="6">
                  <c:v>832767.6</c:v>
                </c:pt>
                <c:pt idx="7">
                  <c:v>312816.59999999998</c:v>
                </c:pt>
                <c:pt idx="8">
                  <c:v>728996.13955593482</c:v>
                </c:pt>
                <c:pt idx="9">
                  <c:v>833881</c:v>
                </c:pt>
                <c:pt idx="10">
                  <c:v>657790.19999999995</c:v>
                </c:pt>
                <c:pt idx="11">
                  <c:v>274036.43045142054</c:v>
                </c:pt>
                <c:pt idx="12">
                  <c:v>641496.15483870974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30B-45FE-BDB3-CBA5F4893EA7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46194048"/>
        <c:axId val="46199936"/>
      </c:scatterChart>
      <c:valAx>
        <c:axId val="461940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46199936"/>
        <c:crosses val="autoZero"/>
        <c:crossBetween val="midCat"/>
      </c:valAx>
      <c:valAx>
        <c:axId val="46199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61940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A5B-41C0-B388-7571ACEDBFAB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A5B-41C0-B388-7571ACEDBFAB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A5B-41C0-B388-7571ACEDBFAB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A5B-41C0-B388-7571ACEDBFAB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A5B-41C0-B388-7571ACEDBFAB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A5B-41C0-B388-7571ACEDBFAB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A5B-41C0-B388-7571ACEDBFAB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A5B-41C0-B388-7571ACEDBFAB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A5B-41C0-B388-7571ACEDBFAB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A5B-41C0-B388-7571ACEDBFAB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A5B-41C0-B388-7571ACEDBFAB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7A5B-41C0-B388-7571ACEDBFAB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A5B-41C0-B388-7571ACEDBFA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B-41C0-B388-7571ACEDBFA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5B-41C0-B388-7571ACEDBFA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5B-41C0-B388-7571ACEDBFA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5B-41C0-B388-7571ACEDBFA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5B-41C0-B388-7571ACEDBFA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5B-41C0-B388-7571ACEDBFA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5B-41C0-B388-7571ACEDBFAB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5B-41C0-B388-7571ACEDBFA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5B-41C0-B388-7571ACEDBFA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5B-41C0-B388-7571ACEDBFA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5B-41C0-B388-7571ACEDBFA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5B-41C0-B388-7571ACEDBFAB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5B-41C0-B388-7571ACEDBFAB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2894863.3612000002</c:v>
                </c:pt>
                <c:pt idx="1">
                  <c:v>29498623.453123212</c:v>
                </c:pt>
                <c:pt idx="2">
                  <c:v>6095543.732903216</c:v>
                </c:pt>
                <c:pt idx="3">
                  <c:v>16968905.781588919</c:v>
                </c:pt>
                <c:pt idx="4">
                  <c:v>21581200</c:v>
                </c:pt>
                <c:pt idx="5">
                  <c:v>13760201.800000001</c:v>
                </c:pt>
                <c:pt idx="6">
                  <c:v>12062537.723719694</c:v>
                </c:pt>
                <c:pt idx="7">
                  <c:v>4372000</c:v>
                </c:pt>
                <c:pt idx="8">
                  <c:v>10587837.423770327</c:v>
                </c:pt>
                <c:pt idx="9">
                  <c:v>11211160</c:v>
                </c:pt>
                <c:pt idx="10">
                  <c:v>7676879.5999999996</c:v>
                </c:pt>
                <c:pt idx="11">
                  <c:v>4428349.8270545658</c:v>
                </c:pt>
                <c:pt idx="12">
                  <c:v>8035224.7425093148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5B-41C0-B388-7571ACEDBFAB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2325760"/>
        <c:axId val="52327936"/>
      </c:scatterChart>
      <c:valAx>
        <c:axId val="523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2327936"/>
        <c:crosses val="autoZero"/>
        <c:crossBetween val="midCat"/>
      </c:valAx>
      <c:valAx>
        <c:axId val="52327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52325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772626523308618"/>
          <c:y val="5.824049968555034E-2"/>
          <c:w val="0.67386825482717161"/>
          <c:h val="0.85926763819826446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Analysis'!$B$21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Analysis'!$D$20:$P$20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Analysis'!$D$21:$P$21</c:f>
              <c:numCache>
                <c:formatCode>#,##0.00</c:formatCode>
                <c:ptCount val="13"/>
                <c:pt idx="0">
                  <c:v>11.544220790635512</c:v>
                </c:pt>
                <c:pt idx="1">
                  <c:v>13.170623922773698</c:v>
                </c:pt>
                <c:pt idx="2">
                  <c:v>13.431717028238165</c:v>
                </c:pt>
                <c:pt idx="3">
                  <c:v>13.955738080260328</c:v>
                </c:pt>
                <c:pt idx="4">
                  <c:v>14.070608287068262</c:v>
                </c:pt>
                <c:pt idx="5">
                  <c:v>14.619503092274233</c:v>
                </c:pt>
                <c:pt idx="6">
                  <c:v>15.426405371961515</c:v>
                </c:pt>
                <c:pt idx="7">
                  <c:v>15.761759595344243</c:v>
                </c:pt>
                <c:pt idx="8">
                  <c:v>16.664198014978371</c:v>
                </c:pt>
                <c:pt idx="9">
                  <c:v>18.514641324994543</c:v>
                </c:pt>
                <c:pt idx="10">
                  <c:v>18.497937966293339</c:v>
                </c:pt>
                <c:pt idx="11">
                  <c:v>18.942199444244196</c:v>
                </c:pt>
                <c:pt idx="12">
                  <c:v>24.338448222573948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3-4412-BA8A-7655B77BF07D}"/>
            </c:ext>
          </c:extLst>
        </c:ser>
        <c:ser>
          <c:idx val="3"/>
          <c:order val="1"/>
          <c:tx>
            <c:strRef>
              <c:f>'TNSP Analysis'!$B$22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Analysis'!$D$20:$P$20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Analysis'!$D$22:$P$22</c:f>
              <c:numCache>
                <c:formatCode>#,##0.00</c:formatCode>
                <c:ptCount val="13"/>
                <c:pt idx="0">
                  <c:v>9.301459314875542</c:v>
                </c:pt>
                <c:pt idx="1">
                  <c:v>9.4554774039139602</c:v>
                </c:pt>
                <c:pt idx="2">
                  <c:v>10.526136848575488</c:v>
                </c:pt>
                <c:pt idx="3">
                  <c:v>11.020124396691299</c:v>
                </c:pt>
                <c:pt idx="4">
                  <c:v>11.466721470260985</c:v>
                </c:pt>
                <c:pt idx="5">
                  <c:v>12.058852256379144</c:v>
                </c:pt>
                <c:pt idx="6">
                  <c:v>12.786568231361409</c:v>
                </c:pt>
                <c:pt idx="7">
                  <c:v>13.028239030414863</c:v>
                </c:pt>
                <c:pt idx="8">
                  <c:v>14.341776987178305</c:v>
                </c:pt>
                <c:pt idx="9">
                  <c:v>14.000673302528602</c:v>
                </c:pt>
                <c:pt idx="10">
                  <c:v>14.259048481417988</c:v>
                </c:pt>
                <c:pt idx="11">
                  <c:v>13.819950369269302</c:v>
                </c:pt>
                <c:pt idx="12">
                  <c:v>12.39985211567285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D3-4412-BA8A-7655B77BF07D}"/>
            </c:ext>
          </c:extLst>
        </c:ser>
        <c:ser>
          <c:idx val="4"/>
          <c:order val="2"/>
          <c:tx>
            <c:strRef>
              <c:f>'TNSP Analysis'!$B$23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Analysis'!$D$20:$P$20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Analysis'!$D$23:$P$23</c:f>
              <c:numCache>
                <c:formatCode>#,##0.00</c:formatCode>
                <c:ptCount val="13"/>
                <c:pt idx="0">
                  <c:v>6.4009148549487893</c:v>
                </c:pt>
                <c:pt idx="1">
                  <c:v>6.2494111569838822</c:v>
                </c:pt>
                <c:pt idx="2">
                  <c:v>6.567884493626968</c:v>
                </c:pt>
                <c:pt idx="3">
                  <c:v>6.692882674482421</c:v>
                </c:pt>
                <c:pt idx="4">
                  <c:v>6.6222760161170111</c:v>
                </c:pt>
                <c:pt idx="5">
                  <c:v>6.6159922668441329</c:v>
                </c:pt>
                <c:pt idx="6">
                  <c:v>6.5756668339001552</c:v>
                </c:pt>
                <c:pt idx="7">
                  <c:v>6.5173285990532817</c:v>
                </c:pt>
                <c:pt idx="8">
                  <c:v>6.6927926522640879</c:v>
                </c:pt>
                <c:pt idx="9">
                  <c:v>7.2880162693030819</c:v>
                </c:pt>
                <c:pt idx="10">
                  <c:v>7.25003598400522</c:v>
                </c:pt>
                <c:pt idx="11">
                  <c:v>7.7105350220739686</c:v>
                </c:pt>
                <c:pt idx="12">
                  <c:v>8.5404347156768878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D3-4412-BA8A-7655B77BF07D}"/>
            </c:ext>
          </c:extLst>
        </c:ser>
        <c:ser>
          <c:idx val="5"/>
          <c:order val="3"/>
          <c:tx>
            <c:strRef>
              <c:f>'TNSP Analysis'!$B$24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Analysis'!$D$20:$P$20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Analysis'!$D$24:$P$24</c:f>
              <c:numCache>
                <c:formatCode>#,##0.00</c:formatCode>
                <c:ptCount val="13"/>
                <c:pt idx="0">
                  <c:v>11.881126458181635</c:v>
                </c:pt>
                <c:pt idx="1">
                  <c:v>9.8584843042617276</c:v>
                </c:pt>
                <c:pt idx="2">
                  <c:v>10.484140937118692</c:v>
                </c:pt>
                <c:pt idx="3">
                  <c:v>10.705920023177995</c:v>
                </c:pt>
                <c:pt idx="4">
                  <c:v>11.852273361907351</c:v>
                </c:pt>
                <c:pt idx="5">
                  <c:v>12.086261760654159</c:v>
                </c:pt>
                <c:pt idx="6">
                  <c:v>12.715045078100884</c:v>
                </c:pt>
                <c:pt idx="7">
                  <c:v>12.167701366158083</c:v>
                </c:pt>
                <c:pt idx="8">
                  <c:v>12.303261161524869</c:v>
                </c:pt>
                <c:pt idx="9">
                  <c:v>10.9750706084371</c:v>
                </c:pt>
                <c:pt idx="10">
                  <c:v>12.749941013475141</c:v>
                </c:pt>
                <c:pt idx="11">
                  <c:v>11.631161084475236</c:v>
                </c:pt>
                <c:pt idx="12">
                  <c:v>11.159964500671405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D3-4412-BA8A-7655B77BF07D}"/>
            </c:ext>
          </c:extLst>
        </c:ser>
        <c:ser>
          <c:idx val="0"/>
          <c:order val="4"/>
          <c:tx>
            <c:strRef>
              <c:f>'TNSP Analysis'!$B$25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Analysis'!$D$20:$P$20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Analysis'!$D$25:$P$25</c:f>
              <c:numCache>
                <c:formatCode>#,##0.00</c:formatCode>
                <c:ptCount val="13"/>
                <c:pt idx="0">
                  <c:v>5.8240742560221399</c:v>
                </c:pt>
                <c:pt idx="1">
                  <c:v>5.7943255572930692</c:v>
                </c:pt>
                <c:pt idx="2">
                  <c:v>5.8628138778297334</c:v>
                </c:pt>
                <c:pt idx="3">
                  <c:v>6.2855104405414064</c:v>
                </c:pt>
                <c:pt idx="4">
                  <c:v>7.0041040811776734</c:v>
                </c:pt>
                <c:pt idx="5">
                  <c:v>6.9699749127297457</c:v>
                </c:pt>
                <c:pt idx="6">
                  <c:v>7.4503381704366314</c:v>
                </c:pt>
                <c:pt idx="7">
                  <c:v>8.0969382299746027</c:v>
                </c:pt>
                <c:pt idx="8">
                  <c:v>9.3926607699996847</c:v>
                </c:pt>
                <c:pt idx="9">
                  <c:v>8.7828426642524953</c:v>
                </c:pt>
                <c:pt idx="10">
                  <c:v>9.2383106173638936</c:v>
                </c:pt>
                <c:pt idx="11">
                  <c:v>9.032944718598193</c:v>
                </c:pt>
                <c:pt idx="12">
                  <c:v>8.3518844941609007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B4-4CD1-B092-DD36F19AC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MWh of energy transported</a:t>
                </a:r>
              </a:p>
            </c:rich>
          </c:tx>
          <c:layout>
            <c:manualLayout>
              <c:xMode val="edge"/>
              <c:yMode val="edge"/>
              <c:x val="1.0136924186824294E-2"/>
              <c:y val="0.20836156440320475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42566998820454"/>
          <c:y val="0.1864119075781761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370792893036791"/>
          <c:y val="3.8921755683047801E-2"/>
          <c:w val="0.64030553560433778"/>
          <c:h val="0.88172477286033135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Analysis'!$B$45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Analysis'!$D$44:$P$44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Analysis'!$D$45:$P$45</c:f>
              <c:numCache>
                <c:formatCode>#,##0</c:formatCode>
                <c:ptCount val="13"/>
                <c:pt idx="0">
                  <c:v>31127.385312845123</c:v>
                </c:pt>
                <c:pt idx="1">
                  <c:v>33387.016350550133</c:v>
                </c:pt>
                <c:pt idx="2">
                  <c:v>31843.098828016136</c:v>
                </c:pt>
                <c:pt idx="3">
                  <c:v>34266.611211514057</c:v>
                </c:pt>
                <c:pt idx="4">
                  <c:v>35413.180272839607</c:v>
                </c:pt>
                <c:pt idx="5">
                  <c:v>36867.098891406509</c:v>
                </c:pt>
                <c:pt idx="6">
                  <c:v>39257.505831765637</c:v>
                </c:pt>
                <c:pt idx="7">
                  <c:v>40731.023476864684</c:v>
                </c:pt>
                <c:pt idx="8">
                  <c:v>42062.8066761749</c:v>
                </c:pt>
                <c:pt idx="9">
                  <c:v>45119.518558651587</c:v>
                </c:pt>
                <c:pt idx="10">
                  <c:v>47708.467608507563</c:v>
                </c:pt>
                <c:pt idx="11">
                  <c:v>49847.341423397775</c:v>
                </c:pt>
                <c:pt idx="12">
                  <c:v>50442.038510746657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5B-445C-B34D-A82DF6E10F9B}"/>
            </c:ext>
          </c:extLst>
        </c:ser>
        <c:ser>
          <c:idx val="3"/>
          <c:order val="1"/>
          <c:tx>
            <c:strRef>
              <c:f>'TNSP Analysis'!$B$46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Analysis'!$D$44:$P$44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Analysis'!$D$46:$P$46</c:f>
              <c:numCache>
                <c:formatCode>#,##0</c:formatCode>
                <c:ptCount val="13"/>
                <c:pt idx="0">
                  <c:v>40578.588828574168</c:v>
                </c:pt>
                <c:pt idx="1">
                  <c:v>41314.814933626541</c:v>
                </c:pt>
                <c:pt idx="2">
                  <c:v>43351.314300511942</c:v>
                </c:pt>
                <c:pt idx="3">
                  <c:v>44707.134988015227</c:v>
                </c:pt>
                <c:pt idx="4">
                  <c:v>45491.683580018049</c:v>
                </c:pt>
                <c:pt idx="5">
                  <c:v>45570.102128913102</c:v>
                </c:pt>
                <c:pt idx="6">
                  <c:v>47477.988967470243</c:v>
                </c:pt>
                <c:pt idx="7">
                  <c:v>44904.065764039311</c:v>
                </c:pt>
                <c:pt idx="8">
                  <c:v>46225.308262312523</c:v>
                </c:pt>
                <c:pt idx="9">
                  <c:v>50375.250394163944</c:v>
                </c:pt>
                <c:pt idx="10">
                  <c:v>51093.486351524371</c:v>
                </c:pt>
                <c:pt idx="11">
                  <c:v>51593.181741589979</c:v>
                </c:pt>
                <c:pt idx="12">
                  <c:v>46816.735723448044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5B-445C-B34D-A82DF6E10F9B}"/>
            </c:ext>
          </c:extLst>
        </c:ser>
        <c:ser>
          <c:idx val="4"/>
          <c:order val="2"/>
          <c:tx>
            <c:strRef>
              <c:f>'TNSP Analysis'!$B$47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Analysis'!$D$44:$P$44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Analysis'!$D$47:$P$47</c:f>
              <c:numCache>
                <c:formatCode>#,##0</c:formatCode>
                <c:ptCount val="13"/>
                <c:pt idx="0">
                  <c:v>44003.294820235045</c:v>
                </c:pt>
                <c:pt idx="1">
                  <c:v>43694.001305917533</c:v>
                </c:pt>
                <c:pt idx="2">
                  <c:v>45011.659948731925</c:v>
                </c:pt>
                <c:pt idx="3">
                  <c:v>48284.041058816983</c:v>
                </c:pt>
                <c:pt idx="4">
                  <c:v>49343.800932535654</c:v>
                </c:pt>
                <c:pt idx="5">
                  <c:v>48362.24015273562</c:v>
                </c:pt>
                <c:pt idx="6">
                  <c:v>47548.645140170061</c:v>
                </c:pt>
                <c:pt idx="7">
                  <c:v>48640.934778835013</c:v>
                </c:pt>
                <c:pt idx="8">
                  <c:v>48936.909730787214</c:v>
                </c:pt>
                <c:pt idx="9">
                  <c:v>52837.360623651854</c:v>
                </c:pt>
                <c:pt idx="10">
                  <c:v>54411.456473725142</c:v>
                </c:pt>
                <c:pt idx="11">
                  <c:v>55042.760206880477</c:v>
                </c:pt>
                <c:pt idx="12">
                  <c:v>54364.393440256259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5B-445C-B34D-A82DF6E10F9B}"/>
            </c:ext>
          </c:extLst>
        </c:ser>
        <c:ser>
          <c:idx val="5"/>
          <c:order val="3"/>
          <c:tx>
            <c:strRef>
              <c:f>'TNSP Analysis'!$B$48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Analysis'!$D$44:$P$44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Analysis'!$D$48:$P$48</c:f>
              <c:numCache>
                <c:formatCode>#,##0</c:formatCode>
                <c:ptCount val="13"/>
                <c:pt idx="0">
                  <c:v>34934.117295733755</c:v>
                </c:pt>
                <c:pt idx="1">
                  <c:v>34914.142088681619</c:v>
                </c:pt>
                <c:pt idx="2">
                  <c:v>39074.465341522831</c:v>
                </c:pt>
                <c:pt idx="3">
                  <c:v>40790.674448200363</c:v>
                </c:pt>
                <c:pt idx="4">
                  <c:v>44362.058595238988</c:v>
                </c:pt>
                <c:pt idx="5">
                  <c:v>45353.125518167544</c:v>
                </c:pt>
                <c:pt idx="6">
                  <c:v>45824.985335130928</c:v>
                </c:pt>
                <c:pt idx="7">
                  <c:v>44688.393522716935</c:v>
                </c:pt>
                <c:pt idx="8">
                  <c:v>46912.24493096958</c:v>
                </c:pt>
                <c:pt idx="9">
                  <c:v>40373.502245774296</c:v>
                </c:pt>
                <c:pt idx="10">
                  <c:v>41696.868368514151</c:v>
                </c:pt>
                <c:pt idx="11">
                  <c:v>40557.993899769244</c:v>
                </c:pt>
                <c:pt idx="12">
                  <c:v>39142.118382343127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5B-445C-B34D-A82DF6E10F9B}"/>
            </c:ext>
          </c:extLst>
        </c:ser>
        <c:ser>
          <c:idx val="0"/>
          <c:order val="4"/>
          <c:tx>
            <c:strRef>
              <c:f>'TNSP Analysis'!$B$49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Analysis'!$D$44:$P$44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Analysis'!$D$49:$P$49</c:f>
              <c:numCache>
                <c:formatCode>#,##0</c:formatCode>
                <c:ptCount val="13"/>
                <c:pt idx="0">
                  <c:v>37920.691234810991</c:v>
                </c:pt>
                <c:pt idx="1">
                  <c:v>38392.947081228362</c:v>
                </c:pt>
                <c:pt idx="2">
                  <c:v>38621.919129163973</c:v>
                </c:pt>
                <c:pt idx="3">
                  <c:v>40704.359251499569</c:v>
                </c:pt>
                <c:pt idx="4">
                  <c:v>44512.723356166221</c:v>
                </c:pt>
                <c:pt idx="5">
                  <c:v>43858.22477626778</c:v>
                </c:pt>
                <c:pt idx="6">
                  <c:v>44946.570049259331</c:v>
                </c:pt>
                <c:pt idx="7">
                  <c:v>44649.403511147735</c:v>
                </c:pt>
                <c:pt idx="8">
                  <c:v>49252.811592848491</c:v>
                </c:pt>
                <c:pt idx="9">
                  <c:v>50169.312796936138</c:v>
                </c:pt>
                <c:pt idx="10">
                  <c:v>51153.926800977599</c:v>
                </c:pt>
                <c:pt idx="11">
                  <c:v>51801.87946906389</c:v>
                </c:pt>
                <c:pt idx="12">
                  <c:v>48301.150720186568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F6-4BE6-B685-A709DC06D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12768"/>
        <c:axId val="50139520"/>
      </c:lineChart>
      <c:catAx>
        <c:axId val="5011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139520"/>
        <c:crosses val="autoZero"/>
        <c:auto val="1"/>
        <c:lblAlgn val="ctr"/>
        <c:lblOffset val="100"/>
        <c:noMultiLvlLbl val="0"/>
      </c:catAx>
      <c:valAx>
        <c:axId val="501395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km of circuit line </a:t>
                </a:r>
              </a:p>
            </c:rich>
          </c:tx>
          <c:layout>
            <c:manualLayout>
              <c:xMode val="edge"/>
              <c:yMode val="edge"/>
              <c:x val="1.8784533837059043E-2"/>
              <c:y val="0.24751779851857184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501127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164402948642568"/>
          <c:y val="3.6221209160317562E-2"/>
          <c:w val="0.11745571245470669"/>
          <c:h val="0.467935441780910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110399110558758"/>
          <c:y val="5.5065839237175729E-2"/>
          <c:w val="0.63449335781530092"/>
          <c:h val="0.86250844279628958"/>
        </c:manualLayout>
      </c:layout>
      <c:lineChart>
        <c:grouping val="standard"/>
        <c:varyColors val="0"/>
        <c:ser>
          <c:idx val="0"/>
          <c:order val="0"/>
          <c:tx>
            <c:strRef>
              <c:f>'TNSP Analysis'!$B$29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Analysis'!$D$20:$P$20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Analysis'!$D$29:$P$29</c:f>
              <c:numCache>
                <c:formatCode>#,##0</c:formatCode>
                <c:ptCount val="13"/>
                <c:pt idx="0">
                  <c:v>223.83334092491043</c:v>
                </c:pt>
                <c:pt idx="1">
                  <c:v>236.39433651979041</c:v>
                </c:pt>
                <c:pt idx="2">
                  <c:v>224.97666444688838</c:v>
                </c:pt>
                <c:pt idx="3">
                  <c:v>231.55276501056809</c:v>
                </c:pt>
                <c:pt idx="4">
                  <c:v>235.5986428653402</c:v>
                </c:pt>
                <c:pt idx="5">
                  <c:v>242.73663381889918</c:v>
                </c:pt>
                <c:pt idx="6">
                  <c:v>256.99095542424101</c:v>
                </c:pt>
                <c:pt idx="7">
                  <c:v>265.56217385908911</c:v>
                </c:pt>
                <c:pt idx="8">
                  <c:v>273.05865127949164</c:v>
                </c:pt>
                <c:pt idx="9">
                  <c:v>291.73115254636735</c:v>
                </c:pt>
                <c:pt idx="10">
                  <c:v>306.94613595302741</c:v>
                </c:pt>
                <c:pt idx="11">
                  <c:v>313.25970292935637</c:v>
                </c:pt>
                <c:pt idx="12">
                  <c:v>311.43827781270659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C6-4FD9-B241-14586255B02F}"/>
            </c:ext>
          </c:extLst>
        </c:ser>
        <c:ser>
          <c:idx val="1"/>
          <c:order val="1"/>
          <c:tx>
            <c:strRef>
              <c:f>'TNSP Analysis'!$B$30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square"/>
            <c:size val="5"/>
            <c:spPr>
              <a:solidFill>
                <a:srgbClr val="C00000"/>
              </a:solidFill>
              <a:ln w="25400">
                <a:noFill/>
              </a:ln>
            </c:spPr>
          </c:marker>
          <c:cat>
            <c:numRef>
              <c:f>'TNSP Analysis'!$D$20:$P$20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Analysis'!$D$30:$P$30</c:f>
              <c:numCache>
                <c:formatCode>#,##0</c:formatCode>
                <c:ptCount val="13"/>
                <c:pt idx="0">
                  <c:v>258.57946672556591</c:v>
                </c:pt>
                <c:pt idx="1">
                  <c:v>262.58151732210581</c:v>
                </c:pt>
                <c:pt idx="2">
                  <c:v>281.87658182781303</c:v>
                </c:pt>
                <c:pt idx="3">
                  <c:v>294.85620997771758</c:v>
                </c:pt>
                <c:pt idx="4">
                  <c:v>305.36401574883183</c:v>
                </c:pt>
                <c:pt idx="5">
                  <c:v>310.61935110516646</c:v>
                </c:pt>
                <c:pt idx="6">
                  <c:v>318.41482120574767</c:v>
                </c:pt>
                <c:pt idx="7">
                  <c:v>310.47831021950412</c:v>
                </c:pt>
                <c:pt idx="8">
                  <c:v>325.41895532719809</c:v>
                </c:pt>
                <c:pt idx="9">
                  <c:v>349.69094388292342</c:v>
                </c:pt>
                <c:pt idx="10">
                  <c:v>348.89096473161823</c:v>
                </c:pt>
                <c:pt idx="11">
                  <c:v>341.7794175354947</c:v>
                </c:pt>
                <c:pt idx="12">
                  <c:v>304.4549478216573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C6-4FD9-B241-14586255B02F}"/>
            </c:ext>
          </c:extLst>
        </c:ser>
        <c:ser>
          <c:idx val="2"/>
          <c:order val="2"/>
          <c:tx>
            <c:strRef>
              <c:f>'TNSP Analysis'!$B$31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Analysis'!$D$20:$P$20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Analysis'!$D$31:$P$31</c:f>
              <c:numCache>
                <c:formatCode>#,##0</c:formatCode>
                <c:ptCount val="13"/>
                <c:pt idx="0">
                  <c:v>117.08681857499226</c:v>
                </c:pt>
                <c:pt idx="1">
                  <c:v>114.43502971683503</c:v>
                </c:pt>
                <c:pt idx="2">
                  <c:v>116.21639772422179</c:v>
                </c:pt>
                <c:pt idx="3">
                  <c:v>123.06133491760887</c:v>
                </c:pt>
                <c:pt idx="4">
                  <c:v>124.05260785374115</c:v>
                </c:pt>
                <c:pt idx="5">
                  <c:v>119.73728656369087</c:v>
                </c:pt>
                <c:pt idx="6">
                  <c:v>115.93273927346389</c:v>
                </c:pt>
                <c:pt idx="7">
                  <c:v>116.97125779290096</c:v>
                </c:pt>
                <c:pt idx="8">
                  <c:v>116.83072358450076</c:v>
                </c:pt>
                <c:pt idx="9">
                  <c:v>124.15218247178515</c:v>
                </c:pt>
                <c:pt idx="10">
                  <c:v>125.41385843145842</c:v>
                </c:pt>
                <c:pt idx="11">
                  <c:v>124.42246496831928</c:v>
                </c:pt>
                <c:pt idx="12">
                  <c:v>122.10873917098203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C6-4FD9-B241-14586255B02F}"/>
            </c:ext>
          </c:extLst>
        </c:ser>
        <c:ser>
          <c:idx val="3"/>
          <c:order val="3"/>
          <c:tx>
            <c:strRef>
              <c:f>'TNSP Analysis'!$B$32</c:f>
              <c:strCache>
                <c:ptCount val="1"/>
                <c:pt idx="0">
                  <c:v>TNT</c:v>
                </c:pt>
              </c:strCache>
            </c:strRef>
          </c:tx>
          <c:spPr>
            <a:ln w="25400">
              <a:solidFill>
                <a:srgbClr val="8064A2"/>
              </a:solidFill>
            </a:ln>
          </c:spPr>
          <c:marker>
            <c:symbol val="circle"/>
            <c:size val="5"/>
            <c:spPr>
              <a:solidFill>
                <a:srgbClr val="8064A2"/>
              </a:solidFill>
              <a:ln>
                <a:solidFill>
                  <a:srgbClr val="8064A2"/>
                </a:solidFill>
              </a:ln>
            </c:spPr>
          </c:marker>
          <c:cat>
            <c:numRef>
              <c:f>'TNSP Analysis'!$D$20:$P$20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Analysis'!$D$32:$P$32</c:f>
              <c:numCache>
                <c:formatCode>#,##0</c:formatCode>
                <c:ptCount val="13"/>
                <c:pt idx="0">
                  <c:v>499.15533954139136</c:v>
                </c:pt>
                <c:pt idx="1">
                  <c:v>495.01849853458464</c:v>
                </c:pt>
                <c:pt idx="2">
                  <c:v>543.49558718088247</c:v>
                </c:pt>
                <c:pt idx="3">
                  <c:v>540.92208665916041</c:v>
                </c:pt>
                <c:pt idx="4">
                  <c:v>570.71026518075701</c:v>
                </c:pt>
                <c:pt idx="5">
                  <c:v>574.33722928461793</c:v>
                </c:pt>
                <c:pt idx="6">
                  <c:v>575.01803669365006</c:v>
                </c:pt>
                <c:pt idx="7">
                  <c:v>559.37775417286844</c:v>
                </c:pt>
                <c:pt idx="8">
                  <c:v>585.47150058461705</c:v>
                </c:pt>
                <c:pt idx="9">
                  <c:v>508.3005661479263</c:v>
                </c:pt>
                <c:pt idx="10">
                  <c:v>520.79253414483094</c:v>
                </c:pt>
                <c:pt idx="11">
                  <c:v>502.47095116959429</c:v>
                </c:pt>
                <c:pt idx="12">
                  <c:v>481.93570129849286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C6-4FD9-B241-14586255B02F}"/>
            </c:ext>
          </c:extLst>
        </c:ser>
        <c:ser>
          <c:idx val="4"/>
          <c:order val="4"/>
          <c:tx>
            <c:strRef>
              <c:f>'TNSP Analysis'!$B$33</c:f>
              <c:strCache>
                <c:ptCount val="1"/>
                <c:pt idx="0">
                  <c:v>TRG</c:v>
                </c:pt>
              </c:strCache>
            </c:strRef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Analysis'!$D$20:$P$20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'TNSP Analysis'!$D$33:$P$33</c:f>
              <c:numCache>
                <c:formatCode>#,##0</c:formatCode>
                <c:ptCount val="13"/>
                <c:pt idx="0">
                  <c:v>141.72059052649632</c:v>
                </c:pt>
                <c:pt idx="1">
                  <c:v>142.16529254972497</c:v>
                </c:pt>
                <c:pt idx="2">
                  <c:v>141.53957839804642</c:v>
                </c:pt>
                <c:pt idx="3">
                  <c:v>147.86561138530664</c:v>
                </c:pt>
                <c:pt idx="4">
                  <c:v>162.54486227485529</c:v>
                </c:pt>
                <c:pt idx="5">
                  <c:v>158.59023783039075</c:v>
                </c:pt>
                <c:pt idx="6">
                  <c:v>161.35135592039893</c:v>
                </c:pt>
                <c:pt idx="7">
                  <c:v>160.99064860402538</c:v>
                </c:pt>
                <c:pt idx="8">
                  <c:v>175.71736642278989</c:v>
                </c:pt>
                <c:pt idx="9">
                  <c:v>177.84438705343814</c:v>
                </c:pt>
                <c:pt idx="10">
                  <c:v>179.27078219307705</c:v>
                </c:pt>
                <c:pt idx="11">
                  <c:v>179.48342154756503</c:v>
                </c:pt>
                <c:pt idx="12">
                  <c:v>164.80131213025987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C6-4FD9-B241-14586255B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2688"/>
        <c:axId val="50164864"/>
      </c:lineChart>
      <c:catAx>
        <c:axId val="5016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164864"/>
        <c:crosses val="autoZero"/>
        <c:auto val="1"/>
        <c:lblAlgn val="ctr"/>
        <c:lblOffset val="100"/>
        <c:noMultiLvlLbl val="0"/>
      </c:catAx>
      <c:valAx>
        <c:axId val="50164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number of end users</a:t>
                </a:r>
              </a:p>
            </c:rich>
          </c:tx>
          <c:layout>
            <c:manualLayout>
              <c:xMode val="edge"/>
              <c:yMode val="edge"/>
              <c:x val="1.4470285507036362E-2"/>
              <c:y val="0.16639636725590939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501626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0531756294517887"/>
          <c:y val="0.31980343927336075"/>
          <c:w val="0.1206198926662391"/>
          <c:h val="0.45068636654152805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2A-459E-8AE3-FCE64AB8F02D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2A-459E-8AE3-FCE64AB8F02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2A-459E-8AE3-FCE64AB8F02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2A-459E-8AE3-FCE64AB8F02D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2A-459E-8AE3-FCE64AB8F02D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2A-459E-8AE3-FCE64AB8F02D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2A-459E-8AE3-FCE64AB8F02D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2A-459E-8AE3-FCE64AB8F02D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2A-459E-8AE3-FCE64AB8F02D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2A-459E-8AE3-FCE64AB8F02D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2A-459E-8AE3-FCE64AB8F02D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02A-459E-8AE3-FCE64AB8F02D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02A-459E-8AE3-FCE64AB8F02D}"/>
              </c:ext>
            </c:extLst>
          </c:dPt>
          <c:cat>
            <c:strRef>
              <c:f>'Physical data'!$B$40:$B$44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data'!$Q$40:$Q$44</c:f>
              <c:numCache>
                <c:formatCode>#,##0.0</c:formatCode>
                <c:ptCount val="5"/>
                <c:pt idx="0">
                  <c:v>157.04466320822763</c:v>
                </c:pt>
                <c:pt idx="1">
                  <c:v>147.45548701526505</c:v>
                </c:pt>
                <c:pt idx="2">
                  <c:v>433.18197021349658</c:v>
                </c:pt>
                <c:pt idx="3">
                  <c:v>80.31111866600078</c:v>
                </c:pt>
                <c:pt idx="4">
                  <c:v>285.88809775612231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02A-459E-8AE3-FCE64AB8F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Connection density (end user per km)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'Physical data'!$P$47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98D-440C-ACD2-0230351807CD}"/>
              </c:ext>
            </c:extLst>
          </c:dPt>
          <c:dPt>
            <c:idx val="1"/>
            <c:invertIfNegative val="0"/>
            <c:bubble3D val="0"/>
            <c:spPr>
              <a:solidFill>
                <a:srgbClr val="AC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98D-440C-ACD2-0230351807C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98D-440C-ACD2-0230351807C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98D-440C-ACD2-0230351807CD}"/>
              </c:ext>
            </c:extLst>
          </c:dPt>
          <c:dPt>
            <c:idx val="4"/>
            <c:invertIfNegative val="0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98D-440C-ACD2-0230351807CD}"/>
              </c:ext>
            </c:extLst>
          </c:dPt>
          <c:cat>
            <c:strRef>
              <c:f>'Physical data'!$B$48:$B$52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data'!$P$48:$P$52</c:f>
              <c:numCache>
                <c:formatCode>#,##0.0</c:formatCode>
                <c:ptCount val="5"/>
                <c:pt idx="0">
                  <c:v>894397</c:v>
                </c:pt>
                <c:pt idx="1">
                  <c:v>2233927</c:v>
                </c:pt>
                <c:pt idx="2">
                  <c:v>2948966</c:v>
                </c:pt>
                <c:pt idx="3">
                  <c:v>287936</c:v>
                </c:pt>
                <c:pt idx="4">
                  <c:v>3836363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8D-440C-ACD2-023035180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51554176"/>
        <c:axId val="51555712"/>
      </c:barChart>
      <c:catAx>
        <c:axId val="5155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555712"/>
        <c:crosses val="autoZero"/>
        <c:auto val="1"/>
        <c:lblAlgn val="ctr"/>
        <c:lblOffset val="100"/>
        <c:noMultiLvlLbl val="0"/>
      </c:catAx>
      <c:valAx>
        <c:axId val="51555712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515541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5216357584403234E-2"/>
                <c:y val="0.22497317692965069"/>
              </c:manualLayout>
            </c:layout>
            <c:tx>
              <c:rich>
                <a:bodyPr/>
                <a:lstStyle/>
                <a:p>
                  <a:pPr>
                    <a:defRPr b="1"/>
                  </a:pPr>
                  <a:r>
                    <a:rPr lang="en-US" b="1"/>
                    <a:t>Total number of end users (millons)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data'!$D$25</c:f>
              <c:strCache>
                <c:ptCount val="1"/>
                <c:pt idx="0">
                  <c:v>km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2AB-4F81-8570-1F2106DA406C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2AB-4F81-8570-1F2106DA406C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2AB-4F81-8570-1F2106DA40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2AB-4F81-8570-1F2106DA406C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2AB-4F81-8570-1F2106DA406C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2AB-4F81-8570-1F2106DA406C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2AB-4F81-8570-1F2106DA406C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2AB-4F81-8570-1F2106DA406C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2AB-4F81-8570-1F2106DA406C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2AB-4F81-8570-1F2106DA406C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2AB-4F81-8570-1F2106DA406C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72AB-4F81-8570-1F2106DA406C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72AB-4F81-8570-1F2106DA406C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data'!$D$26:$D$30</c:f>
              <c:numCache>
                <c:formatCode>#,##0</c:formatCode>
                <c:ptCount val="5"/>
                <c:pt idx="0">
                  <c:v>5523</c:v>
                </c:pt>
                <c:pt idx="1">
                  <c:v>14669</c:v>
                </c:pt>
                <c:pt idx="2">
                  <c:v>6578</c:v>
                </c:pt>
                <c:pt idx="3">
                  <c:v>3548</c:v>
                </c:pt>
                <c:pt idx="4">
                  <c:v>13032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2AB-4F81-8570-1F2106DA4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Circuit length (km)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data'!$G$25</c:f>
              <c:strCache>
                <c:ptCount val="1"/>
                <c:pt idx="0">
                  <c:v>GWh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2C4-441F-8B9B-1C0359DA9B10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2C4-441F-8B9B-1C0359DA9B10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2C4-441F-8B9B-1C0359DA9B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2C4-441F-8B9B-1C0359DA9B10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2C4-441F-8B9B-1C0359DA9B10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2C4-441F-8B9B-1C0359DA9B10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2C4-441F-8B9B-1C0359DA9B10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2C4-441F-8B9B-1C0359DA9B10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2C4-441F-8B9B-1C0359DA9B10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02C4-441F-8B9B-1C0359DA9B10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02C4-441F-8B9B-1C0359DA9B10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02C4-441F-8B9B-1C0359DA9B10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02C4-441F-8B9B-1C0359DA9B10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data'!$G$26:$G$30</c:f>
              <c:numCache>
                <c:formatCode>0</c:formatCode>
                <c:ptCount val="5"/>
                <c:pt idx="0">
                  <c:v>11444.832423724381</c:v>
                </c:pt>
                <c:pt idx="1">
                  <c:v>54849.858036833997</c:v>
                </c:pt>
                <c:pt idx="2">
                  <c:v>42163.488406169992</c:v>
                </c:pt>
                <c:pt idx="3">
                  <c:v>12434.326120010002</c:v>
                </c:pt>
                <c:pt idx="4">
                  <c:v>75700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2C4-441F-8B9B-1C0359DA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Energy transported  (GWh)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data'!$P$10</c:f>
              <c:strCache>
                <c:ptCount val="1"/>
                <c:pt idx="0">
                  <c:v>2018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004-42D3-88F4-0CCB8E87E972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004-42D3-88F4-0CCB8E87E972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004-42D3-88F4-0CCB8E87E97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004-42D3-88F4-0CCB8E87E972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004-42D3-88F4-0CCB8E87E972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004-42D3-88F4-0CCB8E87E972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004-42D3-88F4-0CCB8E87E972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004-42D3-88F4-0CCB8E87E972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D004-42D3-88F4-0CCB8E87E972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D004-42D3-88F4-0CCB8E87E972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D004-42D3-88F4-0CCB8E87E972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D004-42D3-88F4-0CCB8E87E972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D004-42D3-88F4-0CCB8E87E972}"/>
              </c:ext>
            </c:extLst>
          </c:dPt>
          <c:cat>
            <c:strRef>
              <c:f>'Physical data'!$B$11:$B$15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data'!$P$11:$P$15</c:f>
              <c:numCache>
                <c:formatCode>#,##0</c:formatCode>
                <c:ptCount val="5"/>
                <c:pt idx="0">
                  <c:v>3327.2034278649999</c:v>
                </c:pt>
                <c:pt idx="1">
                  <c:v>12321.175319</c:v>
                </c:pt>
                <c:pt idx="2">
                  <c:v>10266.162</c:v>
                </c:pt>
                <c:pt idx="3">
                  <c:v>2535.3500470044319</c:v>
                </c:pt>
                <c:pt idx="4">
                  <c:v>18500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004-42D3-88F4-0CCB8E87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Maximum demand (MVA)</a:t>
                </a:r>
              </a:p>
            </c:rich>
          </c:tx>
          <c:layout>
            <c:manualLayout>
              <c:xMode val="edge"/>
              <c:yMode val="edge"/>
              <c:x val="1.7142283159470512E-3"/>
              <c:y val="0.257757662055871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TextBox 7"/>
        <xdr:cNvSpPr txBox="1"/>
      </xdr:nvSpPr>
      <xdr:spPr>
        <a:xfrm>
          <a:off x="142875" y="333375"/>
          <a:ext cx="431346" cy="2009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Total user</a:t>
          </a:r>
          <a:r>
            <a:rPr lang="en-AU" sz="2400" b="1" baseline="0"/>
            <a:t> cost</a:t>
          </a:r>
          <a:endParaRPr lang="en-AU" sz="2400" b="1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TextBox 14"/>
        <xdr:cNvSpPr txBox="1"/>
      </xdr:nvSpPr>
      <xdr:spPr>
        <a:xfrm>
          <a:off x="161925" y="3952875"/>
          <a:ext cx="431346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AUCC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Box 17"/>
        <xdr:cNvSpPr txBox="1"/>
      </xdr:nvSpPr>
      <xdr:spPr>
        <a:xfrm>
          <a:off x="152400" y="7572375"/>
          <a:ext cx="431346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Opex</a:t>
          </a:r>
        </a:p>
      </xdr:txBody>
    </xdr:sp>
    <xdr:clientData/>
  </xdr:twoCellAnchor>
  <xdr:twoCellAnchor>
    <xdr:from>
      <xdr:col>0</xdr:col>
      <xdr:colOff>37619</xdr:colOff>
      <xdr:row>3</xdr:row>
      <xdr:rowOff>2400</xdr:rowOff>
    </xdr:from>
    <xdr:to>
      <xdr:col>11</xdr:col>
      <xdr:colOff>600074</xdr:colOff>
      <xdr:row>24</xdr:row>
      <xdr:rowOff>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180975</xdr:rowOff>
    </xdr:from>
    <xdr:to>
      <xdr:col>11</xdr:col>
      <xdr:colOff>590550</xdr:colOff>
      <xdr:row>49</xdr:row>
      <xdr:rowOff>169767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9286</xdr:colOff>
      <xdr:row>78</xdr:row>
      <xdr:rowOff>166129</xdr:rowOff>
    </xdr:from>
    <xdr:to>
      <xdr:col>11</xdr:col>
      <xdr:colOff>571500</xdr:colOff>
      <xdr:row>99</xdr:row>
      <xdr:rowOff>169333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44822</xdr:colOff>
      <xdr:row>54</xdr:row>
      <xdr:rowOff>0</xdr:rowOff>
    </xdr:from>
    <xdr:to>
      <xdr:col>11</xdr:col>
      <xdr:colOff>590549</xdr:colOff>
      <xdr:row>75</xdr:row>
      <xdr:rowOff>2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466725</xdr:colOff>
      <xdr:row>53</xdr:row>
      <xdr:rowOff>161925</xdr:rowOff>
    </xdr:from>
    <xdr:to>
      <xdr:col>25</xdr:col>
      <xdr:colOff>600075</xdr:colOff>
      <xdr:row>70</xdr:row>
      <xdr:rowOff>138546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38099</xdr:colOff>
      <xdr:row>28</xdr:row>
      <xdr:rowOff>61911</xdr:rowOff>
    </xdr:from>
    <xdr:to>
      <xdr:col>26</xdr:col>
      <xdr:colOff>9524</xdr:colOff>
      <xdr:row>51</xdr:row>
      <xdr:rowOff>104774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1</xdr:row>
      <xdr:rowOff>268940</xdr:rowOff>
    </xdr:from>
    <xdr:to>
      <xdr:col>25</xdr:col>
      <xdr:colOff>133350</xdr:colOff>
      <xdr:row>25</xdr:row>
      <xdr:rowOff>42899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74</xdr:row>
      <xdr:rowOff>190499</xdr:rowOff>
    </xdr:from>
    <xdr:to>
      <xdr:col>26</xdr:col>
      <xdr:colOff>133350</xdr:colOff>
      <xdr:row>97</xdr:row>
      <xdr:rowOff>9281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102</xdr:row>
      <xdr:rowOff>0</xdr:rowOff>
    </xdr:from>
    <xdr:to>
      <xdr:col>26</xdr:col>
      <xdr:colOff>133350</xdr:colOff>
      <xdr:row>125</xdr:row>
      <xdr:rowOff>42900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11206</xdr:rowOff>
    </xdr:from>
    <xdr:to>
      <xdr:col>9</xdr:col>
      <xdr:colOff>593912</xdr:colOff>
      <xdr:row>21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593911</xdr:colOff>
      <xdr:row>3</xdr:row>
      <xdr:rowOff>11206</xdr:rowOff>
    </xdr:from>
    <xdr:to>
      <xdr:col>20</xdr:col>
      <xdr:colOff>593912</xdr:colOff>
      <xdr:row>20</xdr:row>
      <xdr:rowOff>168089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22411</xdr:colOff>
      <xdr:row>2</xdr:row>
      <xdr:rowOff>184337</xdr:rowOff>
    </xdr:from>
    <xdr:to>
      <xdr:col>32</xdr:col>
      <xdr:colOff>0</xdr:colOff>
      <xdr:row>20</xdr:row>
      <xdr:rowOff>22412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533399</xdr:colOff>
      <xdr:row>44</xdr:row>
      <xdr:rowOff>0</xdr:rowOff>
    </xdr:from>
    <xdr:to>
      <xdr:col>9</xdr:col>
      <xdr:colOff>294409</xdr:colOff>
      <xdr:row>44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329045</xdr:colOff>
      <xdr:row>44</xdr:row>
      <xdr:rowOff>0</xdr:rowOff>
    </xdr:from>
    <xdr:to>
      <xdr:col>9</xdr:col>
      <xdr:colOff>69272</xdr:colOff>
      <xdr:row>44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ran/AppData/Local/Microsoft/Windows/INetCache/Content.Outlook/RPBKME7N/DNSP%20PPI%20maste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2018/TNSP%20data%20files/RINs/AEMO%202017-18%20-%20Economic%20Benchmarking%20-%2020181203%20-%20original%20-%20CONFIDENTI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cheu/Local%20Settings/Temporary%20Internet%20Files/Content.Outlook/SMGVD7WK/Database%20%20mockup%20-%20EBT%20RIN%20da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WACC%20Confidential/CONFIDENTIAL%20-%20WACC%20data%20-%202019%20upd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ng\AppData\Local\Temp\1\Temp1_Economic%20Insights%20AER%20TNSP%20BM%20Files%2030Jul2019.zip\TNSP%20consolidated%20benchmarking%20data%20(2018%20update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2018/TNSP%20data%20files/RINs/ElectraNet%202017-18%20-%20RIN%20response%20-%20Economic%20benchmarking%20-%20Consolidated%20-%20PUBLI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2018/TNSP%20data%20files/RINs/Powerlink%202017-18%20-%20RIN%20response%20-%20Economic%20Benchmarking%20-%20Consolidated%20-%20PUBLIC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2018/TNSP%20data%20files/RINs/AusNet%20Services%20(T)%20(SP%20AusNet)%202017-18%20-%20RIN%20response%20-%20Economic%20Benchmarking%20-%20Consolidated%20-%20PUBLI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2018/TNSP%20data%20files/RINs/Tasnetworks%20(Transend)%202017-18%20-%20RIN%20response%20-%20Economic%20benchmarking%20-%20Consolidated%20-%20PUBLIC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2018/TNSP%20data%20files/RINs/TransGrid%202017-18%20-%20RIN%20response%20-%20Economic%20benchmarking%20-%20Consolidated%20-%20PUBLI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LogofChanges"/>
      <sheetName val="Financial charts"/>
      <sheetName val="Non-Financial charts"/>
      <sheetName val="Analysis"/>
      <sheetName val="Total cost"/>
      <sheetName val="Asset cost"/>
      <sheetName val="RAB"/>
      <sheetName val="Opex"/>
      <sheetName val="Depreciation"/>
      <sheetName val="Capex"/>
      <sheetName val="Zonesubstationtransformation"/>
      <sheetName val="CPI"/>
      <sheetName val="Reliability"/>
      <sheetName val="Physical data"/>
      <sheetName val="State Charts an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E6">
            <v>2016</v>
          </cell>
        </row>
        <row r="8">
          <cell r="E8">
            <v>110</v>
          </cell>
        </row>
      </sheetData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5 Physical assets"/>
      <sheetName val="3.6 Quality of services"/>
      <sheetName val="3.4 Operational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6">
          <cell r="D26">
            <v>42163.488406169992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finitions"/>
      <sheetName val="Raw data"/>
      <sheetName val="Capex"/>
      <sheetName val="Capex data check"/>
      <sheetName val="Opex"/>
      <sheetName val="Opex data check"/>
      <sheetName val="Physical and other"/>
      <sheetName val="Physical and other data check"/>
      <sheetName val="Reliability"/>
      <sheetName val="Rel - Normalised - Unplanned"/>
      <sheetName val="Rel - Norm'd - Unplanned check"/>
      <sheetName val="Calculations and charts"/>
      <sheetName val="AS Testing Sheet"/>
      <sheetName val="Charts - Expenditure"/>
      <sheetName val="Charts - Reliability"/>
    </sheetNames>
    <sheetDataSet>
      <sheetData sheetId="0"/>
      <sheetData sheetId="1"/>
      <sheetData sheetId="2"/>
      <sheetData sheetId="3">
        <row r="1">
          <cell r="C1">
            <v>1999</v>
          </cell>
          <cell r="D1">
            <v>2000</v>
          </cell>
          <cell r="E1">
            <v>2001</v>
          </cell>
          <cell r="F1">
            <v>2002</v>
          </cell>
          <cell r="G1">
            <v>2003</v>
          </cell>
          <cell r="H1">
            <v>2004</v>
          </cell>
          <cell r="I1">
            <v>2005</v>
          </cell>
          <cell r="J1">
            <v>2006</v>
          </cell>
          <cell r="K1">
            <v>2007</v>
          </cell>
          <cell r="L1">
            <v>2008</v>
          </cell>
          <cell r="M1">
            <v>2009</v>
          </cell>
          <cell r="N1">
            <v>2010</v>
          </cell>
          <cell r="O1">
            <v>2011</v>
          </cell>
          <cell r="P1">
            <v>2012</v>
          </cell>
          <cell r="Q1">
            <v>2013</v>
          </cell>
          <cell r="R1">
            <v>2014</v>
          </cell>
          <cell r="S1">
            <v>2015</v>
          </cell>
          <cell r="T1">
            <v>2016</v>
          </cell>
          <cell r="U1">
            <v>2017</v>
          </cell>
          <cell r="V1">
            <v>2018</v>
          </cell>
          <cell r="W1">
            <v>2019</v>
          </cell>
          <cell r="X1">
            <v>2020</v>
          </cell>
          <cell r="Y1">
            <v>2021</v>
          </cell>
          <cell r="Z1">
            <v>2022</v>
          </cell>
          <cell r="AA1">
            <v>2023</v>
          </cell>
          <cell r="AB1">
            <v>2024</v>
          </cell>
          <cell r="AC1">
            <v>2025</v>
          </cell>
          <cell r="AD1">
            <v>2026</v>
          </cell>
          <cell r="AE1">
            <v>2027</v>
          </cell>
          <cell r="AF1">
            <v>2028</v>
          </cell>
          <cell r="AG1">
            <v>2029</v>
          </cell>
          <cell r="AH1">
            <v>2030</v>
          </cell>
          <cell r="AI1">
            <v>2031</v>
          </cell>
          <cell r="AJ1">
            <v>2032</v>
          </cell>
          <cell r="AK1">
            <v>2033</v>
          </cell>
          <cell r="AL1">
            <v>2034</v>
          </cell>
          <cell r="AM1">
            <v>2035</v>
          </cell>
          <cell r="AN1">
            <v>2036</v>
          </cell>
          <cell r="AO1">
            <v>2037</v>
          </cell>
          <cell r="AP1">
            <v>2038</v>
          </cell>
          <cell r="AQ1">
            <v>2039</v>
          </cell>
          <cell r="AR1">
            <v>2040</v>
          </cell>
          <cell r="AS1">
            <v>2041</v>
          </cell>
          <cell r="AT1">
            <v>2042</v>
          </cell>
          <cell r="AU1">
            <v>2043</v>
          </cell>
          <cell r="AV1">
            <v>2044</v>
          </cell>
          <cell r="AW1">
            <v>2045</v>
          </cell>
          <cell r="AX1">
            <v>2046</v>
          </cell>
          <cell r="AY1">
            <v>2047</v>
          </cell>
          <cell r="AZ1">
            <v>2048</v>
          </cell>
          <cell r="BA1">
            <v>2049</v>
          </cell>
          <cell r="BB1">
            <v>2050</v>
          </cell>
          <cell r="BC1">
            <v>2051</v>
          </cell>
          <cell r="BD1">
            <v>2052</v>
          </cell>
          <cell r="BE1">
            <v>2053</v>
          </cell>
          <cell r="BF1">
            <v>2054</v>
          </cell>
          <cell r="BG1">
            <v>2055</v>
          </cell>
          <cell r="BH1">
            <v>2056</v>
          </cell>
          <cell r="BI1">
            <v>2057</v>
          </cell>
          <cell r="BJ1">
            <v>2058</v>
          </cell>
          <cell r="BK1">
            <v>2059</v>
          </cell>
          <cell r="BL1">
            <v>2060</v>
          </cell>
          <cell r="BM1">
            <v>2061</v>
          </cell>
          <cell r="BN1">
            <v>2062</v>
          </cell>
          <cell r="BO1">
            <v>2063</v>
          </cell>
          <cell r="BP1">
            <v>2064</v>
          </cell>
          <cell r="BQ1">
            <v>2065</v>
          </cell>
          <cell r="BR1">
            <v>2066</v>
          </cell>
          <cell r="BS1">
            <v>2067</v>
          </cell>
          <cell r="BT1">
            <v>2068</v>
          </cell>
          <cell r="BU1">
            <v>2069</v>
          </cell>
          <cell r="BV1">
            <v>2070</v>
          </cell>
          <cell r="BW1">
            <v>2071</v>
          </cell>
          <cell r="BX1">
            <v>2072</v>
          </cell>
          <cell r="BY1">
            <v>2073</v>
          </cell>
          <cell r="BZ1">
            <v>2074</v>
          </cell>
          <cell r="CA1">
            <v>2075</v>
          </cell>
          <cell r="CB1">
            <v>2076</v>
          </cell>
          <cell r="CC1">
            <v>2077</v>
          </cell>
          <cell r="CD1">
            <v>2078</v>
          </cell>
          <cell r="CE1">
            <v>2079</v>
          </cell>
          <cell r="CF1">
            <v>2080</v>
          </cell>
          <cell r="CG1">
            <v>2081</v>
          </cell>
          <cell r="CH1">
            <v>2082</v>
          </cell>
          <cell r="CI1">
            <v>2083</v>
          </cell>
          <cell r="CJ1">
            <v>2084</v>
          </cell>
          <cell r="CK1">
            <v>2085</v>
          </cell>
          <cell r="CL1">
            <v>2086</v>
          </cell>
          <cell r="CM1">
            <v>2087</v>
          </cell>
          <cell r="CN1">
            <v>2088</v>
          </cell>
          <cell r="CO1">
            <v>2089</v>
          </cell>
          <cell r="CP1">
            <v>2090</v>
          </cell>
          <cell r="CQ1">
            <v>2091</v>
          </cell>
          <cell r="CR1">
            <v>2092</v>
          </cell>
          <cell r="CS1">
            <v>2093</v>
          </cell>
          <cell r="CT1">
            <v>2094</v>
          </cell>
          <cell r="CU1">
            <v>2095</v>
          </cell>
          <cell r="CV1">
            <v>2096</v>
          </cell>
          <cell r="CW1">
            <v>2097</v>
          </cell>
          <cell r="CX1">
            <v>2098</v>
          </cell>
          <cell r="CY1">
            <v>2099</v>
          </cell>
          <cell r="CZ1">
            <v>2100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RM inputs"/>
      <sheetName val="WACC - annual"/>
      <sheetName val="WACC - daily"/>
      <sheetName val="Derived cost of debt"/>
      <sheetName val="Raw CGS FVC"/>
      <sheetName val="Raw BBB FVC"/>
      <sheetName val="Raw A FVC"/>
      <sheetName val="Raw AA FVC"/>
      <sheetName val="Raw AAA FVC"/>
      <sheetName val="Sheet1"/>
    </sheetNames>
    <sheetDataSet>
      <sheetData sheetId="0">
        <row r="26">
          <cell r="L26">
            <v>4.879259787239798E-2</v>
          </cell>
          <cell r="M26">
            <v>3.721950511548755E-2</v>
          </cell>
          <cell r="N26">
            <v>3.7046882206681842E-2</v>
          </cell>
          <cell r="O26">
            <v>3.3970570830889946E-2</v>
          </cell>
          <cell r="P26">
            <v>3.2952098699375432E-2</v>
          </cell>
        </row>
        <row r="28">
          <cell r="L28">
            <v>5.0931726553755663E-3</v>
          </cell>
          <cell r="M28">
            <v>4.4900118032589198E-3</v>
          </cell>
          <cell r="N28">
            <v>4.2768960354727867E-3</v>
          </cell>
          <cell r="O28">
            <v>4.162531414285419E-3</v>
          </cell>
          <cell r="P28">
            <v>4.3197526254985935E-3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ed Data"/>
      <sheetName val="TNSP Shazam Data"/>
      <sheetName val="Industry Data"/>
    </sheetNames>
    <sheetDataSet>
      <sheetData sheetId="0">
        <row r="8">
          <cell r="D8">
            <v>3978.391944861738</v>
          </cell>
          <cell r="E8">
            <v>3976.363032332024</v>
          </cell>
          <cell r="F8">
            <v>4222.7950166755372</v>
          </cell>
          <cell r="G8">
            <v>4265.2719150267712</v>
          </cell>
          <cell r="H8">
            <v>4285.2901718002513</v>
          </cell>
          <cell r="I8">
            <v>4376.4504351791684</v>
          </cell>
          <cell r="J8">
            <v>4229.0017065495522</v>
          </cell>
          <cell r="K8">
            <v>4403.3212738811562</v>
          </cell>
          <cell r="L8">
            <v>3429.53</v>
          </cell>
          <cell r="M8">
            <v>3175.3143963269999</v>
          </cell>
          <cell r="N8">
            <v>3271.5960879999998</v>
          </cell>
          <cell r="O8">
            <v>3447.559915454</v>
          </cell>
          <cell r="P8">
            <v>3327.2034278649999</v>
          </cell>
          <cell r="Q8">
            <v>11030.569023</v>
          </cell>
          <cell r="R8">
            <v>11737.383156999998</v>
          </cell>
          <cell r="S8">
            <v>11612.320067000001</v>
          </cell>
          <cell r="T8">
            <v>12068.720476999999</v>
          </cell>
          <cell r="U8">
            <v>12247.404947000005</v>
          </cell>
          <cell r="V8">
            <v>11937.636665000005</v>
          </cell>
          <cell r="W8">
            <v>11674.654921999996</v>
          </cell>
          <cell r="X8">
            <v>11664.853734000002</v>
          </cell>
          <cell r="Y8">
            <v>11512.211092999996</v>
          </cell>
          <cell r="Z8">
            <v>11832.312</v>
          </cell>
          <cell r="AA8">
            <v>11995.302618000009</v>
          </cell>
          <cell r="AB8">
            <v>12388.952756999994</v>
          </cell>
          <cell r="AC8">
            <v>12321.175319</v>
          </cell>
          <cell r="AD8">
            <v>8046.7944919762931</v>
          </cell>
          <cell r="AE8">
            <v>9518.2214075162174</v>
          </cell>
          <cell r="AF8">
            <v>9821.7744475221989</v>
          </cell>
          <cell r="AG8">
            <v>10238.839151920494</v>
          </cell>
          <cell r="AH8">
            <v>9875.383784927044</v>
          </cell>
          <cell r="AI8">
            <v>9612.8305056523277</v>
          </cell>
          <cell r="AJ8">
            <v>8932.6058819697173</v>
          </cell>
          <cell r="AK8">
            <v>9569.9413842771264</v>
          </cell>
          <cell r="AL8">
            <v>10258.200000000001</v>
          </cell>
          <cell r="AM8">
            <v>9098.1233667172328</v>
          </cell>
          <cell r="AN8">
            <v>9677.5927963400009</v>
          </cell>
          <cell r="AO8">
            <v>9641.5859999999993</v>
          </cell>
          <cell r="AP8">
            <v>10266.162</v>
          </cell>
          <cell r="AQ8">
            <v>2684.2440000000001</v>
          </cell>
          <cell r="AR8">
            <v>2690.61</v>
          </cell>
          <cell r="AS8">
            <v>2624.2620000000002</v>
          </cell>
          <cell r="AT8">
            <v>2656.152</v>
          </cell>
          <cell r="AU8">
            <v>2634.4740000000002</v>
          </cell>
          <cell r="AV8">
            <v>2597.712</v>
          </cell>
          <cell r="AW8">
            <v>2589.395</v>
          </cell>
          <cell r="AX8">
            <v>2544.7469999999998</v>
          </cell>
          <cell r="AY8">
            <v>2509</v>
          </cell>
          <cell r="AZ8">
            <v>2504.8915876265355</v>
          </cell>
          <cell r="BA8">
            <v>2519.5</v>
          </cell>
          <cell r="BB8">
            <v>2523.6453817803717</v>
          </cell>
          <cell r="BC8">
            <v>2535.3500470044319</v>
          </cell>
          <cell r="BD8">
            <v>18200</v>
          </cell>
          <cell r="BE8">
            <v>18600</v>
          </cell>
          <cell r="BF8">
            <v>18600</v>
          </cell>
          <cell r="BG8">
            <v>18700</v>
          </cell>
          <cell r="BH8">
            <v>18900</v>
          </cell>
          <cell r="BI8">
            <v>19400</v>
          </cell>
          <cell r="BJ8">
            <v>18000</v>
          </cell>
          <cell r="BK8">
            <v>17400</v>
          </cell>
          <cell r="BL8">
            <v>17000</v>
          </cell>
          <cell r="BM8">
            <v>16500</v>
          </cell>
          <cell r="BN8">
            <v>18000</v>
          </cell>
          <cell r="BO8">
            <v>18700</v>
          </cell>
          <cell r="BP8">
            <v>18500</v>
          </cell>
        </row>
        <row r="10">
          <cell r="D10">
            <v>48431</v>
          </cell>
          <cell r="E10">
            <v>52930</v>
          </cell>
          <cell r="F10">
            <v>49444.635999999999</v>
          </cell>
          <cell r="G10">
            <v>54853</v>
          </cell>
          <cell r="H10">
            <v>57567</v>
          </cell>
          <cell r="I10">
            <v>64370</v>
          </cell>
          <cell r="J10">
            <v>72584</v>
          </cell>
          <cell r="K10">
            <v>70527</v>
          </cell>
          <cell r="L10">
            <v>74159.945999999996</v>
          </cell>
          <cell r="M10">
            <v>79605.847320000015</v>
          </cell>
          <cell r="N10">
            <v>85108.198999999993</v>
          </cell>
          <cell r="O10">
            <v>89639.633000000002</v>
          </cell>
          <cell r="P10">
            <v>93127.422000000006</v>
          </cell>
          <cell r="Q10">
            <v>118781</v>
          </cell>
          <cell r="R10">
            <v>128265</v>
          </cell>
          <cell r="S10">
            <v>144112</v>
          </cell>
          <cell r="T10">
            <v>142796</v>
          </cell>
          <cell r="U10">
            <v>151902</v>
          </cell>
          <cell r="V10">
            <v>151029</v>
          </cell>
          <cell r="W10">
            <v>160384</v>
          </cell>
          <cell r="X10">
            <v>167377.59669000003</v>
          </cell>
          <cell r="Y10">
            <v>181019.7816758781</v>
          </cell>
          <cell r="Z10">
            <v>211260.9936596599</v>
          </cell>
          <cell r="AA10">
            <v>217661</v>
          </cell>
          <cell r="AB10">
            <v>226261.149</v>
          </cell>
          <cell r="AC10">
            <v>187614.23428</v>
          </cell>
          <cell r="AD10">
            <v>61764.624702139656</v>
          </cell>
          <cell r="AE10">
            <v>61817.594227019435</v>
          </cell>
          <cell r="AF10">
            <v>58269.389500000005</v>
          </cell>
          <cell r="AG10">
            <v>77590.490999999995</v>
          </cell>
          <cell r="AH10">
            <v>80063.390000000014</v>
          </cell>
          <cell r="AI10">
            <v>75097.619000000006</v>
          </cell>
          <cell r="AJ10">
            <v>72741.886999999988</v>
          </cell>
          <cell r="AK10">
            <v>76129.812000000005</v>
          </cell>
          <cell r="AL10">
            <v>82734.26797981601</v>
          </cell>
          <cell r="AM10">
            <v>84644.97681966683</v>
          </cell>
          <cell r="AN10">
            <v>89390.247875063069</v>
          </cell>
          <cell r="AO10">
            <v>87642.229003035784</v>
          </cell>
          <cell r="AP10">
            <v>81805.580155681397</v>
          </cell>
          <cell r="AQ10">
            <v>35426.048000000003</v>
          </cell>
          <cell r="AR10">
            <v>37656.624000000003</v>
          </cell>
          <cell r="AS10">
            <v>46334.126000000004</v>
          </cell>
          <cell r="AT10">
            <v>46642.640999999996</v>
          </cell>
          <cell r="AU10">
            <v>47779.507999999994</v>
          </cell>
          <cell r="AV10">
            <v>46557.578000000001</v>
          </cell>
          <cell r="AW10">
            <v>46923.140000000007</v>
          </cell>
          <cell r="AX10">
            <v>44976.582999999999</v>
          </cell>
          <cell r="AY10">
            <v>45598</v>
          </cell>
          <cell r="AZ10">
            <v>34705.717769999996</v>
          </cell>
          <cell r="BA10">
            <v>37603.399744925264</v>
          </cell>
          <cell r="BB10">
            <v>32048.191384064245</v>
          </cell>
          <cell r="BC10">
            <v>28974.888076739793</v>
          </cell>
          <cell r="BD10">
            <v>120730</v>
          </cell>
          <cell r="BE10">
            <v>123090</v>
          </cell>
          <cell r="BF10">
            <v>119710</v>
          </cell>
          <cell r="BG10">
            <v>124140</v>
          </cell>
          <cell r="BH10">
            <v>143240</v>
          </cell>
          <cell r="BI10">
            <v>137770</v>
          </cell>
          <cell r="BJ10">
            <v>152110</v>
          </cell>
          <cell r="BK10">
            <v>143050</v>
          </cell>
          <cell r="BL10">
            <v>175638</v>
          </cell>
          <cell r="BM10">
            <v>168228.603</v>
          </cell>
          <cell r="BN10">
            <v>169534.48734000002</v>
          </cell>
          <cell r="BO10">
            <v>170366.70697000079</v>
          </cell>
          <cell r="BP10">
            <v>153556.69399000015</v>
          </cell>
        </row>
        <row r="22">
          <cell r="D22">
            <v>5591.75</v>
          </cell>
          <cell r="E22">
            <v>5509.88</v>
          </cell>
          <cell r="F22">
            <v>5509.88</v>
          </cell>
          <cell r="G22">
            <v>5494.88</v>
          </cell>
          <cell r="H22">
            <v>5492.88</v>
          </cell>
          <cell r="I22">
            <v>5495.88</v>
          </cell>
          <cell r="J22">
            <v>5498.88</v>
          </cell>
          <cell r="K22">
            <v>5500.16</v>
          </cell>
          <cell r="L22">
            <v>5502.2140540000009</v>
          </cell>
          <cell r="M22">
            <v>5494.16</v>
          </cell>
          <cell r="N22">
            <v>5497.16</v>
          </cell>
          <cell r="O22">
            <v>5492.37</v>
          </cell>
          <cell r="P22">
            <v>5494.97</v>
          </cell>
          <cell r="Q22">
            <v>11685</v>
          </cell>
          <cell r="R22">
            <v>11877</v>
          </cell>
          <cell r="S22">
            <v>12413</v>
          </cell>
          <cell r="T22">
            <v>12848</v>
          </cell>
          <cell r="U22">
            <v>13304</v>
          </cell>
          <cell r="V22">
            <v>13717</v>
          </cell>
          <cell r="W22">
            <v>13681</v>
          </cell>
          <cell r="X22">
            <v>14292</v>
          </cell>
          <cell r="Y22">
            <v>14751</v>
          </cell>
          <cell r="Z22">
            <v>14733</v>
          </cell>
          <cell r="AA22">
            <v>14734</v>
          </cell>
          <cell r="AB22">
            <v>14511</v>
          </cell>
          <cell r="AC22">
            <v>14506</v>
          </cell>
          <cell r="AD22">
            <v>6562</v>
          </cell>
          <cell r="AE22">
            <v>6562</v>
          </cell>
          <cell r="AF22">
            <v>6562</v>
          </cell>
          <cell r="AG22">
            <v>6562</v>
          </cell>
          <cell r="AH22">
            <v>6562</v>
          </cell>
          <cell r="AI22">
            <v>6562</v>
          </cell>
          <cell r="AJ22">
            <v>6562</v>
          </cell>
          <cell r="AK22">
            <v>6562</v>
          </cell>
          <cell r="AL22">
            <v>6562</v>
          </cell>
          <cell r="AM22">
            <v>6562</v>
          </cell>
          <cell r="AN22">
            <v>6547.6447567553732</v>
          </cell>
          <cell r="AO22">
            <v>6551.4297109999989</v>
          </cell>
          <cell r="AP22">
            <v>6615.18</v>
          </cell>
          <cell r="AQ22">
            <v>3568</v>
          </cell>
          <cell r="AR22">
            <v>3609</v>
          </cell>
          <cell r="AS22">
            <v>3609</v>
          </cell>
          <cell r="AT22">
            <v>3507</v>
          </cell>
          <cell r="AU22">
            <v>3468</v>
          </cell>
          <cell r="AV22">
            <v>3480</v>
          </cell>
          <cell r="AW22">
            <v>3480</v>
          </cell>
          <cell r="AX22">
            <v>3480</v>
          </cell>
          <cell r="AY22">
            <v>3480</v>
          </cell>
          <cell r="AZ22">
            <v>3539.9</v>
          </cell>
          <cell r="BA22">
            <v>3539.9</v>
          </cell>
          <cell r="BB22">
            <v>3539.8999999999996</v>
          </cell>
          <cell r="BC22">
            <v>3521.3999999999996</v>
          </cell>
          <cell r="BD22">
            <v>12469.323000000002</v>
          </cell>
          <cell r="BE22">
            <v>12478.586000000005</v>
          </cell>
          <cell r="BF22">
            <v>12475.606000000005</v>
          </cell>
          <cell r="BG22">
            <v>12475.441000000004</v>
          </cell>
          <cell r="BH22">
            <v>12634.550999999999</v>
          </cell>
          <cell r="BI22">
            <v>12633.955000000002</v>
          </cell>
          <cell r="BJ22">
            <v>12649.299000000001</v>
          </cell>
          <cell r="BK22">
            <v>12845.709000000003</v>
          </cell>
          <cell r="BL22">
            <v>12878.229000000003</v>
          </cell>
          <cell r="BM22">
            <v>12942.540697599999</v>
          </cell>
          <cell r="BN22">
            <v>12956.955</v>
          </cell>
          <cell r="BO22">
            <v>12996.5323974</v>
          </cell>
          <cell r="BP22">
            <v>13007.854696939969</v>
          </cell>
        </row>
        <row r="34">
          <cell r="D34">
            <v>8.7889999999999997</v>
          </cell>
          <cell r="E34">
            <v>8.7889999999999997</v>
          </cell>
          <cell r="F34">
            <v>8.7889999999999997</v>
          </cell>
          <cell r="G34">
            <v>8.7889999999999997</v>
          </cell>
          <cell r="H34">
            <v>8.7889999999999997</v>
          </cell>
          <cell r="I34">
            <v>8.7889999999999997</v>
          </cell>
          <cell r="J34">
            <v>27.189</v>
          </cell>
          <cell r="K34">
            <v>27.189</v>
          </cell>
          <cell r="L34">
            <v>27.189</v>
          </cell>
          <cell r="M34">
            <v>27.189</v>
          </cell>
          <cell r="N34">
            <v>27.189</v>
          </cell>
          <cell r="O34">
            <v>27.199000000000002</v>
          </cell>
          <cell r="P34">
            <v>27.199000000000002</v>
          </cell>
          <cell r="Q34">
            <v>15.8</v>
          </cell>
          <cell r="R34">
            <v>15.8</v>
          </cell>
          <cell r="S34">
            <v>15.8</v>
          </cell>
          <cell r="T34">
            <v>17.100000000000001</v>
          </cell>
          <cell r="U34">
            <v>17.100000000000001</v>
          </cell>
          <cell r="V34">
            <v>21.4</v>
          </cell>
          <cell r="W34">
            <v>21.4</v>
          </cell>
          <cell r="X34">
            <v>21.5</v>
          </cell>
          <cell r="Y34">
            <v>21.500000000000004</v>
          </cell>
          <cell r="Z34">
            <v>21.500000000000004</v>
          </cell>
          <cell r="AA34">
            <v>21.500000000000004</v>
          </cell>
          <cell r="AB34">
            <v>21.500000000000004</v>
          </cell>
          <cell r="AC34">
            <v>21.500000000000004</v>
          </cell>
          <cell r="AD34">
            <v>11</v>
          </cell>
          <cell r="AE34">
            <v>11</v>
          </cell>
          <cell r="AF34">
            <v>11</v>
          </cell>
          <cell r="AG34">
            <v>11</v>
          </cell>
          <cell r="AH34">
            <v>11</v>
          </cell>
          <cell r="AI34">
            <v>11</v>
          </cell>
          <cell r="AJ34">
            <v>11</v>
          </cell>
          <cell r="AK34">
            <v>11</v>
          </cell>
          <cell r="AL34">
            <v>11</v>
          </cell>
          <cell r="AM34">
            <v>11.2</v>
          </cell>
          <cell r="AN34">
            <v>11.2</v>
          </cell>
          <cell r="AO34">
            <v>8.5423703333333343</v>
          </cell>
          <cell r="AP34">
            <v>8.5399999999999991</v>
          </cell>
          <cell r="AQ34">
            <v>13.3</v>
          </cell>
          <cell r="AR34">
            <v>13.3</v>
          </cell>
          <cell r="AS34">
            <v>13.3</v>
          </cell>
          <cell r="AT34">
            <v>13.3</v>
          </cell>
          <cell r="AU34">
            <v>13.3</v>
          </cell>
          <cell r="AV34">
            <v>13.3</v>
          </cell>
          <cell r="AW34">
            <v>13.3</v>
          </cell>
          <cell r="AX34">
            <v>23.19</v>
          </cell>
          <cell r="AY34">
            <v>23.8</v>
          </cell>
          <cell r="AZ34">
            <v>23.8</v>
          </cell>
          <cell r="BA34">
            <v>23.8</v>
          </cell>
          <cell r="BB34">
            <v>23.8</v>
          </cell>
          <cell r="BC34">
            <v>23.8</v>
          </cell>
          <cell r="BD34">
            <v>47.908000000000001</v>
          </cell>
          <cell r="BE34">
            <v>47.908000000000001</v>
          </cell>
          <cell r="BF34">
            <v>47.908000000000001</v>
          </cell>
          <cell r="BG34">
            <v>47.908000000000001</v>
          </cell>
          <cell r="BH34">
            <v>47.908000000000001</v>
          </cell>
          <cell r="BI34">
            <v>47.908000000000001</v>
          </cell>
          <cell r="BJ34">
            <v>47.908000000000001</v>
          </cell>
          <cell r="BK34">
            <v>47.908000000000001</v>
          </cell>
          <cell r="BL34">
            <v>51.437000000000005</v>
          </cell>
          <cell r="BM34">
            <v>82.22399999999999</v>
          </cell>
          <cell r="BN34">
            <v>82.24</v>
          </cell>
          <cell r="BO34">
            <v>81.581000000000003</v>
          </cell>
          <cell r="BP34">
            <v>81.64</v>
          </cell>
        </row>
        <row r="83">
          <cell r="D83">
            <v>778839</v>
          </cell>
          <cell r="E83">
            <v>779426</v>
          </cell>
          <cell r="F83">
            <v>781110</v>
          </cell>
          <cell r="G83">
            <v>814467</v>
          </cell>
          <cell r="H83">
            <v>826964</v>
          </cell>
          <cell r="I83">
            <v>836055</v>
          </cell>
          <cell r="J83">
            <v>844153</v>
          </cell>
          <cell r="K83">
            <v>847766</v>
          </cell>
          <cell r="L83">
            <v>851766.5</v>
          </cell>
          <cell r="M83">
            <v>853939</v>
          </cell>
          <cell r="N83">
            <v>858646.5</v>
          </cell>
          <cell r="O83">
            <v>878299.5</v>
          </cell>
          <cell r="P83">
            <v>894397</v>
          </cell>
          <cell r="Q83">
            <v>1836193.56238094</v>
          </cell>
          <cell r="R83">
            <v>1871223.97666665</v>
          </cell>
          <cell r="S83">
            <v>1911491.9433333301</v>
          </cell>
          <cell r="T83">
            <v>1950651.6833333101</v>
          </cell>
          <cell r="U83">
            <v>1984514.33333332</v>
          </cell>
          <cell r="V83">
            <v>2015522.49999999</v>
          </cell>
          <cell r="W83">
            <v>2043128.49999999</v>
          </cell>
          <cell r="X83">
            <v>2070142.49999999</v>
          </cell>
          <cell r="Y83">
            <v>2098413</v>
          </cell>
          <cell r="Z83">
            <v>2125481.5</v>
          </cell>
          <cell r="AA83">
            <v>2160875.5</v>
          </cell>
          <cell r="AB83">
            <v>2193748</v>
          </cell>
          <cell r="AC83">
            <v>2233927</v>
          </cell>
          <cell r="AD83">
            <v>2470249.51547518</v>
          </cell>
          <cell r="AE83">
            <v>2509726.8842806499</v>
          </cell>
          <cell r="AF83">
            <v>2545782.2358690398</v>
          </cell>
          <cell r="AG83">
            <v>2578966.0261046896</v>
          </cell>
          <cell r="AH83">
            <v>2614510.15936684</v>
          </cell>
          <cell r="AI83">
            <v>2654853.9193331497</v>
          </cell>
          <cell r="AJ83">
            <v>2695849.7355015501</v>
          </cell>
          <cell r="AK83">
            <v>2733294.23256562</v>
          </cell>
          <cell r="AL83">
            <v>2753233.8908079602</v>
          </cell>
          <cell r="AM83">
            <v>2797458.1834702599</v>
          </cell>
          <cell r="AN83">
            <v>2845589</v>
          </cell>
          <cell r="AO83">
            <v>2902040</v>
          </cell>
          <cell r="AP83">
            <v>2948966</v>
          </cell>
          <cell r="AQ83">
            <v>250642.5242013</v>
          </cell>
          <cell r="AR83">
            <v>255484.38545674999</v>
          </cell>
          <cell r="AS83">
            <v>260424.25945124001</v>
          </cell>
          <cell r="AT83">
            <v>265464.13023523003</v>
          </cell>
          <cell r="AU83">
            <v>270606.02202186</v>
          </cell>
          <cell r="AV83">
            <v>275851.99999998999</v>
          </cell>
          <cell r="AW83">
            <v>278391.99999998999</v>
          </cell>
          <cell r="AX83">
            <v>279867.99999998999</v>
          </cell>
          <cell r="AY83">
            <v>280750</v>
          </cell>
          <cell r="AZ83">
            <v>283059</v>
          </cell>
          <cell r="BA83">
            <v>285325</v>
          </cell>
          <cell r="BB83">
            <v>287651.5001</v>
          </cell>
          <cell r="BC83">
            <v>287936</v>
          </cell>
          <cell r="BD83">
            <v>3349280.7933019502</v>
          </cell>
          <cell r="BE83">
            <v>3382886.3052992402</v>
          </cell>
          <cell r="BF83">
            <v>3417292.5367963999</v>
          </cell>
          <cell r="BG83">
            <v>3447420.2077966202</v>
          </cell>
          <cell r="BH83">
            <v>3473076.79272155</v>
          </cell>
          <cell r="BI83">
            <v>3507176.7698001899</v>
          </cell>
          <cell r="BJ83">
            <v>3536976.1883934401</v>
          </cell>
          <cell r="BK83">
            <v>3575936.323899</v>
          </cell>
          <cell r="BL83">
            <v>3624129</v>
          </cell>
          <cell r="BM83">
            <v>3674243</v>
          </cell>
          <cell r="BN83">
            <v>3720662.2206584597</v>
          </cell>
          <cell r="BO83">
            <v>3774559.4999999898</v>
          </cell>
          <cell r="BP83">
            <v>3836363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ElectraNet 2017-18 - RIN respon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6">
          <cell r="C56">
            <v>93127422</v>
          </cell>
        </row>
      </sheetData>
      <sheetData sheetId="6" refreshError="1"/>
      <sheetData sheetId="7">
        <row r="14">
          <cell r="C14">
            <v>-103984564.12373078</v>
          </cell>
        </row>
        <row r="15">
          <cell r="C15">
            <v>204289220.00560573</v>
          </cell>
        </row>
        <row r="69">
          <cell r="C69">
            <v>520532393.79215574</v>
          </cell>
        </row>
        <row r="70">
          <cell r="C70">
            <v>104051300.09404072</v>
          </cell>
        </row>
        <row r="71">
          <cell r="C71">
            <v>1090199476.440166</v>
          </cell>
        </row>
        <row r="72">
          <cell r="C72">
            <v>107913623.67676431</v>
          </cell>
        </row>
        <row r="73">
          <cell r="C73">
            <v>433372270.52274102</v>
          </cell>
        </row>
        <row r="74">
          <cell r="C74">
            <v>27253819.769905701</v>
          </cell>
        </row>
      </sheetData>
      <sheetData sheetId="8" refreshError="1">
        <row r="25">
          <cell r="D25">
            <v>11444.832423724381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Powerlink 2017-18 - RIN respons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6">
          <cell r="C56">
            <v>187614234.28</v>
          </cell>
        </row>
      </sheetData>
      <sheetData sheetId="6" refreshError="1"/>
      <sheetData sheetId="7">
        <row r="14">
          <cell r="C14">
            <v>-261276591.77307546</v>
          </cell>
        </row>
        <row r="15">
          <cell r="C15">
            <v>124148142.40923423</v>
          </cell>
        </row>
        <row r="69">
          <cell r="C69">
            <v>3256246357.7334156</v>
          </cell>
        </row>
        <row r="70">
          <cell r="C70">
            <v>47022732.370214231</v>
          </cell>
        </row>
        <row r="71">
          <cell r="C71">
            <v>2504489309.2515402</v>
          </cell>
        </row>
        <row r="72">
          <cell r="C72">
            <v>453534648.28906929</v>
          </cell>
        </row>
        <row r="73">
          <cell r="C73">
            <v>217861311.74114609</v>
          </cell>
        </row>
        <row r="74">
          <cell r="C74">
            <v>62201548.125697955</v>
          </cell>
        </row>
      </sheetData>
      <sheetData sheetId="8" refreshError="1">
        <row r="25">
          <cell r="D25">
            <v>54849.858036833997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AusNet Services (T) (SP AusNet)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0">
          <cell r="C20">
            <v>136365015</v>
          </cell>
        </row>
      </sheetData>
      <sheetData sheetId="6" refreshError="1"/>
      <sheetData sheetId="7">
        <row r="14">
          <cell r="C14">
            <v>-170906180.48810545</v>
          </cell>
        </row>
        <row r="15">
          <cell r="C15">
            <v>113724564.13357373</v>
          </cell>
        </row>
        <row r="69">
          <cell r="C69">
            <v>1066690898.8027428</v>
          </cell>
        </row>
        <row r="70">
          <cell r="C70">
            <v>32836051.702854056</v>
          </cell>
        </row>
        <row r="71">
          <cell r="C71">
            <v>1335948360.1540978</v>
          </cell>
        </row>
        <row r="72">
          <cell r="C72">
            <v>136103397.91513449</v>
          </cell>
        </row>
        <row r="73">
          <cell r="C73">
            <v>310175653.48011422</v>
          </cell>
        </row>
        <row r="74">
          <cell r="C74">
            <v>66888511.85758172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asnetworks (Transend) 2017-18 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6">
          <cell r="C56">
            <v>28974888.076739792</v>
          </cell>
        </row>
      </sheetData>
      <sheetData sheetId="6" refreshError="1"/>
      <sheetData sheetId="7">
        <row r="14">
          <cell r="C14">
            <v>-61390494.942420773</v>
          </cell>
        </row>
        <row r="15">
          <cell r="C15">
            <v>47336276.340199895</v>
          </cell>
        </row>
        <row r="69">
          <cell r="C69">
            <v>499931478.36867225</v>
          </cell>
        </row>
        <row r="70">
          <cell r="C70">
            <v>28561437.39424032</v>
          </cell>
        </row>
        <row r="71">
          <cell r="C71">
            <v>647478513.11667204</v>
          </cell>
        </row>
        <row r="72">
          <cell r="C72">
            <v>107208649.6376372</v>
          </cell>
        </row>
        <row r="73">
          <cell r="C73">
            <v>78211077.64530462</v>
          </cell>
        </row>
        <row r="74">
          <cell r="C74">
            <v>9674250.1560120657</v>
          </cell>
        </row>
      </sheetData>
      <sheetData sheetId="8" refreshError="1">
        <row r="25">
          <cell r="D25">
            <v>12434.326120010002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ransGrid 2017-18 - RIN respons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>
        <row r="20">
          <cell r="C20">
            <v>713126124.0323025</v>
          </cell>
        </row>
      </sheetData>
      <sheetData sheetId="5">
        <row r="56">
          <cell r="C56">
            <v>153556693.99000016</v>
          </cell>
        </row>
      </sheetData>
      <sheetData sheetId="6"/>
      <sheetData sheetId="7">
        <row r="14">
          <cell r="C14">
            <v>-265038966.94009852</v>
          </cell>
        </row>
        <row r="15">
          <cell r="C15">
            <v>239882389.90682527</v>
          </cell>
        </row>
        <row r="69">
          <cell r="C69">
            <v>1654041871.7922373</v>
          </cell>
        </row>
        <row r="70">
          <cell r="C70">
            <v>202801368.48791707</v>
          </cell>
        </row>
        <row r="71">
          <cell r="C71">
            <v>2932398691.9981418</v>
          </cell>
        </row>
        <row r="72">
          <cell r="C72">
            <v>867646292.81098557</v>
          </cell>
        </row>
        <row r="73">
          <cell r="C73">
            <v>323711656.69487941</v>
          </cell>
        </row>
        <row r="74">
          <cell r="C74">
            <v>60938099.596239656</v>
          </cell>
        </row>
      </sheetData>
      <sheetData sheetId="8">
        <row r="25">
          <cell r="D25">
            <v>75700</v>
          </cell>
        </row>
      </sheetData>
      <sheetData sheetId="9">
        <row r="12">
          <cell r="D12">
            <v>1023.7574999236784</v>
          </cell>
        </row>
      </sheetData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A29" sqref="A29"/>
    </sheetView>
  </sheetViews>
  <sheetFormatPr defaultColWidth="8.7109375" defaultRowHeight="15" x14ac:dyDescent="0.25"/>
  <cols>
    <col min="1" max="1" width="101.5703125" style="37" customWidth="1"/>
    <col min="2" max="9" width="8.7109375" style="37"/>
    <col min="10" max="16384" width="8.7109375" style="17"/>
  </cols>
  <sheetData>
    <row r="1" spans="1:9" ht="14.45" x14ac:dyDescent="0.35">
      <c r="A1" s="11" t="s">
        <v>83</v>
      </c>
    </row>
    <row r="2" spans="1:9" ht="14.45" x14ac:dyDescent="0.35">
      <c r="A2" s="38" t="s">
        <v>121</v>
      </c>
    </row>
    <row r="4" spans="1:9" ht="14.45" x14ac:dyDescent="0.35">
      <c r="A4" s="39" t="s">
        <v>77</v>
      </c>
    </row>
    <row r="5" spans="1:9" ht="14.45" x14ac:dyDescent="0.35">
      <c r="A5" s="37" t="s">
        <v>120</v>
      </c>
    </row>
    <row r="7" spans="1:9" x14ac:dyDescent="0.25">
      <c r="A7" s="39" t="s">
        <v>78</v>
      </c>
    </row>
    <row r="8" spans="1:9" x14ac:dyDescent="0.25">
      <c r="A8" s="40" t="s">
        <v>79</v>
      </c>
    </row>
    <row r="9" spans="1:9" s="43" customFormat="1" ht="29.1" customHeight="1" x14ac:dyDescent="0.25">
      <c r="A9" s="41" t="s">
        <v>80</v>
      </c>
      <c r="B9" s="42"/>
      <c r="C9" s="42"/>
      <c r="D9" s="42"/>
      <c r="E9" s="42"/>
      <c r="F9" s="42"/>
      <c r="G9" s="42"/>
      <c r="H9" s="42"/>
      <c r="I9" s="42"/>
    </row>
    <row r="10" spans="1:9" ht="14.45" customHeight="1" x14ac:dyDescent="0.25">
      <c r="A10" s="41" t="s">
        <v>87</v>
      </c>
    </row>
    <row r="11" spans="1:9" s="43" customFormat="1" ht="14.45" customHeight="1" x14ac:dyDescent="0.25">
      <c r="A11" s="41" t="s">
        <v>86</v>
      </c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41" t="s">
        <v>85</v>
      </c>
    </row>
    <row r="13" spans="1:9" s="43" customFormat="1" ht="14.45" customHeight="1" x14ac:dyDescent="0.25">
      <c r="A13" s="41" t="s">
        <v>81</v>
      </c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40" t="s">
        <v>84</v>
      </c>
    </row>
    <row r="15" spans="1:9" s="37" customFormat="1" x14ac:dyDescent="0.25"/>
    <row r="17" spans="1:1" s="37" customFormat="1" x14ac:dyDescent="0.25">
      <c r="A17" s="44" t="s">
        <v>82</v>
      </c>
    </row>
    <row r="18" spans="1:1" s="37" customFormat="1" x14ac:dyDescent="0.25">
      <c r="A18" s="40" t="s">
        <v>90</v>
      </c>
    </row>
    <row r="19" spans="1:1" s="37" customFormat="1" x14ac:dyDescent="0.25">
      <c r="A19" s="40" t="s">
        <v>88</v>
      </c>
    </row>
    <row r="20" spans="1:1" s="37" customFormat="1" x14ac:dyDescent="0.25">
      <c r="A20" s="40" t="s">
        <v>97</v>
      </c>
    </row>
    <row r="21" spans="1:1" s="37" customFormat="1" x14ac:dyDescent="0.25">
      <c r="A21" s="40" t="s">
        <v>89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CU52"/>
  <sheetViews>
    <sheetView topLeftCell="A22" zoomScaleNormal="100" workbookViewId="0">
      <selection activeCell="Q48" sqref="Q48:Q52"/>
    </sheetView>
  </sheetViews>
  <sheetFormatPr defaultRowHeight="15" x14ac:dyDescent="0.25"/>
  <cols>
    <col min="1" max="1" width="9.140625" style="68"/>
    <col min="2" max="2" width="32.28515625" customWidth="1"/>
    <col min="3" max="3" width="12.85546875" style="17" bestFit="1" customWidth="1"/>
    <col min="4" max="13" width="12.28515625" customWidth="1"/>
    <col min="14" max="16" width="12.28515625" style="17" customWidth="1"/>
    <col min="17" max="17" width="12.28515625" customWidth="1"/>
  </cols>
  <sheetData>
    <row r="1" spans="1:99" x14ac:dyDescent="0.25">
      <c r="A1" s="33" t="s">
        <v>93</v>
      </c>
      <c r="B1" s="33" t="s">
        <v>93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99" x14ac:dyDescent="0.25">
      <c r="A2" s="33" t="s">
        <v>52</v>
      </c>
      <c r="B2" s="33" t="s">
        <v>52</v>
      </c>
      <c r="C2" s="32" t="s">
        <v>68</v>
      </c>
      <c r="D2" s="18">
        <v>2006</v>
      </c>
      <c r="E2" s="18">
        <v>2007</v>
      </c>
      <c r="F2" s="18">
        <v>2008</v>
      </c>
      <c r="G2" s="18">
        <v>2009</v>
      </c>
      <c r="H2" s="18">
        <v>2010</v>
      </c>
      <c r="I2" s="18">
        <v>2011</v>
      </c>
      <c r="J2" s="18">
        <v>2012</v>
      </c>
      <c r="K2" s="18">
        <v>2013</v>
      </c>
      <c r="L2" s="18">
        <v>2014</v>
      </c>
      <c r="M2" s="18">
        <v>2015</v>
      </c>
      <c r="N2" s="18">
        <v>2016</v>
      </c>
      <c r="O2" s="18">
        <v>2017</v>
      </c>
      <c r="P2" s="18">
        <v>2018</v>
      </c>
      <c r="Q2" s="32"/>
      <c r="R2" s="32"/>
      <c r="S2" s="32"/>
      <c r="T2" s="32"/>
    </row>
    <row r="3" spans="1:99" x14ac:dyDescent="0.25">
      <c r="A3" s="47" t="s">
        <v>38</v>
      </c>
      <c r="B3" s="47" t="s">
        <v>130</v>
      </c>
      <c r="C3" s="47" t="s">
        <v>67</v>
      </c>
      <c r="D3" s="36">
        <v>15101074.258214997</v>
      </c>
      <c r="E3" s="36">
        <v>13989610</v>
      </c>
      <c r="F3" s="36">
        <v>13083325.236576969</v>
      </c>
      <c r="G3" s="36">
        <v>13513587.369959038</v>
      </c>
      <c r="H3" s="36">
        <v>13846707.414743055</v>
      </c>
      <c r="I3" s="36">
        <v>13881537.225071985</v>
      </c>
      <c r="J3" s="36">
        <v>14062879.897383038</v>
      </c>
      <c r="K3" s="36">
        <v>14283594.450350931</v>
      </c>
      <c r="L3" s="36">
        <v>13957000</v>
      </c>
      <c r="M3" s="36">
        <v>13455329.989999998</v>
      </c>
      <c r="N3" s="36">
        <v>14247978.656044956</v>
      </c>
      <c r="O3" s="36">
        <v>14525020.775061335</v>
      </c>
      <c r="P3" s="36">
        <f>'[5]3.4 Operational data'!$D$25*1000</f>
        <v>11444832.423724381</v>
      </c>
      <c r="Q3" s="32"/>
      <c r="R3" s="49"/>
      <c r="S3" s="49"/>
      <c r="T3" s="49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</row>
    <row r="4" spans="1:99" x14ac:dyDescent="0.25">
      <c r="A4" s="47" t="s">
        <v>21</v>
      </c>
      <c r="B4" s="47" t="s">
        <v>131</v>
      </c>
      <c r="C4" s="47" t="s">
        <v>67</v>
      </c>
      <c r="D4" s="36">
        <v>51045963.444256991</v>
      </c>
      <c r="E4" s="36">
        <v>51964465.679886967</v>
      </c>
      <c r="F4" s="36">
        <v>51187327.595034994</v>
      </c>
      <c r="G4" s="36">
        <v>52191948.260312036</v>
      </c>
      <c r="H4" s="36">
        <v>52848520.626357004</v>
      </c>
      <c r="I4" s="36">
        <v>51917071.191967987</v>
      </c>
      <c r="J4" s="36">
        <v>50878576.976755999</v>
      </c>
      <c r="K4" s="36">
        <v>49333938.670690008</v>
      </c>
      <c r="L4" s="36">
        <v>47613581.421291001</v>
      </c>
      <c r="M4" s="36">
        <v>53087563.425000042</v>
      </c>
      <c r="N4" s="36">
        <v>52872387.581990004</v>
      </c>
      <c r="O4" s="36">
        <v>54253300.021025993</v>
      </c>
      <c r="P4" s="36">
        <f>'[6]3.4 Operational data'!$D$25*1000</f>
        <v>54849858.036833994</v>
      </c>
      <c r="Q4" s="32"/>
      <c r="R4" s="32"/>
      <c r="S4" s="32"/>
      <c r="T4" s="32"/>
    </row>
    <row r="5" spans="1:99" x14ac:dyDescent="0.25">
      <c r="A5" s="47" t="s">
        <v>36</v>
      </c>
      <c r="B5" s="47" t="s">
        <v>132</v>
      </c>
      <c r="C5" s="47" t="s">
        <v>67</v>
      </c>
      <c r="D5" s="36">
        <v>45186299.678676002</v>
      </c>
      <c r="E5" s="36">
        <v>45956437.073729999</v>
      </c>
      <c r="F5" s="36">
        <v>45046718.030759998</v>
      </c>
      <c r="G5" s="36">
        <v>47419179.046665005</v>
      </c>
      <c r="H5" s="36">
        <v>48976636.241105005</v>
      </c>
      <c r="I5" s="36">
        <v>48047970.9925</v>
      </c>
      <c r="J5" s="36">
        <v>47529361.264941998</v>
      </c>
      <c r="K5" s="36">
        <v>49056428.480179004</v>
      </c>
      <c r="L5" s="36">
        <v>48061000</v>
      </c>
      <c r="M5" s="36">
        <v>47655016.950806007</v>
      </c>
      <c r="N5" s="36">
        <v>49224072.375288002</v>
      </c>
      <c r="O5" s="36">
        <v>46829301.624719001</v>
      </c>
      <c r="P5" s="36">
        <f>'[10]3.4 Operational data'!$D$26*1000</f>
        <v>42163488.406169996</v>
      </c>
      <c r="Q5" s="32"/>
      <c r="R5" s="32"/>
      <c r="S5" s="32"/>
      <c r="T5" s="32"/>
    </row>
    <row r="6" spans="1:99" x14ac:dyDescent="0.25">
      <c r="A6" s="47" t="s">
        <v>30</v>
      </c>
      <c r="B6" s="47" t="s">
        <v>133</v>
      </c>
      <c r="C6" s="47" t="s">
        <v>67</v>
      </c>
      <c r="D6" s="36">
        <v>10530108.800000003</v>
      </c>
      <c r="E6" s="36">
        <v>12828493</v>
      </c>
      <c r="F6" s="36">
        <v>13500337</v>
      </c>
      <c r="G6" s="36">
        <v>13412711</v>
      </c>
      <c r="H6" s="36">
        <v>13030212</v>
      </c>
      <c r="I6" s="36">
        <v>13108443</v>
      </c>
      <c r="J6" s="36">
        <v>12589843</v>
      </c>
      <c r="K6" s="36">
        <v>12866188</v>
      </c>
      <c r="L6" s="36">
        <v>13359963.803999998</v>
      </c>
      <c r="M6" s="36">
        <v>13109624.082295986</v>
      </c>
      <c r="N6" s="36">
        <v>11654573.903348012</v>
      </c>
      <c r="O6" s="36">
        <v>12426663.323709674</v>
      </c>
      <c r="P6" s="71">
        <f>'[8]3.4 Operational data'!$D$25*1000</f>
        <v>12434326.120010002</v>
      </c>
      <c r="Q6" s="32"/>
      <c r="R6" s="32"/>
      <c r="S6" s="32"/>
      <c r="T6" s="32"/>
    </row>
    <row r="7" spans="1:99" x14ac:dyDescent="0.25">
      <c r="A7" s="47" t="s">
        <v>39</v>
      </c>
      <c r="B7" s="47" t="s">
        <v>134</v>
      </c>
      <c r="C7" s="47" t="s">
        <v>67</v>
      </c>
      <c r="D7" s="36">
        <v>81500000</v>
      </c>
      <c r="E7" s="36">
        <v>83000000</v>
      </c>
      <c r="F7" s="36">
        <v>82500000</v>
      </c>
      <c r="G7" s="36">
        <v>81100000</v>
      </c>
      <c r="H7" s="36">
        <v>80600000</v>
      </c>
      <c r="I7" s="36">
        <v>79800000</v>
      </c>
      <c r="J7" s="36">
        <v>76600000</v>
      </c>
      <c r="K7" s="36">
        <v>71100000</v>
      </c>
      <c r="L7" s="36">
        <v>67800000.346065998</v>
      </c>
      <c r="M7" s="36">
        <v>74400000</v>
      </c>
      <c r="N7" s="36">
        <v>72200000</v>
      </c>
      <c r="O7" s="36">
        <v>75000000</v>
      </c>
      <c r="P7" s="72">
        <f>'[9]3.4 Operational data'!$D$25*1000</f>
        <v>75700000</v>
      </c>
      <c r="Q7" s="32"/>
      <c r="R7" s="32"/>
      <c r="S7" s="32"/>
      <c r="T7" s="32"/>
    </row>
    <row r="8" spans="1:99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99" s="68" customFormat="1" ht="180" x14ac:dyDescent="0.25">
      <c r="A9" s="51" t="s">
        <v>46</v>
      </c>
      <c r="B9" s="51" t="s">
        <v>46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99" x14ac:dyDescent="0.25">
      <c r="A10" s="51"/>
      <c r="B10" s="51"/>
      <c r="C10" s="32" t="s">
        <v>70</v>
      </c>
      <c r="D10" s="18">
        <v>2006</v>
      </c>
      <c r="E10" s="18">
        <v>2007</v>
      </c>
      <c r="F10" s="18">
        <v>2008</v>
      </c>
      <c r="G10" s="18">
        <v>2009</v>
      </c>
      <c r="H10" s="18">
        <v>2010</v>
      </c>
      <c r="I10" s="18">
        <v>2011</v>
      </c>
      <c r="J10" s="18">
        <v>2012</v>
      </c>
      <c r="K10" s="18">
        <v>2013</v>
      </c>
      <c r="L10" s="18">
        <v>2014</v>
      </c>
      <c r="M10" s="18">
        <v>2015</v>
      </c>
      <c r="N10" s="18">
        <v>2016</v>
      </c>
      <c r="O10" s="18">
        <v>2017</v>
      </c>
      <c r="P10" s="18">
        <v>2018</v>
      </c>
      <c r="Q10" s="32"/>
      <c r="R10" s="32"/>
      <c r="S10" s="32"/>
      <c r="T10" s="32"/>
    </row>
    <row r="11" spans="1:99" x14ac:dyDescent="0.25">
      <c r="A11" s="47" t="s">
        <v>38</v>
      </c>
      <c r="B11" s="47" t="s">
        <v>130</v>
      </c>
      <c r="C11" s="47" t="s">
        <v>69</v>
      </c>
      <c r="D11" s="36">
        <f>'[4]Extracted Data'!D$8</f>
        <v>3978.391944861738</v>
      </c>
      <c r="E11" s="36">
        <f>'[4]Extracted Data'!E$8</f>
        <v>3976.363032332024</v>
      </c>
      <c r="F11" s="36">
        <f>'[4]Extracted Data'!F$8</f>
        <v>4222.7950166755372</v>
      </c>
      <c r="G11" s="36">
        <f>'[4]Extracted Data'!G$8</f>
        <v>4265.2719150267712</v>
      </c>
      <c r="H11" s="36">
        <f>'[4]Extracted Data'!H$8</f>
        <v>4285.2901718002513</v>
      </c>
      <c r="I11" s="36">
        <f>'[4]Extracted Data'!I$8</f>
        <v>4376.4504351791684</v>
      </c>
      <c r="J11" s="36">
        <f>'[4]Extracted Data'!J$8</f>
        <v>4229.0017065495522</v>
      </c>
      <c r="K11" s="36">
        <f>'[4]Extracted Data'!K$8</f>
        <v>4403.3212738811562</v>
      </c>
      <c r="L11" s="36">
        <f>'[4]Extracted Data'!L$8</f>
        <v>3429.53</v>
      </c>
      <c r="M11" s="36">
        <f>'[4]Extracted Data'!M$8</f>
        <v>3175.3143963269999</v>
      </c>
      <c r="N11" s="36">
        <f>'[4]Extracted Data'!N$8</f>
        <v>3271.5960879999998</v>
      </c>
      <c r="O11" s="36">
        <f>'[4]Extracted Data'!O$8</f>
        <v>3447.559915454</v>
      </c>
      <c r="P11" s="36">
        <f>'[4]Extracted Data'!P$8</f>
        <v>3327.2034278649999</v>
      </c>
      <c r="Q11" s="32"/>
      <c r="R11" s="58"/>
      <c r="S11" s="32"/>
      <c r="T11" s="32"/>
    </row>
    <row r="12" spans="1:99" x14ac:dyDescent="0.25">
      <c r="A12" s="47" t="s">
        <v>21</v>
      </c>
      <c r="B12" s="47" t="s">
        <v>131</v>
      </c>
      <c r="C12" s="47" t="s">
        <v>69</v>
      </c>
      <c r="D12" s="36">
        <f>'[4]Extracted Data'!Q$8</f>
        <v>11030.569023</v>
      </c>
      <c r="E12" s="36">
        <f>'[4]Extracted Data'!R$8</f>
        <v>11737.383156999998</v>
      </c>
      <c r="F12" s="36">
        <f>'[4]Extracted Data'!S$8</f>
        <v>11612.320067000001</v>
      </c>
      <c r="G12" s="36">
        <f>'[4]Extracted Data'!T$8</f>
        <v>12068.720476999999</v>
      </c>
      <c r="H12" s="36">
        <f>'[4]Extracted Data'!U$8</f>
        <v>12247.404947000005</v>
      </c>
      <c r="I12" s="36">
        <f>'[4]Extracted Data'!V$8</f>
        <v>11937.636665000005</v>
      </c>
      <c r="J12" s="36">
        <f>'[4]Extracted Data'!W$8</f>
        <v>11674.654921999996</v>
      </c>
      <c r="K12" s="36">
        <f>'[4]Extracted Data'!X$8</f>
        <v>11664.853734000002</v>
      </c>
      <c r="L12" s="36">
        <f>'[4]Extracted Data'!Y$8</f>
        <v>11512.211092999996</v>
      </c>
      <c r="M12" s="36">
        <f>'[4]Extracted Data'!Z$8</f>
        <v>11832.312</v>
      </c>
      <c r="N12" s="36">
        <f>'[4]Extracted Data'!AA$8</f>
        <v>11995.302618000009</v>
      </c>
      <c r="O12" s="36">
        <f>'[4]Extracted Data'!AB$8</f>
        <v>12388.952756999994</v>
      </c>
      <c r="P12" s="36">
        <f>'[4]Extracted Data'!AC$8</f>
        <v>12321.175319</v>
      </c>
      <c r="Q12" s="32"/>
      <c r="R12" s="32"/>
      <c r="S12" s="32"/>
      <c r="T12" s="32"/>
    </row>
    <row r="13" spans="1:99" x14ac:dyDescent="0.25">
      <c r="A13" s="47" t="s">
        <v>36</v>
      </c>
      <c r="B13" s="47" t="s">
        <v>132</v>
      </c>
      <c r="C13" s="47" t="s">
        <v>69</v>
      </c>
      <c r="D13" s="36">
        <f>'[4]Extracted Data'!AD$8</f>
        <v>8046.7944919762931</v>
      </c>
      <c r="E13" s="36">
        <f>'[4]Extracted Data'!AE$8</f>
        <v>9518.2214075162174</v>
      </c>
      <c r="F13" s="36">
        <f>'[4]Extracted Data'!AF$8</f>
        <v>9821.7744475221989</v>
      </c>
      <c r="G13" s="36">
        <f>'[4]Extracted Data'!AG$8</f>
        <v>10238.839151920494</v>
      </c>
      <c r="H13" s="36">
        <f>'[4]Extracted Data'!AH$8</f>
        <v>9875.383784927044</v>
      </c>
      <c r="I13" s="36">
        <f>'[4]Extracted Data'!AI$8</f>
        <v>9612.8305056523277</v>
      </c>
      <c r="J13" s="36">
        <f>'[4]Extracted Data'!AJ$8</f>
        <v>8932.6058819697173</v>
      </c>
      <c r="K13" s="36">
        <f>'[4]Extracted Data'!AK$8</f>
        <v>9569.9413842771264</v>
      </c>
      <c r="L13" s="36">
        <f>'[4]Extracted Data'!AL$8</f>
        <v>10258.200000000001</v>
      </c>
      <c r="M13" s="36">
        <f>'[4]Extracted Data'!AM$8</f>
        <v>9098.1233667172328</v>
      </c>
      <c r="N13" s="36">
        <f>'[4]Extracted Data'!AN$8</f>
        <v>9677.5927963400009</v>
      </c>
      <c r="O13" s="36">
        <f>'[4]Extracted Data'!AO$8</f>
        <v>9641.5859999999993</v>
      </c>
      <c r="P13" s="36">
        <f>'[4]Extracted Data'!AP$8</f>
        <v>10266.162</v>
      </c>
      <c r="Q13" s="32"/>
      <c r="R13" s="32"/>
      <c r="S13" s="32"/>
      <c r="T13" s="32"/>
    </row>
    <row r="14" spans="1:99" x14ac:dyDescent="0.25">
      <c r="A14" s="47" t="s">
        <v>30</v>
      </c>
      <c r="B14" s="47" t="s">
        <v>133</v>
      </c>
      <c r="C14" s="47" t="s">
        <v>69</v>
      </c>
      <c r="D14" s="36">
        <f>'[4]Extracted Data'!AQ$8</f>
        <v>2684.2440000000001</v>
      </c>
      <c r="E14" s="36">
        <f>'[4]Extracted Data'!AR$8</f>
        <v>2690.61</v>
      </c>
      <c r="F14" s="36">
        <f>'[4]Extracted Data'!AS$8</f>
        <v>2624.2620000000002</v>
      </c>
      <c r="G14" s="36">
        <f>'[4]Extracted Data'!AT$8</f>
        <v>2656.152</v>
      </c>
      <c r="H14" s="36">
        <f>'[4]Extracted Data'!AU$8</f>
        <v>2634.4740000000002</v>
      </c>
      <c r="I14" s="36">
        <f>'[4]Extracted Data'!AV$8</f>
        <v>2597.712</v>
      </c>
      <c r="J14" s="36">
        <f>'[4]Extracted Data'!AW$8</f>
        <v>2589.395</v>
      </c>
      <c r="K14" s="36">
        <f>'[4]Extracted Data'!AX$8</f>
        <v>2544.7469999999998</v>
      </c>
      <c r="L14" s="36">
        <f>'[4]Extracted Data'!AY$8</f>
        <v>2509</v>
      </c>
      <c r="M14" s="36">
        <f>'[4]Extracted Data'!AZ$8</f>
        <v>2504.8915876265355</v>
      </c>
      <c r="N14" s="36">
        <f>'[4]Extracted Data'!BA$8</f>
        <v>2519.5</v>
      </c>
      <c r="O14" s="36">
        <f>'[4]Extracted Data'!BB$8</f>
        <v>2523.6453817803717</v>
      </c>
      <c r="P14" s="36">
        <f>'[4]Extracted Data'!BC$8</f>
        <v>2535.3500470044319</v>
      </c>
      <c r="Q14" s="32"/>
      <c r="R14" s="32"/>
      <c r="S14" s="32"/>
      <c r="T14" s="32"/>
    </row>
    <row r="15" spans="1:99" x14ac:dyDescent="0.25">
      <c r="A15" s="47" t="s">
        <v>39</v>
      </c>
      <c r="B15" s="47" t="s">
        <v>134</v>
      </c>
      <c r="C15" s="47" t="s">
        <v>69</v>
      </c>
      <c r="D15" s="36">
        <f>'[4]Extracted Data'!BD$8</f>
        <v>18200</v>
      </c>
      <c r="E15" s="36">
        <f>'[4]Extracted Data'!BE$8</f>
        <v>18600</v>
      </c>
      <c r="F15" s="36">
        <f>'[4]Extracted Data'!BF$8</f>
        <v>18600</v>
      </c>
      <c r="G15" s="36">
        <f>'[4]Extracted Data'!BG$8</f>
        <v>18700</v>
      </c>
      <c r="H15" s="36">
        <f>'[4]Extracted Data'!BH$8</f>
        <v>18900</v>
      </c>
      <c r="I15" s="36">
        <f>'[4]Extracted Data'!BI$8</f>
        <v>19400</v>
      </c>
      <c r="J15" s="36">
        <f>'[4]Extracted Data'!BJ$8</f>
        <v>18000</v>
      </c>
      <c r="K15" s="36">
        <f>'[4]Extracted Data'!BK$8</f>
        <v>17400</v>
      </c>
      <c r="L15" s="36">
        <f>'[4]Extracted Data'!BL$8</f>
        <v>17000</v>
      </c>
      <c r="M15" s="36">
        <f>'[4]Extracted Data'!BM$8</f>
        <v>16500</v>
      </c>
      <c r="N15" s="36">
        <f>'[4]Extracted Data'!BN$8</f>
        <v>18000</v>
      </c>
      <c r="O15" s="36">
        <f>'[4]Extracted Data'!BO$8</f>
        <v>18700</v>
      </c>
      <c r="P15" s="36">
        <f>'[4]Extracted Data'!BP$8</f>
        <v>18500</v>
      </c>
      <c r="Q15" s="32"/>
      <c r="R15" s="32"/>
      <c r="S15" s="32"/>
      <c r="T15" s="32"/>
    </row>
    <row r="16" spans="1:99" x14ac:dyDescent="0.25">
      <c r="A16" s="32"/>
      <c r="B16" s="32"/>
      <c r="C16" s="32"/>
      <c r="D16" s="32"/>
      <c r="E16" s="45">
        <f>(E11-D11)/D11</f>
        <v>-5.0998306799169473E-4</v>
      </c>
      <c r="F16" s="45">
        <f t="shared" ref="F16:P16" si="0">(F11-E11)/E11</f>
        <v>6.197421672512328E-2</v>
      </c>
      <c r="G16" s="45">
        <f t="shared" si="0"/>
        <v>1.0058953414384444E-2</v>
      </c>
      <c r="H16" s="45">
        <f t="shared" si="0"/>
        <v>4.6933131514909328E-3</v>
      </c>
      <c r="I16" s="45">
        <f t="shared" si="0"/>
        <v>2.1272833279483764E-2</v>
      </c>
      <c r="J16" s="45">
        <f t="shared" si="0"/>
        <v>-3.3691396901100693E-2</v>
      </c>
      <c r="K16" s="45">
        <f t="shared" si="0"/>
        <v>4.1220027663179074E-2</v>
      </c>
      <c r="L16" s="45">
        <f t="shared" si="0"/>
        <v>-0.2211492674080629</v>
      </c>
      <c r="M16" s="45">
        <f t="shared" si="0"/>
        <v>-7.4125493485404773E-2</v>
      </c>
      <c r="N16" s="45">
        <f t="shared" si="0"/>
        <v>3.0321939705993312E-2</v>
      </c>
      <c r="O16" s="45">
        <f t="shared" si="0"/>
        <v>5.3785315399851479E-2</v>
      </c>
      <c r="P16" s="45">
        <f t="shared" si="0"/>
        <v>-3.4910629703487177E-2</v>
      </c>
      <c r="Q16" s="32"/>
      <c r="R16" s="32"/>
      <c r="S16" s="32"/>
      <c r="T16" s="32"/>
    </row>
    <row r="17" spans="1:42" x14ac:dyDescent="0.25">
      <c r="A17" s="33" t="s">
        <v>47</v>
      </c>
      <c r="B17" s="33" t="s">
        <v>47</v>
      </c>
      <c r="C17" s="33"/>
      <c r="D17" s="18">
        <v>2006</v>
      </c>
      <c r="E17" s="18">
        <v>2007</v>
      </c>
      <c r="F17" s="18">
        <v>2008</v>
      </c>
      <c r="G17" s="18">
        <v>2009</v>
      </c>
      <c r="H17" s="18">
        <v>2010</v>
      </c>
      <c r="I17" s="18">
        <v>2011</v>
      </c>
      <c r="J17" s="18">
        <v>2012</v>
      </c>
      <c r="K17" s="18">
        <v>2013</v>
      </c>
      <c r="L17" s="18">
        <v>2014</v>
      </c>
      <c r="M17" s="18">
        <v>2015</v>
      </c>
      <c r="N17" s="18">
        <v>2016</v>
      </c>
      <c r="O17" s="18">
        <v>2017</v>
      </c>
      <c r="P17" s="18">
        <v>2018</v>
      </c>
      <c r="Q17" s="32"/>
      <c r="R17" s="32"/>
      <c r="S17" s="32"/>
      <c r="T17" s="32"/>
    </row>
    <row r="18" spans="1:42" x14ac:dyDescent="0.25">
      <c r="A18" s="47" t="s">
        <v>38</v>
      </c>
      <c r="B18" s="47" t="s">
        <v>38</v>
      </c>
      <c r="C18" s="47" t="s">
        <v>71</v>
      </c>
      <c r="D18" s="35">
        <v>5875.1</v>
      </c>
      <c r="E18" s="35">
        <v>5974.1</v>
      </c>
      <c r="F18" s="35">
        <v>6007.1</v>
      </c>
      <c r="G18" s="35">
        <v>6546.1</v>
      </c>
      <c r="H18" s="35">
        <v>6953.1</v>
      </c>
      <c r="I18" s="35">
        <v>7052.1</v>
      </c>
      <c r="J18" s="35">
        <v>7129.1</v>
      </c>
      <c r="K18" s="35">
        <v>7129.1</v>
      </c>
      <c r="L18" s="35">
        <v>7195.1</v>
      </c>
      <c r="M18" s="35">
        <v>7470.1</v>
      </c>
      <c r="N18" s="35">
        <v>7470.1</v>
      </c>
      <c r="O18" s="35"/>
      <c r="P18" s="36"/>
      <c r="Q18" s="32"/>
      <c r="R18" s="58"/>
      <c r="S18" s="58"/>
      <c r="T18" s="58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x14ac:dyDescent="0.25">
      <c r="A19" s="47" t="s">
        <v>21</v>
      </c>
      <c r="B19" s="47" t="s">
        <v>21</v>
      </c>
      <c r="C19" s="47" t="s">
        <v>71</v>
      </c>
      <c r="D19" s="35">
        <v>12468.5</v>
      </c>
      <c r="E19" s="35">
        <v>12694</v>
      </c>
      <c r="F19" s="35">
        <v>13117.5</v>
      </c>
      <c r="G19" s="35">
        <v>13898.5</v>
      </c>
      <c r="H19" s="35">
        <v>14580.5</v>
      </c>
      <c r="I19" s="35">
        <v>15009.5</v>
      </c>
      <c r="J19" s="35">
        <v>15356</v>
      </c>
      <c r="K19" s="35">
        <v>16214</v>
      </c>
      <c r="L19" s="35">
        <v>17050</v>
      </c>
      <c r="M19" s="35">
        <v>17160</v>
      </c>
      <c r="N19" s="35">
        <v>17407.5</v>
      </c>
      <c r="O19" s="35"/>
      <c r="P19" s="36"/>
      <c r="Q19" s="32"/>
      <c r="R19" s="32"/>
      <c r="S19" s="32"/>
      <c r="T19" s="32"/>
    </row>
    <row r="20" spans="1:42" x14ac:dyDescent="0.25">
      <c r="A20" s="47" t="s">
        <v>36</v>
      </c>
      <c r="B20" s="47" t="s">
        <v>36</v>
      </c>
      <c r="C20" s="47" t="s">
        <v>71</v>
      </c>
      <c r="D20" s="35">
        <v>7330</v>
      </c>
      <c r="E20" s="35">
        <v>7264</v>
      </c>
      <c r="F20" s="35">
        <v>7544</v>
      </c>
      <c r="G20" s="35">
        <v>8336</v>
      </c>
      <c r="H20" s="35">
        <v>8402</v>
      </c>
      <c r="I20" s="35">
        <v>8424</v>
      </c>
      <c r="J20" s="35">
        <v>9144</v>
      </c>
      <c r="K20" s="35">
        <v>10210</v>
      </c>
      <c r="L20" s="35">
        <v>10260</v>
      </c>
      <c r="M20" s="35">
        <v>9320</v>
      </c>
      <c r="N20" s="35">
        <v>9320</v>
      </c>
      <c r="O20" s="35"/>
      <c r="P20" s="36"/>
      <c r="Q20" s="32"/>
      <c r="R20" s="32"/>
      <c r="S20" s="32"/>
      <c r="T20" s="32"/>
    </row>
    <row r="21" spans="1:42" x14ac:dyDescent="0.25">
      <c r="A21" s="47" t="s">
        <v>30</v>
      </c>
      <c r="B21" s="47" t="s">
        <v>30</v>
      </c>
      <c r="C21" s="47" t="s">
        <v>71</v>
      </c>
      <c r="D21" s="35">
        <v>5893.8</v>
      </c>
      <c r="E21" s="35">
        <v>5882.8</v>
      </c>
      <c r="F21" s="35">
        <v>5860.8</v>
      </c>
      <c r="G21" s="35">
        <v>5970.8</v>
      </c>
      <c r="H21" s="35">
        <v>5860.8</v>
      </c>
      <c r="I21" s="35">
        <v>5893.8</v>
      </c>
      <c r="J21" s="35">
        <v>5948.8</v>
      </c>
      <c r="K21" s="35">
        <v>6058.8</v>
      </c>
      <c r="L21" s="35">
        <v>6058.8</v>
      </c>
      <c r="M21" s="35">
        <v>6058.8</v>
      </c>
      <c r="N21" s="35">
        <v>6058.8</v>
      </c>
      <c r="O21" s="35"/>
      <c r="P21" s="36"/>
      <c r="Q21" s="32"/>
      <c r="R21" s="32"/>
      <c r="S21" s="32"/>
      <c r="T21" s="32"/>
    </row>
    <row r="22" spans="1:42" x14ac:dyDescent="0.25">
      <c r="A22" s="47" t="s">
        <v>39</v>
      </c>
      <c r="B22" s="47" t="s">
        <v>39</v>
      </c>
      <c r="C22" s="47" t="s">
        <v>71</v>
      </c>
      <c r="D22" s="35">
        <v>14481</v>
      </c>
      <c r="E22" s="35">
        <v>14481</v>
      </c>
      <c r="F22" s="35">
        <v>15108</v>
      </c>
      <c r="G22" s="35">
        <v>15883.5</v>
      </c>
      <c r="H22" s="35">
        <v>16348</v>
      </c>
      <c r="I22" s="35">
        <v>16895</v>
      </c>
      <c r="J22" s="35">
        <v>17192</v>
      </c>
      <c r="K22" s="35">
        <v>17456</v>
      </c>
      <c r="L22" s="35">
        <v>17621</v>
      </c>
      <c r="M22" s="35">
        <v>17720</v>
      </c>
      <c r="N22" s="35">
        <v>18182</v>
      </c>
      <c r="O22" s="35"/>
      <c r="P22" s="36"/>
      <c r="Q22" s="32"/>
      <c r="R22" s="32"/>
      <c r="S22" s="32"/>
      <c r="T22" s="32"/>
    </row>
    <row r="23" spans="1:42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42" ht="45" x14ac:dyDescent="0.25">
      <c r="A24" s="33" t="s">
        <v>40</v>
      </c>
      <c r="B24" s="33" t="s">
        <v>40</v>
      </c>
      <c r="C24" s="33"/>
      <c r="D24" s="51" t="s">
        <v>37</v>
      </c>
      <c r="E24" s="51" t="s">
        <v>22</v>
      </c>
      <c r="F24" s="51" t="s">
        <v>19</v>
      </c>
      <c r="G24" s="51" t="s">
        <v>127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42" s="17" customFormat="1" x14ac:dyDescent="0.25">
      <c r="A25" s="33"/>
      <c r="B25" s="33"/>
      <c r="C25" s="33"/>
      <c r="D25" s="51" t="str">
        <f>$C$33</f>
        <v>km</v>
      </c>
      <c r="E25" s="51" t="str">
        <f>$C$3</f>
        <v>MWh</v>
      </c>
      <c r="F25" s="51" t="str">
        <f>$C$11</f>
        <v>MVA</v>
      </c>
      <c r="G25" s="51" t="s">
        <v>75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42" x14ac:dyDescent="0.25">
      <c r="A26" s="47" t="s">
        <v>38</v>
      </c>
      <c r="B26" s="47" t="s">
        <v>130</v>
      </c>
      <c r="C26" s="47"/>
      <c r="D26" s="36">
        <f>ROUND(AVERAGE(L33:P33),0)</f>
        <v>5523</v>
      </c>
      <c r="E26" s="36">
        <f>ROUND(AVERAGE(L3:P3),0)</f>
        <v>13526032</v>
      </c>
      <c r="F26" s="36">
        <f>ROUND(AVERAGE(L11:P11),0)</f>
        <v>3330</v>
      </c>
      <c r="G26" s="73">
        <f>P3/1000</f>
        <v>11444.832423724381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42" x14ac:dyDescent="0.25">
      <c r="A27" s="47" t="s">
        <v>21</v>
      </c>
      <c r="B27" s="47" t="s">
        <v>131</v>
      </c>
      <c r="C27" s="47"/>
      <c r="D27" s="36">
        <f t="shared" ref="D27:D30" si="1">ROUND(AVERAGE(L34:P34),0)</f>
        <v>14669</v>
      </c>
      <c r="E27" s="36">
        <f>ROUND(AVERAGE(L4:P4),0)</f>
        <v>52535338</v>
      </c>
      <c r="F27" s="36">
        <f t="shared" ref="F27:F30" si="2">ROUND(AVERAGE(L12:P12),0)</f>
        <v>12010</v>
      </c>
      <c r="G27" s="73">
        <f t="shared" ref="G27:G30" si="3">P4/1000</f>
        <v>54849.858036833997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42" x14ac:dyDescent="0.25">
      <c r="A28" s="47" t="s">
        <v>36</v>
      </c>
      <c r="B28" s="47" t="s">
        <v>132</v>
      </c>
      <c r="C28" s="47"/>
      <c r="D28" s="36">
        <f t="shared" si="1"/>
        <v>6578</v>
      </c>
      <c r="E28" s="36">
        <f>ROUND(AVERAGE(L5:P5),0)</f>
        <v>46786576</v>
      </c>
      <c r="F28" s="36">
        <f t="shared" si="2"/>
        <v>9788</v>
      </c>
      <c r="G28" s="73">
        <f t="shared" si="3"/>
        <v>42163.488406169992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42" x14ac:dyDescent="0.25">
      <c r="A29" s="47" t="s">
        <v>30</v>
      </c>
      <c r="B29" s="47" t="s">
        <v>133</v>
      </c>
      <c r="C29" s="47"/>
      <c r="D29" s="36">
        <f t="shared" si="1"/>
        <v>3548</v>
      </c>
      <c r="E29" s="36">
        <f>ROUND(AVERAGE(L6:P6),0)</f>
        <v>12597030</v>
      </c>
      <c r="F29" s="36">
        <f t="shared" si="2"/>
        <v>2518</v>
      </c>
      <c r="G29" s="73">
        <f t="shared" si="3"/>
        <v>12434.326120010002</v>
      </c>
      <c r="H29" s="32"/>
      <c r="I29" s="32"/>
      <c r="J29" s="32"/>
      <c r="K29" s="32"/>
      <c r="L29" s="32"/>
      <c r="M29" s="32" t="s">
        <v>41</v>
      </c>
      <c r="N29" s="32"/>
      <c r="O29" s="32"/>
      <c r="P29" s="32"/>
      <c r="Q29" s="32"/>
      <c r="R29" s="32"/>
      <c r="S29" s="32"/>
      <c r="T29" s="32"/>
    </row>
    <row r="30" spans="1:42" x14ac:dyDescent="0.25">
      <c r="A30" s="47" t="s">
        <v>39</v>
      </c>
      <c r="B30" s="47" t="s">
        <v>134</v>
      </c>
      <c r="C30" s="47"/>
      <c r="D30" s="36">
        <f t="shared" si="1"/>
        <v>13032</v>
      </c>
      <c r="E30" s="36">
        <f>ROUND(AVERAGE(L7:P7),0)</f>
        <v>73020000</v>
      </c>
      <c r="F30" s="36">
        <f t="shared" si="2"/>
        <v>17740</v>
      </c>
      <c r="G30" s="73">
        <f t="shared" si="3"/>
        <v>75700</v>
      </c>
      <c r="H30" s="32"/>
      <c r="I30" s="32"/>
      <c r="J30" s="32"/>
      <c r="K30" s="32"/>
      <c r="L30" s="32"/>
      <c r="M30" s="32" t="s">
        <v>42</v>
      </c>
      <c r="N30" s="32"/>
      <c r="O30" s="32"/>
      <c r="P30" s="32"/>
      <c r="Q30" s="32"/>
      <c r="R30" s="32"/>
      <c r="S30" s="32"/>
      <c r="T30" s="32"/>
    </row>
    <row r="31" spans="1:42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42" s="17" customFormat="1" x14ac:dyDescent="0.25">
      <c r="A32" s="33" t="s">
        <v>48</v>
      </c>
      <c r="B32" s="33" t="s">
        <v>48</v>
      </c>
      <c r="C32" s="34" t="s">
        <v>73</v>
      </c>
      <c r="D32" s="18">
        <v>2006</v>
      </c>
      <c r="E32" s="18">
        <v>2007</v>
      </c>
      <c r="F32" s="18">
        <v>2008</v>
      </c>
      <c r="G32" s="18">
        <v>2009</v>
      </c>
      <c r="H32" s="18">
        <v>2010</v>
      </c>
      <c r="I32" s="18">
        <v>2011</v>
      </c>
      <c r="J32" s="18">
        <v>2012</v>
      </c>
      <c r="K32" s="18">
        <v>2013</v>
      </c>
      <c r="L32" s="18">
        <v>2014</v>
      </c>
      <c r="M32" s="18">
        <v>2015</v>
      </c>
      <c r="N32" s="18">
        <v>2016</v>
      </c>
      <c r="O32" s="18">
        <v>2017</v>
      </c>
      <c r="P32" s="18">
        <v>2018</v>
      </c>
      <c r="Q32" s="32"/>
      <c r="R32" s="32"/>
      <c r="S32" s="32"/>
      <c r="T32" s="32"/>
    </row>
    <row r="33" spans="1:41" x14ac:dyDescent="0.25">
      <c r="A33" s="47" t="s">
        <v>38</v>
      </c>
      <c r="B33" s="47" t="s">
        <v>130</v>
      </c>
      <c r="C33" s="47" t="s">
        <v>72</v>
      </c>
      <c r="D33" s="36">
        <f>'[4]Extracted Data'!D$22+'[4]Extracted Data'!D$34</f>
        <v>5600.5389999999998</v>
      </c>
      <c r="E33" s="36">
        <f>'[4]Extracted Data'!E$22+'[4]Extracted Data'!E$34</f>
        <v>5518.6689999999999</v>
      </c>
      <c r="F33" s="36">
        <f>'[4]Extracted Data'!F$22+'[4]Extracted Data'!F$34</f>
        <v>5518.6689999999999</v>
      </c>
      <c r="G33" s="36">
        <f>'[4]Extracted Data'!G$22+'[4]Extracted Data'!G$34</f>
        <v>5503.6689999999999</v>
      </c>
      <c r="H33" s="36">
        <f>'[4]Extracted Data'!H$22+'[4]Extracted Data'!H$34</f>
        <v>5501.6689999999999</v>
      </c>
      <c r="I33" s="36">
        <f>'[4]Extracted Data'!I$22+'[4]Extracted Data'!I$34</f>
        <v>5504.6689999999999</v>
      </c>
      <c r="J33" s="36">
        <f>'[4]Extracted Data'!J$22+'[4]Extracted Data'!J$34</f>
        <v>5526.0690000000004</v>
      </c>
      <c r="K33" s="36">
        <f>'[4]Extracted Data'!K$22+'[4]Extracted Data'!K$34</f>
        <v>5527.3490000000002</v>
      </c>
      <c r="L33" s="36">
        <f>'[4]Extracted Data'!L$22+'[4]Extracted Data'!L$34</f>
        <v>5529.4030540000012</v>
      </c>
      <c r="M33" s="36">
        <f>'[4]Extracted Data'!M$22+'[4]Extracted Data'!M$34</f>
        <v>5521.3490000000002</v>
      </c>
      <c r="N33" s="36">
        <f>'[4]Extracted Data'!N$22+'[4]Extracted Data'!N$34</f>
        <v>5524.3490000000002</v>
      </c>
      <c r="O33" s="36">
        <f>'[4]Extracted Data'!O$22+'[4]Extracted Data'!O$34</f>
        <v>5519.5689999999995</v>
      </c>
      <c r="P33" s="36">
        <f>'[4]Extracted Data'!P$22+'[4]Extracted Data'!P$34</f>
        <v>5522.1689999999999</v>
      </c>
      <c r="Q33" s="32"/>
      <c r="R33" s="32"/>
      <c r="S33" s="32"/>
      <c r="T33" s="32"/>
      <c r="AO33" s="19"/>
    </row>
    <row r="34" spans="1:41" x14ac:dyDescent="0.25">
      <c r="A34" s="47" t="s">
        <v>21</v>
      </c>
      <c r="B34" s="47" t="s">
        <v>131</v>
      </c>
      <c r="C34" s="47" t="s">
        <v>72</v>
      </c>
      <c r="D34" s="36">
        <f>'[4]Extracted Data'!Q$22+'[4]Extracted Data'!Q$34</f>
        <v>11700.8</v>
      </c>
      <c r="E34" s="36">
        <f>'[4]Extracted Data'!R$22+'[4]Extracted Data'!R$34</f>
        <v>11892.8</v>
      </c>
      <c r="F34" s="36">
        <f>'[4]Extracted Data'!S$22+'[4]Extracted Data'!S$34</f>
        <v>12428.8</v>
      </c>
      <c r="G34" s="36">
        <f>'[4]Extracted Data'!T$22+'[4]Extracted Data'!T$34</f>
        <v>12865.1</v>
      </c>
      <c r="H34" s="36">
        <f>'[4]Extracted Data'!U$22+'[4]Extracted Data'!U$34</f>
        <v>13321.1</v>
      </c>
      <c r="I34" s="36">
        <f>'[4]Extracted Data'!V$22+'[4]Extracted Data'!V$34</f>
        <v>13738.4</v>
      </c>
      <c r="J34" s="36">
        <f>'[4]Extracted Data'!W$22+'[4]Extracted Data'!W$34</f>
        <v>13702.4</v>
      </c>
      <c r="K34" s="36">
        <f>'[4]Extracted Data'!X$22+'[4]Extracted Data'!X$34</f>
        <v>14313.5</v>
      </c>
      <c r="L34" s="36">
        <f>'[4]Extracted Data'!Y$22+'[4]Extracted Data'!Y$34</f>
        <v>14772.5</v>
      </c>
      <c r="M34" s="36">
        <f>'[4]Extracted Data'!Z$22+'[4]Extracted Data'!Z$34</f>
        <v>14754.5</v>
      </c>
      <c r="N34" s="36">
        <f>'[4]Extracted Data'!AA$22+'[4]Extracted Data'!AA$34</f>
        <v>14755.5</v>
      </c>
      <c r="O34" s="36">
        <f>'[4]Extracted Data'!AB$22+'[4]Extracted Data'!AB$34</f>
        <v>14532.5</v>
      </c>
      <c r="P34" s="36">
        <f>'[4]Extracted Data'!AC$22+'[4]Extracted Data'!AC$34</f>
        <v>14527.5</v>
      </c>
      <c r="Q34" s="32"/>
      <c r="R34" s="32"/>
      <c r="S34" s="32"/>
      <c r="T34" s="32"/>
    </row>
    <row r="35" spans="1:41" x14ac:dyDescent="0.25">
      <c r="A35" s="47" t="s">
        <v>36</v>
      </c>
      <c r="B35" s="47" t="s">
        <v>132</v>
      </c>
      <c r="C35" s="47" t="s">
        <v>72</v>
      </c>
      <c r="D35" s="36">
        <f>'[4]Extracted Data'!AD$22+'[4]Extracted Data'!AD$34</f>
        <v>6573</v>
      </c>
      <c r="E35" s="36">
        <f>'[4]Extracted Data'!AE$22+'[4]Extracted Data'!AE$34</f>
        <v>6573</v>
      </c>
      <c r="F35" s="36">
        <f>'[4]Extracted Data'!AF$22+'[4]Extracted Data'!AF$34</f>
        <v>6573</v>
      </c>
      <c r="G35" s="36">
        <f>'[4]Extracted Data'!AG$22+'[4]Extracted Data'!AG$34</f>
        <v>6573</v>
      </c>
      <c r="H35" s="36">
        <f>'[4]Extracted Data'!AH$22+'[4]Extracted Data'!AH$34</f>
        <v>6573</v>
      </c>
      <c r="I35" s="36">
        <f>'[4]Extracted Data'!AI$22+'[4]Extracted Data'!AI$34</f>
        <v>6573</v>
      </c>
      <c r="J35" s="36">
        <f>'[4]Extracted Data'!AJ$22+'[4]Extracted Data'!AJ$34</f>
        <v>6573</v>
      </c>
      <c r="K35" s="36">
        <f>'[4]Extracted Data'!AK$22+'[4]Extracted Data'!AK$34</f>
        <v>6573</v>
      </c>
      <c r="L35" s="36">
        <f>'[4]Extracted Data'!AL$22+'[4]Extracted Data'!AL$34</f>
        <v>6573</v>
      </c>
      <c r="M35" s="36">
        <f>'[4]Extracted Data'!AM$22+'[4]Extracted Data'!AM$34</f>
        <v>6573.2</v>
      </c>
      <c r="N35" s="36">
        <f>'[4]Extracted Data'!AN$22+'[4]Extracted Data'!AN$34</f>
        <v>6558.8447567553731</v>
      </c>
      <c r="O35" s="36">
        <f>'[4]Extracted Data'!AO$22+'[4]Extracted Data'!AO$34</f>
        <v>6559.9720813333324</v>
      </c>
      <c r="P35" s="36">
        <f>'[4]Extracted Data'!AP$22+'[4]Extracted Data'!AP$34</f>
        <v>6623.72</v>
      </c>
      <c r="Q35" s="32"/>
      <c r="R35" s="32"/>
      <c r="S35" s="32"/>
      <c r="T35" s="32"/>
    </row>
    <row r="36" spans="1:41" x14ac:dyDescent="0.25">
      <c r="A36" s="47" t="s">
        <v>30</v>
      </c>
      <c r="B36" s="47" t="s">
        <v>133</v>
      </c>
      <c r="C36" s="47" t="s">
        <v>72</v>
      </c>
      <c r="D36" s="36">
        <f>'[4]Extracted Data'!AQ$22+'[4]Extracted Data'!AQ$34</f>
        <v>3581.3</v>
      </c>
      <c r="E36" s="36">
        <f>'[4]Extracted Data'!AR$22+'[4]Extracted Data'!AR$34</f>
        <v>3622.3</v>
      </c>
      <c r="F36" s="36">
        <f>'[4]Extracted Data'!AS$22+'[4]Extracted Data'!AS$34</f>
        <v>3622.3</v>
      </c>
      <c r="G36" s="36">
        <f>'[4]Extracted Data'!AT$22+'[4]Extracted Data'!AT$34</f>
        <v>3520.3</v>
      </c>
      <c r="H36" s="36">
        <f>'[4]Extracted Data'!AU$22+'[4]Extracted Data'!AU$34</f>
        <v>3481.3</v>
      </c>
      <c r="I36" s="36">
        <f>'[4]Extracted Data'!AV$22+'[4]Extracted Data'!AV$34</f>
        <v>3493.3</v>
      </c>
      <c r="J36" s="36">
        <f>'[4]Extracted Data'!AW$22+'[4]Extracted Data'!AW$34</f>
        <v>3493.3</v>
      </c>
      <c r="K36" s="36">
        <f>'[4]Extracted Data'!AX$22+'[4]Extracted Data'!AX$34</f>
        <v>3503.19</v>
      </c>
      <c r="L36" s="36">
        <f>'[4]Extracted Data'!AY$22+'[4]Extracted Data'!AY$34</f>
        <v>3503.8</v>
      </c>
      <c r="M36" s="36">
        <f>'[4]Extracted Data'!AZ$22+'[4]Extracted Data'!AZ$34</f>
        <v>3563.7000000000003</v>
      </c>
      <c r="N36" s="36">
        <f>'[4]Extracted Data'!BA$22+'[4]Extracted Data'!BA$34</f>
        <v>3563.7000000000003</v>
      </c>
      <c r="O36" s="36">
        <f>'[4]Extracted Data'!BB$22+'[4]Extracted Data'!BB$34</f>
        <v>3563.7</v>
      </c>
      <c r="P36" s="36">
        <f>'[4]Extracted Data'!BC$22+'[4]Extracted Data'!BC$34</f>
        <v>3545.2</v>
      </c>
      <c r="Q36" s="32"/>
      <c r="R36" s="32"/>
      <c r="S36" s="32"/>
      <c r="T36" s="32"/>
    </row>
    <row r="37" spans="1:41" x14ac:dyDescent="0.25">
      <c r="A37" s="47" t="s">
        <v>39</v>
      </c>
      <c r="B37" s="47" t="s">
        <v>134</v>
      </c>
      <c r="C37" s="47" t="s">
        <v>72</v>
      </c>
      <c r="D37" s="36">
        <f>'[4]Extracted Data'!BD$22+'[4]Extracted Data'!BD$34</f>
        <v>12517.231000000002</v>
      </c>
      <c r="E37" s="36">
        <f>'[4]Extracted Data'!BE$22+'[4]Extracted Data'!BE$34</f>
        <v>12526.494000000004</v>
      </c>
      <c r="F37" s="36">
        <f>'[4]Extracted Data'!BF$22+'[4]Extracted Data'!BF$34</f>
        <v>12523.514000000005</v>
      </c>
      <c r="G37" s="36">
        <f>'[4]Extracted Data'!BG$22+'[4]Extracted Data'!BG$34</f>
        <v>12523.349000000004</v>
      </c>
      <c r="H37" s="36">
        <f>'[4]Extracted Data'!BH$22+'[4]Extracted Data'!BH$34</f>
        <v>12682.458999999999</v>
      </c>
      <c r="I37" s="36">
        <f>'[4]Extracted Data'!BI$22+'[4]Extracted Data'!BI$34</f>
        <v>12681.863000000001</v>
      </c>
      <c r="J37" s="36">
        <f>'[4]Extracted Data'!BJ$22+'[4]Extracted Data'!BJ$34</f>
        <v>12697.207</v>
      </c>
      <c r="K37" s="36">
        <f>'[4]Extracted Data'!BK$22+'[4]Extracted Data'!BK$34</f>
        <v>12893.617000000002</v>
      </c>
      <c r="L37" s="36">
        <f>'[4]Extracted Data'!BL$22+'[4]Extracted Data'!BL$34</f>
        <v>12929.666000000003</v>
      </c>
      <c r="M37" s="36">
        <f>'[4]Extracted Data'!BM$22+'[4]Extracted Data'!BM$34</f>
        <v>13024.7646976</v>
      </c>
      <c r="N37" s="36">
        <f>'[4]Extracted Data'!BN$22+'[4]Extracted Data'!BN$34</f>
        <v>13039.195</v>
      </c>
      <c r="O37" s="36">
        <f>'[4]Extracted Data'!BO$22+'[4]Extracted Data'!BO$34</f>
        <v>13078.1133974</v>
      </c>
      <c r="P37" s="36">
        <f>'[4]Extracted Data'!BP$22+'[4]Extracted Data'!BP$34</f>
        <v>13089.494696939968</v>
      </c>
      <c r="Q37" s="32"/>
      <c r="R37" s="32"/>
      <c r="S37" s="32"/>
      <c r="T37" s="32"/>
    </row>
    <row r="38" spans="1:41" s="17" customFormat="1" x14ac:dyDescent="0.25">
      <c r="A38" s="22"/>
      <c r="B38" s="22"/>
      <c r="C38" s="22"/>
      <c r="D38" s="55"/>
      <c r="E38" s="55"/>
      <c r="F38" s="55"/>
      <c r="G38" s="55"/>
      <c r="H38" s="55"/>
      <c r="I38" s="55"/>
      <c r="J38" s="55"/>
      <c r="K38" s="55"/>
      <c r="L38" s="55"/>
      <c r="M38" s="32"/>
      <c r="N38" s="32"/>
      <c r="O38" s="32"/>
      <c r="P38" s="32"/>
      <c r="Q38" s="32"/>
      <c r="R38" s="32"/>
      <c r="S38" s="32"/>
      <c r="T38" s="32"/>
    </row>
    <row r="39" spans="1:41" x14ac:dyDescent="0.25">
      <c r="A39" s="33" t="s">
        <v>49</v>
      </c>
      <c r="B39" s="33" t="s">
        <v>49</v>
      </c>
      <c r="C39" s="33"/>
      <c r="D39" s="18">
        <v>2006</v>
      </c>
      <c r="E39" s="18">
        <v>2007</v>
      </c>
      <c r="F39" s="18">
        <v>2008</v>
      </c>
      <c r="G39" s="18">
        <v>2009</v>
      </c>
      <c r="H39" s="18">
        <v>2010</v>
      </c>
      <c r="I39" s="18">
        <v>2011</v>
      </c>
      <c r="J39" s="18">
        <v>2012</v>
      </c>
      <c r="K39" s="18">
        <v>2013</v>
      </c>
      <c r="L39" s="18">
        <v>2014</v>
      </c>
      <c r="M39" s="18">
        <v>2015</v>
      </c>
      <c r="N39" s="18">
        <v>2016</v>
      </c>
      <c r="O39" s="18">
        <v>2017</v>
      </c>
      <c r="P39" s="18">
        <v>2018</v>
      </c>
      <c r="Q39" s="18" t="s">
        <v>103</v>
      </c>
      <c r="R39" s="32"/>
      <c r="S39" s="32"/>
      <c r="T39" s="32"/>
    </row>
    <row r="40" spans="1:41" x14ac:dyDescent="0.25">
      <c r="A40" s="47" t="s">
        <v>38</v>
      </c>
      <c r="B40" s="47" t="s">
        <v>130</v>
      </c>
      <c r="C40" s="47" t="s">
        <v>74</v>
      </c>
      <c r="D40" s="59">
        <f>D48/D33</f>
        <v>139.06500785013728</v>
      </c>
      <c r="E40" s="59">
        <f t="shared" ref="E40:O40" si="4">E48/E33</f>
        <v>141.23441721183133</v>
      </c>
      <c r="F40" s="59">
        <f t="shared" si="4"/>
        <v>141.53956325338592</v>
      </c>
      <c r="G40" s="59">
        <f t="shared" si="4"/>
        <v>147.98618884965649</v>
      </c>
      <c r="H40" s="59">
        <f t="shared" si="4"/>
        <v>150.31147820779478</v>
      </c>
      <c r="I40" s="59">
        <f t="shared" si="4"/>
        <v>151.88106678167208</v>
      </c>
      <c r="J40" s="59">
        <f t="shared" si="4"/>
        <v>152.75831698807957</v>
      </c>
      <c r="K40" s="59">
        <f t="shared" si="4"/>
        <v>153.37660060908041</v>
      </c>
      <c r="L40" s="59">
        <f t="shared" si="4"/>
        <v>154.04312032992917</v>
      </c>
      <c r="M40" s="59">
        <f t="shared" si="4"/>
        <v>154.6612974474173</v>
      </c>
      <c r="N40" s="59">
        <f t="shared" si="4"/>
        <v>155.42944517082464</v>
      </c>
      <c r="O40" s="59">
        <f t="shared" si="4"/>
        <v>159.12465266762678</v>
      </c>
      <c r="P40" s="59">
        <f>P48/P33</f>
        <v>161.96480042534012</v>
      </c>
      <c r="Q40" s="59">
        <f>AVERAGE(L40:P40)</f>
        <v>157.04466320822763</v>
      </c>
      <c r="R40" s="32"/>
      <c r="S40" s="32"/>
      <c r="T40" s="32"/>
    </row>
    <row r="41" spans="1:41" x14ac:dyDescent="0.25">
      <c r="A41" s="47" t="s">
        <v>21</v>
      </c>
      <c r="B41" s="47" t="s">
        <v>131</v>
      </c>
      <c r="C41" s="47" t="s">
        <v>74</v>
      </c>
      <c r="D41" s="59">
        <f t="shared" ref="D41:O41" si="5">D49/D34</f>
        <v>156.92889053577022</v>
      </c>
      <c r="E41" s="59">
        <f t="shared" si="5"/>
        <v>157.34091018655405</v>
      </c>
      <c r="F41" s="59">
        <f t="shared" si="5"/>
        <v>153.79537391649478</v>
      </c>
      <c r="G41" s="59">
        <f t="shared" si="5"/>
        <v>151.62351503939416</v>
      </c>
      <c r="H41" s="59">
        <f t="shared" si="5"/>
        <v>148.9752598008663</v>
      </c>
      <c r="I41" s="59">
        <f t="shared" si="5"/>
        <v>146.70722209281939</v>
      </c>
      <c r="J41" s="59">
        <f t="shared" si="5"/>
        <v>149.1073461583365</v>
      </c>
      <c r="K41" s="59">
        <f t="shared" si="5"/>
        <v>144.62867223250709</v>
      </c>
      <c r="L41" s="59">
        <f t="shared" si="5"/>
        <v>142.04860382467422</v>
      </c>
      <c r="M41" s="59">
        <f t="shared" si="5"/>
        <v>144.05649123996068</v>
      </c>
      <c r="N41" s="59">
        <f t="shared" si="5"/>
        <v>146.44542712886721</v>
      </c>
      <c r="O41" s="59">
        <f t="shared" si="5"/>
        <v>150.95461895750904</v>
      </c>
      <c r="P41" s="59">
        <f t="shared" ref="P41" si="6">P49/P34</f>
        <v>153.77229392531407</v>
      </c>
      <c r="Q41" s="59">
        <f t="shared" ref="Q41:Q44" si="7">AVERAGE(L41:P41)</f>
        <v>147.45548701526505</v>
      </c>
      <c r="R41" s="32"/>
      <c r="S41" s="32"/>
      <c r="T41" s="32"/>
    </row>
    <row r="42" spans="1:41" x14ac:dyDescent="0.25">
      <c r="A42" s="47" t="s">
        <v>36</v>
      </c>
      <c r="B42" s="47" t="s">
        <v>132</v>
      </c>
      <c r="C42" s="47" t="s">
        <v>74</v>
      </c>
      <c r="D42" s="59">
        <f t="shared" ref="D42:O42" si="8">D50/D35</f>
        <v>375.81766552185911</v>
      </c>
      <c r="E42" s="59">
        <f t="shared" si="8"/>
        <v>381.82365499477407</v>
      </c>
      <c r="F42" s="59">
        <f t="shared" si="8"/>
        <v>387.30902721269433</v>
      </c>
      <c r="G42" s="59">
        <f t="shared" si="8"/>
        <v>392.35752717247675</v>
      </c>
      <c r="H42" s="59">
        <f t="shared" si="8"/>
        <v>397.76512389576146</v>
      </c>
      <c r="I42" s="59">
        <f t="shared" si="8"/>
        <v>403.90292398191838</v>
      </c>
      <c r="J42" s="59">
        <f t="shared" si="8"/>
        <v>410.13992628960142</v>
      </c>
      <c r="K42" s="59">
        <f t="shared" si="8"/>
        <v>415.83663967223794</v>
      </c>
      <c r="L42" s="59">
        <f t="shared" si="8"/>
        <v>418.87021007271568</v>
      </c>
      <c r="M42" s="59">
        <f t="shared" si="8"/>
        <v>425.58543532377837</v>
      </c>
      <c r="N42" s="59">
        <f t="shared" si="8"/>
        <v>433.85521468077837</v>
      </c>
      <c r="O42" s="59">
        <f t="shared" si="8"/>
        <v>442.38602908964702</v>
      </c>
      <c r="P42" s="59">
        <f t="shared" ref="P42" si="9">P50/P35</f>
        <v>445.21296190056341</v>
      </c>
      <c r="Q42" s="59">
        <f t="shared" si="7"/>
        <v>433.18197021349658</v>
      </c>
      <c r="R42" s="32"/>
      <c r="S42" s="32"/>
      <c r="T42" s="32"/>
    </row>
    <row r="43" spans="1:41" x14ac:dyDescent="0.25">
      <c r="A43" s="47" t="s">
        <v>30</v>
      </c>
      <c r="B43" s="47" t="s">
        <v>133</v>
      </c>
      <c r="C43" s="47" t="s">
        <v>74</v>
      </c>
      <c r="D43" s="59">
        <f t="shared" ref="D43:O43" si="10">D51/D36</f>
        <v>69.986464189344645</v>
      </c>
      <c r="E43" s="59">
        <f t="shared" si="10"/>
        <v>70.530984583482862</v>
      </c>
      <c r="F43" s="59">
        <f t="shared" si="10"/>
        <v>71.894724194914829</v>
      </c>
      <c r="G43" s="59">
        <f t="shared" si="10"/>
        <v>75.409519141899835</v>
      </c>
      <c r="H43" s="59">
        <f t="shared" si="10"/>
        <v>77.731313596030219</v>
      </c>
      <c r="I43" s="59">
        <f t="shared" si="10"/>
        <v>78.966020668133282</v>
      </c>
      <c r="J43" s="59">
        <f t="shared" si="10"/>
        <v>79.693126842810514</v>
      </c>
      <c r="K43" s="59">
        <f t="shared" si="10"/>
        <v>79.889472166793695</v>
      </c>
      <c r="L43" s="59">
        <f t="shared" si="10"/>
        <v>80.127290370454929</v>
      </c>
      <c r="M43" s="59">
        <f t="shared" si="10"/>
        <v>79.428403064230992</v>
      </c>
      <c r="N43" s="59">
        <f t="shared" si="10"/>
        <v>80.064259056598473</v>
      </c>
      <c r="O43" s="59">
        <f t="shared" si="10"/>
        <v>80.717091814686995</v>
      </c>
      <c r="P43" s="59">
        <f t="shared" ref="P43" si="11">P51/P36</f>
        <v>81.218549024032498</v>
      </c>
      <c r="Q43" s="59">
        <f t="shared" si="7"/>
        <v>80.31111866600078</v>
      </c>
      <c r="R43" s="32"/>
      <c r="S43" s="32"/>
      <c r="T43" s="32"/>
    </row>
    <row r="44" spans="1:41" x14ac:dyDescent="0.25">
      <c r="A44" s="47" t="s">
        <v>39</v>
      </c>
      <c r="B44" s="47" t="s">
        <v>134</v>
      </c>
      <c r="C44" s="47" t="s">
        <v>74</v>
      </c>
      <c r="D44" s="59">
        <f t="shared" ref="D44:O44" si="12">D52/D37</f>
        <v>267.57361858241251</v>
      </c>
      <c r="E44" s="59">
        <f t="shared" si="12"/>
        <v>270.058510010801</v>
      </c>
      <c r="F44" s="59">
        <f t="shared" si="12"/>
        <v>272.87010153830613</v>
      </c>
      <c r="G44" s="59">
        <f t="shared" si="12"/>
        <v>275.27941669569532</v>
      </c>
      <c r="H44" s="59">
        <f t="shared" si="12"/>
        <v>273.84884845451109</v>
      </c>
      <c r="I44" s="59">
        <f t="shared" si="12"/>
        <v>276.55059590221009</v>
      </c>
      <c r="J44" s="59">
        <f t="shared" si="12"/>
        <v>278.5633240754002</v>
      </c>
      <c r="K44" s="59">
        <f t="shared" si="12"/>
        <v>277.34159653563461</v>
      </c>
      <c r="L44" s="59">
        <f t="shared" si="12"/>
        <v>280.29563950066455</v>
      </c>
      <c r="M44" s="59">
        <f t="shared" si="12"/>
        <v>282.09668929197869</v>
      </c>
      <c r="N44" s="59">
        <f t="shared" si="12"/>
        <v>285.34447261954898</v>
      </c>
      <c r="O44" s="59">
        <f t="shared" si="12"/>
        <v>288.6165141181902</v>
      </c>
      <c r="P44" s="59">
        <f t="shared" ref="P44" si="13">P52/P37</f>
        <v>293.08717325022917</v>
      </c>
      <c r="Q44" s="59">
        <f t="shared" si="7"/>
        <v>285.88809775612231</v>
      </c>
      <c r="R44" s="32"/>
      <c r="S44" s="32"/>
      <c r="T44" s="32"/>
    </row>
    <row r="45" spans="1:4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41" x14ac:dyDescent="0.25">
      <c r="A46" s="33" t="s">
        <v>98</v>
      </c>
      <c r="B46" s="33" t="s">
        <v>98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41" x14ac:dyDescent="0.25">
      <c r="C47" s="33"/>
      <c r="D47" s="18">
        <v>2006</v>
      </c>
      <c r="E47" s="18">
        <v>2007</v>
      </c>
      <c r="F47" s="18">
        <v>2008</v>
      </c>
      <c r="G47" s="18">
        <v>2009</v>
      </c>
      <c r="H47" s="18">
        <v>2010</v>
      </c>
      <c r="I47" s="18">
        <v>2011</v>
      </c>
      <c r="J47" s="18">
        <v>2012</v>
      </c>
      <c r="K47" s="18">
        <v>2013</v>
      </c>
      <c r="L47" s="18">
        <v>2014</v>
      </c>
      <c r="M47" s="18">
        <v>2015</v>
      </c>
      <c r="N47" s="18">
        <v>2016</v>
      </c>
      <c r="O47" s="18">
        <v>2017</v>
      </c>
      <c r="P47" s="18">
        <v>2018</v>
      </c>
      <c r="Q47" s="18" t="s">
        <v>103</v>
      </c>
      <c r="R47" s="32"/>
      <c r="S47" s="32"/>
      <c r="T47" s="32"/>
    </row>
    <row r="48" spans="1:41" x14ac:dyDescent="0.25">
      <c r="A48" s="47" t="s">
        <v>38</v>
      </c>
      <c r="B48" s="47" t="s">
        <v>130</v>
      </c>
      <c r="C48" s="47" t="s">
        <v>99</v>
      </c>
      <c r="D48" s="59">
        <f>'[4]Extracted Data'!D$83</f>
        <v>778839</v>
      </c>
      <c r="E48" s="59">
        <f>'[4]Extracted Data'!E$83</f>
        <v>779426</v>
      </c>
      <c r="F48" s="59">
        <f>'[4]Extracted Data'!F$83</f>
        <v>781110</v>
      </c>
      <c r="G48" s="59">
        <f>'[4]Extracted Data'!G$83</f>
        <v>814467</v>
      </c>
      <c r="H48" s="59">
        <f>'[4]Extracted Data'!H$83</f>
        <v>826964</v>
      </c>
      <c r="I48" s="59">
        <f>'[4]Extracted Data'!I$83</f>
        <v>836055</v>
      </c>
      <c r="J48" s="59">
        <f>'[4]Extracted Data'!J$83</f>
        <v>844153</v>
      </c>
      <c r="K48" s="59">
        <f>'[4]Extracted Data'!K$83</f>
        <v>847766</v>
      </c>
      <c r="L48" s="59">
        <f>'[4]Extracted Data'!L$83</f>
        <v>851766.5</v>
      </c>
      <c r="M48" s="59">
        <f>'[4]Extracted Data'!M$83</f>
        <v>853939</v>
      </c>
      <c r="N48" s="59">
        <f>'[4]Extracted Data'!N$83</f>
        <v>858646.5</v>
      </c>
      <c r="O48" s="59">
        <f>'[4]Extracted Data'!O$83</f>
        <v>878299.5</v>
      </c>
      <c r="P48" s="59">
        <f>'[4]Extracted Data'!P$83</f>
        <v>894397</v>
      </c>
      <c r="Q48" s="59">
        <f>AVERAGE(L48:P48)</f>
        <v>867409.7</v>
      </c>
      <c r="R48" s="32"/>
      <c r="S48" s="32"/>
      <c r="T48" s="32"/>
    </row>
    <row r="49" spans="1:20" x14ac:dyDescent="0.25">
      <c r="A49" s="47" t="s">
        <v>21</v>
      </c>
      <c r="B49" s="47" t="s">
        <v>131</v>
      </c>
      <c r="C49" s="47" t="s">
        <v>99</v>
      </c>
      <c r="D49" s="59">
        <f>'[4]Extracted Data'!Q$83</f>
        <v>1836193.56238094</v>
      </c>
      <c r="E49" s="59">
        <f>'[4]Extracted Data'!R$83</f>
        <v>1871223.97666665</v>
      </c>
      <c r="F49" s="59">
        <f>'[4]Extracted Data'!S$83</f>
        <v>1911491.9433333301</v>
      </c>
      <c r="G49" s="59">
        <f>'[4]Extracted Data'!T$83</f>
        <v>1950651.6833333101</v>
      </c>
      <c r="H49" s="59">
        <f>'[4]Extracted Data'!U$83</f>
        <v>1984514.33333332</v>
      </c>
      <c r="I49" s="59">
        <f>'[4]Extracted Data'!V$83</f>
        <v>2015522.49999999</v>
      </c>
      <c r="J49" s="59">
        <f>'[4]Extracted Data'!W$83</f>
        <v>2043128.49999999</v>
      </c>
      <c r="K49" s="59">
        <f>'[4]Extracted Data'!X$83</f>
        <v>2070142.49999999</v>
      </c>
      <c r="L49" s="59">
        <f>'[4]Extracted Data'!Y$83</f>
        <v>2098413</v>
      </c>
      <c r="M49" s="59">
        <f>'[4]Extracted Data'!Z$83</f>
        <v>2125481.5</v>
      </c>
      <c r="N49" s="59">
        <f>'[4]Extracted Data'!AA$83</f>
        <v>2160875.5</v>
      </c>
      <c r="O49" s="59">
        <f>'[4]Extracted Data'!AB$83</f>
        <v>2193748</v>
      </c>
      <c r="P49" s="59">
        <f>'[4]Extracted Data'!AC$83</f>
        <v>2233927</v>
      </c>
      <c r="Q49" s="59">
        <f t="shared" ref="Q49:Q52" si="14">AVERAGE(L49:P49)</f>
        <v>2162489</v>
      </c>
      <c r="R49" s="32"/>
      <c r="S49" s="32"/>
      <c r="T49" s="32"/>
    </row>
    <row r="50" spans="1:20" x14ac:dyDescent="0.25">
      <c r="A50" s="47" t="s">
        <v>36</v>
      </c>
      <c r="B50" s="47" t="s">
        <v>132</v>
      </c>
      <c r="C50" s="47" t="s">
        <v>99</v>
      </c>
      <c r="D50" s="59">
        <f>'[4]Extracted Data'!AD$83</f>
        <v>2470249.51547518</v>
      </c>
      <c r="E50" s="59">
        <f>'[4]Extracted Data'!AE$83</f>
        <v>2509726.8842806499</v>
      </c>
      <c r="F50" s="59">
        <f>'[4]Extracted Data'!AF$83</f>
        <v>2545782.2358690398</v>
      </c>
      <c r="G50" s="59">
        <f>'[4]Extracted Data'!AG$83</f>
        <v>2578966.0261046896</v>
      </c>
      <c r="H50" s="59">
        <f>'[4]Extracted Data'!AH$83</f>
        <v>2614510.15936684</v>
      </c>
      <c r="I50" s="59">
        <f>'[4]Extracted Data'!AI$83</f>
        <v>2654853.9193331497</v>
      </c>
      <c r="J50" s="59">
        <f>'[4]Extracted Data'!AJ$83</f>
        <v>2695849.7355015501</v>
      </c>
      <c r="K50" s="59">
        <f>'[4]Extracted Data'!AK$83</f>
        <v>2733294.23256562</v>
      </c>
      <c r="L50" s="59">
        <f>'[4]Extracted Data'!AL$83</f>
        <v>2753233.8908079602</v>
      </c>
      <c r="M50" s="59">
        <f>'[4]Extracted Data'!AM$83</f>
        <v>2797458.1834702599</v>
      </c>
      <c r="N50" s="59">
        <f>'[4]Extracted Data'!AN$83</f>
        <v>2845589</v>
      </c>
      <c r="O50" s="59">
        <f>'[4]Extracted Data'!AO$83</f>
        <v>2902040</v>
      </c>
      <c r="P50" s="59">
        <f>'[4]Extracted Data'!AP$83</f>
        <v>2948966</v>
      </c>
      <c r="Q50" s="59">
        <f t="shared" si="14"/>
        <v>2849457.4148556441</v>
      </c>
      <c r="R50" s="32"/>
      <c r="S50" s="32"/>
      <c r="T50" s="32"/>
    </row>
    <row r="51" spans="1:20" x14ac:dyDescent="0.25">
      <c r="A51" s="47" t="s">
        <v>30</v>
      </c>
      <c r="B51" s="47" t="s">
        <v>133</v>
      </c>
      <c r="C51" s="47" t="s">
        <v>99</v>
      </c>
      <c r="D51" s="59">
        <f>'[4]Extracted Data'!AQ$83</f>
        <v>250642.5242013</v>
      </c>
      <c r="E51" s="59">
        <f>'[4]Extracted Data'!AR$83</f>
        <v>255484.38545674999</v>
      </c>
      <c r="F51" s="59">
        <f>'[4]Extracted Data'!AS$83</f>
        <v>260424.25945124001</v>
      </c>
      <c r="G51" s="59">
        <f>'[4]Extracted Data'!AT$83</f>
        <v>265464.13023523003</v>
      </c>
      <c r="H51" s="59">
        <f>'[4]Extracted Data'!AU$83</f>
        <v>270606.02202186</v>
      </c>
      <c r="I51" s="59">
        <f>'[4]Extracted Data'!AV$83</f>
        <v>275851.99999998999</v>
      </c>
      <c r="J51" s="59">
        <f>'[4]Extracted Data'!AW$83</f>
        <v>278391.99999998999</v>
      </c>
      <c r="K51" s="59">
        <f>'[4]Extracted Data'!AX$83</f>
        <v>279867.99999998999</v>
      </c>
      <c r="L51" s="59">
        <f>'[4]Extracted Data'!AY$83</f>
        <v>280750</v>
      </c>
      <c r="M51" s="59">
        <f>'[4]Extracted Data'!AZ$83</f>
        <v>283059</v>
      </c>
      <c r="N51" s="59">
        <f>'[4]Extracted Data'!BA$83</f>
        <v>285325</v>
      </c>
      <c r="O51" s="59">
        <f>'[4]Extracted Data'!BB$83</f>
        <v>287651.5001</v>
      </c>
      <c r="P51" s="59">
        <f>'[4]Extracted Data'!BC$83</f>
        <v>287936</v>
      </c>
      <c r="Q51" s="59">
        <f t="shared" si="14"/>
        <v>284944.30002000002</v>
      </c>
      <c r="R51" s="32"/>
      <c r="S51" s="32"/>
      <c r="T51" s="32"/>
    </row>
    <row r="52" spans="1:20" x14ac:dyDescent="0.25">
      <c r="A52" s="47" t="s">
        <v>39</v>
      </c>
      <c r="B52" s="47" t="s">
        <v>134</v>
      </c>
      <c r="C52" s="47" t="s">
        <v>99</v>
      </c>
      <c r="D52" s="59">
        <f>'[4]Extracted Data'!BD$83</f>
        <v>3349280.7933019502</v>
      </c>
      <c r="E52" s="59">
        <f>'[4]Extracted Data'!BE$83</f>
        <v>3382886.3052992402</v>
      </c>
      <c r="F52" s="59">
        <f>'[4]Extracted Data'!BF$83</f>
        <v>3417292.5367963999</v>
      </c>
      <c r="G52" s="59">
        <f>'[4]Extracted Data'!BG$83</f>
        <v>3447420.2077966202</v>
      </c>
      <c r="H52" s="59">
        <f>'[4]Extracted Data'!BH$83</f>
        <v>3473076.79272155</v>
      </c>
      <c r="I52" s="59">
        <f>'[4]Extracted Data'!BI$83</f>
        <v>3507176.7698001899</v>
      </c>
      <c r="J52" s="59">
        <f>'[4]Extracted Data'!BJ$83</f>
        <v>3536976.1883934401</v>
      </c>
      <c r="K52" s="59">
        <f>'[4]Extracted Data'!BK$83</f>
        <v>3575936.323899</v>
      </c>
      <c r="L52" s="59">
        <f>'[4]Extracted Data'!BL$83</f>
        <v>3624129</v>
      </c>
      <c r="M52" s="59">
        <f>'[4]Extracted Data'!BM$83</f>
        <v>3674243</v>
      </c>
      <c r="N52" s="59">
        <f>'[4]Extracted Data'!BN$83</f>
        <v>3720662.2206584597</v>
      </c>
      <c r="O52" s="59">
        <f>'[4]Extracted Data'!BO$83</f>
        <v>3774559.4999999898</v>
      </c>
      <c r="P52" s="59">
        <f>'[4]Extracted Data'!BP$83</f>
        <v>3836363</v>
      </c>
      <c r="Q52" s="59">
        <f t="shared" si="14"/>
        <v>3725991.3441316895</v>
      </c>
      <c r="R52" s="32"/>
      <c r="S52" s="32"/>
      <c r="T52" s="32"/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data'!D3:M3</xm:f>
              <xm:sqref>Q3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data'!D4:M4</xm:f>
              <xm:sqref>Q4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data'!D5:M5</xm:f>
              <xm:sqref>Q5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data'!D6:M6</xm:f>
              <xm:sqref>Q6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data'!D7:M7</xm:f>
              <xm:sqref>Q7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data'!D37:M37</xm:f>
              <xm:sqref>Q37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data'!D36:M36</xm:f>
              <xm:sqref>Q36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data'!D35:M35</xm:f>
              <xm:sqref>Q35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data'!D34:M34</xm:f>
              <xm:sqref>Q34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data'!D33:M33</xm:f>
              <xm:sqref>Q33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data'!D22:M22</xm:f>
              <xm:sqref>Q22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data'!D21:M21</xm:f>
              <xm:sqref>Q21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data'!D20:M20</xm:f>
              <xm:sqref>Q20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data'!D19:M19</xm:f>
              <xm:sqref>Q19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data'!D18:M18</xm:f>
              <xm:sqref>Q18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data'!D15:M15</xm:f>
              <xm:sqref>Q15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data'!D14:M14</xm:f>
              <xm:sqref>Q14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data'!D13:M13</xm:f>
              <xm:sqref>Q13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data'!D12:M12</xm:f>
              <xm:sqref>Q12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data'!D11:M11</xm:f>
              <xm:sqref>Q11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zoomScale="85" zoomScaleNormal="85" workbookViewId="0">
      <selection activeCell="X3" sqref="X3"/>
    </sheetView>
  </sheetViews>
  <sheetFormatPr defaultRowHeight="15" x14ac:dyDescent="0.25"/>
  <sheetData>
    <row r="1" spans="1:47" ht="14.45" x14ac:dyDescent="0.35">
      <c r="A1" s="11" t="s">
        <v>94</v>
      </c>
    </row>
    <row r="2" spans="1:47" ht="26.25" x14ac:dyDescent="0.4">
      <c r="B2" s="20" t="s">
        <v>117</v>
      </c>
      <c r="M2" s="60" t="s">
        <v>118</v>
      </c>
      <c r="X2" s="20" t="s">
        <v>119</v>
      </c>
      <c r="AC2" s="10"/>
      <c r="AU2" s="10"/>
    </row>
    <row r="22" spans="2:13" s="17" customFormat="1" x14ac:dyDescent="0.25"/>
    <row r="24" spans="2:13" ht="26.25" x14ac:dyDescent="0.4">
      <c r="B24" s="60"/>
      <c r="C24" s="32"/>
      <c r="L24" s="10"/>
      <c r="M24" s="20"/>
    </row>
    <row r="25" spans="2:13" x14ac:dyDescent="0.25">
      <c r="B25" s="32"/>
      <c r="C25" s="32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22" workbookViewId="0">
      <selection activeCell="J30" sqref="J30"/>
    </sheetView>
  </sheetViews>
  <sheetFormatPr defaultRowHeight="15" x14ac:dyDescent="0.25"/>
  <cols>
    <col min="1" max="1" width="17.5703125" customWidth="1"/>
    <col min="2" max="6" width="20" customWidth="1"/>
    <col min="7" max="7" width="19.140625" customWidth="1"/>
    <col min="8" max="9" width="17.85546875" customWidth="1"/>
  </cols>
  <sheetData>
    <row r="1" spans="1:9" ht="14.45" x14ac:dyDescent="0.35">
      <c r="A1" s="33" t="s">
        <v>62</v>
      </c>
      <c r="B1" s="32"/>
      <c r="C1" s="32"/>
      <c r="D1" s="32"/>
      <c r="E1" s="32"/>
      <c r="F1" s="32"/>
      <c r="G1" s="32"/>
      <c r="H1" s="2"/>
      <c r="I1" s="2"/>
    </row>
    <row r="2" spans="1:9" x14ac:dyDescent="0.25">
      <c r="A2" s="33" t="s">
        <v>56</v>
      </c>
      <c r="B2" s="32"/>
      <c r="C2" s="32"/>
      <c r="D2" s="32"/>
      <c r="E2" s="32"/>
      <c r="F2" s="32"/>
      <c r="G2" s="32"/>
      <c r="H2" s="2"/>
      <c r="I2" s="2"/>
    </row>
    <row r="3" spans="1:9" x14ac:dyDescent="0.25">
      <c r="A3" s="32"/>
      <c r="B3" s="32" t="str">
        <f>'Physical data'!D24</f>
        <v>Circuit line length</v>
      </c>
      <c r="C3" s="32" t="str">
        <f>'Physical data'!E24</f>
        <v>Energy transported</v>
      </c>
      <c r="D3" s="32" t="str">
        <f>'Physical data'!F24</f>
        <v>Maximum demand</v>
      </c>
      <c r="E3" s="32"/>
      <c r="F3" s="32"/>
      <c r="G3" s="32"/>
      <c r="H3" s="2"/>
      <c r="I3" s="2"/>
    </row>
    <row r="4" spans="1:9" s="17" customFormat="1" ht="14.45" x14ac:dyDescent="0.35">
      <c r="A4" s="32"/>
      <c r="B4" s="61" t="str">
        <f>'Physical data'!D25</f>
        <v>km</v>
      </c>
      <c r="C4" s="62" t="s">
        <v>75</v>
      </c>
      <c r="D4" s="61" t="str">
        <f>'Physical data'!F25</f>
        <v>MVA</v>
      </c>
      <c r="E4" s="61"/>
      <c r="F4" s="32"/>
      <c r="G4" s="32"/>
    </row>
    <row r="5" spans="1:9" x14ac:dyDescent="0.25">
      <c r="A5" s="32" t="str">
        <f>'Physical data'!B26</f>
        <v>ENT</v>
      </c>
      <c r="B5" s="61">
        <f>'Physical data'!D26</f>
        <v>5523</v>
      </c>
      <c r="C5" s="61">
        <f>'Physical data'!E26/1000</f>
        <v>13526.031999999999</v>
      </c>
      <c r="D5" s="61">
        <f>'Physical data'!F26</f>
        <v>3330</v>
      </c>
      <c r="E5" s="61"/>
      <c r="F5" s="32"/>
      <c r="G5" s="32"/>
      <c r="H5" s="2"/>
      <c r="I5" s="2"/>
    </row>
    <row r="6" spans="1:9" x14ac:dyDescent="0.25">
      <c r="A6" s="32" t="str">
        <f>'Physical data'!B27</f>
        <v>PLK</v>
      </c>
      <c r="B6" s="61">
        <f>'Physical data'!D27</f>
        <v>14669</v>
      </c>
      <c r="C6" s="61">
        <f>'Physical data'!E27/1000</f>
        <v>52535.338000000003</v>
      </c>
      <c r="D6" s="61">
        <f>'Physical data'!F27</f>
        <v>12010</v>
      </c>
      <c r="E6" s="61"/>
      <c r="F6" s="32"/>
      <c r="G6" s="32"/>
      <c r="H6" s="2"/>
      <c r="I6" s="2"/>
    </row>
    <row r="7" spans="1:9" x14ac:dyDescent="0.25">
      <c r="A7" s="32" t="str">
        <f>'Physical data'!B28</f>
        <v>ANT</v>
      </c>
      <c r="B7" s="61">
        <f>'Physical data'!D28</f>
        <v>6578</v>
      </c>
      <c r="C7" s="61">
        <f>'Physical data'!E28/1000</f>
        <v>46786.576000000001</v>
      </c>
      <c r="D7" s="61">
        <f>'Physical data'!F28</f>
        <v>9788</v>
      </c>
      <c r="E7" s="61"/>
      <c r="F7" s="32"/>
      <c r="G7" s="32"/>
      <c r="H7" s="2"/>
      <c r="I7" s="2"/>
    </row>
    <row r="8" spans="1:9" x14ac:dyDescent="0.25">
      <c r="A8" s="32" t="str">
        <f>'Physical data'!B29</f>
        <v>TNT</v>
      </c>
      <c r="B8" s="61">
        <f>'Physical data'!D29</f>
        <v>3548</v>
      </c>
      <c r="C8" s="61">
        <f>'Physical data'!E29/1000</f>
        <v>12597.03</v>
      </c>
      <c r="D8" s="61">
        <f>'Physical data'!F29</f>
        <v>2518</v>
      </c>
      <c r="E8" s="61"/>
      <c r="F8" s="32"/>
      <c r="G8" s="32"/>
      <c r="H8" s="2"/>
      <c r="I8" s="2"/>
    </row>
    <row r="9" spans="1:9" x14ac:dyDescent="0.25">
      <c r="A9" s="32" t="str">
        <f>'Physical data'!B30</f>
        <v>TRG</v>
      </c>
      <c r="B9" s="61">
        <f>'Physical data'!D30</f>
        <v>13032</v>
      </c>
      <c r="C9" s="61">
        <f>'Physical data'!E30/1000</f>
        <v>73020</v>
      </c>
      <c r="D9" s="61">
        <f>'Physical data'!F30</f>
        <v>17740</v>
      </c>
      <c r="E9" s="61"/>
      <c r="F9" s="32"/>
      <c r="G9" s="32"/>
      <c r="H9" s="2"/>
      <c r="I9" s="2"/>
    </row>
    <row r="10" spans="1:9" x14ac:dyDescent="0.25">
      <c r="A10" s="32"/>
      <c r="B10" s="32"/>
      <c r="C10" s="32"/>
      <c r="D10" s="32"/>
      <c r="E10" s="32"/>
      <c r="F10" s="32"/>
      <c r="G10" s="32"/>
      <c r="H10" s="2"/>
      <c r="I10" s="2"/>
    </row>
    <row r="11" spans="1:9" x14ac:dyDescent="0.25">
      <c r="A11" s="33" t="s">
        <v>55</v>
      </c>
      <c r="B11" s="32"/>
      <c r="C11" s="32"/>
      <c r="D11" s="32"/>
      <c r="E11" s="32"/>
      <c r="F11" s="32"/>
      <c r="G11" s="32"/>
      <c r="H11" s="2"/>
      <c r="I11" s="2"/>
    </row>
    <row r="12" spans="1:9" x14ac:dyDescent="0.25">
      <c r="A12" s="32"/>
      <c r="B12" s="32" t="s">
        <v>25</v>
      </c>
      <c r="C12" s="32" t="s">
        <v>26</v>
      </c>
      <c r="D12" s="32" t="s">
        <v>28</v>
      </c>
      <c r="E12" s="32" t="s">
        <v>23</v>
      </c>
      <c r="F12" s="32" t="s">
        <v>29</v>
      </c>
      <c r="G12" s="32"/>
    </row>
    <row r="13" spans="1:9" s="17" customFormat="1" x14ac:dyDescent="0.25">
      <c r="A13" s="32"/>
      <c r="B13" s="32" t="str">
        <f>Opex!$B$15</f>
        <v>$'000 2018</v>
      </c>
      <c r="C13" s="32" t="str">
        <f>Capex!$B$15</f>
        <v>$'000 2018</v>
      </c>
      <c r="D13" s="32" t="str">
        <f>RAB!$B$15</f>
        <v>$'000 2018</v>
      </c>
      <c r="E13" s="32" t="str">
        <f>Depreciation!$B$15</f>
        <v>$'000 2018</v>
      </c>
      <c r="F13" s="32" t="str">
        <f>'Asset cost and Total user cost'!$B$7</f>
        <v>$'000 2018</v>
      </c>
      <c r="G13" s="32"/>
    </row>
    <row r="14" spans="1:9" x14ac:dyDescent="0.25">
      <c r="A14" s="32" t="s">
        <v>38</v>
      </c>
      <c r="B14" s="49">
        <f>AVERAGE(Opex!J15:N15)</f>
        <v>85481.039596214745</v>
      </c>
      <c r="C14" s="49">
        <f>AVERAGE(Capex!J15:N15)</f>
        <v>176301.63956280422</v>
      </c>
      <c r="D14" s="49">
        <f>AVERAGE(RAB!J15:N15)</f>
        <v>2108349.23272776</v>
      </c>
      <c r="E14" s="49">
        <f>ABS(AVERAGE(Depreciation!J15:N15))</f>
        <v>92936.820240118381</v>
      </c>
      <c r="F14" s="49">
        <f>AVERAGE('Asset cost and Total user cost'!J7:N7)</f>
        <v>163625.25400993793</v>
      </c>
      <c r="G14" s="32"/>
    </row>
    <row r="15" spans="1:9" x14ac:dyDescent="0.25">
      <c r="A15" s="32" t="s">
        <v>21</v>
      </c>
      <c r="B15" s="49">
        <f>AVERAGE(Opex!J16:N16)</f>
        <v>214848.41988906683</v>
      </c>
      <c r="C15" s="49">
        <f>AVERAGE(Capex!J16:N16)</f>
        <v>355216.67033812631</v>
      </c>
      <c r="D15" s="49">
        <f>AVERAGE(RAB!J16:N16)</f>
        <v>6856743.3276923941</v>
      </c>
      <c r="E15" s="49">
        <f>ABS(AVERAGE(Depreciation!J16:N16))</f>
        <v>269769.10223153874</v>
      </c>
      <c r="F15" s="49">
        <f>AVERAGE('Asset cost and Total user cost'!J8:N8)</f>
        <v>499661.01912670414</v>
      </c>
      <c r="G15" s="32"/>
    </row>
    <row r="16" spans="1:9" x14ac:dyDescent="0.25">
      <c r="A16" s="32" t="s">
        <v>36</v>
      </c>
      <c r="B16" s="49">
        <f>AVERAGE(Opex!J17:N17)</f>
        <v>90542.89355856707</v>
      </c>
      <c r="C16" s="49">
        <f>AVERAGE(Capex!J17:N17)</f>
        <v>171667.02870450402</v>
      </c>
      <c r="D16" s="49">
        <f>AVERAGE(RAB!J17:N17)</f>
        <v>2882501.139911395</v>
      </c>
      <c r="E16" s="49">
        <f>ABS(AVERAGE(Depreciation!J17:N17))</f>
        <v>154142.01283755011</v>
      </c>
      <c r="F16" s="49">
        <f>AVERAGE('Asset cost and Total user cost'!J9:N9)</f>
        <v>250786.1018514153</v>
      </c>
      <c r="G16" s="32"/>
    </row>
    <row r="17" spans="1:7" x14ac:dyDescent="0.25">
      <c r="A17" s="32" t="s">
        <v>30</v>
      </c>
      <c r="B17" s="49">
        <f>AVERAGE(Opex!J18:N18)</f>
        <v>41985.46652478724</v>
      </c>
      <c r="C17" s="49">
        <f>AVERAGE(Capex!J18:N18)</f>
        <v>75312.275503512836</v>
      </c>
      <c r="D17" s="49">
        <f>AVERAGE(RAB!J18:N18)</f>
        <v>1427349.9342634208</v>
      </c>
      <c r="E17" s="49">
        <f>ABS(AVERAGE(Depreciation!J18:N18))</f>
        <v>61745.299450956481</v>
      </c>
      <c r="F17" s="49">
        <f>AVERAGE('Asset cost and Total user cost'!J10:N10)</f>
        <v>109601.28541775784</v>
      </c>
      <c r="G17" s="32"/>
    </row>
    <row r="18" spans="1:7" x14ac:dyDescent="0.25">
      <c r="A18" s="32" t="s">
        <v>39</v>
      </c>
      <c r="B18" s="49">
        <f>AVERAGE(Opex!J19:N19)</f>
        <v>177294.8580000379</v>
      </c>
      <c r="C18" s="49">
        <f>AVERAGE(Capex!J19:N19)</f>
        <v>365224.37566647271</v>
      </c>
      <c r="D18" s="49">
        <f>AVERAGE(RAB!J19:N19)</f>
        <v>6154467.0110033108</v>
      </c>
      <c r="E18" s="49">
        <f>ABS(AVERAGE(Depreciation!J19:N19))</f>
        <v>258446.06301364541</v>
      </c>
      <c r="F18" s="49">
        <f>AVERAGE('Asset cost and Total user cost'!J11:N11)</f>
        <v>464792.1592592774</v>
      </c>
      <c r="G18" s="32"/>
    </row>
    <row r="19" spans="1:7" x14ac:dyDescent="0.25">
      <c r="A19" s="32"/>
      <c r="B19" s="32"/>
      <c r="C19" s="32"/>
      <c r="D19" s="32"/>
      <c r="E19" s="32"/>
      <c r="F19" s="32"/>
      <c r="G19" s="32"/>
    </row>
    <row r="20" spans="1:7" x14ac:dyDescent="0.25">
      <c r="A20" s="32"/>
      <c r="B20" s="32"/>
      <c r="C20" s="32"/>
      <c r="D20" s="32"/>
      <c r="E20" s="32"/>
      <c r="F20" s="32"/>
      <c r="G20" s="32"/>
    </row>
    <row r="21" spans="1:7" x14ac:dyDescent="0.25">
      <c r="A21" s="32"/>
      <c r="B21" s="32"/>
      <c r="C21" s="32"/>
      <c r="D21" s="32"/>
      <c r="E21" s="32"/>
      <c r="F21" s="32"/>
      <c r="G21" s="32"/>
    </row>
    <row r="22" spans="1:7" x14ac:dyDescent="0.25">
      <c r="E22" s="2"/>
    </row>
    <row r="23" spans="1:7" x14ac:dyDescent="0.25">
      <c r="E23" s="2"/>
    </row>
    <row r="24" spans="1:7" x14ac:dyDescent="0.25">
      <c r="E24" s="2"/>
    </row>
    <row r="25" spans="1:7" x14ac:dyDescent="0.25">
      <c r="E25" s="2"/>
    </row>
    <row r="26" spans="1:7" x14ac:dyDescent="0.25">
      <c r="E26" s="2"/>
    </row>
    <row r="27" spans="1:7" x14ac:dyDescent="0.25">
      <c r="E2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"/>
  <sheetViews>
    <sheetView zoomScale="85" zoomScaleNormal="85" workbookViewId="0">
      <selection activeCell="O47" sqref="O47"/>
    </sheetView>
  </sheetViews>
  <sheetFormatPr defaultRowHeight="15" x14ac:dyDescent="0.25"/>
  <cols>
    <col min="21" max="21" width="9.140625" customWidth="1"/>
  </cols>
  <sheetData>
    <row r="1" spans="1:15" ht="21" x14ac:dyDescent="0.35">
      <c r="A1" s="11" t="s">
        <v>96</v>
      </c>
      <c r="O1" s="20" t="s">
        <v>124</v>
      </c>
    </row>
    <row r="2" spans="1:15" ht="21" x14ac:dyDescent="0.35">
      <c r="A2" s="20" t="s">
        <v>112</v>
      </c>
    </row>
    <row r="20" spans="1:16" s="17" customFormat="1" x14ac:dyDescent="0.25"/>
    <row r="21" spans="1:16" s="17" customFormat="1" x14ac:dyDescent="0.25"/>
    <row r="22" spans="1:16" s="17" customFormat="1" x14ac:dyDescent="0.25"/>
    <row r="23" spans="1:16" s="17" customFormat="1" x14ac:dyDescent="0.25"/>
    <row r="24" spans="1:16" s="17" customFormat="1" x14ac:dyDescent="0.25"/>
    <row r="25" spans="1:16" s="17" customFormat="1" x14ac:dyDescent="0.25"/>
    <row r="26" spans="1:16" s="17" customFormat="1" x14ac:dyDescent="0.25"/>
    <row r="27" spans="1:16" ht="21" x14ac:dyDescent="0.35">
      <c r="A27" s="20" t="s">
        <v>113</v>
      </c>
      <c r="P27" s="20" t="s">
        <v>114</v>
      </c>
    </row>
    <row r="31" spans="1:16" s="17" customFormat="1" x14ac:dyDescent="0.25"/>
    <row r="32" spans="1:16" s="17" customFormat="1" x14ac:dyDescent="0.25"/>
    <row r="33" s="17" customFormat="1" x14ac:dyDescent="0.25"/>
    <row r="34" s="17" customFormat="1" x14ac:dyDescent="0.25"/>
    <row r="35" s="17" customFormat="1" x14ac:dyDescent="0.25"/>
    <row r="36" s="17" customFormat="1" x14ac:dyDescent="0.25"/>
    <row r="37" s="17" customFormat="1" x14ac:dyDescent="0.25"/>
    <row r="38" s="17" customFormat="1" x14ac:dyDescent="0.25"/>
    <row r="39" s="17" customFormat="1" x14ac:dyDescent="0.25"/>
    <row r="40" s="17" customFormat="1" x14ac:dyDescent="0.25"/>
    <row r="41" s="17" customFormat="1" x14ac:dyDescent="0.25"/>
    <row r="50" spans="1:16" s="17" customFormat="1" x14ac:dyDescent="0.25"/>
    <row r="51" spans="1:16" s="17" customFormat="1" x14ac:dyDescent="0.25"/>
    <row r="53" spans="1:16" ht="26.25" x14ac:dyDescent="0.4">
      <c r="A53" s="20" t="s">
        <v>116</v>
      </c>
      <c r="J53" s="10"/>
      <c r="P53" s="60" t="s">
        <v>135</v>
      </c>
    </row>
    <row r="59" spans="1:16" s="17" customFormat="1" x14ac:dyDescent="0.25"/>
    <row r="60" spans="1:16" s="17" customFormat="1" x14ac:dyDescent="0.25"/>
    <row r="61" spans="1:16" s="17" customFormat="1" x14ac:dyDescent="0.25"/>
    <row r="62" spans="1:16" s="17" customFormat="1" x14ac:dyDescent="0.25"/>
    <row r="63" spans="1:16" s="17" customFormat="1" x14ac:dyDescent="0.25"/>
    <row r="64" spans="1:16" s="17" customFormat="1" x14ac:dyDescent="0.25"/>
    <row r="65" spans="1:26" s="17" customFormat="1" x14ac:dyDescent="0.25"/>
    <row r="66" spans="1:26" s="17" customFormat="1" x14ac:dyDescent="0.25"/>
    <row r="67" spans="1:26" s="17" customFormat="1" x14ac:dyDescent="0.25"/>
    <row r="74" spans="1:26" s="17" customFormat="1" ht="21" x14ac:dyDescent="0.35">
      <c r="P74" s="60" t="s">
        <v>125</v>
      </c>
    </row>
    <row r="75" spans="1:26" s="17" customFormat="1" x14ac:dyDescent="0.25"/>
    <row r="76" spans="1:26" ht="21" x14ac:dyDescent="0.35">
      <c r="P76" s="20"/>
      <c r="Z76" s="32"/>
    </row>
    <row r="78" spans="1:26" ht="26.25" x14ac:dyDescent="0.4">
      <c r="A78" s="20" t="s">
        <v>115</v>
      </c>
      <c r="B78" s="2"/>
      <c r="K78" s="10"/>
    </row>
    <row r="98" spans="16:16" s="17" customFormat="1" x14ac:dyDescent="0.25"/>
    <row r="99" spans="16:16" s="17" customFormat="1" x14ac:dyDescent="0.25"/>
    <row r="100" spans="16:16" ht="21" x14ac:dyDescent="0.35">
      <c r="P100" s="60" t="s">
        <v>126</v>
      </c>
    </row>
  </sheetData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4"/>
  <sheetViews>
    <sheetView zoomScale="80" zoomScaleNormal="80" workbookViewId="0">
      <pane xSplit="2" topLeftCell="E1" activePane="topRight" state="frozen"/>
      <selection pane="topRight" activeCell="P14" sqref="P14"/>
    </sheetView>
  </sheetViews>
  <sheetFormatPr defaultColWidth="9.140625" defaultRowHeight="15" x14ac:dyDescent="0.25"/>
  <cols>
    <col min="1" max="1" width="44.42578125" style="68" customWidth="1"/>
    <col min="2" max="2" width="44.42578125" style="2" customWidth="1"/>
    <col min="3" max="3" width="16.7109375" style="17" customWidth="1"/>
    <col min="4" max="6" width="20.7109375" style="2" customWidth="1"/>
    <col min="7" max="12" width="15.7109375" style="2" customWidth="1"/>
    <col min="13" max="16" width="15.7109375" style="17" customWidth="1"/>
    <col min="17" max="17" width="15.7109375" style="2" customWidth="1"/>
    <col min="18" max="25" width="25.42578125" style="2" customWidth="1"/>
    <col min="26" max="26" width="14.7109375" style="2" customWidth="1"/>
    <col min="27" max="27" width="14.5703125" style="2" customWidth="1"/>
    <col min="28" max="28" width="19.85546875" style="2" customWidth="1"/>
    <col min="29" max="30" width="21" style="2" customWidth="1"/>
    <col min="31" max="31" width="12.85546875" style="2" customWidth="1"/>
    <col min="32" max="32" width="16" style="2" customWidth="1"/>
    <col min="33" max="33" width="21.28515625" style="2" customWidth="1"/>
    <col min="34" max="35" width="18.5703125" style="2" customWidth="1"/>
    <col min="36" max="16384" width="9.140625" style="2"/>
  </cols>
  <sheetData>
    <row r="1" spans="1:25" x14ac:dyDescent="0.25">
      <c r="A1" s="33" t="s">
        <v>95</v>
      </c>
      <c r="B1" s="33" t="s">
        <v>95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s="16" customFormat="1" ht="30" x14ac:dyDescent="0.25">
      <c r="A2" s="33" t="s">
        <v>122</v>
      </c>
      <c r="B2" s="33" t="s">
        <v>122</v>
      </c>
      <c r="C2" s="33"/>
      <c r="D2" s="51" t="s">
        <v>76</v>
      </c>
      <c r="E2" s="51" t="s">
        <v>34</v>
      </c>
      <c r="F2" s="51" t="s">
        <v>27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5" s="16" customFormat="1" x14ac:dyDescent="0.25">
      <c r="A3" s="33"/>
      <c r="B3" s="33"/>
      <c r="C3" s="33"/>
      <c r="D3" s="51" t="s">
        <v>109</v>
      </c>
      <c r="E3" s="51" t="s">
        <v>110</v>
      </c>
      <c r="F3" s="51" t="s">
        <v>111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x14ac:dyDescent="0.25">
      <c r="A4" s="47" t="s">
        <v>38</v>
      </c>
      <c r="B4" s="47" t="s">
        <v>130</v>
      </c>
      <c r="C4" s="47"/>
      <c r="D4" s="36">
        <f>Q13</f>
        <v>78071.443117917719</v>
      </c>
      <c r="E4" s="36">
        <f>Q21</f>
        <v>19.391484994616878</v>
      </c>
      <c r="F4" s="36">
        <f>Q29</f>
        <v>299.28678410418991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x14ac:dyDescent="0.25">
      <c r="A5" s="47" t="s">
        <v>21</v>
      </c>
      <c r="B5" s="47" t="s">
        <v>131</v>
      </c>
      <c r="C5" s="47"/>
      <c r="D5" s="36">
        <f t="shared" ref="D5:D8" si="0">Q14</f>
        <v>60140.622688097632</v>
      </c>
      <c r="E5" s="36">
        <f>Q22</f>
        <v>13.764260251213409</v>
      </c>
      <c r="F5" s="36">
        <f>Q30</f>
        <v>334.04704585977834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1:25" x14ac:dyDescent="0.25">
      <c r="A6" s="47" t="s">
        <v>36</v>
      </c>
      <c r="B6" s="47" t="s">
        <v>132</v>
      </c>
      <c r="C6" s="47"/>
      <c r="D6" s="36">
        <f t="shared" si="0"/>
        <v>35786.610859481218</v>
      </c>
      <c r="E6" s="36">
        <f>Q23</f>
        <v>7.4963629286646496</v>
      </c>
      <c r="F6" s="36">
        <f>Q31</f>
        <v>122.58559372540913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x14ac:dyDescent="0.25">
      <c r="A7" s="47" t="s">
        <v>30</v>
      </c>
      <c r="B7" s="47" t="s">
        <v>133</v>
      </c>
      <c r="C7" s="47"/>
      <c r="D7" s="36">
        <f t="shared" si="0"/>
        <v>58787.101277717229</v>
      </c>
      <c r="E7" s="36">
        <f>Q24</f>
        <v>11.763879673716751</v>
      </c>
      <c r="F7" s="36">
        <f>Q32</f>
        <v>519.79425066909221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x14ac:dyDescent="0.25">
      <c r="A8" s="47" t="s">
        <v>39</v>
      </c>
      <c r="B8" s="47" t="s">
        <v>134</v>
      </c>
      <c r="C8" s="47"/>
      <c r="D8" s="36">
        <f t="shared" si="0"/>
        <v>36904.41282216867</v>
      </c>
      <c r="E8" s="36">
        <f>Q25</f>
        <v>8.9597286528750324</v>
      </c>
      <c r="F8" s="36">
        <f>Q33</f>
        <v>175.42345386942603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1:25" x14ac:dyDescent="0.25">
      <c r="A10" s="14" t="s">
        <v>33</v>
      </c>
      <c r="B10" s="14" t="s">
        <v>33</v>
      </c>
      <c r="C10" s="14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5" s="11" customFormat="1" ht="30" x14ac:dyDescent="0.25">
      <c r="A12" s="52" t="s">
        <v>50</v>
      </c>
      <c r="B12" s="52" t="s">
        <v>50</v>
      </c>
      <c r="C12" s="52"/>
      <c r="D12" s="53">
        <v>2006</v>
      </c>
      <c r="E12" s="53">
        <v>2007</v>
      </c>
      <c r="F12" s="53">
        <v>2008</v>
      </c>
      <c r="G12" s="53">
        <v>2009</v>
      </c>
      <c r="H12" s="53">
        <v>2010</v>
      </c>
      <c r="I12" s="53">
        <v>2011</v>
      </c>
      <c r="J12" s="53">
        <v>2012</v>
      </c>
      <c r="K12" s="53">
        <v>2013</v>
      </c>
      <c r="L12" s="53">
        <v>2014</v>
      </c>
      <c r="M12" s="53">
        <v>2015</v>
      </c>
      <c r="N12" s="53">
        <v>2016</v>
      </c>
      <c r="O12" s="53">
        <v>2017</v>
      </c>
      <c r="P12" s="53">
        <v>2018</v>
      </c>
      <c r="Q12" s="53" t="s">
        <v>24</v>
      </c>
      <c r="R12" s="33" t="s">
        <v>123</v>
      </c>
      <c r="S12" s="33"/>
      <c r="T12" s="33"/>
      <c r="U12" s="33"/>
      <c r="V12" s="33"/>
      <c r="W12" s="33"/>
      <c r="X12" s="33"/>
      <c r="Y12" s="33"/>
    </row>
    <row r="13" spans="1:25" x14ac:dyDescent="0.25">
      <c r="A13" s="47" t="s">
        <v>38</v>
      </c>
      <c r="B13" s="47" t="s">
        <v>130</v>
      </c>
      <c r="C13" s="47" t="s">
        <v>104</v>
      </c>
      <c r="D13" s="36">
        <f>D53/'Physical data'!D11</f>
        <v>43819.246024206106</v>
      </c>
      <c r="E13" s="36">
        <f>E53/'Physical data'!E11</f>
        <v>46336.788325943082</v>
      </c>
      <c r="F13" s="36">
        <f>F53/'Physical data'!F11</f>
        <v>41614.978153606055</v>
      </c>
      <c r="G13" s="36">
        <f>G53/'Physical data'!G11</f>
        <v>44215.724018776571</v>
      </c>
      <c r="H13" s="36">
        <f>H53/'Physical data'!H11</f>
        <v>45465.204989057813</v>
      </c>
      <c r="I13" s="36">
        <f>I53/'Physical data'!I11</f>
        <v>46371.181255969488</v>
      </c>
      <c r="J13" s="36">
        <f>J53/'Physical data'!J11</f>
        <v>51298.084287424106</v>
      </c>
      <c r="K13" s="36">
        <f>K53/'Physical data'!K11</f>
        <v>51128.356956199888</v>
      </c>
      <c r="L13" s="36">
        <f>L53/'Physical data'!L11</f>
        <v>67817.517763382479</v>
      </c>
      <c r="M13" s="36">
        <f>M53/'Physical data'!M11</f>
        <v>78455.414985822863</v>
      </c>
      <c r="N13" s="36">
        <f>N53/'Physical data'!N11</f>
        <v>80559.524536450408</v>
      </c>
      <c r="O13" s="36">
        <f>O53/'Physical data'!O11</f>
        <v>79805.963406083494</v>
      </c>
      <c r="P13" s="36">
        <f>P53/'Physical data'!P11</f>
        <v>83718.794897849395</v>
      </c>
      <c r="Q13" s="36">
        <f>AVERAGE(L13:P13)</f>
        <v>78071.443117917719</v>
      </c>
      <c r="R13" s="64">
        <f>P13/D13-1</f>
        <v>0.91054850308475088</v>
      </c>
      <c r="S13" s="32"/>
      <c r="T13" s="32"/>
      <c r="U13" s="32"/>
      <c r="V13" s="32"/>
      <c r="W13" s="32"/>
      <c r="X13" s="32"/>
      <c r="Y13" s="32"/>
    </row>
    <row r="14" spans="1:25" x14ac:dyDescent="0.25">
      <c r="A14" s="47" t="s">
        <v>21</v>
      </c>
      <c r="B14" s="47" t="s">
        <v>131</v>
      </c>
      <c r="C14" s="47" t="s">
        <v>104</v>
      </c>
      <c r="D14" s="36">
        <f>D54/'Physical data'!D12</f>
        <v>43044.193928288209</v>
      </c>
      <c r="E14" s="36">
        <f>E54/'Physical data'!E12</f>
        <v>41861.871975236718</v>
      </c>
      <c r="F14" s="36">
        <f>F54/'Physical data'!F12</f>
        <v>46399.411320859414</v>
      </c>
      <c r="G14" s="36">
        <f>G54/'Physical data'!G12</f>
        <v>47657.227908329718</v>
      </c>
      <c r="H14" s="36">
        <f>H54/'Physical data'!H12</f>
        <v>49479.80970337864</v>
      </c>
      <c r="I14" s="36">
        <f>I54/'Physical data'!I12</f>
        <v>52444.240736812499</v>
      </c>
      <c r="J14" s="36">
        <f>J54/'Physical data'!J12</f>
        <v>55724.336211593632</v>
      </c>
      <c r="K14" s="36">
        <f>K54/'Physical data'!K12</f>
        <v>55100.077546636865</v>
      </c>
      <c r="L14" s="36">
        <f>L54/'Physical data'!L12</f>
        <v>59316.438935021528</v>
      </c>
      <c r="M14" s="36">
        <f>M54/'Physical data'!M12</f>
        <v>62816.26379871423</v>
      </c>
      <c r="N14" s="36">
        <f>N54/'Physical data'!N12</f>
        <v>62850.430861878347</v>
      </c>
      <c r="O14" s="36">
        <f>O54/'Physical data'!O12</f>
        <v>60519.878343713732</v>
      </c>
      <c r="P14" s="36">
        <f>P54/'Physical data'!P12</f>
        <v>55200.10150116033</v>
      </c>
      <c r="Q14" s="36">
        <f t="shared" ref="Q14:Q17" si="1">AVERAGE(L14:P14)</f>
        <v>60140.622688097632</v>
      </c>
      <c r="R14" s="64">
        <f t="shared" ref="R14:R17" si="2">P14/D14-1</f>
        <v>0.28240527847086438</v>
      </c>
      <c r="S14" s="32"/>
      <c r="T14" s="32"/>
      <c r="U14" s="32"/>
      <c r="V14" s="32"/>
      <c r="W14" s="32"/>
      <c r="X14" s="32"/>
      <c r="Y14" s="32"/>
    </row>
    <row r="15" spans="1:25" x14ac:dyDescent="0.25">
      <c r="A15" s="47" t="s">
        <v>36</v>
      </c>
      <c r="B15" s="47" t="s">
        <v>132</v>
      </c>
      <c r="C15" s="47" t="s">
        <v>104</v>
      </c>
      <c r="D15" s="36">
        <f>D55/'Physical data'!D13</f>
        <v>35943.959690011812</v>
      </c>
      <c r="E15" s="36">
        <f>E55/'Physical data'!E13</f>
        <v>30173.774940452982</v>
      </c>
      <c r="F15" s="36">
        <f>F55/'Physical data'!F13</f>
        <v>30123.033513323433</v>
      </c>
      <c r="G15" s="36">
        <f>G55/'Physical data'!G13</f>
        <v>30996.775822977444</v>
      </c>
      <c r="H15" s="36">
        <f>H55/'Physical data'!H13</f>
        <v>32842.956850405884</v>
      </c>
      <c r="I15" s="36">
        <f>I55/'Physical data'!I13</f>
        <v>33068.824456752394</v>
      </c>
      <c r="J15" s="36">
        <f>J55/'Physical data'!J13</f>
        <v>34988.361586307961</v>
      </c>
      <c r="K15" s="36">
        <f>K55/'Physical data'!K13</f>
        <v>33408.445408721025</v>
      </c>
      <c r="L15" s="36">
        <f>L55/'Physical data'!L13</f>
        <v>31356.60326962472</v>
      </c>
      <c r="M15" s="36">
        <f>M55/'Physical data'!M13</f>
        <v>38173.865626170802</v>
      </c>
      <c r="N15" s="36">
        <f>N55/'Physical data'!N13</f>
        <v>36876.556341064846</v>
      </c>
      <c r="O15" s="36">
        <f>O55/'Physical data'!O13</f>
        <v>37450.163306810857</v>
      </c>
      <c r="P15" s="36">
        <f>P55/'Physical data'!P13</f>
        <v>35075.865753734863</v>
      </c>
      <c r="Q15" s="36">
        <f t="shared" si="1"/>
        <v>35786.610859481218</v>
      </c>
      <c r="R15" s="64">
        <f t="shared" si="2"/>
        <v>-2.4151316208997908E-2</v>
      </c>
      <c r="S15" s="32"/>
      <c r="T15" s="32"/>
      <c r="U15" s="32"/>
      <c r="V15" s="32"/>
      <c r="W15" s="32"/>
      <c r="X15" s="32"/>
      <c r="Y15" s="32"/>
    </row>
    <row r="16" spans="1:25" x14ac:dyDescent="0.25">
      <c r="A16" s="47" t="s">
        <v>30</v>
      </c>
      <c r="B16" s="47" t="s">
        <v>133</v>
      </c>
      <c r="C16" s="47" t="s">
        <v>104</v>
      </c>
      <c r="D16" s="36">
        <f>D56/'Physical data'!D14</f>
        <v>46608.86054740601</v>
      </c>
      <c r="E16" s="36">
        <f>E56/'Physical data'!E14</f>
        <v>47004.02395286996</v>
      </c>
      <c r="F16" s="36">
        <f>F56/'Physical data'!F14</f>
        <v>53934.9484946999</v>
      </c>
      <c r="G16" s="36">
        <f>G56/'Physical data'!G14</f>
        <v>54061.443494197527</v>
      </c>
      <c r="H16" s="36">
        <f>H56/'Physical data'!H14</f>
        <v>58621.810117543573</v>
      </c>
      <c r="I16" s="36">
        <f>I56/'Physical data'!I14</f>
        <v>60989.08322886243</v>
      </c>
      <c r="J16" s="36">
        <f>J56/'Physical data'!J14</f>
        <v>61821.553401938632</v>
      </c>
      <c r="K16" s="36">
        <f>K56/'Physical data'!K14</f>
        <v>61519.645491220443</v>
      </c>
      <c r="L16" s="36">
        <f>L56/'Physical data'!L14</f>
        <v>65512.604140745803</v>
      </c>
      <c r="M16" s="36">
        <f>M56/'Physical data'!M14</f>
        <v>57439.2323659787</v>
      </c>
      <c r="N16" s="36">
        <f>N56/'Physical data'!N14</f>
        <v>58978.023339898347</v>
      </c>
      <c r="O16" s="36">
        <f>O56/'Physical data'!O14</f>
        <v>57272.913185069046</v>
      </c>
      <c r="P16" s="36">
        <f>P56/'Physical data'!P14</f>
        <v>54732.733356894234</v>
      </c>
      <c r="Q16" s="36">
        <f t="shared" si="1"/>
        <v>58787.101277717229</v>
      </c>
      <c r="R16" s="64">
        <f t="shared" si="2"/>
        <v>0.17429889325926373</v>
      </c>
      <c r="S16" s="32"/>
      <c r="T16" s="32"/>
      <c r="U16" s="32"/>
      <c r="V16" s="32"/>
      <c r="W16" s="32"/>
      <c r="X16" s="32"/>
      <c r="Y16" s="32"/>
    </row>
    <row r="17" spans="1:34" x14ac:dyDescent="0.25">
      <c r="A17" s="47" t="s">
        <v>39</v>
      </c>
      <c r="B17" s="47" t="s">
        <v>134</v>
      </c>
      <c r="C17" s="47" t="s">
        <v>104</v>
      </c>
      <c r="D17" s="36">
        <f>D57/'Physical data'!D15</f>
        <v>26080.332520099146</v>
      </c>
      <c r="E17" s="36">
        <f>E57/'Physical data'!E15</f>
        <v>25856.398992221759</v>
      </c>
      <c r="F17" s="36">
        <f>F57/'Physical data'!F15</f>
        <v>26004.416393599622</v>
      </c>
      <c r="G17" s="36">
        <f>G57/'Physical data'!G15</f>
        <v>27259.620145877438</v>
      </c>
      <c r="H17" s="36">
        <f>H57/'Physical data'!H15</f>
        <v>29869.353912323833</v>
      </c>
      <c r="I17" s="36">
        <f>I57/'Physical data'!I15</f>
        <v>28670.309177104831</v>
      </c>
      <c r="J17" s="36">
        <f>J57/'Physical data'!J15</f>
        <v>31705.327991969221</v>
      </c>
      <c r="K17" s="36">
        <f>K57/'Physical data'!K15</f>
        <v>33085.764836275528</v>
      </c>
      <c r="L17" s="36">
        <f>L57/'Physical data'!L15</f>
        <v>37460.141379791712</v>
      </c>
      <c r="M17" s="36">
        <f>M57/'Physical data'!M15</f>
        <v>39602.636013356707</v>
      </c>
      <c r="N17" s="36">
        <f>N57/'Physical data'!N15</f>
        <v>37055.890365204061</v>
      </c>
      <c r="O17" s="36">
        <f>O57/'Physical data'!O15</f>
        <v>36228.387908816279</v>
      </c>
      <c r="P17" s="36">
        <f>P57/'Physical data'!P15</f>
        <v>34175.008443674604</v>
      </c>
      <c r="Q17" s="36">
        <f t="shared" si="1"/>
        <v>36904.41282216867</v>
      </c>
      <c r="R17" s="64">
        <f t="shared" si="2"/>
        <v>0.31037472077233641</v>
      </c>
      <c r="S17" s="32"/>
      <c r="T17" s="32"/>
      <c r="U17" s="32"/>
      <c r="V17" s="32"/>
      <c r="W17" s="32"/>
      <c r="X17" s="32"/>
      <c r="Y17" s="32"/>
    </row>
    <row r="18" spans="1:34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34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22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11" customFormat="1" ht="30" x14ac:dyDescent="0.25">
      <c r="A20" s="52" t="s">
        <v>57</v>
      </c>
      <c r="B20" s="52" t="s">
        <v>57</v>
      </c>
      <c r="C20" s="52"/>
      <c r="D20" s="53">
        <v>2006</v>
      </c>
      <c r="E20" s="53">
        <v>2007</v>
      </c>
      <c r="F20" s="53">
        <v>2008</v>
      </c>
      <c r="G20" s="53">
        <v>2009</v>
      </c>
      <c r="H20" s="53">
        <v>2010</v>
      </c>
      <c r="I20" s="53">
        <v>2011</v>
      </c>
      <c r="J20" s="53">
        <v>2012</v>
      </c>
      <c r="K20" s="53">
        <v>2013</v>
      </c>
      <c r="L20" s="53">
        <v>2014</v>
      </c>
      <c r="M20" s="53">
        <v>2015</v>
      </c>
      <c r="N20" s="53">
        <v>2016</v>
      </c>
      <c r="O20" s="53">
        <v>2017</v>
      </c>
      <c r="P20" s="53">
        <v>2018</v>
      </c>
      <c r="Q20" s="53" t="s">
        <v>24</v>
      </c>
      <c r="R20" s="33"/>
      <c r="S20" s="33"/>
      <c r="T20" s="33"/>
      <c r="U20" s="33"/>
      <c r="V20" s="33"/>
      <c r="W20" s="33"/>
      <c r="X20" s="33"/>
      <c r="Y20" s="33"/>
    </row>
    <row r="21" spans="1:34" x14ac:dyDescent="0.25">
      <c r="A21" s="47" t="s">
        <v>38</v>
      </c>
      <c r="B21" s="47" t="s">
        <v>130</v>
      </c>
      <c r="C21" s="47" t="s">
        <v>105</v>
      </c>
      <c r="D21" s="54">
        <f>D53/'Physical data'!D3</f>
        <v>11.544220790635512</v>
      </c>
      <c r="E21" s="54">
        <f>E53/'Physical data'!E3</f>
        <v>13.170623922773698</v>
      </c>
      <c r="F21" s="54">
        <f>F53/'Physical data'!F3</f>
        <v>13.431717028238165</v>
      </c>
      <c r="G21" s="54">
        <f>G53/'Physical data'!G3</f>
        <v>13.955738080260328</v>
      </c>
      <c r="H21" s="54">
        <f>H53/'Physical data'!H3</f>
        <v>14.070608287068262</v>
      </c>
      <c r="I21" s="54">
        <f>I53/'Physical data'!I3</f>
        <v>14.619503092274233</v>
      </c>
      <c r="J21" s="54">
        <f>J53/'Physical data'!J3</f>
        <v>15.426405371961515</v>
      </c>
      <c r="K21" s="54">
        <f>K53/'Physical data'!K3</f>
        <v>15.761759595344243</v>
      </c>
      <c r="L21" s="54">
        <f>L53/'Physical data'!L3</f>
        <v>16.664198014978371</v>
      </c>
      <c r="M21" s="54">
        <f>M53/'Physical data'!M3</f>
        <v>18.514641324994543</v>
      </c>
      <c r="N21" s="54">
        <f>N53/'Physical data'!N3</f>
        <v>18.497937966293339</v>
      </c>
      <c r="O21" s="54">
        <f>O53/'Physical data'!O3</f>
        <v>18.942199444244196</v>
      </c>
      <c r="P21" s="54">
        <f>P53/'Physical data'!P3</f>
        <v>24.338448222573948</v>
      </c>
      <c r="Q21" s="36">
        <f>AVERAGE(L21:P21)</f>
        <v>19.391484994616878</v>
      </c>
      <c r="R21" s="32"/>
      <c r="S21" s="32"/>
      <c r="T21" s="32"/>
      <c r="U21" s="32"/>
      <c r="V21" s="32"/>
      <c r="W21" s="32"/>
      <c r="X21" s="32"/>
      <c r="Y21" s="32"/>
    </row>
    <row r="22" spans="1:34" x14ac:dyDescent="0.25">
      <c r="A22" s="47" t="s">
        <v>21</v>
      </c>
      <c r="B22" s="47" t="s">
        <v>131</v>
      </c>
      <c r="C22" s="47" t="s">
        <v>105</v>
      </c>
      <c r="D22" s="54">
        <f>D54/'Physical data'!D4</f>
        <v>9.301459314875542</v>
      </c>
      <c r="E22" s="54">
        <f>E54/'Physical data'!E4</f>
        <v>9.4554774039139602</v>
      </c>
      <c r="F22" s="54">
        <f>F54/'Physical data'!F4</f>
        <v>10.526136848575488</v>
      </c>
      <c r="G22" s="54">
        <f>G54/'Physical data'!G4</f>
        <v>11.020124396691299</v>
      </c>
      <c r="H22" s="54">
        <f>H54/'Physical data'!H4</f>
        <v>11.466721470260985</v>
      </c>
      <c r="I22" s="54">
        <f>I54/'Physical data'!I4</f>
        <v>12.058852256379144</v>
      </c>
      <c r="J22" s="54">
        <f>J54/'Physical data'!J4</f>
        <v>12.786568231361409</v>
      </c>
      <c r="K22" s="54">
        <f>K54/'Physical data'!K4</f>
        <v>13.028239030414863</v>
      </c>
      <c r="L22" s="54">
        <f>L54/'Physical data'!L4</f>
        <v>14.341776987178305</v>
      </c>
      <c r="M22" s="54">
        <f>M54/'Physical data'!M4</f>
        <v>14.000673302528602</v>
      </c>
      <c r="N22" s="54">
        <f>N54/'Physical data'!N4</f>
        <v>14.259048481417988</v>
      </c>
      <c r="O22" s="54">
        <f>O54/'Physical data'!O4</f>
        <v>13.819950369269302</v>
      </c>
      <c r="P22" s="54">
        <f>P54/'Physical data'!P4</f>
        <v>12.39985211567285</v>
      </c>
      <c r="Q22" s="36">
        <f t="shared" ref="Q22:Q25" si="3">AVERAGE(L22:P22)</f>
        <v>13.764260251213409</v>
      </c>
      <c r="R22" s="32"/>
      <c r="S22" s="32"/>
      <c r="T22" s="32"/>
      <c r="U22" s="32"/>
      <c r="V22" s="32"/>
      <c r="W22" s="32"/>
      <c r="X22" s="32"/>
      <c r="Y22" s="32"/>
    </row>
    <row r="23" spans="1:34" x14ac:dyDescent="0.25">
      <c r="A23" s="47" t="s">
        <v>36</v>
      </c>
      <c r="B23" s="47" t="s">
        <v>132</v>
      </c>
      <c r="C23" s="47" t="s">
        <v>105</v>
      </c>
      <c r="D23" s="54">
        <f>D55/'Physical data'!D5</f>
        <v>6.4009148549487893</v>
      </c>
      <c r="E23" s="54">
        <f>E55/'Physical data'!E5</f>
        <v>6.2494111569838822</v>
      </c>
      <c r="F23" s="54">
        <f>F55/'Physical data'!F5</f>
        <v>6.567884493626968</v>
      </c>
      <c r="G23" s="54">
        <f>G55/'Physical data'!G5</f>
        <v>6.692882674482421</v>
      </c>
      <c r="H23" s="54">
        <f>H55/'Physical data'!H5</f>
        <v>6.6222760161170111</v>
      </c>
      <c r="I23" s="54">
        <f>I55/'Physical data'!I5</f>
        <v>6.6159922668441329</v>
      </c>
      <c r="J23" s="54">
        <f>J55/'Physical data'!J5</f>
        <v>6.5756668339001552</v>
      </c>
      <c r="K23" s="54">
        <f>K55/'Physical data'!K5</f>
        <v>6.5173285990532817</v>
      </c>
      <c r="L23" s="54">
        <f>L55/'Physical data'!L5</f>
        <v>6.6927926522640879</v>
      </c>
      <c r="M23" s="54">
        <f>M55/'Physical data'!M5</f>
        <v>7.2880162693030819</v>
      </c>
      <c r="N23" s="54">
        <f>N55/'Physical data'!N5</f>
        <v>7.25003598400522</v>
      </c>
      <c r="O23" s="54">
        <f>O55/'Physical data'!O5</f>
        <v>7.7105350220739686</v>
      </c>
      <c r="P23" s="54">
        <f>P55/'Physical data'!P5</f>
        <v>8.5404347156768878</v>
      </c>
      <c r="Q23" s="36">
        <f t="shared" si="3"/>
        <v>7.4963629286646496</v>
      </c>
      <c r="R23" s="32"/>
      <c r="S23" s="32"/>
      <c r="T23" s="32"/>
      <c r="U23" s="32"/>
      <c r="V23" s="32"/>
      <c r="W23" s="32"/>
      <c r="X23" s="32"/>
      <c r="Y23" s="32"/>
    </row>
    <row r="24" spans="1:34" x14ac:dyDescent="0.25">
      <c r="A24" s="47" t="s">
        <v>30</v>
      </c>
      <c r="B24" s="47" t="s">
        <v>133</v>
      </c>
      <c r="C24" s="47" t="s">
        <v>105</v>
      </c>
      <c r="D24" s="54">
        <f>D56/'Physical data'!D6</f>
        <v>11.881126458181635</v>
      </c>
      <c r="E24" s="54">
        <f>E56/'Physical data'!E6</f>
        <v>9.8584843042617276</v>
      </c>
      <c r="F24" s="54">
        <f>F56/'Physical data'!F6</f>
        <v>10.484140937118692</v>
      </c>
      <c r="G24" s="54">
        <f>G56/'Physical data'!G6</f>
        <v>10.705920023177995</v>
      </c>
      <c r="H24" s="54">
        <f>H56/'Physical data'!H6</f>
        <v>11.852273361907351</v>
      </c>
      <c r="I24" s="54">
        <f>I56/'Physical data'!I6</f>
        <v>12.086261760654159</v>
      </c>
      <c r="J24" s="54">
        <f>J56/'Physical data'!J6</f>
        <v>12.715045078100884</v>
      </c>
      <c r="K24" s="54">
        <f>K56/'Physical data'!K6</f>
        <v>12.167701366158083</v>
      </c>
      <c r="L24" s="54">
        <f>L56/'Physical data'!L6</f>
        <v>12.303261161524869</v>
      </c>
      <c r="M24" s="54">
        <f>M56/'Physical data'!M6</f>
        <v>10.9750706084371</v>
      </c>
      <c r="N24" s="54">
        <f>N56/'Physical data'!N6</f>
        <v>12.749941013475141</v>
      </c>
      <c r="O24" s="54">
        <f>O56/'Physical data'!O6</f>
        <v>11.631161084475236</v>
      </c>
      <c r="P24" s="54">
        <f>P56/'Physical data'!P6</f>
        <v>11.159964500671405</v>
      </c>
      <c r="Q24" s="36">
        <f t="shared" si="3"/>
        <v>11.763879673716751</v>
      </c>
      <c r="R24" s="32"/>
      <c r="S24" s="32"/>
      <c r="T24" s="32"/>
      <c r="U24" s="32"/>
      <c r="V24" s="32"/>
      <c r="W24" s="32"/>
      <c r="X24" s="32"/>
      <c r="Y24" s="32"/>
    </row>
    <row r="25" spans="1:34" x14ac:dyDescent="0.25">
      <c r="A25" s="47" t="s">
        <v>39</v>
      </c>
      <c r="B25" s="47" t="s">
        <v>134</v>
      </c>
      <c r="C25" s="47" t="s">
        <v>105</v>
      </c>
      <c r="D25" s="54">
        <f>D57/'Physical data'!D7</f>
        <v>5.8240742560221399</v>
      </c>
      <c r="E25" s="54">
        <f>E57/'Physical data'!E7</f>
        <v>5.7943255572930692</v>
      </c>
      <c r="F25" s="54">
        <f>F57/'Physical data'!F7</f>
        <v>5.8628138778297334</v>
      </c>
      <c r="G25" s="54">
        <f>G57/'Physical data'!G7</f>
        <v>6.2855104405414064</v>
      </c>
      <c r="H25" s="54">
        <f>H57/'Physical data'!H7</f>
        <v>7.0041040811776734</v>
      </c>
      <c r="I25" s="54">
        <f>I57/'Physical data'!I7</f>
        <v>6.9699749127297457</v>
      </c>
      <c r="J25" s="54">
        <f>J57/'Physical data'!J7</f>
        <v>7.4503381704366314</v>
      </c>
      <c r="K25" s="54">
        <f>K57/'Physical data'!K7</f>
        <v>8.0969382299746027</v>
      </c>
      <c r="L25" s="54">
        <f>L57/'Physical data'!L7</f>
        <v>9.3926607699996847</v>
      </c>
      <c r="M25" s="54">
        <f>M57/'Physical data'!M7</f>
        <v>8.7828426642524953</v>
      </c>
      <c r="N25" s="54">
        <f>N57/'Physical data'!N7</f>
        <v>9.2383106173638936</v>
      </c>
      <c r="O25" s="54">
        <f>O57/'Physical data'!O7</f>
        <v>9.032944718598193</v>
      </c>
      <c r="P25" s="54">
        <f>P57/'Physical data'!P7</f>
        <v>8.3518844941609007</v>
      </c>
      <c r="Q25" s="36">
        <f t="shared" si="3"/>
        <v>8.9597286528750324</v>
      </c>
      <c r="R25" s="32"/>
      <c r="S25" s="32"/>
      <c r="T25" s="32"/>
      <c r="U25" s="32"/>
      <c r="V25" s="32"/>
      <c r="W25" s="32"/>
      <c r="X25" s="32"/>
      <c r="Y25" s="32"/>
    </row>
    <row r="26" spans="1:34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1:3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1:34" s="11" customFormat="1" x14ac:dyDescent="0.25">
      <c r="A28" s="52" t="s">
        <v>100</v>
      </c>
      <c r="B28" s="52" t="s">
        <v>100</v>
      </c>
      <c r="C28" s="52"/>
      <c r="D28" s="53">
        <v>2006</v>
      </c>
      <c r="E28" s="53">
        <v>2007</v>
      </c>
      <c r="F28" s="53">
        <v>2008</v>
      </c>
      <c r="G28" s="53">
        <v>2009</v>
      </c>
      <c r="H28" s="53">
        <v>2010</v>
      </c>
      <c r="I28" s="53">
        <v>2011</v>
      </c>
      <c r="J28" s="53">
        <v>2012</v>
      </c>
      <c r="K28" s="53">
        <v>2013</v>
      </c>
      <c r="L28" s="53">
        <v>2014</v>
      </c>
      <c r="M28" s="53">
        <v>2015</v>
      </c>
      <c r="N28" s="53">
        <v>2016</v>
      </c>
      <c r="O28" s="53">
        <v>2017</v>
      </c>
      <c r="P28" s="53">
        <v>2018</v>
      </c>
      <c r="Q28" s="53" t="s">
        <v>24</v>
      </c>
      <c r="R28" s="33" t="s">
        <v>123</v>
      </c>
      <c r="S28" s="33"/>
      <c r="T28" s="33"/>
      <c r="U28" s="33"/>
      <c r="V28" s="33"/>
      <c r="W28" s="33"/>
      <c r="X28" s="33"/>
      <c r="Y28" s="33"/>
    </row>
    <row r="29" spans="1:34" x14ac:dyDescent="0.25">
      <c r="A29" s="47" t="s">
        <v>38</v>
      </c>
      <c r="B29" s="47" t="s">
        <v>130</v>
      </c>
      <c r="C29" s="47" t="s">
        <v>106</v>
      </c>
      <c r="D29" s="36">
        <f>D53/'Physical data'!D48</f>
        <v>223.83334092491043</v>
      </c>
      <c r="E29" s="36">
        <f>E53/'Physical data'!E48</f>
        <v>236.39433651979041</v>
      </c>
      <c r="F29" s="36">
        <f>F53/'Physical data'!F48</f>
        <v>224.97666444688838</v>
      </c>
      <c r="G29" s="36">
        <f>G53/'Physical data'!G48</f>
        <v>231.55276501056809</v>
      </c>
      <c r="H29" s="36">
        <f>H53/'Physical data'!H48</f>
        <v>235.5986428653402</v>
      </c>
      <c r="I29" s="36">
        <f>I53/'Physical data'!I48</f>
        <v>242.73663381889918</v>
      </c>
      <c r="J29" s="36">
        <f>J53/'Physical data'!J48</f>
        <v>256.99095542424101</v>
      </c>
      <c r="K29" s="36">
        <f>K53/'Physical data'!K48</f>
        <v>265.56217385908911</v>
      </c>
      <c r="L29" s="36">
        <f>L53/'Physical data'!L48</f>
        <v>273.05865127949164</v>
      </c>
      <c r="M29" s="36">
        <f>M53/'Physical data'!M48</f>
        <v>291.73115254636735</v>
      </c>
      <c r="N29" s="36">
        <f>N53/'Physical data'!N48</f>
        <v>306.94613595302741</v>
      </c>
      <c r="O29" s="36">
        <f>O53/'Physical data'!O48</f>
        <v>313.25970292935637</v>
      </c>
      <c r="P29" s="36">
        <f>P53/'Physical data'!P48</f>
        <v>311.43827781270659</v>
      </c>
      <c r="Q29" s="36">
        <f>AVERAGE(L29:P29)</f>
        <v>299.28678410418991</v>
      </c>
      <c r="R29" s="64">
        <f>P29/D29-1</f>
        <v>0.39138466381192538</v>
      </c>
      <c r="S29" s="32">
        <f>N29/M29-1</f>
        <v>5.2154126406646961E-2</v>
      </c>
      <c r="T29" s="45">
        <f>(O29-D29)/D29</f>
        <v>0.39952208028939656</v>
      </c>
      <c r="U29" s="45">
        <f>(N29-M29)/M29</f>
        <v>5.2154126406646968E-2</v>
      </c>
      <c r="V29" s="45"/>
      <c r="W29" s="32"/>
      <c r="X29" s="32"/>
      <c r="Y29" s="32"/>
    </row>
    <row r="30" spans="1:34" x14ac:dyDescent="0.25">
      <c r="A30" s="47" t="s">
        <v>21</v>
      </c>
      <c r="B30" s="47" t="s">
        <v>131</v>
      </c>
      <c r="C30" s="47" t="s">
        <v>106</v>
      </c>
      <c r="D30" s="36">
        <f>D54/'Physical data'!D49</f>
        <v>258.57946672556591</v>
      </c>
      <c r="E30" s="36">
        <f>E54/'Physical data'!E49</f>
        <v>262.58151732210581</v>
      </c>
      <c r="F30" s="36">
        <f>F54/'Physical data'!F49</f>
        <v>281.87658182781303</v>
      </c>
      <c r="G30" s="36">
        <f>G54/'Physical data'!G49</f>
        <v>294.85620997771758</v>
      </c>
      <c r="H30" s="36">
        <f>H54/'Physical data'!H49</f>
        <v>305.36401574883183</v>
      </c>
      <c r="I30" s="36">
        <f>I54/'Physical data'!I49</f>
        <v>310.61935110516646</v>
      </c>
      <c r="J30" s="36">
        <f>J54/'Physical data'!J49</f>
        <v>318.41482120574767</v>
      </c>
      <c r="K30" s="36">
        <f>K54/'Physical data'!K49</f>
        <v>310.47831021950412</v>
      </c>
      <c r="L30" s="36">
        <f>L54/'Physical data'!L49</f>
        <v>325.41895532719809</v>
      </c>
      <c r="M30" s="36">
        <f>M54/'Physical data'!M49</f>
        <v>349.69094388292342</v>
      </c>
      <c r="N30" s="36">
        <f>N54/'Physical data'!N49</f>
        <v>348.89096473161823</v>
      </c>
      <c r="O30" s="36">
        <f>O54/'Physical data'!O49</f>
        <v>341.7794175354947</v>
      </c>
      <c r="P30" s="36">
        <f>P54/'Physical data'!P49</f>
        <v>304.4549478216573</v>
      </c>
      <c r="Q30" s="36">
        <f t="shared" ref="Q30:Q33" si="4">AVERAGE(L30:P30)</f>
        <v>334.04704585977834</v>
      </c>
      <c r="R30" s="64">
        <f t="shared" ref="R30:R33" si="5">P30/D30-1</f>
        <v>0.17741347245015282</v>
      </c>
      <c r="S30" s="32"/>
      <c r="T30" s="45">
        <f t="shared" ref="T30:T33" si="6">(O30-D30)/D30</f>
        <v>0.32175776314919119</v>
      </c>
      <c r="U30" s="45">
        <f t="shared" ref="U30:U33" si="7">(N30-M30)/M30</f>
        <v>-2.2876747748235304E-3</v>
      </c>
      <c r="V30" s="45"/>
      <c r="W30" s="32"/>
      <c r="X30" s="32"/>
      <c r="Y30" s="32"/>
    </row>
    <row r="31" spans="1:34" x14ac:dyDescent="0.25">
      <c r="A31" s="47" t="s">
        <v>36</v>
      </c>
      <c r="B31" s="47" t="s">
        <v>132</v>
      </c>
      <c r="C31" s="47" t="s">
        <v>106</v>
      </c>
      <c r="D31" s="36">
        <f>D55/'Physical data'!D50</f>
        <v>117.08681857499226</v>
      </c>
      <c r="E31" s="36">
        <f>E55/'Physical data'!E50</f>
        <v>114.43502971683503</v>
      </c>
      <c r="F31" s="36">
        <f>F55/'Physical data'!F50</f>
        <v>116.21639772422179</v>
      </c>
      <c r="G31" s="36">
        <f>G55/'Physical data'!G50</f>
        <v>123.06133491760887</v>
      </c>
      <c r="H31" s="36">
        <f>H55/'Physical data'!H50</f>
        <v>124.05260785374115</v>
      </c>
      <c r="I31" s="36">
        <f>I55/'Physical data'!I50</f>
        <v>119.73728656369087</v>
      </c>
      <c r="J31" s="36">
        <f>J55/'Physical data'!J50</f>
        <v>115.93273927346389</v>
      </c>
      <c r="K31" s="36">
        <f>K55/'Physical data'!K50</f>
        <v>116.97125779290096</v>
      </c>
      <c r="L31" s="36">
        <f>L55/'Physical data'!L50</f>
        <v>116.83072358450076</v>
      </c>
      <c r="M31" s="36">
        <f>M55/'Physical data'!M50</f>
        <v>124.15218247178515</v>
      </c>
      <c r="N31" s="36">
        <f>N55/'Physical data'!N50</f>
        <v>125.41385843145842</v>
      </c>
      <c r="O31" s="36">
        <f>O55/'Physical data'!O50</f>
        <v>124.42246496831928</v>
      </c>
      <c r="P31" s="36">
        <f>P55/'Physical data'!P50</f>
        <v>122.10873917098203</v>
      </c>
      <c r="Q31" s="36">
        <f t="shared" si="4"/>
        <v>122.58559372540913</v>
      </c>
      <c r="R31" s="64">
        <f t="shared" si="5"/>
        <v>4.2890571774937269E-2</v>
      </c>
      <c r="S31" s="32"/>
      <c r="T31" s="45">
        <f t="shared" si="6"/>
        <v>6.2651342675509147E-2</v>
      </c>
      <c r="U31" s="45">
        <f t="shared" si="7"/>
        <v>1.0162334117324099E-2</v>
      </c>
      <c r="V31" s="45"/>
      <c r="W31" s="32"/>
      <c r="X31" s="32"/>
      <c r="Y31" s="32"/>
    </row>
    <row r="32" spans="1:34" x14ac:dyDescent="0.25">
      <c r="A32" s="47" t="s">
        <v>30</v>
      </c>
      <c r="B32" s="47" t="s">
        <v>133</v>
      </c>
      <c r="C32" s="47" t="s">
        <v>106</v>
      </c>
      <c r="D32" s="36">
        <f>D56/'Physical data'!D51</f>
        <v>499.15533954139136</v>
      </c>
      <c r="E32" s="36">
        <f>E56/'Physical data'!E51</f>
        <v>495.01849853458464</v>
      </c>
      <c r="F32" s="36">
        <f>F56/'Physical data'!F51</f>
        <v>543.49558718088247</v>
      </c>
      <c r="G32" s="36">
        <f>G56/'Physical data'!G51</f>
        <v>540.92208665916041</v>
      </c>
      <c r="H32" s="36">
        <f>H56/'Physical data'!H51</f>
        <v>570.71026518075701</v>
      </c>
      <c r="I32" s="36">
        <f>I56/'Physical data'!I51</f>
        <v>574.33722928461793</v>
      </c>
      <c r="J32" s="36">
        <f>J56/'Physical data'!J51</f>
        <v>575.01803669365006</v>
      </c>
      <c r="K32" s="36">
        <f>K56/'Physical data'!K51</f>
        <v>559.37775417286844</v>
      </c>
      <c r="L32" s="36">
        <f>L56/'Physical data'!L51</f>
        <v>585.47150058461705</v>
      </c>
      <c r="M32" s="36">
        <f>M56/'Physical data'!M51</f>
        <v>508.3005661479263</v>
      </c>
      <c r="N32" s="36">
        <f>N56/'Physical data'!N51</f>
        <v>520.79253414483094</v>
      </c>
      <c r="O32" s="36">
        <f>O56/'Physical data'!O51</f>
        <v>502.47095116959429</v>
      </c>
      <c r="P32" s="36">
        <f>P56/'Physical data'!P51</f>
        <v>481.93570129849286</v>
      </c>
      <c r="Q32" s="36">
        <f t="shared" si="4"/>
        <v>519.79425066909221</v>
      </c>
      <c r="R32" s="64">
        <f t="shared" si="5"/>
        <v>-3.449755392523568E-2</v>
      </c>
      <c r="S32" s="32"/>
      <c r="T32" s="45">
        <f t="shared" si="6"/>
        <v>6.6424444768019763E-3</v>
      </c>
      <c r="U32" s="45">
        <f t="shared" si="7"/>
        <v>2.4575947439077227E-2</v>
      </c>
      <c r="V32" s="45"/>
      <c r="W32" s="32"/>
      <c r="X32" s="32"/>
      <c r="Y32" s="32"/>
    </row>
    <row r="33" spans="1:25" x14ac:dyDescent="0.25">
      <c r="A33" s="47" t="s">
        <v>39</v>
      </c>
      <c r="B33" s="47" t="s">
        <v>134</v>
      </c>
      <c r="C33" s="47" t="s">
        <v>106</v>
      </c>
      <c r="D33" s="36">
        <f>D57/'Physical data'!D52</f>
        <v>141.72059052649632</v>
      </c>
      <c r="E33" s="36">
        <f>E57/'Physical data'!E52</f>
        <v>142.16529254972497</v>
      </c>
      <c r="F33" s="36">
        <f>F57/'Physical data'!F52</f>
        <v>141.53957839804642</v>
      </c>
      <c r="G33" s="36">
        <f>G57/'Physical data'!G52</f>
        <v>147.86561138530664</v>
      </c>
      <c r="H33" s="36">
        <f>H57/'Physical data'!H52</f>
        <v>162.54486227485529</v>
      </c>
      <c r="I33" s="36">
        <f>I57/'Physical data'!I52</f>
        <v>158.59023783039075</v>
      </c>
      <c r="J33" s="36">
        <f>J57/'Physical data'!J52</f>
        <v>161.35135592039893</v>
      </c>
      <c r="K33" s="36">
        <f>K57/'Physical data'!K52</f>
        <v>160.99064860402538</v>
      </c>
      <c r="L33" s="36">
        <f>L57/'Physical data'!L52</f>
        <v>175.71736642278989</v>
      </c>
      <c r="M33" s="36">
        <f>M57/'Physical data'!M52</f>
        <v>177.84438705343814</v>
      </c>
      <c r="N33" s="36">
        <f>N57/'Physical data'!N52</f>
        <v>179.27078219307705</v>
      </c>
      <c r="O33" s="36">
        <f>O57/'Physical data'!O52</f>
        <v>179.48342154756503</v>
      </c>
      <c r="P33" s="36">
        <f>P57/'Physical data'!P52</f>
        <v>164.80131213025987</v>
      </c>
      <c r="Q33" s="36">
        <f t="shared" si="4"/>
        <v>175.42345386942603</v>
      </c>
      <c r="R33" s="64">
        <f t="shared" si="5"/>
        <v>0.16286074957786978</v>
      </c>
      <c r="S33" s="32"/>
      <c r="T33" s="45">
        <f t="shared" si="6"/>
        <v>0.26645973517876714</v>
      </c>
      <c r="U33" s="45">
        <f t="shared" si="7"/>
        <v>8.0204675743312283E-3</v>
      </c>
      <c r="V33" s="45"/>
      <c r="W33" s="32"/>
      <c r="X33" s="32"/>
      <c r="Y33" s="32"/>
    </row>
    <row r="34" spans="1:25" ht="15" customHeight="1" x14ac:dyDescent="0.25">
      <c r="A34" s="22"/>
      <c r="B34" s="22"/>
      <c r="C34" s="22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65"/>
      <c r="O34" s="55"/>
      <c r="P34" s="55"/>
      <c r="Q34" s="55"/>
      <c r="R34" s="32"/>
      <c r="S34" s="32"/>
      <c r="T34" s="32"/>
      <c r="U34" s="32"/>
      <c r="V34" s="32"/>
      <c r="W34" s="32"/>
      <c r="X34" s="32"/>
      <c r="Y34" s="32"/>
    </row>
    <row r="35" spans="1:25" ht="1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1:25" s="11" customFormat="1" ht="15" customHeight="1" x14ac:dyDescent="0.25">
      <c r="A36" s="53"/>
      <c r="B36" s="53"/>
      <c r="C36" s="53"/>
      <c r="D36" s="53" t="s">
        <v>25</v>
      </c>
      <c r="E36" s="53" t="s">
        <v>23</v>
      </c>
      <c r="F36" s="53" t="s">
        <v>35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 x14ac:dyDescent="0.25">
      <c r="A37" s="47" t="s">
        <v>38</v>
      </c>
      <c r="B37" s="47" t="s">
        <v>130</v>
      </c>
      <c r="C37" s="47"/>
      <c r="D37" s="36">
        <f>AVERAGE(Opex!K15:O15)</f>
        <v>88660.137587336139</v>
      </c>
      <c r="E37" s="36">
        <f>ABS(AVERAGE(Depreciation!K15:O15))</f>
        <v>97705.022586160208</v>
      </c>
      <c r="F37" s="36">
        <f>AVERAGE(RAB!K15:O15)*'Asset cost and Total user cost'!$B$2</f>
        <v>73424.109328061691</v>
      </c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1:25" ht="15" customHeight="1" x14ac:dyDescent="0.25">
      <c r="A38" s="47" t="s">
        <v>21</v>
      </c>
      <c r="B38" s="47" t="s">
        <v>131</v>
      </c>
      <c r="C38" s="47"/>
      <c r="D38" s="36">
        <f>AVERAGE(Opex!K16:O16)</f>
        <v>215594.08498847764</v>
      </c>
      <c r="E38" s="36">
        <f>ABS(AVERAGE(Depreciation!K16:O16))</f>
        <v>275508.81191753771</v>
      </c>
      <c r="F38" s="36">
        <f>AVERAGE(RAB!K16:O16)*'Asset cost and Total user cost'!$B$2</f>
        <v>230885.69869151854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1:25" ht="15" customHeight="1" x14ac:dyDescent="0.25">
      <c r="A39" s="47" t="s">
        <v>36</v>
      </c>
      <c r="B39" s="47" t="s">
        <v>132</v>
      </c>
      <c r="C39" s="47"/>
      <c r="D39" s="36">
        <f>AVERAGE(Opex!K17:O17)</f>
        <v>90234.912144096088</v>
      </c>
      <c r="E39" s="36">
        <f>ABS(AVERAGE(Depreciation!K17:O17))</f>
        <v>160092.73588448745</v>
      </c>
      <c r="F39" s="36">
        <f>AVERAGE(RAB!K17:O17)*'Asset cost and Total user cost'!$B$2</f>
        <v>99076.878544761144</v>
      </c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5" ht="15" customHeight="1" x14ac:dyDescent="0.25">
      <c r="A40" s="47" t="s">
        <v>30</v>
      </c>
      <c r="B40" s="47" t="s">
        <v>133</v>
      </c>
      <c r="C40" s="47"/>
      <c r="D40" s="36">
        <f>AVERAGE(Opex!K18:O18)</f>
        <v>37821.425492254712</v>
      </c>
      <c r="E40" s="36">
        <f>ABS(AVERAGE(Depreciation!K18:O18))</f>
        <v>62031.964817293992</v>
      </c>
      <c r="F40" s="36">
        <f>AVERAGE(RAB!K18:O18)*'Asset cost and Total user cost'!$B$2</f>
        <v>48176.30258984361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1:25" ht="15" customHeight="1" x14ac:dyDescent="0.25">
      <c r="A41" s="47" t="s">
        <v>39</v>
      </c>
      <c r="B41" s="47" t="s">
        <v>134</v>
      </c>
      <c r="C41" s="47"/>
      <c r="D41" s="36">
        <f>AVERAGE(Opex!K19:O19)</f>
        <v>176550.19296871818</v>
      </c>
      <c r="E41" s="36">
        <f>ABS(AVERAGE(Depreciation!K19:O19))</f>
        <v>267785.23548558838</v>
      </c>
      <c r="F41" s="36">
        <f>AVERAGE(RAB!K19:O19)*'Asset cost and Total user cost'!$B$2</f>
        <v>209060.65841636597</v>
      </c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5" ht="15" customHeigh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1:25" ht="15" customHeight="1" x14ac:dyDescent="0.25">
      <c r="A43" s="32"/>
      <c r="B43" s="32"/>
      <c r="C43" s="32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32"/>
      <c r="R43" s="32"/>
      <c r="S43" s="32"/>
      <c r="T43" s="32"/>
      <c r="U43" s="32"/>
      <c r="V43" s="32"/>
      <c r="W43" s="32"/>
      <c r="X43" s="32"/>
      <c r="Y43" s="32"/>
    </row>
    <row r="44" spans="1:25" s="11" customFormat="1" ht="15" customHeight="1" x14ac:dyDescent="0.25">
      <c r="A44" s="52" t="s">
        <v>51</v>
      </c>
      <c r="B44" s="52" t="s">
        <v>51</v>
      </c>
      <c r="C44" s="52"/>
      <c r="D44" s="53">
        <v>2006</v>
      </c>
      <c r="E44" s="53">
        <v>2007</v>
      </c>
      <c r="F44" s="53">
        <v>2008</v>
      </c>
      <c r="G44" s="53">
        <v>2009</v>
      </c>
      <c r="H44" s="53">
        <v>2010</v>
      </c>
      <c r="I44" s="53">
        <v>2011</v>
      </c>
      <c r="J44" s="53">
        <v>2012</v>
      </c>
      <c r="K44" s="53">
        <v>2013</v>
      </c>
      <c r="L44" s="53">
        <v>2014</v>
      </c>
      <c r="M44" s="53">
        <v>2015</v>
      </c>
      <c r="N44" s="53">
        <v>2016</v>
      </c>
      <c r="O44" s="53">
        <v>2017</v>
      </c>
      <c r="P44" s="53">
        <v>2018</v>
      </c>
      <c r="Q44" s="53" t="s">
        <v>24</v>
      </c>
      <c r="R44" s="33"/>
      <c r="S44" s="33"/>
      <c r="T44" s="33"/>
      <c r="U44" s="33"/>
      <c r="V44" s="33"/>
      <c r="W44" s="33"/>
      <c r="X44" s="33"/>
      <c r="Y44" s="33"/>
    </row>
    <row r="45" spans="1:25" x14ac:dyDescent="0.25">
      <c r="A45" s="47" t="s">
        <v>38</v>
      </c>
      <c r="B45" s="47" t="s">
        <v>130</v>
      </c>
      <c r="C45" s="47" t="s">
        <v>107</v>
      </c>
      <c r="D45" s="36">
        <f>D53/'Physical data'!D33</f>
        <v>31127.385312845123</v>
      </c>
      <c r="E45" s="36">
        <f>E53/'Physical data'!E33</f>
        <v>33387.016350550133</v>
      </c>
      <c r="F45" s="36">
        <f>F53/'Physical data'!F33</f>
        <v>31843.098828016136</v>
      </c>
      <c r="G45" s="36">
        <f>G53/'Physical data'!G33</f>
        <v>34266.611211514057</v>
      </c>
      <c r="H45" s="36">
        <f>H53/'Physical data'!H33</f>
        <v>35413.180272839607</v>
      </c>
      <c r="I45" s="36">
        <f>I53/'Physical data'!I33</f>
        <v>36867.098891406509</v>
      </c>
      <c r="J45" s="36">
        <f>J53/'Physical data'!J33</f>
        <v>39257.505831765637</v>
      </c>
      <c r="K45" s="36">
        <f>K53/'Physical data'!K33</f>
        <v>40731.023476864684</v>
      </c>
      <c r="L45" s="36">
        <f>L53/'Physical data'!L33</f>
        <v>42062.8066761749</v>
      </c>
      <c r="M45" s="36">
        <f>M53/'Physical data'!M33</f>
        <v>45119.518558651587</v>
      </c>
      <c r="N45" s="36">
        <f>N53/'Physical data'!N33</f>
        <v>47708.467608507563</v>
      </c>
      <c r="O45" s="36">
        <f>O53/'Physical data'!O33</f>
        <v>49847.341423397775</v>
      </c>
      <c r="P45" s="36">
        <f>P53/'Physical data'!P33</f>
        <v>50442.038510746657</v>
      </c>
      <c r="Q45" s="36">
        <f>AVERAGE(L45:P45)</f>
        <v>47036.034555495695</v>
      </c>
      <c r="R45" s="64">
        <f>P45/D45-1</f>
        <v>0.6205035535037724</v>
      </c>
      <c r="S45" s="45">
        <f>(N45-D45)/D45</f>
        <v>0.53268471248113602</v>
      </c>
      <c r="T45" s="45">
        <f>(O45-D45)/D45</f>
        <v>0.60139828393577333</v>
      </c>
      <c r="U45" s="32"/>
      <c r="V45" s="32"/>
      <c r="W45" s="32"/>
      <c r="X45" s="32"/>
      <c r="Y45" s="32"/>
    </row>
    <row r="46" spans="1:25" x14ac:dyDescent="0.25">
      <c r="A46" s="47" t="s">
        <v>21</v>
      </c>
      <c r="B46" s="47" t="s">
        <v>131</v>
      </c>
      <c r="C46" s="47" t="s">
        <v>107</v>
      </c>
      <c r="D46" s="36">
        <f>D54/'Physical data'!D34</f>
        <v>40578.588828574168</v>
      </c>
      <c r="E46" s="36">
        <f>E54/'Physical data'!E34</f>
        <v>41314.814933626541</v>
      </c>
      <c r="F46" s="36">
        <f>F54/'Physical data'!F34</f>
        <v>43351.314300511942</v>
      </c>
      <c r="G46" s="36">
        <f>G54/'Physical data'!G34</f>
        <v>44707.134988015227</v>
      </c>
      <c r="H46" s="36">
        <f>H54/'Physical data'!H34</f>
        <v>45491.683580018049</v>
      </c>
      <c r="I46" s="36">
        <f>I54/'Physical data'!I34</f>
        <v>45570.102128913102</v>
      </c>
      <c r="J46" s="36">
        <f>J54/'Physical data'!J34</f>
        <v>47477.988967470243</v>
      </c>
      <c r="K46" s="36">
        <f>K54/'Physical data'!K34</f>
        <v>44904.065764039311</v>
      </c>
      <c r="L46" s="36">
        <f>L54/'Physical data'!L34</f>
        <v>46225.308262312523</v>
      </c>
      <c r="M46" s="36">
        <f>M54/'Physical data'!M34</f>
        <v>50375.250394163944</v>
      </c>
      <c r="N46" s="36">
        <f>N54/'Physical data'!N34</f>
        <v>51093.486351524371</v>
      </c>
      <c r="O46" s="36">
        <f>O54/'Physical data'!O34</f>
        <v>51593.181741589979</v>
      </c>
      <c r="P46" s="36">
        <f>P54/'Physical data'!P34</f>
        <v>46816.735723448044</v>
      </c>
      <c r="Q46" s="36">
        <f t="shared" ref="Q46:Q49" si="8">AVERAGE(L46:P46)</f>
        <v>49220.792494607769</v>
      </c>
      <c r="R46" s="64">
        <f t="shared" ref="R46:R49" si="9">P46/D46-1</f>
        <v>0.15373001070163306</v>
      </c>
      <c r="S46" s="45">
        <f t="shared" ref="S46:S49" si="10">(N46-D46)/D46</f>
        <v>0.2591242777655674</v>
      </c>
      <c r="T46" s="45">
        <f t="shared" ref="T46:T49" si="11">(O46-D46)/D46</f>
        <v>0.27143854015099905</v>
      </c>
      <c r="U46" s="32"/>
      <c r="V46" s="32"/>
      <c r="W46" s="32"/>
      <c r="X46" s="32"/>
      <c r="Y46" s="32"/>
    </row>
    <row r="47" spans="1:25" x14ac:dyDescent="0.25">
      <c r="A47" s="47" t="s">
        <v>36</v>
      </c>
      <c r="B47" s="47" t="s">
        <v>132</v>
      </c>
      <c r="C47" s="47" t="s">
        <v>107</v>
      </c>
      <c r="D47" s="36">
        <f>D55/'Physical data'!D35</f>
        <v>44003.294820235045</v>
      </c>
      <c r="E47" s="36">
        <f>E55/'Physical data'!E35</f>
        <v>43694.001305917533</v>
      </c>
      <c r="F47" s="36">
        <f>F55/'Physical data'!F35</f>
        <v>45011.659948731925</v>
      </c>
      <c r="G47" s="36">
        <f>G55/'Physical data'!G35</f>
        <v>48284.041058816983</v>
      </c>
      <c r="H47" s="36">
        <f>H55/'Physical data'!H35</f>
        <v>49343.800932535654</v>
      </c>
      <c r="I47" s="36">
        <f>I55/'Physical data'!I35</f>
        <v>48362.24015273562</v>
      </c>
      <c r="J47" s="36">
        <f>J55/'Physical data'!J35</f>
        <v>47548.645140170061</v>
      </c>
      <c r="K47" s="36">
        <f>K55/'Physical data'!K35</f>
        <v>48640.934778835013</v>
      </c>
      <c r="L47" s="36">
        <f>L55/'Physical data'!L35</f>
        <v>48936.909730787214</v>
      </c>
      <c r="M47" s="36">
        <f>M55/'Physical data'!M35</f>
        <v>52837.360623651854</v>
      </c>
      <c r="N47" s="36">
        <f>N55/'Physical data'!N35</f>
        <v>54411.456473725142</v>
      </c>
      <c r="O47" s="36">
        <f>O55/'Physical data'!O35</f>
        <v>55042.760206880477</v>
      </c>
      <c r="P47" s="36">
        <f>P55/'Physical data'!P35</f>
        <v>54364.393440256259</v>
      </c>
      <c r="Q47" s="36">
        <f t="shared" si="8"/>
        <v>53118.576095060191</v>
      </c>
      <c r="R47" s="64">
        <f t="shared" si="9"/>
        <v>0.23546188216925601</v>
      </c>
      <c r="S47" s="45">
        <f t="shared" si="10"/>
        <v>0.23653141647711054</v>
      </c>
      <c r="T47" s="45">
        <f t="shared" si="11"/>
        <v>0.25087815427786786</v>
      </c>
      <c r="U47" s="32"/>
      <c r="V47" s="32"/>
      <c r="W47" s="32"/>
      <c r="X47" s="32"/>
      <c r="Y47" s="32"/>
    </row>
    <row r="48" spans="1:25" x14ac:dyDescent="0.25">
      <c r="A48" s="47" t="s">
        <v>30</v>
      </c>
      <c r="B48" s="47" t="s">
        <v>133</v>
      </c>
      <c r="C48" s="47" t="s">
        <v>107</v>
      </c>
      <c r="D48" s="36">
        <f>D56/'Physical data'!D36</f>
        <v>34934.117295733755</v>
      </c>
      <c r="E48" s="36">
        <f>E56/'Physical data'!E36</f>
        <v>34914.142088681619</v>
      </c>
      <c r="F48" s="36">
        <f>F56/'Physical data'!F36</f>
        <v>39074.465341522831</v>
      </c>
      <c r="G48" s="36">
        <f>G56/'Physical data'!G36</f>
        <v>40790.674448200363</v>
      </c>
      <c r="H48" s="36">
        <f>H56/'Physical data'!H36</f>
        <v>44362.058595238988</v>
      </c>
      <c r="I48" s="36">
        <f>I56/'Physical data'!I36</f>
        <v>45353.125518167544</v>
      </c>
      <c r="J48" s="36">
        <f>J56/'Physical data'!J36</f>
        <v>45824.985335130928</v>
      </c>
      <c r="K48" s="36">
        <f>K56/'Physical data'!K36</f>
        <v>44688.393522716935</v>
      </c>
      <c r="L48" s="36">
        <f>L56/'Physical data'!L36</f>
        <v>46912.24493096958</v>
      </c>
      <c r="M48" s="36">
        <f>M56/'Physical data'!M36</f>
        <v>40373.502245774296</v>
      </c>
      <c r="N48" s="36">
        <f>N56/'Physical data'!N36</f>
        <v>41696.868368514151</v>
      </c>
      <c r="O48" s="36">
        <f>O56/'Physical data'!O36</f>
        <v>40557.993899769244</v>
      </c>
      <c r="P48" s="36">
        <f>P56/'Physical data'!P36</f>
        <v>39142.118382343127</v>
      </c>
      <c r="Q48" s="36">
        <f t="shared" si="8"/>
        <v>41736.545565474073</v>
      </c>
      <c r="R48" s="64">
        <f t="shared" si="9"/>
        <v>0.12045534315313189</v>
      </c>
      <c r="S48" s="45">
        <f t="shared" si="10"/>
        <v>0.19358585807480189</v>
      </c>
      <c r="T48" s="45">
        <f t="shared" si="11"/>
        <v>0.16098522130748932</v>
      </c>
      <c r="U48" s="32"/>
      <c r="V48" s="32"/>
      <c r="W48" s="32"/>
      <c r="X48" s="32"/>
      <c r="Y48" s="32"/>
    </row>
    <row r="49" spans="1:25" x14ac:dyDescent="0.25">
      <c r="A49" s="47" t="s">
        <v>39</v>
      </c>
      <c r="B49" s="47" t="s">
        <v>134</v>
      </c>
      <c r="C49" s="47" t="s">
        <v>107</v>
      </c>
      <c r="D49" s="36">
        <f>D57/'Physical data'!D37</f>
        <v>37920.691234810991</v>
      </c>
      <c r="E49" s="36">
        <f>E57/'Physical data'!E37</f>
        <v>38392.947081228362</v>
      </c>
      <c r="F49" s="36">
        <f>F57/'Physical data'!F37</f>
        <v>38621.919129163973</v>
      </c>
      <c r="G49" s="36">
        <f>G57/'Physical data'!G37</f>
        <v>40704.359251499569</v>
      </c>
      <c r="H49" s="36">
        <f>H57/'Physical data'!H37</f>
        <v>44512.723356166221</v>
      </c>
      <c r="I49" s="36">
        <f>I57/'Physical data'!I37</f>
        <v>43858.22477626778</v>
      </c>
      <c r="J49" s="36">
        <f>J57/'Physical data'!J37</f>
        <v>44946.570049259331</v>
      </c>
      <c r="K49" s="36">
        <f>K57/'Physical data'!K37</f>
        <v>44649.403511147735</v>
      </c>
      <c r="L49" s="36">
        <f>L57/'Physical data'!L37</f>
        <v>49252.811592848491</v>
      </c>
      <c r="M49" s="36">
        <f>M57/'Physical data'!M37</f>
        <v>50169.312796936138</v>
      </c>
      <c r="N49" s="36">
        <f>N57/'Physical data'!N37</f>
        <v>51153.926800977599</v>
      </c>
      <c r="O49" s="36">
        <f>O57/'Physical data'!O37</f>
        <v>51801.87946906389</v>
      </c>
      <c r="P49" s="36">
        <f>P57/'Physical data'!P37</f>
        <v>48301.150720186568</v>
      </c>
      <c r="Q49" s="36">
        <f t="shared" si="8"/>
        <v>50135.816276002537</v>
      </c>
      <c r="R49" s="64">
        <f t="shared" si="9"/>
        <v>0.27374130447934375</v>
      </c>
      <c r="S49" s="45">
        <f t="shared" si="10"/>
        <v>0.34897136985779859</v>
      </c>
      <c r="T49" s="45">
        <f t="shared" si="11"/>
        <v>0.36605841777245984</v>
      </c>
      <c r="U49" s="32"/>
      <c r="V49" s="32"/>
      <c r="W49" s="32"/>
      <c r="X49" s="32"/>
      <c r="Y49" s="32"/>
    </row>
    <row r="50" spans="1:25" x14ac:dyDescent="0.25">
      <c r="A50" s="32"/>
      <c r="B50" s="32"/>
      <c r="C50" s="32"/>
      <c r="D50" s="49">
        <f>D47-D45</f>
        <v>12875.909507389923</v>
      </c>
      <c r="E50" s="49">
        <f t="shared" ref="E50:O50" si="12">E47-E45</f>
        <v>10306.984955367399</v>
      </c>
      <c r="F50" s="49">
        <f t="shared" si="12"/>
        <v>13168.561120715789</v>
      </c>
      <c r="G50" s="49">
        <f t="shared" si="12"/>
        <v>14017.429847302927</v>
      </c>
      <c r="H50" s="49">
        <f t="shared" si="12"/>
        <v>13930.620659696047</v>
      </c>
      <c r="I50" s="49">
        <f t="shared" si="12"/>
        <v>11495.14126132911</v>
      </c>
      <c r="J50" s="49">
        <f t="shared" si="12"/>
        <v>8291.1393084044248</v>
      </c>
      <c r="K50" s="49">
        <f t="shared" si="12"/>
        <v>7909.9113019703291</v>
      </c>
      <c r="L50" s="49">
        <f t="shared" si="12"/>
        <v>6874.1030546123147</v>
      </c>
      <c r="M50" s="49">
        <f t="shared" si="12"/>
        <v>7717.8420650002663</v>
      </c>
      <c r="N50" s="49">
        <f t="shared" si="12"/>
        <v>6702.9888652175796</v>
      </c>
      <c r="O50" s="49">
        <f t="shared" si="12"/>
        <v>5195.4187834827026</v>
      </c>
      <c r="P50" s="49"/>
      <c r="Q50" s="32"/>
      <c r="R50" s="32"/>
      <c r="S50" s="32"/>
      <c r="T50" s="32"/>
      <c r="U50" s="32"/>
      <c r="V50" s="32"/>
      <c r="W50" s="32"/>
      <c r="X50" s="32"/>
      <c r="Y50" s="32"/>
    </row>
    <row r="51" spans="1:25" x14ac:dyDescent="0.25">
      <c r="A51" s="32"/>
      <c r="B51" s="32"/>
      <c r="C51" s="32"/>
      <c r="D51" s="49"/>
      <c r="E51" s="49"/>
      <c r="F51" s="49"/>
      <c r="G51" s="49"/>
      <c r="H51" s="49"/>
      <c r="I51" s="49"/>
      <c r="J51" s="49"/>
      <c r="K51" s="49"/>
      <c r="L51" s="49">
        <f>L49-L45</f>
        <v>7190.0049166735917</v>
      </c>
      <c r="M51" s="49"/>
      <c r="N51" s="49"/>
      <c r="O51" s="49">
        <f>O47-O48</f>
        <v>14484.766307111233</v>
      </c>
      <c r="P51" s="49"/>
      <c r="Q51" s="32"/>
      <c r="R51" s="32"/>
      <c r="S51" s="32"/>
      <c r="T51" s="32"/>
      <c r="U51" s="32"/>
      <c r="V51" s="32"/>
      <c r="W51" s="32"/>
      <c r="X51" s="32"/>
      <c r="Y51" s="32"/>
    </row>
    <row r="52" spans="1:25" x14ac:dyDescent="0.25">
      <c r="A52" s="52" t="s">
        <v>45</v>
      </c>
      <c r="B52" s="52" t="s">
        <v>45</v>
      </c>
      <c r="C52" s="52"/>
      <c r="D52" s="53">
        <v>2006</v>
      </c>
      <c r="E52" s="53">
        <v>2007</v>
      </c>
      <c r="F52" s="53">
        <v>2008</v>
      </c>
      <c r="G52" s="53">
        <v>2009</v>
      </c>
      <c r="H52" s="53">
        <v>2010</v>
      </c>
      <c r="I52" s="53">
        <v>2011</v>
      </c>
      <c r="J52" s="53">
        <v>2012</v>
      </c>
      <c r="K52" s="53">
        <v>2013</v>
      </c>
      <c r="L52" s="53">
        <v>2014</v>
      </c>
      <c r="M52" s="53">
        <v>2015</v>
      </c>
      <c r="N52" s="53">
        <v>2016</v>
      </c>
      <c r="O52" s="53">
        <v>2017</v>
      </c>
      <c r="P52" s="53">
        <v>2018</v>
      </c>
      <c r="Q52" s="53" t="s">
        <v>24</v>
      </c>
      <c r="R52" s="32"/>
      <c r="S52" s="32"/>
      <c r="T52" s="32"/>
      <c r="U52" s="32"/>
      <c r="V52" s="32"/>
      <c r="W52" s="32"/>
      <c r="X52" s="32"/>
      <c r="Y52" s="32"/>
    </row>
    <row r="53" spans="1:25" x14ac:dyDescent="0.25">
      <c r="A53" s="47" t="s">
        <v>38</v>
      </c>
      <c r="B53" s="47" t="s">
        <v>130</v>
      </c>
      <c r="C53" s="50" t="s">
        <v>108</v>
      </c>
      <c r="D53" s="54">
        <f>'Asset cost and Total user cost'!C15</f>
        <v>174330135.41261631</v>
      </c>
      <c r="E53" s="54">
        <f>'Asset cost and Total user cost'!D15</f>
        <v>184251892.13627416</v>
      </c>
      <c r="F53" s="54">
        <f>'Asset cost and Total user cost'!E15</f>
        <v>175731522.36610898</v>
      </c>
      <c r="G53" s="54">
        <f>'Asset cost and Total user cost'!F15</f>
        <v>188592085.85986236</v>
      </c>
      <c r="H53" s="54">
        <f>'Asset cost and Total user cost'!G15</f>
        <v>194831596.09849319</v>
      </c>
      <c r="I53" s="54">
        <f>'Asset cost and Total user cost'!H15</f>
        <v>202941176.38745975</v>
      </c>
      <c r="J53" s="54">
        <f>'Asset cost and Total user cost'!I15</f>
        <v>216939685.9942393</v>
      </c>
      <c r="K53" s="54">
        <f>'Asset cost and Total user cost'!J15</f>
        <v>225134581.88382456</v>
      </c>
      <c r="L53" s="54">
        <f>'Asset cost and Total user cost'!K15</f>
        <v>232582211.69505313</v>
      </c>
      <c r="M53" s="54">
        <f>'Asset cost and Total user cost'!L15</f>
        <v>249120608.67429239</v>
      </c>
      <c r="N53" s="54">
        <f>'Asset cost and Total user cost'!M15</f>
        <v>263558225.32459116</v>
      </c>
      <c r="O53" s="54">
        <f>'Asset cost and Total user cost'!N15</f>
        <v>275135840.45300221</v>
      </c>
      <c r="P53" s="54">
        <f>'Asset cost and Total user cost'!O15</f>
        <v>278549461.36085135</v>
      </c>
      <c r="Q53" s="36">
        <f>AVERAGE(L53:P53)</f>
        <v>259789269.50155807</v>
      </c>
      <c r="R53" s="32"/>
      <c r="S53" s="32"/>
      <c r="T53" s="32"/>
      <c r="U53" s="32"/>
      <c r="V53" s="32"/>
      <c r="W53" s="32"/>
      <c r="X53" s="32"/>
      <c r="Y53" s="32"/>
    </row>
    <row r="54" spans="1:25" x14ac:dyDescent="0.25">
      <c r="A54" s="47" t="s">
        <v>21</v>
      </c>
      <c r="B54" s="47" t="s">
        <v>131</v>
      </c>
      <c r="C54" s="50" t="s">
        <v>108</v>
      </c>
      <c r="D54" s="54">
        <f>'Asset cost and Total user cost'!C16</f>
        <v>474801952.1653806</v>
      </c>
      <c r="E54" s="54">
        <f>'Asset cost and Total user cost'!D16</f>
        <v>491348831.04263371</v>
      </c>
      <c r="F54" s="54">
        <f>'Asset cost and Total user cost'!E16</f>
        <v>538804815.17820275</v>
      </c>
      <c r="G54" s="54">
        <f>'Asset cost and Total user cost'!F16</f>
        <v>575161762.3343147</v>
      </c>
      <c r="H54" s="54">
        <f>'Asset cost and Total user cost'!G16</f>
        <v>605999266.1377784</v>
      </c>
      <c r="I54" s="54">
        <f>'Asset cost and Total user cost'!H16</f>
        <v>626060291.08785975</v>
      </c>
      <c r="J54" s="54">
        <f>'Asset cost and Total user cost'!I16</f>
        <v>650562396.02786422</v>
      </c>
      <c r="K54" s="54">
        <f>'Asset cost and Total user cost'!J16</f>
        <v>642734345.3135767</v>
      </c>
      <c r="L54" s="54">
        <f>'Asset cost and Total user cost'!K16</f>
        <v>682863366.30501175</v>
      </c>
      <c r="M54" s="54">
        <f>'Asset cost and Total user cost'!L16</f>
        <v>743261631.94069195</v>
      </c>
      <c r="N54" s="54">
        <f>'Asset cost and Total user cost'!M16</f>
        <v>753909937.85991788</v>
      </c>
      <c r="O54" s="54">
        <f>'Asset cost and Total user cost'!N16</f>
        <v>749777913.65965641</v>
      </c>
      <c r="P54" s="54">
        <f>'Asset cost and Total user cost'!O16</f>
        <v>680130128.22239149</v>
      </c>
      <c r="Q54" s="36">
        <f t="shared" ref="Q54:Q57" si="13">AVERAGE(L54:P54)</f>
        <v>721988595.59753394</v>
      </c>
      <c r="R54" s="32"/>
      <c r="S54" s="32"/>
      <c r="T54" s="32"/>
      <c r="U54" s="32"/>
      <c r="V54" s="32"/>
      <c r="W54" s="32"/>
      <c r="X54" s="32"/>
      <c r="Y54" s="32"/>
    </row>
    <row r="55" spans="1:25" x14ac:dyDescent="0.25">
      <c r="A55" s="47" t="s">
        <v>36</v>
      </c>
      <c r="B55" s="47" t="s">
        <v>132</v>
      </c>
      <c r="C55" s="50" t="s">
        <v>108</v>
      </c>
      <c r="D55" s="54">
        <f>'Asset cost and Total user cost'!C17</f>
        <v>289233656.85340494</v>
      </c>
      <c r="E55" s="54">
        <f>'Asset cost and Total user cost'!D17</f>
        <v>287200670.58379596</v>
      </c>
      <c r="F55" s="54">
        <f>'Asset cost and Total user cost'!E17</f>
        <v>295861640.84301496</v>
      </c>
      <c r="G55" s="54">
        <f>'Asset cost and Total user cost'!F17</f>
        <v>317371001.87960404</v>
      </c>
      <c r="H55" s="54">
        <f>'Asset cost and Total user cost'!G17</f>
        <v>324336803.52955687</v>
      </c>
      <c r="I55" s="54">
        <f>'Asset cost and Total user cost'!H17</f>
        <v>317885004.52393121</v>
      </c>
      <c r="J55" s="54">
        <f>'Asset cost and Total user cost'!I17</f>
        <v>312537244.50633782</v>
      </c>
      <c r="K55" s="54">
        <f>'Asset cost and Total user cost'!J17</f>
        <v>319716864.30128253</v>
      </c>
      <c r="L55" s="54">
        <f>'Asset cost and Total user cost'!K17</f>
        <v>321662307.66046435</v>
      </c>
      <c r="M55" s="54">
        <f>'Asset cost and Total user cost'!L17</f>
        <v>347310538.85138834</v>
      </c>
      <c r="N55" s="54">
        <f>'Asset cost and Total user cost'!M17</f>
        <v>356876296.00011533</v>
      </c>
      <c r="O55" s="54">
        <f>'Asset cost and Total user cost'!N17</f>
        <v>361078970.23666126</v>
      </c>
      <c r="P55" s="54">
        <f>'Asset cost and Total user cost'!O17</f>
        <v>360094520.11809421</v>
      </c>
      <c r="Q55" s="36">
        <f t="shared" si="13"/>
        <v>349404526.57334471</v>
      </c>
      <c r="R55" s="32"/>
      <c r="S55" s="32"/>
      <c r="T55" s="32"/>
      <c r="U55" s="32"/>
      <c r="V55" s="32"/>
      <c r="W55" s="32"/>
      <c r="X55" s="32"/>
      <c r="Y55" s="32"/>
    </row>
    <row r="56" spans="1:25" x14ac:dyDescent="0.25">
      <c r="A56" s="47" t="s">
        <v>30</v>
      </c>
      <c r="B56" s="47" t="s">
        <v>133</v>
      </c>
      <c r="C56" s="50" t="s">
        <v>108</v>
      </c>
      <c r="D56" s="54">
        <f>'Asset cost and Total user cost'!C18</f>
        <v>125109554.2712113</v>
      </c>
      <c r="E56" s="54">
        <f>'Asset cost and Total user cost'!D18</f>
        <v>126469496.88783145</v>
      </c>
      <c r="F56" s="54">
        <f>'Asset cost and Total user cost'!E18</f>
        <v>141539435.80659816</v>
      </c>
      <c r="G56" s="54">
        <f>'Asset cost and Total user cost'!F18</f>
        <v>143595411.25999975</v>
      </c>
      <c r="H56" s="54">
        <f>'Asset cost and Total user cost'!G18</f>
        <v>154437634.58760551</v>
      </c>
      <c r="I56" s="54">
        <f>'Asset cost and Total user cost'!H18</f>
        <v>158432073.37261468</v>
      </c>
      <c r="J56" s="54">
        <f>'Asset cost and Total user cost'!I18</f>
        <v>160080421.27121288</v>
      </c>
      <c r="K56" s="54">
        <f>'Asset cost and Total user cost'!J18</f>
        <v>156551933.30484673</v>
      </c>
      <c r="L56" s="54">
        <f>'Asset cost and Total user cost'!K18</f>
        <v>164371123.78913122</v>
      </c>
      <c r="M56" s="54">
        <f>'Asset cost and Total user cost'!L18</f>
        <v>143879049.95326588</v>
      </c>
      <c r="N56" s="54">
        <f>'Asset cost and Total user cost'!M18</f>
        <v>148595129.80487388</v>
      </c>
      <c r="O56" s="54">
        <f>'Asset cost and Total user cost'!N18</f>
        <v>144536522.86060765</v>
      </c>
      <c r="P56" s="54">
        <f>'Asset cost and Total user cost'!O18</f>
        <v>138766638.08908284</v>
      </c>
      <c r="Q56" s="36">
        <f t="shared" si="13"/>
        <v>148029692.89939231</v>
      </c>
      <c r="R56" s="32"/>
      <c r="S56" s="32"/>
      <c r="T56" s="32"/>
      <c r="U56" s="32"/>
      <c r="V56" s="32"/>
      <c r="W56" s="32"/>
      <c r="X56" s="32"/>
      <c r="Y56" s="32"/>
    </row>
    <row r="57" spans="1:25" x14ac:dyDescent="0.25">
      <c r="A57" s="47" t="s">
        <v>39</v>
      </c>
      <c r="B57" s="47" t="s">
        <v>134</v>
      </c>
      <c r="C57" s="50" t="s">
        <v>108</v>
      </c>
      <c r="D57" s="54">
        <f>'Asset cost and Total user cost'!C19</f>
        <v>474662051.86580443</v>
      </c>
      <c r="E57" s="54">
        <f>'Asset cost and Total user cost'!D19</f>
        <v>480929021.25532472</v>
      </c>
      <c r="F57" s="54">
        <f>'Asset cost and Total user cost'!E19</f>
        <v>483682144.92095298</v>
      </c>
      <c r="G57" s="54">
        <f>'Asset cost and Total user cost'!F19</f>
        <v>509754896.72790807</v>
      </c>
      <c r="H57" s="54">
        <f>'Asset cost and Total user cost'!G19</f>
        <v>564530788.94292045</v>
      </c>
      <c r="I57" s="54">
        <f>'Asset cost and Total user cost'!H19</f>
        <v>556203998.03583372</v>
      </c>
      <c r="J57" s="54">
        <f>'Asset cost and Total user cost'!I19</f>
        <v>570695903.85544598</v>
      </c>
      <c r="K57" s="54">
        <f>'Asset cost and Total user cost'!J19</f>
        <v>575692308.15119421</v>
      </c>
      <c r="L57" s="54">
        <f>'Asset cost and Total user cost'!K19</f>
        <v>636822403.45645916</v>
      </c>
      <c r="M57" s="54">
        <f>'Asset cost and Total user cost'!L19</f>
        <v>653443494.22038567</v>
      </c>
      <c r="N57" s="54">
        <f>'Asset cost and Total user cost'!M19</f>
        <v>667006026.57367313</v>
      </c>
      <c r="O57" s="54">
        <f>'Asset cost and Total user cost'!N19</f>
        <v>677470853.89486444</v>
      </c>
      <c r="P57" s="54">
        <f>'Asset cost and Total user cost'!O19</f>
        <v>632237656.20798016</v>
      </c>
      <c r="Q57" s="36">
        <f t="shared" si="13"/>
        <v>653396086.87067246</v>
      </c>
      <c r="R57" s="32"/>
      <c r="S57" s="32"/>
      <c r="T57" s="32"/>
      <c r="U57" s="32"/>
      <c r="V57" s="32"/>
      <c r="W57" s="32"/>
      <c r="X57" s="32"/>
      <c r="Y57" s="32"/>
    </row>
    <row r="58" spans="1:25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</row>
    <row r="59" spans="1:25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</row>
    <row r="60" spans="1:25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</row>
    <row r="61" spans="1:25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</row>
    <row r="62" spans="1:25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spans="1:25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</row>
    <row r="64" spans="1:25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</row>
    <row r="65" spans="1:25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</row>
    <row r="66" spans="1:25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</row>
    <row r="67" spans="1:25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</row>
    <row r="68" spans="1:25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</row>
    <row r="69" spans="1:25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</row>
    <row r="70" spans="1:25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</row>
    <row r="71" spans="1:25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</row>
    <row r="72" spans="1:25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spans="1:25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</row>
    <row r="74" spans="1:25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</row>
    <row r="75" spans="1:25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</row>
    <row r="76" spans="1:25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</row>
    <row r="77" spans="1:25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</row>
    <row r="78" spans="1:25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</row>
    <row r="79" spans="1:25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</row>
    <row r="80" spans="1:25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</row>
    <row r="81" spans="1:25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pans="1:25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</row>
    <row r="83" spans="1:25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</row>
    <row r="84" spans="1:25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</row>
    <row r="85" spans="1:25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</row>
    <row r="86" spans="1:25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</row>
    <row r="87" spans="1:25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</row>
    <row r="88" spans="1:25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</row>
    <row r="89" spans="1:25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</row>
    <row r="90" spans="1:25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</row>
    <row r="91" spans="1:25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</row>
    <row r="92" spans="1:25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</row>
    <row r="93" spans="1:25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</row>
    <row r="94" spans="1:25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</row>
    <row r="95" spans="1:25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</row>
    <row r="96" spans="1:25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</row>
    <row r="97" spans="1:25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</row>
    <row r="98" spans="1:25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</row>
    <row r="99" spans="1:25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</row>
    <row r="100" spans="1:25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</row>
    <row r="101" spans="1:25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</row>
    <row r="102" spans="1:25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</row>
    <row r="103" spans="1:25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</row>
    <row r="104" spans="1:25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"/>
  <sheetViews>
    <sheetView workbookViewId="0">
      <selection activeCell="C29" sqref="C29"/>
    </sheetView>
  </sheetViews>
  <sheetFormatPr defaultColWidth="9.140625" defaultRowHeight="15" x14ac:dyDescent="0.25"/>
  <cols>
    <col min="1" max="1" width="46.42578125" style="2" bestFit="1" customWidth="1"/>
    <col min="2" max="11" width="14" style="2" customWidth="1"/>
    <col min="12" max="12" width="12.28515625" style="2" customWidth="1"/>
    <col min="13" max="15" width="14.140625" style="17" customWidth="1"/>
    <col min="16" max="16384" width="9.140625" style="2"/>
  </cols>
  <sheetData>
    <row r="1" spans="1:18" x14ac:dyDescent="0.25">
      <c r="A1" s="33" t="s">
        <v>91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x14ac:dyDescent="0.25">
      <c r="A2" s="32" t="s">
        <v>32</v>
      </c>
      <c r="B2" s="48">
        <f>AVERAGE('[3]PTRM inputs'!$L$26-'[3]PTRM inputs'!$L$28,'[3]PTRM inputs'!$M$26-'[3]PTRM inputs'!$M$28,'[3]PTRM inputs'!$N$26-'[3]PTRM inputs'!$N$28,'[3]PTRM inputs'!$O$26-'[3]PTRM inputs'!$O$28,'[3]PTRM inputs'!$P$26-'[3]PTRM inputs'!$P$28)</f>
        <v>3.3527858038188293E-2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x14ac:dyDescent="0.25">
      <c r="A5" s="14" t="s">
        <v>54</v>
      </c>
      <c r="B5" s="33" t="str">
        <f>IF(Depreciation!A14=RAB!A14,"valid","invalid")</f>
        <v>valid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x14ac:dyDescent="0.25">
      <c r="A6" s="33" t="str">
        <f>Depreciation!A14</f>
        <v>Real $2018</v>
      </c>
      <c r="B6" s="33"/>
      <c r="C6" s="32">
        <v>2006</v>
      </c>
      <c r="D6" s="32">
        <v>2007</v>
      </c>
      <c r="E6" s="32">
        <v>2008</v>
      </c>
      <c r="F6" s="32">
        <v>2009</v>
      </c>
      <c r="G6" s="32">
        <v>2010</v>
      </c>
      <c r="H6" s="32">
        <v>2011</v>
      </c>
      <c r="I6" s="32">
        <v>2012</v>
      </c>
      <c r="J6" s="32">
        <v>2013</v>
      </c>
      <c r="K6" s="32">
        <v>2014</v>
      </c>
      <c r="L6" s="32">
        <v>2015</v>
      </c>
      <c r="M6" s="32">
        <v>2016</v>
      </c>
      <c r="N6" s="32">
        <v>2017</v>
      </c>
      <c r="O6" s="32">
        <v>2018</v>
      </c>
      <c r="P6" s="32" t="s">
        <v>129</v>
      </c>
      <c r="Q6" s="32"/>
      <c r="R6" s="32"/>
    </row>
    <row r="7" spans="1:18" x14ac:dyDescent="0.25">
      <c r="A7" s="47" t="s">
        <v>38</v>
      </c>
      <c r="B7" s="47" t="s">
        <v>102</v>
      </c>
      <c r="C7" s="36">
        <f>RAB!C15*'Asset cost and Total user cost'!$B$2-Depreciation!C15</f>
        <v>108387.6879185829</v>
      </c>
      <c r="D7" s="36">
        <f>RAB!D15*'Asset cost and Total user cost'!$B$2-Depreciation!D15</f>
        <v>114513.86673211712</v>
      </c>
      <c r="E7" s="36">
        <f>RAB!E15*'Asset cost and Total user cost'!$B$2-Depreciation!E15</f>
        <v>112413.53170842098</v>
      </c>
      <c r="F7" s="36">
        <f>RAB!F15*'Asset cost and Total user cost'!$B$2-Depreciation!F15</f>
        <v>120856.94192046844</v>
      </c>
      <c r="G7" s="36">
        <f>RAB!G15*'Asset cost and Total user cost'!$B$2-Depreciation!G15</f>
        <v>125177.35749828111</v>
      </c>
      <c r="H7" s="36">
        <f>RAB!H15*'Asset cost and Total user cost'!$B$2-Depreciation!H15</f>
        <v>127145.33531418836</v>
      </c>
      <c r="I7" s="36">
        <f>RAB!I15*'Asset cost and Total user cost'!$B$2-Depreciation!I15</f>
        <v>133955.3733689888</v>
      </c>
      <c r="J7" s="36">
        <f>RAB!J15*'Asset cost and Total user cost'!$B$2-Depreciation!J15</f>
        <v>146241.14364853041</v>
      </c>
      <c r="K7" s="36">
        <f>RAB!K15*'Asset cost and Total user cost'!$B$2-Depreciation!K15</f>
        <v>151841.27812062565</v>
      </c>
      <c r="L7" s="36">
        <f>RAB!L15*'Asset cost and Total user cost'!$B$2-Depreciation!L15</f>
        <v>163913.97472296029</v>
      </c>
      <c r="M7" s="36">
        <f>RAB!M15*'Asset cost and Total user cost'!$B$2-Depreciation!M15</f>
        <v>173974.77969820739</v>
      </c>
      <c r="N7" s="36">
        <f>RAB!N15*'Asset cost and Total user cost'!$B$2-Depreciation!N15</f>
        <v>182155.09385936585</v>
      </c>
      <c r="O7" s="36">
        <f>RAB!O15*'Asset cost and Total user cost'!$B$2-Depreciation!O15</f>
        <v>183760.53316995036</v>
      </c>
      <c r="P7" s="36">
        <f>AVERAGE(K7:O7)</f>
        <v>171129.13191422191</v>
      </c>
      <c r="Q7" s="32"/>
      <c r="R7" s="32"/>
    </row>
    <row r="8" spans="1:18" x14ac:dyDescent="0.25">
      <c r="A8" s="47" t="s">
        <v>21</v>
      </c>
      <c r="B8" s="47" t="s">
        <v>102</v>
      </c>
      <c r="C8" s="36">
        <f>RAB!C16*'Asset cost and Total user cost'!$B$2-Depreciation!C16</f>
        <v>313072.69082886504</v>
      </c>
      <c r="D8" s="36">
        <f>RAB!D16*'Asset cost and Total user cost'!$B$2-Depreciation!D16</f>
        <v>322353.02850221808</v>
      </c>
      <c r="E8" s="36">
        <f>RAB!E16*'Asset cost and Total user cost'!$B$2-Depreciation!E16</f>
        <v>354257.34940940363</v>
      </c>
      <c r="F8" s="36">
        <f>RAB!F16*'Asset cost and Total user cost'!$B$2-Depreciation!F16</f>
        <v>398830.3380918905</v>
      </c>
      <c r="G8" s="36">
        <f>RAB!G16*'Asset cost and Total user cost'!$B$2-Depreciation!G16</f>
        <v>422202.67865103402</v>
      </c>
      <c r="H8" s="36">
        <f>RAB!H16*'Asset cost and Total user cost'!$B$2-Depreciation!H16</f>
        <v>448223.25393615698</v>
      </c>
      <c r="I8" s="36">
        <f>RAB!I16*'Asset cost and Total user cost'!$B$2-Depreciation!I16</f>
        <v>467197.52228036919</v>
      </c>
      <c r="J8" s="36">
        <f>RAB!J16*'Asset cost and Total user cost'!$B$2-Depreciation!J16</f>
        <v>455501.1709770179</v>
      </c>
      <c r="K8" s="36">
        <f>RAB!K16*'Asset cost and Total user cost'!$B$2-Depreciation!K16</f>
        <v>485779.80629339261</v>
      </c>
      <c r="L8" s="36">
        <f>RAB!L16*'Asset cost and Total user cost'!$B$2-Depreciation!L16</f>
        <v>517137.05992786644</v>
      </c>
      <c r="M8" s="36">
        <f>RAB!M16*'Asset cost and Total user cost'!$B$2-Depreciation!M16</f>
        <v>524803.66387467808</v>
      </c>
      <c r="N8" s="36">
        <f>RAB!N16*'Asset cost and Total user cost'!$B$2-Depreciation!N16</f>
        <v>515083.39456056547</v>
      </c>
      <c r="O8" s="36">
        <f>RAB!O16*'Asset cost and Total user cost'!$B$2-Depreciation!O16</f>
        <v>489168.6283887786</v>
      </c>
      <c r="P8" s="36">
        <f t="shared" ref="P8:P11" si="0">AVERAGE(K8:O8)</f>
        <v>506394.51060905622</v>
      </c>
      <c r="Q8" s="32"/>
      <c r="R8" s="32"/>
    </row>
    <row r="9" spans="1:18" x14ac:dyDescent="0.25">
      <c r="A9" s="47" t="s">
        <v>36</v>
      </c>
      <c r="B9" s="47" t="s">
        <v>102</v>
      </c>
      <c r="C9" s="36">
        <f>RAB!C17*'Asset cost and Total user cost'!$B$2-Depreciation!C17</f>
        <v>204733.13313021389</v>
      </c>
      <c r="D9" s="36">
        <f>RAB!D17*'Asset cost and Total user cost'!$B$2-Depreciation!D17</f>
        <v>205846.72016507719</v>
      </c>
      <c r="E9" s="36">
        <f>RAB!E17*'Asset cost and Total user cost'!$B$2-Depreciation!E17</f>
        <v>220566.7672082471</v>
      </c>
      <c r="F9" s="36">
        <f>RAB!F17*'Asset cost and Total user cost'!$B$2-Depreciation!F17</f>
        <v>221868.5744459471</v>
      </c>
      <c r="G9" s="36">
        <f>RAB!G17*'Asset cost and Total user cost'!$B$2-Depreciation!G17</f>
        <v>226946.26196239266</v>
      </c>
      <c r="H9" s="36">
        <f>RAB!H17*'Asset cost and Total user cost'!$B$2-Depreciation!H17</f>
        <v>229090.82496020061</v>
      </c>
      <c r="I9" s="36">
        <f>RAB!I17*'Asset cost and Total user cost'!$B$2-Depreciation!I17</f>
        <v>229372.421793913</v>
      </c>
      <c r="J9" s="36">
        <f>RAB!J17*'Asset cost and Total user cost'!$B$2-Depreciation!J17</f>
        <v>234388.65654882669</v>
      </c>
      <c r="K9" s="36">
        <f>RAB!K17*'Asset cost and Total user cost'!$B$2-Depreciation!K17</f>
        <v>230893.26942491625</v>
      </c>
      <c r="L9" s="36">
        <f>RAB!L17*'Asset cost and Total user cost'!$B$2-Depreciation!L17</f>
        <v>256539.93870924562</v>
      </c>
      <c r="M9" s="36">
        <f>RAB!M17*'Asset cost and Total user cost'!$B$2-Depreciation!M17</f>
        <v>262437.15449507185</v>
      </c>
      <c r="N9" s="36">
        <f>RAB!N17*'Asset cost and Total user cost'!$B$2-Depreciation!N17</f>
        <v>269671.49007901608</v>
      </c>
      <c r="O9" s="36">
        <f>RAB!O17*'Asset cost and Total user cost'!$B$2-Depreciation!O17</f>
        <v>276306.21943799325</v>
      </c>
      <c r="P9" s="36">
        <f t="shared" si="0"/>
        <v>259169.61442924858</v>
      </c>
      <c r="Q9" s="32"/>
      <c r="R9" s="32"/>
    </row>
    <row r="10" spans="1:18" x14ac:dyDescent="0.25">
      <c r="A10" s="47" t="s">
        <v>30</v>
      </c>
      <c r="B10" s="47" t="s">
        <v>102</v>
      </c>
      <c r="C10" s="36">
        <f>RAB!C18*'Asset cost and Total user cost'!$B$2-Depreciation!C18</f>
        <v>76874.326624433248</v>
      </c>
      <c r="D10" s="36">
        <f>RAB!D18*'Asset cost and Total user cost'!$B$2-Depreciation!D18</f>
        <v>76854.938014852232</v>
      </c>
      <c r="E10" s="36">
        <f>RAB!E18*'Asset cost and Total user cost'!$B$2-Depreciation!E18</f>
        <v>82204.71328583498</v>
      </c>
      <c r="F10" s="36">
        <f>RAB!F18*'Asset cost and Total user cost'!$B$2-Depreciation!F18</f>
        <v>85998.816691817963</v>
      </c>
      <c r="G10" s="36">
        <f>RAB!G18*'Asset cost and Total user cost'!$B$2-Depreciation!G18</f>
        <v>96625.949934371165</v>
      </c>
      <c r="H10" s="36">
        <f>RAB!H18*'Asset cost and Total user cost'!$B$2-Depreciation!H18</f>
        <v>103610.40516002438</v>
      </c>
      <c r="I10" s="36">
        <f>RAB!I18*'Asset cost and Total user cost'!$B$2-Depreciation!I18</f>
        <v>106433.82533934913</v>
      </c>
      <c r="J10" s="36">
        <f>RAB!J18*'Asset cost and Total user cost'!$B$2-Depreciation!J18</f>
        <v>106239.89290974868</v>
      </c>
      <c r="K10" s="36">
        <f>RAB!K18*'Asset cost and Total user cost'!$B$2-Depreciation!K18</f>
        <v>114726.7363845511</v>
      </c>
      <c r="L10" s="36">
        <f>RAB!L18*'Asset cost and Total user cost'!$B$2-Depreciation!L18</f>
        <v>106731.56029513266</v>
      </c>
      <c r="M10" s="36">
        <f>RAB!M18*'Asset cost and Total user cost'!$B$2-Depreciation!M18</f>
        <v>109014.42951985571</v>
      </c>
      <c r="N10" s="36">
        <f>RAB!N18*'Asset cost and Total user cost'!$B$2-Depreciation!N18</f>
        <v>111293.80797950103</v>
      </c>
      <c r="O10" s="36">
        <f>RAB!O18*'Asset cost and Total user cost'!$B$2-Depreciation!O18</f>
        <v>109274.80285664744</v>
      </c>
      <c r="P10" s="36">
        <f t="shared" si="0"/>
        <v>110208.2674071376</v>
      </c>
      <c r="Q10" s="32"/>
      <c r="R10" s="32"/>
    </row>
    <row r="11" spans="1:18" x14ac:dyDescent="0.25">
      <c r="A11" s="47" t="s">
        <v>39</v>
      </c>
      <c r="B11" s="47" t="s">
        <v>102</v>
      </c>
      <c r="C11" s="36">
        <f>RAB!C19*'Asset cost and Total user cost'!$B$2-Depreciation!C19</f>
        <v>310279.08050542255</v>
      </c>
      <c r="D11" s="36">
        <f>RAB!D19*'Asset cost and Total user cost'!$B$2-Depreciation!D19</f>
        <v>318751.55012368498</v>
      </c>
      <c r="E11" s="36">
        <f>RAB!E19*'Asset cost and Total user cost'!$B$2-Depreciation!E19</f>
        <v>330383.48049895524</v>
      </c>
      <c r="F11" s="36">
        <f>RAB!F19*'Asset cost and Total user cost'!$B$2-Depreciation!F19</f>
        <v>356460.80581881717</v>
      </c>
      <c r="G11" s="36">
        <f>RAB!G19*'Asset cost and Total user cost'!$B$2-Depreciation!G19</f>
        <v>391214.94588883768</v>
      </c>
      <c r="H11" s="36">
        <f>RAB!H19*'Asset cost and Total user cost'!$B$2-Depreciation!H19</f>
        <v>393979.46759207721</v>
      </c>
      <c r="I11" s="36">
        <f>RAB!I19*'Asset cost and Total user cost'!$B$2-Depreciation!I19</f>
        <v>396790.58321416349</v>
      </c>
      <c r="J11" s="36">
        <f>RAB!J19*'Asset cost and Total user cost'!$B$2-Depreciation!J19</f>
        <v>415672.65128844918</v>
      </c>
      <c r="K11" s="36">
        <f>RAB!K19*'Asset cost and Total user cost'!$B$2-Depreciation!K19</f>
        <v>445598.20689157373</v>
      </c>
      <c r="L11" s="36">
        <f>RAB!L19*'Asset cost and Total user cost'!$B$2-Depreciation!L19</f>
        <v>473378.92008999165</v>
      </c>
      <c r="M11" s="36">
        <f>RAB!M19*'Asset cost and Total user cost'!$B$2-Depreciation!M19</f>
        <v>488556.90290675435</v>
      </c>
      <c r="N11" s="36">
        <f>RAB!N19*'Asset cost and Total user cost'!$B$2-Depreciation!N19</f>
        <v>500754.11511961825</v>
      </c>
      <c r="O11" s="36">
        <f>RAB!O19*'Asset cost and Total user cost'!$B$2-Depreciation!O19</f>
        <v>475941.32450183365</v>
      </c>
      <c r="P11" s="36">
        <f t="shared" si="0"/>
        <v>476845.89390195441</v>
      </c>
      <c r="Q11" s="32"/>
      <c r="R11" s="32"/>
    </row>
    <row r="12" spans="1:18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</row>
    <row r="13" spans="1:18" x14ac:dyDescent="0.25">
      <c r="A13" s="14" t="s">
        <v>45</v>
      </c>
      <c r="B13" s="14"/>
      <c r="C13" s="33" t="str">
        <f>IF(A6=A14,"valid","invalid")</f>
        <v>valid</v>
      </c>
      <c r="D13" s="49"/>
      <c r="E13" s="49"/>
      <c r="F13" s="49"/>
      <c r="G13" s="49"/>
      <c r="H13" s="49"/>
      <c r="I13" s="49"/>
      <c r="J13" s="49"/>
      <c r="K13" s="49"/>
      <c r="L13" s="32"/>
      <c r="M13" s="32"/>
      <c r="N13" s="32"/>
      <c r="O13" s="32"/>
      <c r="P13" s="32"/>
      <c r="Q13" s="32"/>
      <c r="R13" s="32"/>
    </row>
    <row r="14" spans="1:18" x14ac:dyDescent="0.25">
      <c r="A14" s="33" t="str">
        <f>Opex!A14</f>
        <v>Real $2018</v>
      </c>
      <c r="B14" s="33"/>
      <c r="C14" s="32">
        <v>2006</v>
      </c>
      <c r="D14" s="32">
        <v>2007</v>
      </c>
      <c r="E14" s="32">
        <v>2008</v>
      </c>
      <c r="F14" s="32">
        <v>2009</v>
      </c>
      <c r="G14" s="32">
        <v>2010</v>
      </c>
      <c r="H14" s="32">
        <v>2011</v>
      </c>
      <c r="I14" s="32">
        <v>2012</v>
      </c>
      <c r="J14" s="32">
        <v>2013</v>
      </c>
      <c r="K14" s="32">
        <v>2014</v>
      </c>
      <c r="L14" s="32">
        <v>2015</v>
      </c>
      <c r="M14" s="32">
        <v>2016</v>
      </c>
      <c r="N14" s="32">
        <v>2017</v>
      </c>
      <c r="O14" s="32">
        <v>2018</v>
      </c>
      <c r="P14" s="32"/>
      <c r="Q14" s="32"/>
      <c r="R14" s="32"/>
    </row>
    <row r="15" spans="1:18" x14ac:dyDescent="0.25">
      <c r="A15" s="47" t="s">
        <v>38</v>
      </c>
      <c r="B15" s="50" t="s">
        <v>108</v>
      </c>
      <c r="C15" s="36">
        <f>(C7+Opex!C15)*1000</f>
        <v>174330135.41261631</v>
      </c>
      <c r="D15" s="36">
        <f>(D7+Opex!D15)*1000</f>
        <v>184251892.13627416</v>
      </c>
      <c r="E15" s="36">
        <f>(E7+Opex!E15)*1000</f>
        <v>175731522.36610898</v>
      </c>
      <c r="F15" s="36">
        <f>(F7+Opex!F15)*1000</f>
        <v>188592085.85986236</v>
      </c>
      <c r="G15" s="36">
        <f>(G7+Opex!G15)*1000</f>
        <v>194831596.09849319</v>
      </c>
      <c r="H15" s="36">
        <f>(H7+Opex!H15)*1000</f>
        <v>202941176.38745975</v>
      </c>
      <c r="I15" s="36">
        <f>(I7+Opex!I15)*1000</f>
        <v>216939685.9942393</v>
      </c>
      <c r="J15" s="36">
        <f>(J7+Opex!J15)*1000</f>
        <v>225134581.88382456</v>
      </c>
      <c r="K15" s="36">
        <f>(K7+Opex!K15)*1000</f>
        <v>232582211.69505313</v>
      </c>
      <c r="L15" s="36">
        <f>(L7+Opex!L15)*1000</f>
        <v>249120608.67429239</v>
      </c>
      <c r="M15" s="36">
        <f>(M7+Opex!M15)*1000</f>
        <v>263558225.32459116</v>
      </c>
      <c r="N15" s="36">
        <f>(N7+Opex!N15)*1000</f>
        <v>275135840.45300221</v>
      </c>
      <c r="O15" s="36">
        <f>(O7+Opex!O15)*1000</f>
        <v>278549461.36085135</v>
      </c>
      <c r="P15" s="32"/>
      <c r="Q15" s="32"/>
      <c r="R15" s="32"/>
    </row>
    <row r="16" spans="1:18" x14ac:dyDescent="0.25">
      <c r="A16" s="47" t="s">
        <v>21</v>
      </c>
      <c r="B16" s="50" t="s">
        <v>108</v>
      </c>
      <c r="C16" s="36">
        <f>(C8+Opex!C16)*1000</f>
        <v>474801952.1653806</v>
      </c>
      <c r="D16" s="36">
        <f>(D8+Opex!D16)*1000</f>
        <v>491348831.04263371</v>
      </c>
      <c r="E16" s="36">
        <f>(E8+Opex!E16)*1000</f>
        <v>538804815.17820275</v>
      </c>
      <c r="F16" s="36">
        <f>(F8+Opex!F16)*1000</f>
        <v>575161762.3343147</v>
      </c>
      <c r="G16" s="36">
        <f>(G8+Opex!G16)*1000</f>
        <v>605999266.1377784</v>
      </c>
      <c r="H16" s="36">
        <f>(H8+Opex!H16)*1000</f>
        <v>626060291.08785975</v>
      </c>
      <c r="I16" s="36">
        <f>(I8+Opex!I16)*1000</f>
        <v>650562396.02786422</v>
      </c>
      <c r="J16" s="36">
        <f>(J8+Opex!J16)*1000</f>
        <v>642734345.3135767</v>
      </c>
      <c r="K16" s="36">
        <f>(K8+Opex!K16)*1000</f>
        <v>682863366.30501175</v>
      </c>
      <c r="L16" s="36">
        <f>(L8+Opex!L16)*1000</f>
        <v>743261631.94069195</v>
      </c>
      <c r="M16" s="36">
        <f>(M8+Opex!M16)*1000</f>
        <v>753909937.85991788</v>
      </c>
      <c r="N16" s="36">
        <f>(N8+Opex!N16)*1000</f>
        <v>749777913.65965641</v>
      </c>
      <c r="O16" s="36">
        <f>(O8+Opex!O16)*1000</f>
        <v>680130128.22239149</v>
      </c>
      <c r="P16" s="32"/>
      <c r="Q16" s="32"/>
      <c r="R16" s="32"/>
    </row>
    <row r="17" spans="1:18" x14ac:dyDescent="0.25">
      <c r="A17" s="47" t="s">
        <v>36</v>
      </c>
      <c r="B17" s="50" t="s">
        <v>108</v>
      </c>
      <c r="C17" s="36">
        <f>(C9+Opex!C17)*1000</f>
        <v>289233656.85340494</v>
      </c>
      <c r="D17" s="36">
        <f>(D9+Opex!D17)*1000</f>
        <v>287200670.58379596</v>
      </c>
      <c r="E17" s="36">
        <f>(E9+Opex!E17)*1000</f>
        <v>295861640.84301496</v>
      </c>
      <c r="F17" s="36">
        <f>(F9+Opex!F17)*1000</f>
        <v>317371001.87960404</v>
      </c>
      <c r="G17" s="36">
        <f>(G9+Opex!G17)*1000</f>
        <v>324336803.52955687</v>
      </c>
      <c r="H17" s="36">
        <f>(H9+Opex!H17)*1000</f>
        <v>317885004.52393121</v>
      </c>
      <c r="I17" s="36">
        <f>(I9+Opex!I17)*1000</f>
        <v>312537244.50633782</v>
      </c>
      <c r="J17" s="36">
        <f>(J9+Opex!J17)*1000</f>
        <v>319716864.30128253</v>
      </c>
      <c r="K17" s="36">
        <f>(K9+Opex!K17)*1000</f>
        <v>321662307.66046435</v>
      </c>
      <c r="L17" s="36">
        <f>(L9+Opex!L17)*1000</f>
        <v>347310538.85138834</v>
      </c>
      <c r="M17" s="36">
        <f>(M9+Opex!M17)*1000</f>
        <v>356876296.00011533</v>
      </c>
      <c r="N17" s="36">
        <f>(N9+Opex!N17)*1000</f>
        <v>361078970.23666126</v>
      </c>
      <c r="O17" s="36">
        <f>(O9+Opex!O17)*1000</f>
        <v>360094520.11809421</v>
      </c>
      <c r="P17" s="32"/>
      <c r="Q17" s="32"/>
      <c r="R17" s="32"/>
    </row>
    <row r="18" spans="1:18" x14ac:dyDescent="0.25">
      <c r="A18" s="47" t="s">
        <v>30</v>
      </c>
      <c r="B18" s="50" t="s">
        <v>108</v>
      </c>
      <c r="C18" s="36">
        <f>(C10+Opex!C18)*1000</f>
        <v>125109554.2712113</v>
      </c>
      <c r="D18" s="36">
        <f>(D10+Opex!D18)*1000</f>
        <v>126469496.88783145</v>
      </c>
      <c r="E18" s="36">
        <f>(E10+Opex!E18)*1000</f>
        <v>141539435.80659816</v>
      </c>
      <c r="F18" s="36">
        <f>(F10+Opex!F18)*1000</f>
        <v>143595411.25999975</v>
      </c>
      <c r="G18" s="36">
        <f>(G10+Opex!G18)*1000</f>
        <v>154437634.58760551</v>
      </c>
      <c r="H18" s="36">
        <f>(H10+Opex!H18)*1000</f>
        <v>158432073.37261468</v>
      </c>
      <c r="I18" s="36">
        <f>(I10+Opex!I18)*1000</f>
        <v>160080421.27121288</v>
      </c>
      <c r="J18" s="36">
        <f>(J10+Opex!J18)*1000</f>
        <v>156551933.30484673</v>
      </c>
      <c r="K18" s="36">
        <f>(K10+Opex!K18)*1000</f>
        <v>164371123.78913122</v>
      </c>
      <c r="L18" s="36">
        <f>(L10+Opex!L18)*1000</f>
        <v>143879049.95326588</v>
      </c>
      <c r="M18" s="36">
        <f>(M10+Opex!M18)*1000</f>
        <v>148595129.80487388</v>
      </c>
      <c r="N18" s="36">
        <f>(N10+Opex!N18)*1000</f>
        <v>144536522.86060765</v>
      </c>
      <c r="O18" s="36">
        <f>(O10+Opex!O18)*1000</f>
        <v>138766638.08908284</v>
      </c>
      <c r="P18" s="32"/>
      <c r="Q18" s="32"/>
      <c r="R18" s="32"/>
    </row>
    <row r="19" spans="1:18" x14ac:dyDescent="0.25">
      <c r="A19" s="47" t="s">
        <v>39</v>
      </c>
      <c r="B19" s="50" t="s">
        <v>108</v>
      </c>
      <c r="C19" s="36">
        <f>(C11+Opex!C19)*1000</f>
        <v>474662051.86580443</v>
      </c>
      <c r="D19" s="36">
        <f>(D11+Opex!D19)*1000</f>
        <v>480929021.25532472</v>
      </c>
      <c r="E19" s="36">
        <f>(E11+Opex!E19)*1000</f>
        <v>483682144.92095298</v>
      </c>
      <c r="F19" s="36">
        <f>(F11+Opex!F19)*1000</f>
        <v>509754896.72790807</v>
      </c>
      <c r="G19" s="36">
        <f>(G11+Opex!G19)*1000</f>
        <v>564530788.94292045</v>
      </c>
      <c r="H19" s="36">
        <f>(H11+Opex!H19)*1000</f>
        <v>556203998.03583372</v>
      </c>
      <c r="I19" s="36">
        <f>(I11+Opex!I19)*1000</f>
        <v>570695903.85544598</v>
      </c>
      <c r="J19" s="36">
        <f>(J11+Opex!J19)*1000</f>
        <v>575692308.15119421</v>
      </c>
      <c r="K19" s="36">
        <f>(K11+Opex!K19)*1000</f>
        <v>636822403.45645916</v>
      </c>
      <c r="L19" s="36">
        <f>(L11+Opex!L19)*1000</f>
        <v>653443494.22038567</v>
      </c>
      <c r="M19" s="36">
        <f>(M11+Opex!M19)*1000</f>
        <v>667006026.57367313</v>
      </c>
      <c r="N19" s="36">
        <f>(N11+Opex!N19)*1000</f>
        <v>677470853.89486444</v>
      </c>
      <c r="O19" s="36">
        <f>(O11+Opex!O19)*1000</f>
        <v>632237656.20798016</v>
      </c>
      <c r="P19" s="32"/>
      <c r="Q19" s="32"/>
      <c r="R19" s="32"/>
    </row>
    <row r="20" spans="1:18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 x14ac:dyDescent="0.25">
      <c r="A21" s="22"/>
      <c r="B21" s="32"/>
      <c r="C21" s="45"/>
      <c r="D21" s="45"/>
      <c r="E21" s="45"/>
      <c r="F21" s="45"/>
      <c r="G21" s="45"/>
      <c r="H21" s="45"/>
      <c r="I21" s="45"/>
      <c r="J21" s="45"/>
      <c r="K21" s="45"/>
      <c r="L21" s="32"/>
      <c r="M21" s="32"/>
      <c r="N21" s="32"/>
      <c r="O21" s="32"/>
      <c r="P21" s="32"/>
      <c r="Q21" s="32"/>
      <c r="R21" s="32"/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cost'!C15:L15</xm:f>
              <xm:sqref>P15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cost'!C16:L16</xm:f>
              <xm:sqref>P16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cost'!C17:L17</xm:f>
              <xm:sqref>P17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cost'!C18:L18</xm:f>
              <xm:sqref>P18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user cost'!C19:L19</xm:f>
              <xm:sqref>P19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V22"/>
  <sheetViews>
    <sheetView workbookViewId="0">
      <selection activeCell="P19" sqref="P19"/>
    </sheetView>
  </sheetViews>
  <sheetFormatPr defaultColWidth="9.140625" defaultRowHeight="15" x14ac:dyDescent="0.25"/>
  <cols>
    <col min="1" max="1" width="23.5703125" style="2" customWidth="1"/>
    <col min="2" max="12" width="12.28515625" style="2" customWidth="1"/>
    <col min="13" max="15" width="12.28515625" style="17" customWidth="1"/>
    <col min="16" max="16384" width="9.140625" style="2"/>
  </cols>
  <sheetData>
    <row r="1" spans="1:74" x14ac:dyDescent="0.25">
      <c r="A1" s="33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74" x14ac:dyDescent="0.25">
      <c r="A2" s="32"/>
      <c r="B2" s="33" t="str">
        <f>"Real $"&amp;Real_year&amp;""</f>
        <v>Real $2018</v>
      </c>
      <c r="C2" s="32">
        <v>2006</v>
      </c>
      <c r="D2" s="32">
        <v>2007</v>
      </c>
      <c r="E2" s="32">
        <v>2008</v>
      </c>
      <c r="F2" s="32">
        <v>2009</v>
      </c>
      <c r="G2" s="32">
        <v>2010</v>
      </c>
      <c r="H2" s="32">
        <v>2011</v>
      </c>
      <c r="I2" s="32">
        <v>2012</v>
      </c>
      <c r="J2" s="32">
        <v>2013</v>
      </c>
      <c r="K2" s="32">
        <v>2014</v>
      </c>
      <c r="L2" s="32">
        <v>2015</v>
      </c>
      <c r="M2" s="32">
        <v>2016</v>
      </c>
      <c r="N2" s="32">
        <v>2017</v>
      </c>
      <c r="O2" s="32">
        <v>2018</v>
      </c>
      <c r="P2" s="32"/>
      <c r="Q2" s="32"/>
      <c r="R2" s="32"/>
      <c r="S2" s="32"/>
      <c r="T2" s="32"/>
      <c r="U2" s="32"/>
      <c r="V2" s="32"/>
    </row>
    <row r="3" spans="1:74" x14ac:dyDescent="0.25">
      <c r="A3" s="32" t="s">
        <v>60</v>
      </c>
      <c r="B3" s="32"/>
      <c r="C3" s="46">
        <f>CPI!F12</f>
        <v>1.3681055155875299</v>
      </c>
      <c r="D3" s="46">
        <f>CPI!G12</f>
        <v>1.3160322952710495</v>
      </c>
      <c r="E3" s="46">
        <f>CPI!H12</f>
        <v>1.2921857304643261</v>
      </c>
      <c r="F3" s="46">
        <f>CPI!I12</f>
        <v>1.2308522114347356</v>
      </c>
      <c r="G3" s="46">
        <f>CPI!J12</f>
        <v>1.2164179104477613</v>
      </c>
      <c r="H3" s="46">
        <f>CPI!K12</f>
        <v>1.1823834196891192</v>
      </c>
      <c r="I3" s="46">
        <f>CPI!L12</f>
        <v>1.1432865731462925</v>
      </c>
      <c r="J3" s="46">
        <f>CPI!M12</f>
        <v>1.1208251473477406</v>
      </c>
      <c r="K3" s="46">
        <f>CPI!N12</f>
        <v>1.0971153846153845</v>
      </c>
      <c r="L3" s="46">
        <f>CPI!O12</f>
        <v>1.0723684210526314</v>
      </c>
      <c r="M3" s="46">
        <f>CPI!P12</f>
        <v>1.0564814814814814</v>
      </c>
      <c r="N3" s="46">
        <f>CPI!Q12</f>
        <v>1.042961608775137</v>
      </c>
      <c r="O3" s="46">
        <f>CPI!R12</f>
        <v>1.0242369838420107</v>
      </c>
      <c r="P3" s="32"/>
      <c r="Q3" s="32"/>
      <c r="R3" s="32"/>
      <c r="S3" s="32"/>
      <c r="T3" s="32"/>
      <c r="U3" s="32"/>
      <c r="V3" s="32"/>
    </row>
    <row r="4" spans="1:74" x14ac:dyDescent="0.25">
      <c r="A4" s="32" t="s">
        <v>59</v>
      </c>
      <c r="B4" s="32"/>
      <c r="C4" s="46">
        <f>CPI!F11</f>
        <v>1.3615751789976134</v>
      </c>
      <c r="D4" s="46">
        <f>CPI!G11</f>
        <v>1.3175519630484989</v>
      </c>
      <c r="E4" s="46">
        <f>CPI!H11</f>
        <v>1.2805836139169473</v>
      </c>
      <c r="F4" s="46">
        <f>CPI!I11</f>
        <v>1.2348484848484846</v>
      </c>
      <c r="G4" s="46">
        <f>CPI!J11</f>
        <v>1.209968186638388</v>
      </c>
      <c r="H4" s="46">
        <f>CPI!K11</f>
        <v>1.1775025799793601</v>
      </c>
      <c r="I4" s="46">
        <f>CPI!L11</f>
        <v>1.1432865731462925</v>
      </c>
      <c r="J4" s="46">
        <f>CPI!M11</f>
        <v>1.1186274509803922</v>
      </c>
      <c r="K4" s="46">
        <f>CPI!N11</f>
        <v>1.0887404580152671</v>
      </c>
      <c r="L4" s="46">
        <f>CPI!O11</f>
        <v>1.0703564727954973</v>
      </c>
      <c r="M4" s="46">
        <f>CPI!P11</f>
        <v>1.0525830258302582</v>
      </c>
      <c r="N4" s="46">
        <f>CPI!Q11</f>
        <v>1.0372727272727271</v>
      </c>
      <c r="O4" s="46">
        <f>CPI!R11</f>
        <v>1.0178412132024979</v>
      </c>
      <c r="P4" s="32"/>
      <c r="Q4" s="32"/>
      <c r="R4" s="32"/>
      <c r="S4" s="32"/>
      <c r="T4" s="32"/>
      <c r="U4" s="32"/>
      <c r="V4" s="32"/>
    </row>
    <row r="5" spans="1:74" x14ac:dyDescent="0.25">
      <c r="A5" s="32"/>
      <c r="B5" s="22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32"/>
      <c r="Q5" s="32"/>
      <c r="R5" s="32"/>
      <c r="S5" s="32"/>
      <c r="T5" s="32"/>
      <c r="U5" s="32"/>
      <c r="V5" s="32"/>
    </row>
    <row r="6" spans="1:74" x14ac:dyDescent="0.25">
      <c r="A6" s="33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74" x14ac:dyDescent="0.25">
      <c r="A7" s="33" t="s">
        <v>64</v>
      </c>
      <c r="B7" s="33"/>
      <c r="C7" s="32">
        <v>2006</v>
      </c>
      <c r="D7" s="32">
        <v>2007</v>
      </c>
      <c r="E7" s="32">
        <v>2008</v>
      </c>
      <c r="F7" s="32">
        <v>2009</v>
      </c>
      <c r="G7" s="32">
        <v>2010</v>
      </c>
      <c r="H7" s="32">
        <v>2011</v>
      </c>
      <c r="I7" s="32">
        <v>2012</v>
      </c>
      <c r="J7" s="32">
        <v>2013</v>
      </c>
      <c r="K7" s="32">
        <v>2014</v>
      </c>
      <c r="L7" s="32">
        <v>2015</v>
      </c>
      <c r="M7" s="32">
        <v>2016</v>
      </c>
      <c r="N7" s="32">
        <v>2017</v>
      </c>
      <c r="O7" s="32">
        <v>2018</v>
      </c>
      <c r="P7" s="32"/>
      <c r="Q7" s="32"/>
      <c r="R7" s="32"/>
      <c r="S7" s="32"/>
      <c r="T7" s="32"/>
      <c r="U7" s="32"/>
      <c r="V7" s="32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</row>
    <row r="8" spans="1:74" x14ac:dyDescent="0.25">
      <c r="A8" s="47" t="s">
        <v>38</v>
      </c>
      <c r="B8" s="47" t="s">
        <v>65</v>
      </c>
      <c r="C8" s="36">
        <f>'[4]Extracted Data'!D$10</f>
        <v>48431</v>
      </c>
      <c r="D8" s="36">
        <f>'[4]Extracted Data'!E$10</f>
        <v>52930</v>
      </c>
      <c r="E8" s="36">
        <f>'[4]Extracted Data'!F$10</f>
        <v>49444.635999999999</v>
      </c>
      <c r="F8" s="36">
        <f>'[4]Extracted Data'!G$10</f>
        <v>54853</v>
      </c>
      <c r="G8" s="36">
        <f>'[4]Extracted Data'!H$10</f>
        <v>57567</v>
      </c>
      <c r="H8" s="36">
        <f>'[4]Extracted Data'!I$10</f>
        <v>64370</v>
      </c>
      <c r="I8" s="36">
        <f>'[4]Extracted Data'!J$10</f>
        <v>72584</v>
      </c>
      <c r="J8" s="36">
        <f>'[4]Extracted Data'!K$10</f>
        <v>70527</v>
      </c>
      <c r="K8" s="36">
        <f>'[4]Extracted Data'!L$10</f>
        <v>74159.945999999996</v>
      </c>
      <c r="L8" s="36">
        <f>'[4]Extracted Data'!M$10</f>
        <v>79605.847320000015</v>
      </c>
      <c r="M8" s="36">
        <f>'[4]Extracted Data'!N$10</f>
        <v>85108.198999999993</v>
      </c>
      <c r="N8" s="36">
        <f>'[4]Extracted Data'!O$10</f>
        <v>89639.633000000002</v>
      </c>
      <c r="O8" s="36">
        <f>'[4]Extracted Data'!P$10</f>
        <v>93127.422000000006</v>
      </c>
      <c r="P8" s="32"/>
      <c r="Q8" s="32"/>
      <c r="R8" s="32"/>
      <c r="S8" s="32"/>
      <c r="T8" s="32"/>
      <c r="U8" s="32"/>
      <c r="V8" s="32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BO8" s="17"/>
      <c r="BP8" s="17"/>
      <c r="BQ8" s="17"/>
      <c r="BR8" s="17"/>
      <c r="BS8" s="17"/>
      <c r="BT8" s="17"/>
      <c r="BU8" s="17"/>
      <c r="BV8" s="17"/>
    </row>
    <row r="9" spans="1:74" x14ac:dyDescent="0.25">
      <c r="A9" s="47" t="s">
        <v>21</v>
      </c>
      <c r="B9" s="47" t="s">
        <v>65</v>
      </c>
      <c r="C9" s="36">
        <f>'[4]Extracted Data'!Q$10</f>
        <v>118781</v>
      </c>
      <c r="D9" s="36">
        <f>'[4]Extracted Data'!R$10</f>
        <v>128265</v>
      </c>
      <c r="E9" s="36">
        <f>'[4]Extracted Data'!S$10</f>
        <v>144112</v>
      </c>
      <c r="F9" s="36">
        <f>'[4]Extracted Data'!T$10</f>
        <v>142796</v>
      </c>
      <c r="G9" s="36">
        <f>'[4]Extracted Data'!U$10</f>
        <v>151902</v>
      </c>
      <c r="H9" s="36">
        <f>'[4]Extracted Data'!V$10</f>
        <v>151029</v>
      </c>
      <c r="I9" s="36">
        <f>'[4]Extracted Data'!W$10</f>
        <v>160384</v>
      </c>
      <c r="J9" s="36">
        <f>'[4]Extracted Data'!X$10</f>
        <v>167377.59669000003</v>
      </c>
      <c r="K9" s="36">
        <f>'[4]Extracted Data'!Y$10</f>
        <v>181019.7816758781</v>
      </c>
      <c r="L9" s="36">
        <f>'[4]Extracted Data'!Z$10</f>
        <v>211260.9936596599</v>
      </c>
      <c r="M9" s="36">
        <f>'[4]Extracted Data'!AA$10</f>
        <v>217661</v>
      </c>
      <c r="N9" s="36">
        <f>'[4]Extracted Data'!AB$10</f>
        <v>226261.149</v>
      </c>
      <c r="O9" s="36">
        <f>'[4]Extracted Data'!AC$10</f>
        <v>187614.23428</v>
      </c>
      <c r="P9" s="32"/>
      <c r="Q9" s="32"/>
      <c r="R9" s="32"/>
      <c r="S9" s="32"/>
      <c r="T9" s="32"/>
      <c r="U9" s="32"/>
      <c r="V9" s="32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</row>
    <row r="10" spans="1:74" x14ac:dyDescent="0.25">
      <c r="A10" s="47" t="s">
        <v>36</v>
      </c>
      <c r="B10" s="47" t="s">
        <v>65</v>
      </c>
      <c r="C10" s="36">
        <f>'[4]Extracted Data'!AD$10</f>
        <v>61764.624702139656</v>
      </c>
      <c r="D10" s="36">
        <f>'[4]Extracted Data'!AE$10</f>
        <v>61817.594227019435</v>
      </c>
      <c r="E10" s="36">
        <f>'[4]Extracted Data'!AF$10</f>
        <v>58269.389500000005</v>
      </c>
      <c r="F10" s="36">
        <f>'[4]Extracted Data'!AG$10</f>
        <v>77590.490999999995</v>
      </c>
      <c r="G10" s="36">
        <f>'[4]Extracted Data'!AH$10</f>
        <v>80063.390000000014</v>
      </c>
      <c r="H10" s="36">
        <f>'[4]Extracted Data'!AI$10</f>
        <v>75097.619000000006</v>
      </c>
      <c r="I10" s="36">
        <f>'[4]Extracted Data'!AJ$10</f>
        <v>72741.886999999988</v>
      </c>
      <c r="J10" s="36">
        <f>'[4]Extracted Data'!AK$10</f>
        <v>76129.812000000005</v>
      </c>
      <c r="K10" s="36">
        <f>'[4]Extracted Data'!AL$10</f>
        <v>82734.26797981601</v>
      </c>
      <c r="L10" s="36">
        <f>'[4]Extracted Data'!AM$10</f>
        <v>84644.97681966683</v>
      </c>
      <c r="M10" s="36">
        <f>'[4]Extracted Data'!AN$10</f>
        <v>89390.247875063069</v>
      </c>
      <c r="N10" s="36">
        <f>'[4]Extracted Data'!AO$10</f>
        <v>87642.229003035784</v>
      </c>
      <c r="O10" s="36">
        <f>'[4]Extracted Data'!AP$10</f>
        <v>81805.580155681397</v>
      </c>
      <c r="P10" s="32"/>
      <c r="Q10" s="32"/>
      <c r="R10" s="32"/>
      <c r="S10" s="32"/>
      <c r="T10" s="32"/>
      <c r="U10" s="32"/>
      <c r="V10" s="32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74" x14ac:dyDescent="0.25">
      <c r="A11" s="47" t="s">
        <v>30</v>
      </c>
      <c r="B11" s="47" t="s">
        <v>65</v>
      </c>
      <c r="C11" s="36">
        <f>'[4]Extracted Data'!AQ$10</f>
        <v>35426.048000000003</v>
      </c>
      <c r="D11" s="36">
        <f>'[4]Extracted Data'!AR$10</f>
        <v>37656.624000000003</v>
      </c>
      <c r="E11" s="36">
        <f>'[4]Extracted Data'!AS$10</f>
        <v>46334.126000000004</v>
      </c>
      <c r="F11" s="36">
        <f>'[4]Extracted Data'!AT$10</f>
        <v>46642.640999999996</v>
      </c>
      <c r="G11" s="36">
        <f>'[4]Extracted Data'!AU$10</f>
        <v>47779.507999999994</v>
      </c>
      <c r="H11" s="36">
        <f>'[4]Extracted Data'!AV$10</f>
        <v>46557.578000000001</v>
      </c>
      <c r="I11" s="36">
        <f>'[4]Extracted Data'!AW$10</f>
        <v>46923.140000000007</v>
      </c>
      <c r="J11" s="36">
        <f>'[4]Extracted Data'!AX$10</f>
        <v>44976.582999999999</v>
      </c>
      <c r="K11" s="36">
        <f>'[4]Extracted Data'!AY$10</f>
        <v>45598</v>
      </c>
      <c r="L11" s="36">
        <f>'[4]Extracted Data'!AZ$10</f>
        <v>34705.717769999996</v>
      </c>
      <c r="M11" s="36">
        <f>'[4]Extracted Data'!BA$10</f>
        <v>37603.399744925264</v>
      </c>
      <c r="N11" s="36">
        <f>'[4]Extracted Data'!BB$10</f>
        <v>32048.191384064245</v>
      </c>
      <c r="O11" s="36">
        <f>'[4]Extracted Data'!BC$10</f>
        <v>28974.888076739793</v>
      </c>
      <c r="P11" s="32"/>
      <c r="Q11" s="32"/>
      <c r="R11" s="32"/>
      <c r="S11" s="32"/>
      <c r="T11" s="32"/>
      <c r="U11" s="32"/>
      <c r="V11" s="32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74" x14ac:dyDescent="0.25">
      <c r="A12" s="47" t="s">
        <v>39</v>
      </c>
      <c r="B12" s="47" t="s">
        <v>65</v>
      </c>
      <c r="C12" s="36">
        <f>'[4]Extracted Data'!BD$10</f>
        <v>120730</v>
      </c>
      <c r="D12" s="36">
        <f>'[4]Extracted Data'!BE$10</f>
        <v>123090</v>
      </c>
      <c r="E12" s="36">
        <f>'[4]Extracted Data'!BF$10</f>
        <v>119710</v>
      </c>
      <c r="F12" s="36">
        <f>'[4]Extracted Data'!BG$10</f>
        <v>124140</v>
      </c>
      <c r="G12" s="36">
        <f>'[4]Extracted Data'!BH$10</f>
        <v>143240</v>
      </c>
      <c r="H12" s="36">
        <f>'[4]Extracted Data'!BI$10</f>
        <v>137770</v>
      </c>
      <c r="I12" s="36">
        <f>'[4]Extracted Data'!BJ$10</f>
        <v>152110</v>
      </c>
      <c r="J12" s="36">
        <f>'[4]Extracted Data'!BK$10</f>
        <v>143050</v>
      </c>
      <c r="K12" s="36">
        <f>'[4]Extracted Data'!BL$10</f>
        <v>175638</v>
      </c>
      <c r="L12" s="36">
        <f>'[4]Extracted Data'!BM$10</f>
        <v>168228.603</v>
      </c>
      <c r="M12" s="36">
        <f>'[4]Extracted Data'!BN$10</f>
        <v>169534.48734000002</v>
      </c>
      <c r="N12" s="36">
        <f>'[4]Extracted Data'!BO$10</f>
        <v>170366.70697000079</v>
      </c>
      <c r="O12" s="36">
        <f>'[4]Extracted Data'!BP$10</f>
        <v>153556.69399000015</v>
      </c>
      <c r="P12" s="32"/>
      <c r="Q12" s="32"/>
      <c r="R12" s="32"/>
      <c r="S12" s="32"/>
      <c r="T12" s="32"/>
      <c r="U12" s="32"/>
      <c r="V12" s="32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</row>
    <row r="13" spans="1:74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</row>
    <row r="14" spans="1:74" x14ac:dyDescent="0.25">
      <c r="A14" s="33" t="str">
        <f>CONCATENATE(B2)</f>
        <v>Real $2018</v>
      </c>
      <c r="B14" s="33"/>
      <c r="C14" s="32">
        <v>2006</v>
      </c>
      <c r="D14" s="32">
        <v>2007</v>
      </c>
      <c r="E14" s="32">
        <v>2008</v>
      </c>
      <c r="F14" s="32">
        <v>2009</v>
      </c>
      <c r="G14" s="32">
        <v>2010</v>
      </c>
      <c r="H14" s="32">
        <v>2011</v>
      </c>
      <c r="I14" s="32">
        <v>2012</v>
      </c>
      <c r="J14" s="32">
        <v>2013</v>
      </c>
      <c r="K14" s="32">
        <v>2014</v>
      </c>
      <c r="L14" s="32">
        <v>2015</v>
      </c>
      <c r="M14" s="32">
        <v>2016</v>
      </c>
      <c r="N14" s="32">
        <v>2017</v>
      </c>
      <c r="O14" s="32">
        <v>2018</v>
      </c>
      <c r="P14" s="32" t="s">
        <v>128</v>
      </c>
      <c r="Q14" s="32"/>
      <c r="R14" s="32"/>
      <c r="S14" s="32"/>
      <c r="T14" s="32"/>
      <c r="U14" s="32"/>
      <c r="V14" s="32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1:74" x14ac:dyDescent="0.25">
      <c r="A15" s="47" t="s">
        <v>38</v>
      </c>
      <c r="B15" s="47" t="s">
        <v>102</v>
      </c>
      <c r="C15" s="36">
        <f t="shared" ref="C15:N15" si="0">C8*C$4</f>
        <v>65942.447494033418</v>
      </c>
      <c r="D15" s="36">
        <f t="shared" si="0"/>
        <v>69738.025404157044</v>
      </c>
      <c r="E15" s="36">
        <f t="shared" si="0"/>
        <v>63317.990657687995</v>
      </c>
      <c r="F15" s="36">
        <f t="shared" si="0"/>
        <v>67735.143939393922</v>
      </c>
      <c r="G15" s="36">
        <f t="shared" si="0"/>
        <v>69654.238600212077</v>
      </c>
      <c r="H15" s="36">
        <f t="shared" si="0"/>
        <v>75795.841073271411</v>
      </c>
      <c r="I15" s="36">
        <f t="shared" si="0"/>
        <v>82984.312625250488</v>
      </c>
      <c r="J15" s="36">
        <f t="shared" si="0"/>
        <v>78893.438235294117</v>
      </c>
      <c r="K15" s="36">
        <f t="shared" si="0"/>
        <v>80740.933574427472</v>
      </c>
      <c r="L15" s="36">
        <f t="shared" si="0"/>
        <v>85206.6339513321</v>
      </c>
      <c r="M15" s="36">
        <f>M8*M$4</f>
        <v>89583.445626383749</v>
      </c>
      <c r="N15" s="36">
        <f t="shared" si="0"/>
        <v>92980.746593636359</v>
      </c>
      <c r="O15" s="36">
        <f t="shared" ref="O15" si="1">O8*O$4</f>
        <v>94788.928190901002</v>
      </c>
      <c r="P15" s="49">
        <f>AVERAGE(K15:O15)</f>
        <v>88660.137587336139</v>
      </c>
      <c r="Q15" s="32"/>
      <c r="R15" s="32"/>
      <c r="S15" s="32"/>
      <c r="T15" s="32"/>
      <c r="U15" s="32"/>
      <c r="V15" s="32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74" x14ac:dyDescent="0.25">
      <c r="A16" s="47" t="s">
        <v>21</v>
      </c>
      <c r="B16" s="47" t="s">
        <v>102</v>
      </c>
      <c r="C16" s="36">
        <f t="shared" ref="C16:N16" si="2">C9*C$4</f>
        <v>161729.26133651551</v>
      </c>
      <c r="D16" s="36">
        <f t="shared" si="2"/>
        <v>168995.80254041569</v>
      </c>
      <c r="E16" s="36">
        <f t="shared" si="2"/>
        <v>184547.4657687991</v>
      </c>
      <c r="F16" s="36">
        <f t="shared" si="2"/>
        <v>176331.42424242423</v>
      </c>
      <c r="G16" s="36">
        <f t="shared" si="2"/>
        <v>183796.58748674442</v>
      </c>
      <c r="H16" s="36">
        <f t="shared" si="2"/>
        <v>177837.0371517028</v>
      </c>
      <c r="I16" s="36">
        <f t="shared" si="2"/>
        <v>183364.87374749497</v>
      </c>
      <c r="J16" s="36">
        <f t="shared" si="2"/>
        <v>187233.17433655888</v>
      </c>
      <c r="K16" s="36">
        <f t="shared" si="2"/>
        <v>197083.56001161918</v>
      </c>
      <c r="L16" s="36">
        <f t="shared" si="2"/>
        <v>226124.57201282549</v>
      </c>
      <c r="M16" s="36">
        <f t="shared" ref="M16" si="3">M9*M$4</f>
        <v>229106.27398523982</v>
      </c>
      <c r="N16" s="36">
        <f t="shared" si="2"/>
        <v>234694.51909909089</v>
      </c>
      <c r="O16" s="36">
        <f t="shared" ref="O16" si="4">O9*O$4</f>
        <v>190961.49983361288</v>
      </c>
      <c r="P16" s="49">
        <f t="shared" ref="P16:P19" si="5">AVERAGE(K16:O16)</f>
        <v>215594.08498847764</v>
      </c>
      <c r="Q16" s="32"/>
      <c r="R16" s="32"/>
      <c r="S16" s="32"/>
      <c r="T16" s="32"/>
      <c r="U16" s="32"/>
      <c r="V16" s="32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 x14ac:dyDescent="0.25">
      <c r="A17" s="47" t="s">
        <v>36</v>
      </c>
      <c r="B17" s="47" t="s">
        <v>102</v>
      </c>
      <c r="C17" s="36">
        <f t="shared" ref="C17:N17" si="6">C10*C$3</f>
        <v>84500.523723191058</v>
      </c>
      <c r="D17" s="36">
        <f t="shared" si="6"/>
        <v>81353.95041871877</v>
      </c>
      <c r="E17" s="36">
        <f t="shared" si="6"/>
        <v>75294.873634767835</v>
      </c>
      <c r="F17" s="36">
        <f t="shared" si="6"/>
        <v>95502.427433656936</v>
      </c>
      <c r="G17" s="36">
        <f t="shared" si="6"/>
        <v>97390.541567164197</v>
      </c>
      <c r="H17" s="36">
        <f t="shared" si="6"/>
        <v>88794.179563730577</v>
      </c>
      <c r="I17" s="36">
        <f t="shared" si="6"/>
        <v>83164.822712424822</v>
      </c>
      <c r="J17" s="36">
        <f t="shared" si="6"/>
        <v>85328.207752455797</v>
      </c>
      <c r="K17" s="36">
        <f t="shared" si="6"/>
        <v>90769.038235548127</v>
      </c>
      <c r="L17" s="36">
        <f t="shared" si="6"/>
        <v>90770.600142142706</v>
      </c>
      <c r="M17" s="36">
        <f t="shared" ref="M17" si="7">M10*M$3</f>
        <v>94439.141505043473</v>
      </c>
      <c r="N17" s="36">
        <f t="shared" si="6"/>
        <v>91407.480157645172</v>
      </c>
      <c r="O17" s="36">
        <f t="shared" ref="O17" si="8">O10*O$3</f>
        <v>83788.300680100961</v>
      </c>
      <c r="P17" s="49">
        <f t="shared" si="5"/>
        <v>90234.912144096088</v>
      </c>
      <c r="Q17" s="32"/>
      <c r="R17" s="32"/>
      <c r="S17" s="32"/>
      <c r="T17" s="32"/>
      <c r="U17" s="32"/>
      <c r="V17" s="32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 x14ac:dyDescent="0.25">
      <c r="A18" s="47" t="s">
        <v>30</v>
      </c>
      <c r="B18" s="47" t="s">
        <v>102</v>
      </c>
      <c r="C18" s="36">
        <f t="shared" ref="C18:N18" si="9">C11*C$4</f>
        <v>48235.227646778047</v>
      </c>
      <c r="D18" s="36">
        <f t="shared" si="9"/>
        <v>49614.558872979222</v>
      </c>
      <c r="E18" s="36">
        <f t="shared" si="9"/>
        <v>59334.722520763193</v>
      </c>
      <c r="F18" s="36">
        <f t="shared" si="9"/>
        <v>57596.594568181805</v>
      </c>
      <c r="G18" s="36">
        <f t="shared" si="9"/>
        <v>57811.684653234348</v>
      </c>
      <c r="H18" s="36">
        <f t="shared" si="9"/>
        <v>54821.668212590303</v>
      </c>
      <c r="I18" s="36">
        <f t="shared" si="9"/>
        <v>53646.595931863732</v>
      </c>
      <c r="J18" s="36">
        <f t="shared" si="9"/>
        <v>50312.04039509804</v>
      </c>
      <c r="K18" s="36">
        <f t="shared" si="9"/>
        <v>49644.387404580149</v>
      </c>
      <c r="L18" s="36">
        <f t="shared" si="9"/>
        <v>37147.489658133207</v>
      </c>
      <c r="M18" s="36">
        <f t="shared" ref="M18" si="10">M11*M$4</f>
        <v>39580.700285018196</v>
      </c>
      <c r="N18" s="36">
        <f t="shared" si="9"/>
        <v>33242.714881106636</v>
      </c>
      <c r="O18" s="36">
        <f t="shared" ref="O18" si="11">O11*O$4</f>
        <v>29491.83523243542</v>
      </c>
      <c r="P18" s="49">
        <f t="shared" si="5"/>
        <v>37821.425492254712</v>
      </c>
      <c r="Q18" s="32"/>
      <c r="R18" s="32"/>
      <c r="S18" s="32"/>
      <c r="T18" s="32"/>
      <c r="U18" s="32"/>
      <c r="V18" s="32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x14ac:dyDescent="0.25">
      <c r="A19" s="47" t="s">
        <v>39</v>
      </c>
      <c r="B19" s="47" t="s">
        <v>102</v>
      </c>
      <c r="C19" s="36">
        <f t="shared" ref="C19:N19" si="12">C12*C$4</f>
        <v>164382.97136038187</v>
      </c>
      <c r="D19" s="36">
        <f t="shared" si="12"/>
        <v>162177.47113163973</v>
      </c>
      <c r="E19" s="36">
        <f t="shared" si="12"/>
        <v>153298.66442199776</v>
      </c>
      <c r="F19" s="36">
        <f t="shared" si="12"/>
        <v>153294.09090909088</v>
      </c>
      <c r="G19" s="36">
        <f t="shared" si="12"/>
        <v>173315.84305408271</v>
      </c>
      <c r="H19" s="36">
        <f t="shared" si="12"/>
        <v>162224.53044375643</v>
      </c>
      <c r="I19" s="36">
        <f t="shared" si="12"/>
        <v>173905.32064128254</v>
      </c>
      <c r="J19" s="36">
        <f t="shared" si="12"/>
        <v>160019.65686274509</v>
      </c>
      <c r="K19" s="36">
        <f t="shared" si="12"/>
        <v>191224.19656488547</v>
      </c>
      <c r="L19" s="36">
        <f t="shared" si="12"/>
        <v>180064.574130394</v>
      </c>
      <c r="M19" s="36">
        <f t="shared" ref="M19" si="13">M12*M$4</f>
        <v>178449.12366691884</v>
      </c>
      <c r="N19" s="36">
        <f t="shared" si="12"/>
        <v>176716.73877524625</v>
      </c>
      <c r="O19" s="36">
        <f t="shared" ref="O19" si="14">O12*O$4</f>
        <v>156296.33170614645</v>
      </c>
      <c r="P19" s="49">
        <f t="shared" si="5"/>
        <v>176550.19296871818</v>
      </c>
      <c r="Q19" s="32"/>
      <c r="R19" s="32"/>
      <c r="S19" s="32"/>
      <c r="T19" s="32"/>
      <c r="U19" s="32"/>
      <c r="V19" s="32"/>
    </row>
    <row r="20" spans="1:40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</row>
    <row r="21" spans="1:40" x14ac:dyDescent="0.25">
      <c r="A21" s="22"/>
      <c r="B21" s="32"/>
      <c r="C21" s="45"/>
      <c r="D21" s="45"/>
      <c r="E21" s="45"/>
      <c r="F21" s="45"/>
      <c r="G21" s="45"/>
      <c r="H21" s="45"/>
      <c r="I21" s="45"/>
      <c r="J21" s="45"/>
      <c r="K21" s="45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</row>
    <row r="22" spans="1:40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Opex!C8:L8</xm:f>
              <xm:sqref>P8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Opex!C9:L9</xm:f>
              <xm:sqref>P9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Opex!C10:L10</xm:f>
              <xm:sqref>P10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Opex!C11:L11</xm:f>
              <xm:sqref>P11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Opex!C12:L12</xm:f>
              <xm:sqref>P12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6"/>
  <sheetViews>
    <sheetView topLeftCell="H1" workbookViewId="0">
      <selection activeCell="S23" sqref="S23"/>
    </sheetView>
  </sheetViews>
  <sheetFormatPr defaultColWidth="9.140625" defaultRowHeight="15" x14ac:dyDescent="0.25"/>
  <cols>
    <col min="1" max="1" width="45.85546875" style="2" customWidth="1"/>
    <col min="2" max="2" width="11.7109375" style="2" customWidth="1"/>
    <col min="3" max="12" width="12" style="2" customWidth="1"/>
    <col min="13" max="15" width="14.140625" style="17" customWidth="1"/>
    <col min="16" max="16384" width="9.140625" style="2"/>
  </cols>
  <sheetData>
    <row r="1" spans="1:20" x14ac:dyDescent="0.25">
      <c r="A1" s="33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0" x14ac:dyDescent="0.25">
      <c r="A2" s="33" t="s">
        <v>44</v>
      </c>
      <c r="B2" s="33" t="str">
        <f>"Real $"&amp;Real_year&amp;""</f>
        <v>Real $2018</v>
      </c>
      <c r="C2" s="32">
        <v>2006</v>
      </c>
      <c r="D2" s="32">
        <v>2007</v>
      </c>
      <c r="E2" s="32">
        <v>2008</v>
      </c>
      <c r="F2" s="32">
        <v>2009</v>
      </c>
      <c r="G2" s="32">
        <v>2010</v>
      </c>
      <c r="H2" s="32">
        <v>2011</v>
      </c>
      <c r="I2" s="32">
        <v>2012</v>
      </c>
      <c r="J2" s="32">
        <v>2013</v>
      </c>
      <c r="K2" s="32">
        <v>2014</v>
      </c>
      <c r="L2" s="32">
        <v>2015</v>
      </c>
      <c r="M2" s="32">
        <v>2016</v>
      </c>
      <c r="N2" s="32">
        <v>2017</v>
      </c>
      <c r="O2" s="32">
        <v>2018</v>
      </c>
    </row>
    <row r="3" spans="1:20" x14ac:dyDescent="0.25">
      <c r="A3" s="32" t="s">
        <v>60</v>
      </c>
      <c r="B3" s="32"/>
      <c r="C3" s="46">
        <f>CPI!F12</f>
        <v>1.3681055155875299</v>
      </c>
      <c r="D3" s="46">
        <f>CPI!G12</f>
        <v>1.3160322952710495</v>
      </c>
      <c r="E3" s="46">
        <f>CPI!H12</f>
        <v>1.2921857304643261</v>
      </c>
      <c r="F3" s="46">
        <f>CPI!I12</f>
        <v>1.2308522114347356</v>
      </c>
      <c r="G3" s="46">
        <f>CPI!J12</f>
        <v>1.2164179104477613</v>
      </c>
      <c r="H3" s="46">
        <f>CPI!K12</f>
        <v>1.1823834196891192</v>
      </c>
      <c r="I3" s="46">
        <f>CPI!L12</f>
        <v>1.1432865731462925</v>
      </c>
      <c r="J3" s="46">
        <f>CPI!M12</f>
        <v>1.1208251473477406</v>
      </c>
      <c r="K3" s="46">
        <f>CPI!N12</f>
        <v>1.0971153846153845</v>
      </c>
      <c r="L3" s="46">
        <f>CPI!O12</f>
        <v>1.0723684210526314</v>
      </c>
      <c r="M3" s="46">
        <f>CPI!P12</f>
        <v>1.0564814814814814</v>
      </c>
      <c r="N3" s="46">
        <f>CPI!Q12</f>
        <v>1.042961608775137</v>
      </c>
      <c r="O3" s="46">
        <f>CPI!R12</f>
        <v>1.0242369838420107</v>
      </c>
    </row>
    <row r="4" spans="1:20" x14ac:dyDescent="0.25">
      <c r="A4" s="32" t="s">
        <v>59</v>
      </c>
      <c r="B4" s="32"/>
      <c r="C4" s="46">
        <f>CPI!F11</f>
        <v>1.3615751789976134</v>
      </c>
      <c r="D4" s="46">
        <f>CPI!G11</f>
        <v>1.3175519630484989</v>
      </c>
      <c r="E4" s="46">
        <f>CPI!H11</f>
        <v>1.2805836139169473</v>
      </c>
      <c r="F4" s="46">
        <f>CPI!I11</f>
        <v>1.2348484848484846</v>
      </c>
      <c r="G4" s="46">
        <f>CPI!J11</f>
        <v>1.209968186638388</v>
      </c>
      <c r="H4" s="46">
        <f>CPI!K11</f>
        <v>1.1775025799793601</v>
      </c>
      <c r="I4" s="46">
        <f>CPI!L11</f>
        <v>1.1432865731462925</v>
      </c>
      <c r="J4" s="46">
        <f>CPI!M11</f>
        <v>1.1186274509803922</v>
      </c>
      <c r="K4" s="46">
        <f>CPI!N11</f>
        <v>1.0887404580152671</v>
      </c>
      <c r="L4" s="46">
        <f>CPI!O11</f>
        <v>1.0703564727954973</v>
      </c>
      <c r="M4" s="46">
        <f>CPI!P11</f>
        <v>1.0525830258302582</v>
      </c>
      <c r="N4" s="46">
        <f>CPI!Q11</f>
        <v>1.0372727272727271</v>
      </c>
      <c r="O4" s="46">
        <f>CPI!R11</f>
        <v>1.0178412132024979</v>
      </c>
    </row>
    <row r="5" spans="1:20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20" x14ac:dyDescent="0.25">
      <c r="A6" s="33" t="s">
        <v>31</v>
      </c>
      <c r="B6" s="34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T6" s="68"/>
    </row>
    <row r="7" spans="1:20" x14ac:dyDescent="0.25">
      <c r="A7" s="33" t="s">
        <v>64</v>
      </c>
      <c r="B7" s="34"/>
      <c r="C7" s="32">
        <v>2006</v>
      </c>
      <c r="D7" s="32">
        <v>2007</v>
      </c>
      <c r="E7" s="32">
        <v>2008</v>
      </c>
      <c r="F7" s="32">
        <v>2009</v>
      </c>
      <c r="G7" s="32">
        <v>2010</v>
      </c>
      <c r="H7" s="32">
        <v>2011</v>
      </c>
      <c r="I7" s="32">
        <v>2012</v>
      </c>
      <c r="J7" s="32">
        <v>2013</v>
      </c>
      <c r="K7" s="32">
        <v>2014</v>
      </c>
      <c r="L7" s="32">
        <v>2015</v>
      </c>
      <c r="M7" s="32">
        <v>2016</v>
      </c>
      <c r="N7" s="32">
        <v>2017</v>
      </c>
      <c r="O7" s="32">
        <v>2018</v>
      </c>
      <c r="P7" s="32"/>
      <c r="T7" s="68"/>
    </row>
    <row r="8" spans="1:20" x14ac:dyDescent="0.25">
      <c r="A8" s="47" t="s">
        <v>38</v>
      </c>
      <c r="B8" s="47" t="s">
        <v>18</v>
      </c>
      <c r="C8" s="36">
        <v>1008498.0744489165</v>
      </c>
      <c r="D8" s="36">
        <v>1072410.1977797956</v>
      </c>
      <c r="E8" s="36">
        <v>1180457.0630350162</v>
      </c>
      <c r="F8" s="36">
        <v>1278429.4831257048</v>
      </c>
      <c r="G8" s="36">
        <v>1294892.6529556361</v>
      </c>
      <c r="H8" s="36">
        <v>1331479.0051210094</v>
      </c>
      <c r="I8" s="36">
        <v>1504540.6896702116</v>
      </c>
      <c r="J8" s="36">
        <v>1712893.4299247104</v>
      </c>
      <c r="K8" s="36">
        <v>1890087.8232150995</v>
      </c>
      <c r="L8" s="36">
        <v>2013147.9935692761</v>
      </c>
      <c r="M8" s="36">
        <v>2066967.4263843338</v>
      </c>
      <c r="N8" s="36">
        <v>2157003.2621017266</v>
      </c>
      <c r="O8" s="36">
        <f>SUM([5]!dms_030303_01_Values)/1000</f>
        <v>2283322.8842957737</v>
      </c>
      <c r="P8" s="32"/>
      <c r="T8" s="68"/>
    </row>
    <row r="9" spans="1:20" x14ac:dyDescent="0.25">
      <c r="A9" s="47" t="s">
        <v>21</v>
      </c>
      <c r="B9" s="47" t="s">
        <v>18</v>
      </c>
      <c r="C9" s="36">
        <v>2906163.8020416386</v>
      </c>
      <c r="D9" s="36">
        <v>3110944.766611123</v>
      </c>
      <c r="E9" s="36">
        <v>3568307.0443376545</v>
      </c>
      <c r="F9" s="36">
        <v>4186908.5814354168</v>
      </c>
      <c r="G9" s="36">
        <v>4681557.1948703378</v>
      </c>
      <c r="H9" s="36">
        <v>5093089.0531193521</v>
      </c>
      <c r="I9" s="36">
        <v>5477581.7371609155</v>
      </c>
      <c r="J9" s="36">
        <v>5819506.0639425004</v>
      </c>
      <c r="K9" s="36">
        <v>6301890.3431227049</v>
      </c>
      <c r="L9" s="36">
        <v>6604013.1766181048</v>
      </c>
      <c r="M9" s="36">
        <v>6605068.5105675301</v>
      </c>
      <c r="N9" s="36">
        <v>6644060.9068036843</v>
      </c>
      <c r="O9" s="36">
        <f>SUM([6]!dms_030303_01_Values)/1000</f>
        <v>6541355.9075110834</v>
      </c>
      <c r="P9" s="32"/>
      <c r="T9" s="68"/>
    </row>
    <row r="10" spans="1:20" x14ac:dyDescent="0.25">
      <c r="A10" s="47" t="s">
        <v>36</v>
      </c>
      <c r="B10" s="47" t="s">
        <v>18</v>
      </c>
      <c r="C10" s="36">
        <v>1889957.733</v>
      </c>
      <c r="D10" s="36">
        <v>1929607.6654999999</v>
      </c>
      <c r="E10" s="36">
        <v>2007291.2560000001</v>
      </c>
      <c r="F10" s="36">
        <v>2181178.4835000001</v>
      </c>
      <c r="G10" s="36">
        <v>2198049.1735</v>
      </c>
      <c r="H10" s="36">
        <v>2232904.4265000001</v>
      </c>
      <c r="I10" s="36">
        <v>2292941.9665000001</v>
      </c>
      <c r="J10" s="36">
        <v>2370849.6140000001</v>
      </c>
      <c r="K10" s="36">
        <v>2476349.311010506</v>
      </c>
      <c r="L10" s="36">
        <v>2790207.8150309501</v>
      </c>
      <c r="M10" s="36">
        <v>2857110.3028806783</v>
      </c>
      <c r="N10" s="36">
        <v>2903023.4716057549</v>
      </c>
      <c r="O10" s="36">
        <f>SUM([7]!dms_030303_01_Values)/1000</f>
        <v>2948642.8739125249</v>
      </c>
      <c r="P10" s="32"/>
      <c r="T10" s="68"/>
    </row>
    <row r="11" spans="1:20" x14ac:dyDescent="0.25">
      <c r="A11" s="47" t="s">
        <v>30</v>
      </c>
      <c r="B11" s="47" t="s">
        <v>18</v>
      </c>
      <c r="C11" s="36">
        <v>666396.5</v>
      </c>
      <c r="D11" s="36">
        <v>728278.5</v>
      </c>
      <c r="E11" s="36">
        <v>787887</v>
      </c>
      <c r="F11" s="36">
        <v>845035</v>
      </c>
      <c r="G11" s="36">
        <v>895293</v>
      </c>
      <c r="H11" s="36">
        <v>1006943.5</v>
      </c>
      <c r="I11" s="36">
        <v>1139787</v>
      </c>
      <c r="J11" s="36">
        <v>1204832</v>
      </c>
      <c r="K11" s="36">
        <v>1310583.1592409625</v>
      </c>
      <c r="L11" s="36">
        <v>1386261.7283497157</v>
      </c>
      <c r="M11" s="36">
        <v>1382762.1991195932</v>
      </c>
      <c r="N11" s="36">
        <v>1371712.8989775274</v>
      </c>
      <c r="O11" s="36">
        <f>SUM([8]!dms_030303_01_Values)/1000</f>
        <v>1371065.4063185384</v>
      </c>
      <c r="P11" s="32"/>
      <c r="T11" s="68"/>
    </row>
    <row r="12" spans="1:20" x14ac:dyDescent="0.25">
      <c r="A12" s="47" t="s">
        <v>39</v>
      </c>
      <c r="B12" s="47" t="s">
        <v>18</v>
      </c>
      <c r="C12" s="36">
        <v>3166374.415412093</v>
      </c>
      <c r="D12" s="36">
        <v>3313367.6045614304</v>
      </c>
      <c r="E12" s="36">
        <v>3566600.1045614304</v>
      </c>
      <c r="F12" s="36">
        <v>3976405.905427468</v>
      </c>
      <c r="G12" s="36">
        <v>4305989.6381644513</v>
      </c>
      <c r="H12" s="36">
        <v>4559614.3380024452</v>
      </c>
      <c r="I12" s="36">
        <v>4853368.9664179208</v>
      </c>
      <c r="J12" s="36">
        <v>5135315.116477563</v>
      </c>
      <c r="K12" s="36">
        <v>5576508.2256924072</v>
      </c>
      <c r="L12" s="36">
        <v>5908508.5172999017</v>
      </c>
      <c r="M12" s="36">
        <v>6033054.789736486</v>
      </c>
      <c r="N12" s="36">
        <v>6056226.9784158589</v>
      </c>
      <c r="O12" s="36">
        <f>SUM([9]!dms_030303_01_Values)/1000</f>
        <v>6041537.9813804002</v>
      </c>
      <c r="P12" s="32"/>
      <c r="T12" s="68"/>
    </row>
    <row r="13" spans="1:20" x14ac:dyDescent="0.25">
      <c r="A13" s="32"/>
      <c r="B13" s="32"/>
      <c r="C13" s="3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8"/>
      <c r="T13" s="68"/>
    </row>
    <row r="14" spans="1:20" x14ac:dyDescent="0.25">
      <c r="A14" s="33" t="str">
        <f>CONCATENATE(B2)</f>
        <v>Real $2018</v>
      </c>
      <c r="B14" s="32"/>
      <c r="C14" s="32">
        <v>2006</v>
      </c>
      <c r="D14" s="32">
        <v>2007</v>
      </c>
      <c r="E14" s="32">
        <v>2008</v>
      </c>
      <c r="F14" s="32">
        <v>2009</v>
      </c>
      <c r="G14" s="32">
        <v>2010</v>
      </c>
      <c r="H14" s="32">
        <v>2011</v>
      </c>
      <c r="I14" s="32">
        <v>2012</v>
      </c>
      <c r="J14" s="32">
        <v>2013</v>
      </c>
      <c r="K14" s="32">
        <v>2014</v>
      </c>
      <c r="L14" s="32">
        <v>2015</v>
      </c>
      <c r="M14" s="32">
        <v>2016</v>
      </c>
      <c r="N14" s="32">
        <v>2017</v>
      </c>
      <c r="O14" s="32">
        <v>2018</v>
      </c>
      <c r="P14" s="32" t="s">
        <v>128</v>
      </c>
    </row>
    <row r="15" spans="1:20" x14ac:dyDescent="0.25">
      <c r="A15" s="47" t="s">
        <v>38</v>
      </c>
      <c r="B15" s="47" t="s">
        <v>102</v>
      </c>
      <c r="C15" s="36">
        <f>C8*C$4</f>
        <v>1373145.9462365319</v>
      </c>
      <c r="D15" s="36">
        <f t="shared" ref="D15:L15" si="0">D8*D$4</f>
        <v>1412956.1612779987</v>
      </c>
      <c r="E15" s="36">
        <f t="shared" si="0"/>
        <v>1511673.9718551666</v>
      </c>
      <c r="F15" s="36">
        <f t="shared" si="0"/>
        <v>1578666.710223408</v>
      </c>
      <c r="G15" s="36">
        <f t="shared" si="0"/>
        <v>1566778.9151881025</v>
      </c>
      <c r="H15" s="36">
        <f t="shared" si="0"/>
        <v>1567819.9637183403</v>
      </c>
      <c r="I15" s="36">
        <f t="shared" si="0"/>
        <v>1720121.1692522157</v>
      </c>
      <c r="J15" s="36">
        <f t="shared" si="0"/>
        <v>1916089.6113177398</v>
      </c>
      <c r="K15" s="36">
        <f t="shared" si="0"/>
        <v>2057815.0823362865</v>
      </c>
      <c r="L15" s="36">
        <f t="shared" si="0"/>
        <v>2154785.9856121428</v>
      </c>
      <c r="M15" s="36">
        <f t="shared" ref="M15:O16" si="1">M8*M$4</f>
        <v>2175654.8279562034</v>
      </c>
      <c r="N15" s="36">
        <f t="shared" si="1"/>
        <v>2237400.6564164269</v>
      </c>
      <c r="O15" s="36">
        <f t="shared" si="1"/>
        <v>2324060.1346846372</v>
      </c>
      <c r="P15" s="49">
        <f>AVERAGE(K15:O15)</f>
        <v>2189943.3374011395</v>
      </c>
    </row>
    <row r="16" spans="1:20" x14ac:dyDescent="0.25">
      <c r="A16" s="47" t="s">
        <v>21</v>
      </c>
      <c r="B16" s="47" t="s">
        <v>102</v>
      </c>
      <c r="C16" s="36">
        <f>C9*C$4</f>
        <v>3956960.4989612289</v>
      </c>
      <c r="D16" s="36">
        <f t="shared" ref="D16:L16" si="2">D9*D$4</f>
        <v>4098831.3841839391</v>
      </c>
      <c r="E16" s="36">
        <f t="shared" si="2"/>
        <v>4569515.5304032145</v>
      </c>
      <c r="F16" s="36">
        <f t="shared" si="2"/>
        <v>5170197.7179846428</v>
      </c>
      <c r="G16" s="36">
        <f t="shared" si="2"/>
        <v>5664535.2697211616</v>
      </c>
      <c r="H16" s="36">
        <f t="shared" si="2"/>
        <v>5997125.5001126733</v>
      </c>
      <c r="I16" s="36">
        <f t="shared" si="2"/>
        <v>6262445.6534074191</v>
      </c>
      <c r="J16" s="36">
        <f t="shared" si="2"/>
        <v>6509859.2342729345</v>
      </c>
      <c r="K16" s="36">
        <f t="shared" si="2"/>
        <v>6861122.9785334021</v>
      </c>
      <c r="L16" s="36">
        <f t="shared" si="2"/>
        <v>7068648.2500199424</v>
      </c>
      <c r="M16" s="36">
        <f t="shared" si="1"/>
        <v>6952382.9986693272</v>
      </c>
      <c r="N16" s="36">
        <f t="shared" si="1"/>
        <v>6891703.1769663664</v>
      </c>
      <c r="O16" s="36">
        <f t="shared" si="1"/>
        <v>6658061.6328904079</v>
      </c>
      <c r="P16" s="49">
        <f t="shared" ref="P16:P19" si="3">AVERAGE(K16:O16)</f>
        <v>6886383.8074158896</v>
      </c>
    </row>
    <row r="17" spans="1:16" x14ac:dyDescent="0.25">
      <c r="A17" s="47" t="s">
        <v>36</v>
      </c>
      <c r="B17" s="47" t="s">
        <v>102</v>
      </c>
      <c r="C17" s="36">
        <f>C10*C$3</f>
        <v>2585661.5987446043</v>
      </c>
      <c r="D17" s="36">
        <f t="shared" ref="D17:L17" si="4">D10*D$3</f>
        <v>2539426.0050005764</v>
      </c>
      <c r="E17" s="36">
        <f t="shared" si="4"/>
        <v>2593793.1178890145</v>
      </c>
      <c r="F17" s="36">
        <f t="shared" si="4"/>
        <v>2684708.3599498379</v>
      </c>
      <c r="G17" s="36">
        <f t="shared" si="4"/>
        <v>2673746.3826902988</v>
      </c>
      <c r="H17" s="36">
        <f t="shared" si="4"/>
        <v>2640149.1716440418</v>
      </c>
      <c r="I17" s="36">
        <f t="shared" si="4"/>
        <v>2621489.7633031062</v>
      </c>
      <c r="J17" s="36">
        <f t="shared" si="4"/>
        <v>2657307.8679508842</v>
      </c>
      <c r="K17" s="36">
        <f t="shared" si="4"/>
        <v>2716840.9267913336</v>
      </c>
      <c r="L17" s="36">
        <f t="shared" si="4"/>
        <v>2992130.7490134528</v>
      </c>
      <c r="M17" s="36">
        <f>M10*M$3</f>
        <v>3018484.125543383</v>
      </c>
      <c r="N17" s="36">
        <f>N10*N$3</f>
        <v>3027742.0302579212</v>
      </c>
      <c r="O17" s="36">
        <f>O10*O$3</f>
        <v>3020109.0836034026</v>
      </c>
      <c r="P17" s="49">
        <f t="shared" si="3"/>
        <v>2955061.3830418987</v>
      </c>
    </row>
    <row r="18" spans="1:16" x14ac:dyDescent="0.25">
      <c r="A18" s="47" t="s">
        <v>30</v>
      </c>
      <c r="B18" s="47" t="s">
        <v>102</v>
      </c>
      <c r="C18" s="36">
        <f>C11*C$4</f>
        <v>907348.93377088301</v>
      </c>
      <c r="D18" s="36">
        <f t="shared" ref="D18:L18" si="5">D11*D$4</f>
        <v>959544.76732101617</v>
      </c>
      <c r="E18" s="36">
        <f t="shared" si="5"/>
        <v>1008955.1818181819</v>
      </c>
      <c r="F18" s="36">
        <f t="shared" si="5"/>
        <v>1043490.1893939392</v>
      </c>
      <c r="G18" s="36">
        <f t="shared" si="5"/>
        <v>1083276.0477200423</v>
      </c>
      <c r="H18" s="36">
        <f t="shared" si="5"/>
        <v>1185678.5691434469</v>
      </c>
      <c r="I18" s="36">
        <f t="shared" si="5"/>
        <v>1303103.1733466932</v>
      </c>
      <c r="J18" s="36">
        <f t="shared" si="5"/>
        <v>1347758.1490196078</v>
      </c>
      <c r="K18" s="36">
        <f t="shared" si="5"/>
        <v>1426884.9090591013</v>
      </c>
      <c r="L18" s="36">
        <f t="shared" si="5"/>
        <v>1483794.2139277915</v>
      </c>
      <c r="M18" s="36">
        <f t="shared" ref="M18:O19" si="6">M11*M$4</f>
        <v>1455472.0195530034</v>
      </c>
      <c r="N18" s="36">
        <f t="shared" si="6"/>
        <v>1422840.3797575987</v>
      </c>
      <c r="O18" s="36">
        <f t="shared" si="6"/>
        <v>1395526.8765472367</v>
      </c>
      <c r="P18" s="49">
        <f t="shared" si="3"/>
        <v>1436903.6797689465</v>
      </c>
    </row>
    <row r="19" spans="1:16" x14ac:dyDescent="0.25">
      <c r="A19" s="47" t="s">
        <v>39</v>
      </c>
      <c r="B19" s="47" t="s">
        <v>102</v>
      </c>
      <c r="C19" s="36">
        <f>C12*C$4</f>
        <v>4311256.8114381842</v>
      </c>
      <c r="D19" s="36">
        <f t="shared" ref="D19:L19" si="7">D12*D$4</f>
        <v>4365533.991691215</v>
      </c>
      <c r="E19" s="36">
        <f t="shared" si="7"/>
        <v>4567329.6512958389</v>
      </c>
      <c r="F19" s="36">
        <f t="shared" si="7"/>
        <v>4910258.8074596757</v>
      </c>
      <c r="G19" s="36">
        <f t="shared" si="7"/>
        <v>5210110.47417353</v>
      </c>
      <c r="H19" s="36">
        <f t="shared" si="7"/>
        <v>5368957.6467087613</v>
      </c>
      <c r="I19" s="36">
        <f t="shared" si="7"/>
        <v>5548791.5738305077</v>
      </c>
      <c r="J19" s="36">
        <f t="shared" si="7"/>
        <v>5744504.4587263726</v>
      </c>
      <c r="K19" s="36">
        <f t="shared" si="7"/>
        <v>6071370.1197662558</v>
      </c>
      <c r="L19" s="36">
        <f t="shared" si="7"/>
        <v>6324210.336059276</v>
      </c>
      <c r="M19" s="36">
        <f t="shared" si="6"/>
        <v>6350291.0655805627</v>
      </c>
      <c r="N19" s="36">
        <f t="shared" si="6"/>
        <v>6281959.0748840859</v>
      </c>
      <c r="O19" s="36">
        <f t="shared" si="6"/>
        <v>6149326.3485771967</v>
      </c>
      <c r="P19" s="49">
        <f t="shared" si="3"/>
        <v>6235431.3889734764</v>
      </c>
    </row>
    <row r="20" spans="1:16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5">
      <c r="A21" s="22"/>
      <c r="B21" s="32"/>
      <c r="C21" s="32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32"/>
    </row>
    <row r="22" spans="1:16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  <row r="23" spans="1:16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5" spans="1:16" x14ac:dyDescent="0.25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6" x14ac:dyDescent="0.25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RAB!C8:L8</xm:f>
              <xm:sqref>P8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RAB!C9:L9</xm:f>
              <xm:sqref>P9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RAB!C10:L10</xm:f>
              <xm:sqref>P10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RAB!C11:L11</xm:f>
              <xm:sqref>P11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RAB!C12:L12</xm:f>
              <xm:sqref>P12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P15" sqref="P15:P19"/>
    </sheetView>
  </sheetViews>
  <sheetFormatPr defaultRowHeight="15" x14ac:dyDescent="0.25"/>
  <cols>
    <col min="1" max="1" width="45.140625" customWidth="1"/>
    <col min="2" max="2" width="11.140625" style="15" customWidth="1"/>
    <col min="3" max="9" width="12.28515625" style="15" customWidth="1"/>
    <col min="10" max="12" width="12.28515625" customWidth="1"/>
    <col min="13" max="15" width="12.28515625" style="17" customWidth="1"/>
  </cols>
  <sheetData>
    <row r="1" spans="1:17" s="2" customFormat="1" x14ac:dyDescent="0.25">
      <c r="A1" s="33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32"/>
      <c r="L1" s="32"/>
      <c r="M1" s="32"/>
      <c r="N1" s="32"/>
      <c r="O1" s="32"/>
      <c r="P1" s="32"/>
      <c r="Q1" s="32"/>
    </row>
    <row r="2" spans="1:17" s="2" customFormat="1" x14ac:dyDescent="0.25">
      <c r="A2" s="32"/>
      <c r="B2" s="33" t="str">
        <f>"Real $"&amp;Real_year&amp;""</f>
        <v>Real $2018</v>
      </c>
      <c r="C2" s="32">
        <v>2006</v>
      </c>
      <c r="D2" s="32">
        <v>2007</v>
      </c>
      <c r="E2" s="32">
        <v>2008</v>
      </c>
      <c r="F2" s="32">
        <v>2009</v>
      </c>
      <c r="G2" s="32">
        <v>2010</v>
      </c>
      <c r="H2" s="32">
        <v>2011</v>
      </c>
      <c r="I2" s="32">
        <v>2012</v>
      </c>
      <c r="J2" s="32">
        <v>2013</v>
      </c>
      <c r="K2" s="32">
        <v>2014</v>
      </c>
      <c r="L2" s="32">
        <v>2015</v>
      </c>
      <c r="M2" s="32">
        <v>2016</v>
      </c>
      <c r="N2" s="32">
        <v>2017</v>
      </c>
      <c r="O2" s="32">
        <v>2018</v>
      </c>
      <c r="Q2" s="32"/>
    </row>
    <row r="3" spans="1:17" s="2" customFormat="1" x14ac:dyDescent="0.25">
      <c r="A3" s="32" t="s">
        <v>60</v>
      </c>
      <c r="B3" s="32"/>
      <c r="C3" s="46">
        <f>CPI!F12</f>
        <v>1.3681055155875299</v>
      </c>
      <c r="D3" s="46">
        <f>CPI!G12</f>
        <v>1.3160322952710495</v>
      </c>
      <c r="E3" s="46">
        <f>CPI!H12</f>
        <v>1.2921857304643261</v>
      </c>
      <c r="F3" s="46">
        <f>CPI!I12</f>
        <v>1.2308522114347356</v>
      </c>
      <c r="G3" s="46">
        <f>CPI!J12</f>
        <v>1.2164179104477613</v>
      </c>
      <c r="H3" s="46">
        <f>CPI!K12</f>
        <v>1.1823834196891192</v>
      </c>
      <c r="I3" s="46">
        <f>CPI!L12</f>
        <v>1.1432865731462925</v>
      </c>
      <c r="J3" s="46">
        <f>CPI!M12</f>
        <v>1.1208251473477406</v>
      </c>
      <c r="K3" s="46">
        <f>CPI!N12</f>
        <v>1.0971153846153845</v>
      </c>
      <c r="L3" s="46">
        <f>CPI!O12</f>
        <v>1.0723684210526314</v>
      </c>
      <c r="M3" s="46">
        <f>CPI!P12</f>
        <v>1.0564814814814814</v>
      </c>
      <c r="N3" s="46">
        <f>CPI!Q12</f>
        <v>1.042961608775137</v>
      </c>
      <c r="O3" s="46">
        <f>CPI!R12</f>
        <v>1.0242369838420107</v>
      </c>
      <c r="Q3" s="32"/>
    </row>
    <row r="4" spans="1:17" s="2" customFormat="1" x14ac:dyDescent="0.25">
      <c r="A4" s="32" t="s">
        <v>59</v>
      </c>
      <c r="B4" s="32"/>
      <c r="C4" s="46">
        <f>CPI!F11</f>
        <v>1.3615751789976134</v>
      </c>
      <c r="D4" s="46">
        <f>CPI!G11</f>
        <v>1.3175519630484989</v>
      </c>
      <c r="E4" s="46">
        <f>CPI!H11</f>
        <v>1.2805836139169473</v>
      </c>
      <c r="F4" s="46">
        <f>CPI!I11</f>
        <v>1.2348484848484846</v>
      </c>
      <c r="G4" s="46">
        <f>CPI!J11</f>
        <v>1.209968186638388</v>
      </c>
      <c r="H4" s="46">
        <f>CPI!K11</f>
        <v>1.1775025799793601</v>
      </c>
      <c r="I4" s="46">
        <f>CPI!L11</f>
        <v>1.1432865731462925</v>
      </c>
      <c r="J4" s="46">
        <f>CPI!M11</f>
        <v>1.1186274509803922</v>
      </c>
      <c r="K4" s="46">
        <f>CPI!N11</f>
        <v>1.0887404580152671</v>
      </c>
      <c r="L4" s="46">
        <f>CPI!O11</f>
        <v>1.0703564727954973</v>
      </c>
      <c r="M4" s="46">
        <f>CPI!P11</f>
        <v>1.0525830258302582</v>
      </c>
      <c r="N4" s="46">
        <f>CPI!Q11</f>
        <v>1.0372727272727271</v>
      </c>
      <c r="O4" s="46">
        <f>CPI!R11</f>
        <v>1.0178412132024979</v>
      </c>
      <c r="Q4" s="32"/>
    </row>
    <row r="5" spans="1:17" s="2" customForma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x14ac:dyDescent="0.25">
      <c r="A6" s="33" t="s">
        <v>63</v>
      </c>
      <c r="B6" s="56"/>
      <c r="C6" s="56"/>
      <c r="D6" s="56"/>
      <c r="E6" s="56"/>
      <c r="F6" s="56"/>
      <c r="G6" s="56"/>
      <c r="H6" s="56"/>
      <c r="I6" s="56"/>
      <c r="J6" s="56"/>
      <c r="K6" s="32"/>
      <c r="L6" s="32"/>
      <c r="M6" s="32"/>
      <c r="N6" s="32"/>
      <c r="O6" s="32"/>
      <c r="P6" s="32"/>
      <c r="Q6" s="32"/>
    </row>
    <row r="7" spans="1:17" x14ac:dyDescent="0.25">
      <c r="A7" s="33" t="s">
        <v>64</v>
      </c>
      <c r="B7" s="56"/>
      <c r="C7" s="32">
        <v>2006</v>
      </c>
      <c r="D7" s="32">
        <v>2007</v>
      </c>
      <c r="E7" s="32">
        <v>2008</v>
      </c>
      <c r="F7" s="32">
        <v>2009</v>
      </c>
      <c r="G7" s="32">
        <v>2010</v>
      </c>
      <c r="H7" s="32">
        <v>2011</v>
      </c>
      <c r="I7" s="32">
        <v>2012</v>
      </c>
      <c r="J7" s="32">
        <v>2013</v>
      </c>
      <c r="K7" s="32">
        <v>2014</v>
      </c>
      <c r="L7" s="32">
        <v>2015</v>
      </c>
      <c r="M7" s="32">
        <v>2016</v>
      </c>
      <c r="N7" s="32">
        <v>2017</v>
      </c>
      <c r="O7" s="32">
        <v>2018</v>
      </c>
      <c r="P7" s="32"/>
      <c r="Q7" s="32"/>
    </row>
    <row r="8" spans="1:17" x14ac:dyDescent="0.25">
      <c r="A8" s="47" t="s">
        <v>38</v>
      </c>
      <c r="B8" s="47" t="s">
        <v>18</v>
      </c>
      <c r="C8" s="36">
        <v>-45791.849417636906</v>
      </c>
      <c r="D8" s="36">
        <v>-50958.501088076984</v>
      </c>
      <c r="E8" s="36">
        <v>-48204.850280116312</v>
      </c>
      <c r="F8" s="36">
        <v>-55008.877124563965</v>
      </c>
      <c r="G8" s="36">
        <v>-60040.104570401381</v>
      </c>
      <c r="H8" s="36">
        <v>-63337.177692221783</v>
      </c>
      <c r="I8" s="36">
        <v>-66722.89939335885</v>
      </c>
      <c r="J8" s="36">
        <v>-73303.01352783374</v>
      </c>
      <c r="K8" s="36">
        <v>-76094.486579693286</v>
      </c>
      <c r="L8" s="36">
        <v>-85643.071653748921</v>
      </c>
      <c r="M8" s="36">
        <v>-95982.674057186538</v>
      </c>
      <c r="N8" s="36">
        <v>-103289.94435068821</v>
      </c>
      <c r="O8" s="36">
        <f>'[5]3.3 Assets (RAB)'!$C$14/1000</f>
        <v>-103984.56412373077</v>
      </c>
      <c r="P8" s="32"/>
      <c r="Q8" s="32"/>
    </row>
    <row r="9" spans="1:17" x14ac:dyDescent="0.25">
      <c r="A9" s="47" t="s">
        <v>21</v>
      </c>
      <c r="B9" s="47" t="s">
        <v>18</v>
      </c>
      <c r="C9" s="36">
        <v>-132496.74622431587</v>
      </c>
      <c r="D9" s="36">
        <v>-140357.26629175912</v>
      </c>
      <c r="E9" s="36">
        <v>-156999.72982458232</v>
      </c>
      <c r="F9" s="36">
        <v>-182601.09296048834</v>
      </c>
      <c r="G9" s="36">
        <v>-191974.42283243482</v>
      </c>
      <c r="H9" s="36">
        <v>-209895.4904502311</v>
      </c>
      <c r="I9" s="36">
        <v>-224992.70041557745</v>
      </c>
      <c r="J9" s="36">
        <v>-212080.91622801078</v>
      </c>
      <c r="K9" s="36">
        <v>-234896.24841606364</v>
      </c>
      <c r="L9" s="36">
        <v>-261726.28652177399</v>
      </c>
      <c r="M9" s="36">
        <v>-277132.67885741114</v>
      </c>
      <c r="N9" s="36">
        <v>-273813.57027352898</v>
      </c>
      <c r="O9" s="36">
        <f>'[6]3.3 Assets (RAB)'!$C$14/1000</f>
        <v>-261276.59177307546</v>
      </c>
      <c r="P9" s="32"/>
      <c r="Q9" s="32"/>
    </row>
    <row r="10" spans="1:17" x14ac:dyDescent="0.25">
      <c r="A10" s="47" t="s">
        <v>36</v>
      </c>
      <c r="B10" s="47" t="s">
        <v>18</v>
      </c>
      <c r="C10" s="36">
        <v>-86280.945999999996</v>
      </c>
      <c r="D10" s="36">
        <v>-91719.03</v>
      </c>
      <c r="E10" s="36">
        <v>-103392.598</v>
      </c>
      <c r="F10" s="36">
        <v>-107125.821</v>
      </c>
      <c r="G10" s="36">
        <v>-112873.439</v>
      </c>
      <c r="H10" s="36">
        <v>-118888.912</v>
      </c>
      <c r="I10" s="36">
        <v>-123748.05100000001</v>
      </c>
      <c r="J10" s="36">
        <v>-129632.00900000001</v>
      </c>
      <c r="K10" s="36">
        <v>-127428.17617868638</v>
      </c>
      <c r="L10" s="36">
        <v>-145677.73598860696</v>
      </c>
      <c r="M10" s="36">
        <v>-152613.9833679182</v>
      </c>
      <c r="N10" s="36">
        <v>-161231.0402391114</v>
      </c>
      <c r="O10" s="36">
        <f>'[7]3.3 Assets (RAB)'!$C$14/1000</f>
        <v>-170906.18048810546</v>
      </c>
      <c r="P10" s="32"/>
      <c r="Q10" s="32"/>
    </row>
    <row r="11" spans="1:17" x14ac:dyDescent="0.25">
      <c r="A11" s="47" t="s">
        <v>30</v>
      </c>
      <c r="B11" s="47" t="s">
        <v>18</v>
      </c>
      <c r="C11" s="36">
        <v>-34117</v>
      </c>
      <c r="D11" s="36">
        <v>-33914</v>
      </c>
      <c r="E11" s="36">
        <v>-37777</v>
      </c>
      <c r="F11" s="36">
        <v>-41311</v>
      </c>
      <c r="G11" s="36">
        <v>-49841</v>
      </c>
      <c r="H11" s="36">
        <v>-54231</v>
      </c>
      <c r="I11" s="36">
        <v>-54880</v>
      </c>
      <c r="J11" s="36">
        <v>-54578</v>
      </c>
      <c r="K11" s="36">
        <v>-61434.606590000003</v>
      </c>
      <c r="L11" s="36">
        <v>-53237.514772859882</v>
      </c>
      <c r="M11" s="36">
        <v>-57207.430475358902</v>
      </c>
      <c r="N11" s="36">
        <v>-61304.04863066168</v>
      </c>
      <c r="O11" s="36">
        <f>'[8]3.3 Assets (RAB)'!$C$14/1000</f>
        <v>-61390.494942420773</v>
      </c>
      <c r="P11" s="32"/>
      <c r="Q11" s="32"/>
    </row>
    <row r="12" spans="1:17" x14ac:dyDescent="0.25">
      <c r="A12" s="47" t="s">
        <v>39</v>
      </c>
      <c r="B12" s="47" t="s">
        <v>18</v>
      </c>
      <c r="C12" s="36">
        <v>-121720.69285763716</v>
      </c>
      <c r="D12" s="36">
        <v>-130837</v>
      </c>
      <c r="E12" s="36">
        <v>-138414</v>
      </c>
      <c r="F12" s="36">
        <v>-155347.27373057668</v>
      </c>
      <c r="G12" s="36">
        <v>-178956.02871101134</v>
      </c>
      <c r="H12" s="36">
        <v>-181714.94605466677</v>
      </c>
      <c r="I12" s="36">
        <v>-184338.2857749275</v>
      </c>
      <c r="J12" s="36">
        <v>-199415.56154466461</v>
      </c>
      <c r="K12" s="36">
        <v>-222310.25735920473</v>
      </c>
      <c r="L12" s="36">
        <v>-244163.23008389489</v>
      </c>
      <c r="M12" s="36">
        <v>-261875.0623888979</v>
      </c>
      <c r="N12" s="36">
        <v>-279708.00294541242</v>
      </c>
      <c r="O12" s="36">
        <f>'[9]3.3 Assets (RAB)'!$C$14/1000</f>
        <v>-265038.9669400985</v>
      </c>
      <c r="P12" s="32"/>
      <c r="Q12" s="32"/>
    </row>
    <row r="13" spans="1:17" x14ac:dyDescent="0.25">
      <c r="A13" s="32"/>
      <c r="B13" s="56"/>
      <c r="C13" s="56"/>
      <c r="D13" s="56"/>
      <c r="E13" s="56"/>
      <c r="F13" s="56"/>
      <c r="G13" s="56"/>
      <c r="H13" s="56"/>
      <c r="I13" s="56"/>
      <c r="J13" s="32"/>
      <c r="K13" s="32"/>
      <c r="L13" s="32"/>
      <c r="M13" s="32"/>
      <c r="N13" s="32"/>
      <c r="O13" s="32"/>
      <c r="P13" s="32"/>
      <c r="Q13" s="32"/>
    </row>
    <row r="14" spans="1:17" x14ac:dyDescent="0.25">
      <c r="A14" s="33" t="str">
        <f>CONCATENATE(B2)</f>
        <v>Real $2018</v>
      </c>
      <c r="B14" s="57"/>
      <c r="C14" s="32">
        <v>2006</v>
      </c>
      <c r="D14" s="32">
        <v>2007</v>
      </c>
      <c r="E14" s="32">
        <v>2008</v>
      </c>
      <c r="F14" s="32">
        <v>2009</v>
      </c>
      <c r="G14" s="32">
        <v>2010</v>
      </c>
      <c r="H14" s="32">
        <v>2011</v>
      </c>
      <c r="I14" s="32">
        <v>2012</v>
      </c>
      <c r="J14" s="32">
        <v>2013</v>
      </c>
      <c r="K14" s="32">
        <v>2014</v>
      </c>
      <c r="L14" s="32">
        <v>2015</v>
      </c>
      <c r="M14" s="32">
        <v>2016</v>
      </c>
      <c r="N14" s="32">
        <v>2017</v>
      </c>
      <c r="O14" s="32">
        <v>2018</v>
      </c>
      <c r="P14" s="32" t="s">
        <v>128</v>
      </c>
      <c r="Q14" s="32"/>
    </row>
    <row r="15" spans="1:17" x14ac:dyDescent="0.25">
      <c r="A15" s="47" t="s">
        <v>38</v>
      </c>
      <c r="B15" s="47" t="s">
        <v>102</v>
      </c>
      <c r="C15" s="36">
        <f>C8*C$4</f>
        <v>-62349.045567450725</v>
      </c>
      <c r="D15" s="36">
        <f t="shared" ref="D15:N15" si="0">D8*D$4</f>
        <v>-67140.473142604897</v>
      </c>
      <c r="E15" s="36">
        <f t="shared" si="0"/>
        <v>-61730.34138003672</v>
      </c>
      <c r="F15" s="36">
        <f t="shared" si="0"/>
        <v>-67927.628570484274</v>
      </c>
      <c r="G15" s="36">
        <f t="shared" si="0"/>
        <v>-72646.616452627757</v>
      </c>
      <c r="H15" s="36">
        <f t="shared" si="0"/>
        <v>-74579.690141202329</v>
      </c>
      <c r="I15" s="36">
        <f t="shared" si="0"/>
        <v>-76283.394997818075</v>
      </c>
      <c r="J15" s="36">
        <f t="shared" si="0"/>
        <v>-81998.763171821862</v>
      </c>
      <c r="K15" s="36">
        <f t="shared" si="0"/>
        <v>-82847.146171211862</v>
      </c>
      <c r="L15" s="36">
        <f t="shared" si="0"/>
        <v>-91668.616094678728</v>
      </c>
      <c r="M15" s="36">
        <f t="shared" si="0"/>
        <v>-101029.73348639283</v>
      </c>
      <c r="N15" s="36">
        <f t="shared" si="0"/>
        <v>-107139.84227648657</v>
      </c>
      <c r="O15" s="36">
        <f>O8*O$4</f>
        <v>-105839.77490203106</v>
      </c>
      <c r="P15" s="49">
        <f>AVERAGE(K15:O15)</f>
        <v>-97705.022586160208</v>
      </c>
      <c r="Q15" s="32"/>
    </row>
    <row r="16" spans="1:17" x14ac:dyDescent="0.25">
      <c r="A16" s="47" t="s">
        <v>21</v>
      </c>
      <c r="B16" s="47" t="s">
        <v>102</v>
      </c>
      <c r="C16" s="36">
        <f>C9*C$4</f>
        <v>-180404.28095697422</v>
      </c>
      <c r="D16" s="36">
        <f t="shared" ref="D16:N16" si="1">D9*D$4</f>
        <v>-184927.99173082813</v>
      </c>
      <c r="E16" s="36">
        <f t="shared" si="1"/>
        <v>-201051.28140274796</v>
      </c>
      <c r="F16" s="36">
        <f t="shared" si="1"/>
        <v>-225484.68297393632</v>
      </c>
      <c r="G16" s="36">
        <f t="shared" si="1"/>
        <v>-232282.9442755123</v>
      </c>
      <c r="H16" s="36">
        <f t="shared" si="1"/>
        <v>-247152.48153118027</v>
      </c>
      <c r="I16" s="36">
        <f t="shared" si="1"/>
        <v>-257231.13344105595</v>
      </c>
      <c r="J16" s="36">
        <f t="shared" si="1"/>
        <v>-237239.53472172579</v>
      </c>
      <c r="K16" s="36">
        <f t="shared" si="1"/>
        <v>-255741.04908657307</v>
      </c>
      <c r="L16" s="36">
        <f t="shared" si="1"/>
        <v>-280140.42487930972</v>
      </c>
      <c r="M16" s="36">
        <f t="shared" si="1"/>
        <v>-291705.15366817906</v>
      </c>
      <c r="N16" s="36">
        <f t="shared" si="1"/>
        <v>-284019.34880190593</v>
      </c>
      <c r="O16" s="36">
        <f>O9*O$4</f>
        <v>-265938.08315172087</v>
      </c>
      <c r="P16" s="49">
        <f t="shared" ref="P16:P19" si="2">AVERAGE(K16:O16)</f>
        <v>-275508.81191753771</v>
      </c>
      <c r="Q16" s="32"/>
    </row>
    <row r="17" spans="1:17" x14ac:dyDescent="0.25">
      <c r="A17" s="47" t="s">
        <v>36</v>
      </c>
      <c r="B17" s="47" t="s">
        <v>102</v>
      </c>
      <c r="C17" s="36">
        <f>C10*C$3</f>
        <v>-118041.43811270982</v>
      </c>
      <c r="D17" s="36">
        <f t="shared" ref="D17:N17" si="3">D10*D$3</f>
        <v>-120705.20557093424</v>
      </c>
      <c r="E17" s="36">
        <f t="shared" si="3"/>
        <v>-133602.43977123441</v>
      </c>
      <c r="F17" s="36">
        <f t="shared" si="3"/>
        <v>-131856.05367961162</v>
      </c>
      <c r="G17" s="36">
        <f t="shared" si="3"/>
        <v>-137301.27281343285</v>
      </c>
      <c r="H17" s="36">
        <f t="shared" si="3"/>
        <v>-140572.27833367875</v>
      </c>
      <c r="I17" s="36">
        <f t="shared" si="3"/>
        <v>-141479.48516132263</v>
      </c>
      <c r="J17" s="36">
        <f t="shared" si="3"/>
        <v>-145294.81558840864</v>
      </c>
      <c r="K17" s="36">
        <f t="shared" si="3"/>
        <v>-139803.41251911648</v>
      </c>
      <c r="L17" s="36">
        <f t="shared" si="3"/>
        <v>-156220.20372462456</v>
      </c>
      <c r="M17" s="36">
        <f t="shared" si="3"/>
        <v>-161233.84724332838</v>
      </c>
      <c r="N17" s="36">
        <f t="shared" si="3"/>
        <v>-168157.78511227248</v>
      </c>
      <c r="O17" s="36">
        <f>O10*O$3</f>
        <v>-175048.43082309543</v>
      </c>
      <c r="P17" s="49">
        <f t="shared" si="2"/>
        <v>-160092.73588448745</v>
      </c>
      <c r="Q17" s="32"/>
    </row>
    <row r="18" spans="1:17" x14ac:dyDescent="0.25">
      <c r="A18" s="47" t="s">
        <v>30</v>
      </c>
      <c r="B18" s="47" t="s">
        <v>102</v>
      </c>
      <c r="C18" s="36">
        <f>C11*C$4</f>
        <v>-46452.860381861574</v>
      </c>
      <c r="D18" s="36">
        <f t="shared" ref="D18:N18" si="4">D11*D$4</f>
        <v>-44683.457274826789</v>
      </c>
      <c r="E18" s="36">
        <f t="shared" si="4"/>
        <v>-48376.607182940519</v>
      </c>
      <c r="F18" s="36">
        <f t="shared" si="4"/>
        <v>-51012.825757575753</v>
      </c>
      <c r="G18" s="36">
        <f t="shared" si="4"/>
        <v>-60306.024390243896</v>
      </c>
      <c r="H18" s="36">
        <f t="shared" si="4"/>
        <v>-63857.142414860682</v>
      </c>
      <c r="I18" s="36">
        <f t="shared" si="4"/>
        <v>-62743.567134268531</v>
      </c>
      <c r="J18" s="36">
        <f t="shared" si="4"/>
        <v>-61052.449019607848</v>
      </c>
      <c r="K18" s="36">
        <f t="shared" si="4"/>
        <v>-66886.341716784344</v>
      </c>
      <c r="L18" s="36">
        <f t="shared" si="4"/>
        <v>-56983.118532676483</v>
      </c>
      <c r="M18" s="36">
        <f t="shared" si="4"/>
        <v>-60215.570269727403</v>
      </c>
      <c r="N18" s="36">
        <f t="shared" si="4"/>
        <v>-63589.017715986331</v>
      </c>
      <c r="O18" s="36">
        <f>O11*O$4</f>
        <v>-62485.775851295373</v>
      </c>
      <c r="P18" s="49">
        <f t="shared" si="2"/>
        <v>-62031.964817293992</v>
      </c>
      <c r="Q18" s="32"/>
    </row>
    <row r="19" spans="1:17" x14ac:dyDescent="0.25">
      <c r="A19" s="47" t="s">
        <v>39</v>
      </c>
      <c r="B19" s="47" t="s">
        <v>102</v>
      </c>
      <c r="C19" s="36">
        <f>C12*C$4</f>
        <v>-165731.87416535083</v>
      </c>
      <c r="D19" s="36">
        <f t="shared" ref="D19:N19" si="5">D12*D$4</f>
        <v>-172384.54618937644</v>
      </c>
      <c r="E19" s="36">
        <f t="shared" si="5"/>
        <v>-177250.70033670033</v>
      </c>
      <c r="F19" s="36">
        <f t="shared" si="5"/>
        <v>-191830.34559154543</v>
      </c>
      <c r="G19" s="36">
        <f t="shared" si="5"/>
        <v>-216531.10154746971</v>
      </c>
      <c r="H19" s="36">
        <f t="shared" si="5"/>
        <v>-213969.81780018038</v>
      </c>
      <c r="I19" s="36">
        <f t="shared" si="5"/>
        <v>-210751.48704327882</v>
      </c>
      <c r="J19" s="36">
        <f t="shared" si="5"/>
        <v>-223071.7212965317</v>
      </c>
      <c r="K19" s="36">
        <f t="shared" si="5"/>
        <v>-242038.17141875246</v>
      </c>
      <c r="L19" s="36">
        <f t="shared" si="5"/>
        <v>-261341.69373895318</v>
      </c>
      <c r="M19" s="36">
        <f t="shared" si="5"/>
        <v>-275645.24555879377</v>
      </c>
      <c r="N19" s="36">
        <f t="shared" si="5"/>
        <v>-290133.48305519595</v>
      </c>
      <c r="O19" s="36">
        <f>O12*O$4</f>
        <v>-269767.5836562466</v>
      </c>
      <c r="P19" s="49">
        <f t="shared" si="2"/>
        <v>-267785.23548558838</v>
      </c>
      <c r="Q19" s="32"/>
    </row>
    <row r="20" spans="1:17" x14ac:dyDescent="0.25">
      <c r="A20" s="32"/>
      <c r="B20" s="56"/>
      <c r="C20" s="56"/>
      <c r="D20" s="56"/>
      <c r="E20" s="56"/>
      <c r="F20" s="56"/>
      <c r="G20" s="56"/>
      <c r="H20" s="56"/>
      <c r="I20" s="56"/>
      <c r="J20" s="32"/>
      <c r="K20" s="32"/>
      <c r="L20" s="32"/>
      <c r="M20" s="32"/>
      <c r="N20" s="32"/>
      <c r="O20" s="32"/>
      <c r="P20" s="32"/>
      <c r="Q20" s="32"/>
    </row>
    <row r="21" spans="1:17" x14ac:dyDescent="0.25">
      <c r="A21" s="32"/>
      <c r="B21" s="56"/>
      <c r="C21" s="56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32"/>
      <c r="Q21" s="32"/>
    </row>
    <row r="22" spans="1:17" x14ac:dyDescent="0.25">
      <c r="A22" s="32"/>
      <c r="B22" s="56"/>
      <c r="C22" s="56"/>
      <c r="D22" s="56"/>
      <c r="E22" s="56"/>
      <c r="F22" s="56"/>
      <c r="G22" s="56"/>
      <c r="H22" s="56"/>
      <c r="I22" s="56"/>
      <c r="J22" s="32"/>
      <c r="K22" s="32"/>
      <c r="L22" s="32"/>
      <c r="M22" s="32"/>
      <c r="N22" s="32"/>
      <c r="O22" s="32"/>
      <c r="P22" s="32"/>
      <c r="Q22" s="32"/>
    </row>
    <row r="23" spans="1:17" x14ac:dyDescent="0.25">
      <c r="A23" s="32"/>
      <c r="B23" s="56"/>
      <c r="C23" s="56"/>
      <c r="D23" s="56"/>
      <c r="E23" s="56"/>
      <c r="F23" s="56"/>
      <c r="G23" s="56"/>
      <c r="H23" s="56"/>
      <c r="I23" s="56"/>
      <c r="J23" s="32"/>
      <c r="K23" s="32"/>
      <c r="L23" s="32"/>
      <c r="M23" s="32"/>
      <c r="N23" s="32"/>
      <c r="O23" s="32"/>
      <c r="P23" s="32"/>
      <c r="Q23" s="3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Depreciation!C8:L8</xm:f>
              <xm:sqref>P8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Depreciation!C9:L9</xm:f>
              <xm:sqref>P9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Depreciation!C10:L10</xm:f>
              <xm:sqref>P10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Depreciation!C11:L11</xm:f>
              <xm:sqref>P11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Depreciation!C12:L12</xm:f>
              <xm:sqref>P12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22"/>
  <sheetViews>
    <sheetView workbookViewId="0">
      <selection activeCell="P19" sqref="P19"/>
    </sheetView>
  </sheetViews>
  <sheetFormatPr defaultRowHeight="15" x14ac:dyDescent="0.25"/>
  <cols>
    <col min="1" max="1" width="46.42578125" customWidth="1"/>
    <col min="2" max="12" width="12.85546875" customWidth="1"/>
    <col min="14" max="14" width="11.140625" bestFit="1" customWidth="1"/>
    <col min="15" max="15" width="11.140625" style="17" customWidth="1"/>
  </cols>
  <sheetData>
    <row r="1" spans="1:24" x14ac:dyDescent="0.25">
      <c r="A1" s="33" t="s">
        <v>26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24" x14ac:dyDescent="0.25">
      <c r="A2" s="32"/>
      <c r="B2" s="33" t="str">
        <f>"Real $"&amp;Real_year&amp;""</f>
        <v>Real $2018</v>
      </c>
      <c r="C2" s="32">
        <v>2006</v>
      </c>
      <c r="D2" s="32">
        <v>2007</v>
      </c>
      <c r="E2" s="32">
        <v>2008</v>
      </c>
      <c r="F2" s="32">
        <v>2009</v>
      </c>
      <c r="G2" s="32">
        <v>2010</v>
      </c>
      <c r="H2" s="32">
        <v>2011</v>
      </c>
      <c r="I2" s="32">
        <v>2012</v>
      </c>
      <c r="J2" s="32">
        <v>2013</v>
      </c>
      <c r="K2" s="32">
        <v>2014</v>
      </c>
      <c r="L2" s="32">
        <v>2015</v>
      </c>
      <c r="M2" s="32">
        <v>2016</v>
      </c>
      <c r="N2" s="32">
        <v>2017</v>
      </c>
      <c r="O2" s="32">
        <v>2018</v>
      </c>
      <c r="P2" s="32"/>
      <c r="Q2" s="2"/>
      <c r="R2" s="2"/>
      <c r="S2" s="2"/>
      <c r="T2" s="2"/>
      <c r="U2" s="2"/>
      <c r="V2" s="2"/>
      <c r="W2" s="2"/>
      <c r="X2" s="2"/>
    </row>
    <row r="3" spans="1:24" x14ac:dyDescent="0.25">
      <c r="A3" s="32" t="s">
        <v>60</v>
      </c>
      <c r="B3" s="32"/>
      <c r="C3" s="46">
        <f>CPI!F12</f>
        <v>1.3681055155875299</v>
      </c>
      <c r="D3" s="46">
        <f>CPI!G12</f>
        <v>1.3160322952710495</v>
      </c>
      <c r="E3" s="46">
        <f>CPI!H12</f>
        <v>1.2921857304643261</v>
      </c>
      <c r="F3" s="46">
        <f>CPI!I12</f>
        <v>1.2308522114347356</v>
      </c>
      <c r="G3" s="46">
        <f>CPI!J12</f>
        <v>1.2164179104477613</v>
      </c>
      <c r="H3" s="46">
        <f>CPI!K12</f>
        <v>1.1823834196891192</v>
      </c>
      <c r="I3" s="46">
        <f>CPI!L12</f>
        <v>1.1432865731462925</v>
      </c>
      <c r="J3" s="46">
        <f>CPI!M12</f>
        <v>1.1208251473477406</v>
      </c>
      <c r="K3" s="46">
        <f>CPI!N12</f>
        <v>1.0971153846153845</v>
      </c>
      <c r="L3" s="46">
        <f>CPI!O12</f>
        <v>1.0723684210526314</v>
      </c>
      <c r="M3" s="46">
        <f>CPI!P12</f>
        <v>1.0564814814814814</v>
      </c>
      <c r="N3" s="46">
        <f>CPI!Q12</f>
        <v>1.042961608775137</v>
      </c>
      <c r="O3" s="46">
        <f>CPI!R12</f>
        <v>1.0242369838420107</v>
      </c>
      <c r="P3" s="32"/>
    </row>
    <row r="4" spans="1:24" x14ac:dyDescent="0.25">
      <c r="A4" s="32" t="s">
        <v>59</v>
      </c>
      <c r="B4" s="32"/>
      <c r="C4" s="46">
        <f>CPI!F11</f>
        <v>1.3615751789976134</v>
      </c>
      <c r="D4" s="46">
        <f>CPI!G11</f>
        <v>1.3175519630484989</v>
      </c>
      <c r="E4" s="46">
        <f>CPI!H11</f>
        <v>1.2805836139169473</v>
      </c>
      <c r="F4" s="46">
        <f>CPI!I11</f>
        <v>1.2348484848484846</v>
      </c>
      <c r="G4" s="46">
        <f>CPI!J11</f>
        <v>1.209968186638388</v>
      </c>
      <c r="H4" s="46">
        <f>CPI!K11</f>
        <v>1.1775025799793601</v>
      </c>
      <c r="I4" s="46">
        <f>CPI!L11</f>
        <v>1.1432865731462925</v>
      </c>
      <c r="J4" s="46">
        <f>CPI!M11</f>
        <v>1.1186274509803922</v>
      </c>
      <c r="K4" s="46">
        <f>CPI!N11</f>
        <v>1.0887404580152671</v>
      </c>
      <c r="L4" s="46">
        <f>CPI!O11</f>
        <v>1.0703564727954973</v>
      </c>
      <c r="M4" s="46">
        <f>CPI!P11</f>
        <v>1.0525830258302582</v>
      </c>
      <c r="N4" s="46">
        <f>CPI!Q11</f>
        <v>1.0372727272727271</v>
      </c>
      <c r="O4" s="46">
        <f>CPI!R11</f>
        <v>1.0178412132024979</v>
      </c>
      <c r="P4" s="32"/>
    </row>
    <row r="5" spans="1:24" s="2" customForma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24" s="2" customFormat="1" x14ac:dyDescent="0.25">
      <c r="A6" s="33" t="s">
        <v>20</v>
      </c>
      <c r="B6" s="33" t="s">
        <v>43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24" x14ac:dyDescent="0.25">
      <c r="A7" s="33" t="s">
        <v>66</v>
      </c>
      <c r="B7" s="33"/>
      <c r="C7" s="32">
        <f t="shared" ref="C7:L7" si="0">C2</f>
        <v>2006</v>
      </c>
      <c r="D7" s="32">
        <f t="shared" si="0"/>
        <v>2007</v>
      </c>
      <c r="E7" s="32">
        <f t="shared" si="0"/>
        <v>2008</v>
      </c>
      <c r="F7" s="32">
        <f t="shared" si="0"/>
        <v>2009</v>
      </c>
      <c r="G7" s="32">
        <f t="shared" si="0"/>
        <v>2010</v>
      </c>
      <c r="H7" s="32">
        <f t="shared" si="0"/>
        <v>2011</v>
      </c>
      <c r="I7" s="32">
        <f t="shared" si="0"/>
        <v>2012</v>
      </c>
      <c r="J7" s="32">
        <f t="shared" si="0"/>
        <v>2013</v>
      </c>
      <c r="K7" s="32">
        <f t="shared" si="0"/>
        <v>2014</v>
      </c>
      <c r="L7" s="32">
        <f t="shared" si="0"/>
        <v>2015</v>
      </c>
      <c r="M7" s="32">
        <f t="shared" ref="M7" si="1">M2</f>
        <v>2016</v>
      </c>
      <c r="N7" s="32">
        <v>2017</v>
      </c>
      <c r="O7" s="32">
        <v>2018</v>
      </c>
      <c r="P7" s="32"/>
    </row>
    <row r="8" spans="1:24" x14ac:dyDescent="0.25">
      <c r="A8" s="47" t="s">
        <v>38</v>
      </c>
      <c r="B8" s="47" t="s">
        <v>65</v>
      </c>
      <c r="C8" s="36">
        <v>89258.11425374214</v>
      </c>
      <c r="D8" s="36">
        <v>80842.987365847715</v>
      </c>
      <c r="E8" s="36">
        <v>162293.47653741398</v>
      </c>
      <c r="F8" s="36">
        <v>59106.056239456964</v>
      </c>
      <c r="G8" s="36">
        <v>20345.625267704796</v>
      </c>
      <c r="H8" s="36">
        <v>97061.100193905717</v>
      </c>
      <c r="I8" s="36">
        <v>315713.09947788186</v>
      </c>
      <c r="J8" s="36">
        <v>178283.85468255344</v>
      </c>
      <c r="K8" s="36">
        <v>232198.0008218725</v>
      </c>
      <c r="L8" s="36">
        <v>96869.77632107136</v>
      </c>
      <c r="M8" s="36">
        <v>142117.46961331938</v>
      </c>
      <c r="N8" s="36">
        <v>169671.86470311059</v>
      </c>
      <c r="O8" s="36">
        <f>'[5]3.3 Assets (RAB)'!$C$15/1000</f>
        <v>204289.22000560572</v>
      </c>
      <c r="P8" s="32"/>
    </row>
    <row r="9" spans="1:24" x14ac:dyDescent="0.25">
      <c r="A9" s="47" t="s">
        <v>21</v>
      </c>
      <c r="B9" s="47" t="s">
        <v>65</v>
      </c>
      <c r="C9" s="36">
        <v>269318.53261280397</v>
      </c>
      <c r="D9" s="36">
        <v>256570.90166529323</v>
      </c>
      <c r="E9" s="36">
        <v>678189.56935022678</v>
      </c>
      <c r="F9" s="36">
        <v>671491.83669466269</v>
      </c>
      <c r="G9" s="36">
        <v>473251.6947943017</v>
      </c>
      <c r="H9" s="36">
        <v>463875.87787008594</v>
      </c>
      <c r="I9" s="36">
        <v>503875.60955456615</v>
      </c>
      <c r="J9" s="36">
        <v>504179.01052687335</v>
      </c>
      <c r="K9" s="36">
        <v>593347.80624161765</v>
      </c>
      <c r="L9" s="36">
        <v>245700.20910001502</v>
      </c>
      <c r="M9" s="36">
        <v>124656.92009012518</v>
      </c>
      <c r="N9" s="36">
        <v>165717.78678948872</v>
      </c>
      <c r="O9" s="36">
        <f>'[6]3.3 Assets (RAB)'!$C$15/1000</f>
        <v>124148.14240923422</v>
      </c>
      <c r="P9" s="32"/>
    </row>
    <row r="10" spans="1:24" x14ac:dyDescent="0.25">
      <c r="A10" s="47" t="s">
        <v>36</v>
      </c>
      <c r="B10" s="47" t="s">
        <v>65</v>
      </c>
      <c r="C10" s="36">
        <v>60055.487000000001</v>
      </c>
      <c r="D10" s="36">
        <v>81707.709000000003</v>
      </c>
      <c r="E10" s="36">
        <v>109142.72199999999</v>
      </c>
      <c r="F10" s="36">
        <v>41643.434000000001</v>
      </c>
      <c r="G10" s="36">
        <v>86552.108999999997</v>
      </c>
      <c r="H10" s="36">
        <v>110822.41800000001</v>
      </c>
      <c r="I10" s="36">
        <v>124792.08900000001</v>
      </c>
      <c r="J10" s="36">
        <v>166090.78399999999</v>
      </c>
      <c r="K10" s="36">
        <v>176329.54932170166</v>
      </c>
      <c r="L10" s="36">
        <v>192954.250261384</v>
      </c>
      <c r="M10" s="36">
        <v>133160.81765741587</v>
      </c>
      <c r="N10" s="36">
        <v>125721.37942957168</v>
      </c>
      <c r="O10" s="36">
        <f>'[7]3.3 Assets (RAB)'!$C$15/1000</f>
        <v>113724.56413357373</v>
      </c>
      <c r="P10" s="32"/>
    </row>
    <row r="11" spans="1:24" x14ac:dyDescent="0.25">
      <c r="A11" s="47" t="s">
        <v>30</v>
      </c>
      <c r="B11" s="47" t="s">
        <v>65</v>
      </c>
      <c r="C11" s="36">
        <v>67649</v>
      </c>
      <c r="D11" s="36">
        <v>97870</v>
      </c>
      <c r="E11" s="36">
        <v>59619</v>
      </c>
      <c r="F11" s="36">
        <v>82109</v>
      </c>
      <c r="G11" s="36">
        <v>49873</v>
      </c>
      <c r="H11" s="36">
        <v>222178</v>
      </c>
      <c r="I11" s="36">
        <v>105301</v>
      </c>
      <c r="J11" s="36">
        <v>87448</v>
      </c>
      <c r="K11" s="36">
        <v>174694.62803962029</v>
      </c>
      <c r="L11" s="36">
        <v>31333.159254127593</v>
      </c>
      <c r="M11" s="36">
        <v>24922.723995073349</v>
      </c>
      <c r="N11" s="36">
        <v>27737.785856726568</v>
      </c>
      <c r="O11" s="36">
        <f>'[8]3.3 Assets (RAB)'!$C$15/1000</f>
        <v>47336.276340199896</v>
      </c>
      <c r="P11" s="32"/>
    </row>
    <row r="12" spans="1:24" x14ac:dyDescent="0.25">
      <c r="A12" s="47" t="s">
        <v>39</v>
      </c>
      <c r="B12" s="47" t="s">
        <v>65</v>
      </c>
      <c r="C12" s="36">
        <v>162036</v>
      </c>
      <c r="D12" s="36">
        <v>225936</v>
      </c>
      <c r="E12" s="36">
        <v>337001</v>
      </c>
      <c r="F12" s="36">
        <v>549433.30268145294</v>
      </c>
      <c r="G12" s="36">
        <v>240632.34056820587</v>
      </c>
      <c r="H12" s="36">
        <v>370580.90669528913</v>
      </c>
      <c r="I12" s="36">
        <v>377519.62609399756</v>
      </c>
      <c r="J12" s="36">
        <v>386404.8127500806</v>
      </c>
      <c r="K12" s="36">
        <v>599025.85733420495</v>
      </c>
      <c r="L12" s="36">
        <v>299576.62671298435</v>
      </c>
      <c r="M12" s="36">
        <v>262567.9137873014</v>
      </c>
      <c r="N12" s="36">
        <v>139468.48002247565</v>
      </c>
      <c r="O12" s="36">
        <f>'[9]3.3 Assets (RAB)'!$C$15/1000</f>
        <v>239882.38990682526</v>
      </c>
      <c r="P12" s="32"/>
    </row>
    <row r="13" spans="1:24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24" x14ac:dyDescent="0.25">
      <c r="A14" s="33" t="str">
        <f>CONCATENATE(B2)</f>
        <v>Real $2018</v>
      </c>
      <c r="B14" s="33"/>
      <c r="C14" s="32">
        <f t="shared" ref="C14:L14" si="2">C2</f>
        <v>2006</v>
      </c>
      <c r="D14" s="32">
        <f t="shared" si="2"/>
        <v>2007</v>
      </c>
      <c r="E14" s="32">
        <f t="shared" si="2"/>
        <v>2008</v>
      </c>
      <c r="F14" s="32">
        <f t="shared" si="2"/>
        <v>2009</v>
      </c>
      <c r="G14" s="32">
        <f t="shared" si="2"/>
        <v>2010</v>
      </c>
      <c r="H14" s="32">
        <f t="shared" si="2"/>
        <v>2011</v>
      </c>
      <c r="I14" s="32">
        <f t="shared" si="2"/>
        <v>2012</v>
      </c>
      <c r="J14" s="32">
        <f t="shared" si="2"/>
        <v>2013</v>
      </c>
      <c r="K14" s="32">
        <f t="shared" si="2"/>
        <v>2014</v>
      </c>
      <c r="L14" s="32">
        <f t="shared" si="2"/>
        <v>2015</v>
      </c>
      <c r="M14" s="32">
        <f t="shared" ref="M14" si="3">M2</f>
        <v>2016</v>
      </c>
      <c r="N14" s="32">
        <v>2017</v>
      </c>
      <c r="O14" s="32">
        <v>2018</v>
      </c>
      <c r="P14" s="32" t="s">
        <v>128</v>
      </c>
    </row>
    <row r="15" spans="1:24" x14ac:dyDescent="0.25">
      <c r="A15" s="47" t="s">
        <v>38</v>
      </c>
      <c r="B15" s="47" t="s">
        <v>102</v>
      </c>
      <c r="C15" s="36">
        <f t="shared" ref="C15:N15" si="4">C8*C$4</f>
        <v>121531.63289202838</v>
      </c>
      <c r="D15" s="36">
        <f t="shared" si="4"/>
        <v>106514.83670257765</v>
      </c>
      <c r="E15" s="36">
        <f t="shared" si="4"/>
        <v>207830.3666994269</v>
      </c>
      <c r="F15" s="36">
        <f t="shared" si="4"/>
        <v>72987.023992662755</v>
      </c>
      <c r="G15" s="36">
        <f t="shared" si="4"/>
        <v>24617.559311188939</v>
      </c>
      <c r="H15" s="36">
        <f t="shared" si="4"/>
        <v>114289.69589395916</v>
      </c>
      <c r="I15" s="36">
        <f t="shared" si="4"/>
        <v>360950.54759946209</v>
      </c>
      <c r="J15" s="36">
        <f t="shared" si="4"/>
        <v>199433.2139145034</v>
      </c>
      <c r="K15" s="36">
        <f t="shared" si="4"/>
        <v>252803.35776503483</v>
      </c>
      <c r="L15" s="36">
        <f t="shared" si="4"/>
        <v>103685.19210351072</v>
      </c>
      <c r="M15" s="36">
        <f t="shared" ref="M15" si="5">M8*M$4</f>
        <v>149590.43618892747</v>
      </c>
      <c r="N15" s="36">
        <f t="shared" si="4"/>
        <v>175995.99784204469</v>
      </c>
      <c r="O15" s="36">
        <f t="shared" ref="O15" si="6">O8*O$4</f>
        <v>207933.98753469772</v>
      </c>
      <c r="P15" s="49">
        <f>AVERAGE(K15:O15)</f>
        <v>178001.7942868431</v>
      </c>
    </row>
    <row r="16" spans="1:24" x14ac:dyDescent="0.25">
      <c r="A16" s="47" t="s">
        <v>21</v>
      </c>
      <c r="B16" s="47" t="s">
        <v>102</v>
      </c>
      <c r="C16" s="36">
        <f t="shared" ref="C16:N16" si="7">C9*C$4</f>
        <v>366697.42924965313</v>
      </c>
      <c r="D16" s="36">
        <f t="shared" si="7"/>
        <v>338045.49515023048</v>
      </c>
      <c r="E16" s="36">
        <f t="shared" si="7"/>
        <v>868478.44963929162</v>
      </c>
      <c r="F16" s="36">
        <f t="shared" si="7"/>
        <v>829190.67713053036</v>
      </c>
      <c r="G16" s="36">
        <f t="shared" si="7"/>
        <v>572619.49497380503</v>
      </c>
      <c r="H16" s="36">
        <f t="shared" si="7"/>
        <v>546215.04298221681</v>
      </c>
      <c r="I16" s="36">
        <f t="shared" si="7"/>
        <v>576074.21893963916</v>
      </c>
      <c r="J16" s="36">
        <f t="shared" si="7"/>
        <v>563988.4813834927</v>
      </c>
      <c r="K16" s="36">
        <f t="shared" si="7"/>
        <v>646001.76232985279</v>
      </c>
      <c r="L16" s="36">
        <f t="shared" si="7"/>
        <v>262986.80917740823</v>
      </c>
      <c r="M16" s="36">
        <f t="shared" ref="M16" si="8">M9*M$4</f>
        <v>131211.75813914466</v>
      </c>
      <c r="N16" s="36">
        <f t="shared" si="7"/>
        <v>171894.54066073327</v>
      </c>
      <c r="O16" s="36">
        <f t="shared" ref="O16" si="9">O9*O$4</f>
        <v>126363.09588665144</v>
      </c>
      <c r="P16" s="49">
        <f t="shared" ref="P16:P19" si="10">AVERAGE(K16:O16)</f>
        <v>267691.59323875804</v>
      </c>
    </row>
    <row r="17" spans="1:16" x14ac:dyDescent="0.25">
      <c r="A17" s="47" t="s">
        <v>36</v>
      </c>
      <c r="B17" s="47" t="s">
        <v>102</v>
      </c>
      <c r="C17" s="36">
        <f t="shared" ref="C17:N17" si="11">C10*C$3</f>
        <v>82162.243005995202</v>
      </c>
      <c r="D17" s="36">
        <f t="shared" si="11"/>
        <v>107529.98381660899</v>
      </c>
      <c r="E17" s="36">
        <f t="shared" si="11"/>
        <v>141032.66795243486</v>
      </c>
      <c r="F17" s="36">
        <f t="shared" si="11"/>
        <v>51256.912830636458</v>
      </c>
      <c r="G17" s="36">
        <f t="shared" si="11"/>
        <v>105283.53557462686</v>
      </c>
      <c r="H17" s="36">
        <f t="shared" si="11"/>
        <v>131034.589573057</v>
      </c>
      <c r="I17" s="36">
        <f t="shared" si="11"/>
        <v>142673.11978857714</v>
      </c>
      <c r="J17" s="36">
        <f t="shared" si="11"/>
        <v>186158.72744990175</v>
      </c>
      <c r="K17" s="36">
        <f t="shared" si="11"/>
        <v>193453.86132313614</v>
      </c>
      <c r="L17" s="36">
        <f t="shared" si="11"/>
        <v>206918.04468819467</v>
      </c>
      <c r="M17" s="36">
        <f t="shared" ref="M17" si="12">M10*M$3</f>
        <v>140681.93791399212</v>
      </c>
      <c r="N17" s="36">
        <f t="shared" si="11"/>
        <v>131122.57214729549</v>
      </c>
      <c r="O17" s="36">
        <f t="shared" ref="O17" si="13">O10*O$3</f>
        <v>116480.90455691886</v>
      </c>
      <c r="P17" s="49">
        <f t="shared" si="10"/>
        <v>157731.46412590746</v>
      </c>
    </row>
    <row r="18" spans="1:16" x14ac:dyDescent="0.25">
      <c r="A18" s="47" t="s">
        <v>30</v>
      </c>
      <c r="B18" s="47" t="s">
        <v>102</v>
      </c>
      <c r="C18" s="36">
        <f t="shared" ref="C18:N18" si="14">C11*C$4</f>
        <v>92109.199284009548</v>
      </c>
      <c r="D18" s="36">
        <f t="shared" si="14"/>
        <v>128948.81062355658</v>
      </c>
      <c r="E18" s="36">
        <f t="shared" si="14"/>
        <v>76347.114478114483</v>
      </c>
      <c r="F18" s="36">
        <f t="shared" si="14"/>
        <v>101392.17424242423</v>
      </c>
      <c r="G18" s="36">
        <f t="shared" si="14"/>
        <v>60344.743372216326</v>
      </c>
      <c r="H18" s="36">
        <f t="shared" si="14"/>
        <v>261615.16821465429</v>
      </c>
      <c r="I18" s="36">
        <f t="shared" si="14"/>
        <v>120389.21943887774</v>
      </c>
      <c r="J18" s="36">
        <f t="shared" si="14"/>
        <v>97821.733333333337</v>
      </c>
      <c r="K18" s="36">
        <f t="shared" si="14"/>
        <v>190197.10934466292</v>
      </c>
      <c r="L18" s="36">
        <f t="shared" si="14"/>
        <v>33537.649820787607</v>
      </c>
      <c r="M18" s="36">
        <f t="shared" ref="M18" si="15">M11*M$4</f>
        <v>26233.236234666689</v>
      </c>
      <c r="N18" s="36">
        <f t="shared" si="14"/>
        <v>28771.648784113644</v>
      </c>
      <c r="O18" s="36">
        <f t="shared" ref="O18" si="16">O11*O$4</f>
        <v>48180.812938597759</v>
      </c>
      <c r="P18" s="49">
        <f t="shared" si="10"/>
        <v>65384.091424565726</v>
      </c>
    </row>
    <row r="19" spans="1:16" x14ac:dyDescent="0.25">
      <c r="A19" s="47" t="s">
        <v>39</v>
      </c>
      <c r="B19" s="47" t="s">
        <v>102</v>
      </c>
      <c r="C19" s="36">
        <f t="shared" ref="C19:N19" si="17">C12*C$4</f>
        <v>220624.19570405729</v>
      </c>
      <c r="D19" s="36">
        <f t="shared" si="17"/>
        <v>297682.42032332561</v>
      </c>
      <c r="E19" s="36">
        <f t="shared" si="17"/>
        <v>431557.95847362519</v>
      </c>
      <c r="F19" s="36">
        <f t="shared" si="17"/>
        <v>678466.88134149101</v>
      </c>
      <c r="G19" s="36">
        <f t="shared" si="17"/>
        <v>291157.47676386306</v>
      </c>
      <c r="H19" s="36">
        <f t="shared" si="17"/>
        <v>436359.97372479347</v>
      </c>
      <c r="I19" s="36">
        <f t="shared" si="17"/>
        <v>431613.11961247615</v>
      </c>
      <c r="J19" s="36">
        <f t="shared" si="17"/>
        <v>432243.03073317843</v>
      </c>
      <c r="K19" s="36">
        <f t="shared" si="17"/>
        <v>652183.68627703039</v>
      </c>
      <c r="L19" s="36">
        <f t="shared" si="17"/>
        <v>320653.78150048328</v>
      </c>
      <c r="M19" s="36">
        <f t="shared" ref="M19" si="18">M12*M$4</f>
        <v>276374.52918017609</v>
      </c>
      <c r="N19" s="36">
        <f t="shared" si="17"/>
        <v>144666.85064149517</v>
      </c>
      <c r="O19" s="36">
        <f t="shared" ref="O19" si="19">O12*O$4</f>
        <v>244162.18276867765</v>
      </c>
      <c r="P19" s="49">
        <f t="shared" si="10"/>
        <v>327608.20607357251</v>
      </c>
    </row>
    <row r="20" spans="1:16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294"/>
  <sheetViews>
    <sheetView topLeftCell="A236" workbookViewId="0">
      <selection activeCell="A272" sqref="A272"/>
    </sheetView>
  </sheetViews>
  <sheetFormatPr defaultRowHeight="15" x14ac:dyDescent="0.25"/>
  <cols>
    <col min="1" max="1" width="24.85546875" style="6" customWidth="1"/>
    <col min="2" max="2" width="23.85546875" style="6" bestFit="1" customWidth="1"/>
    <col min="4" max="4" width="32" customWidth="1"/>
    <col min="5" max="5" width="12.140625" customWidth="1"/>
    <col min="15" max="15" width="9.140625" style="17"/>
    <col min="17" max="17" width="9.140625" style="32"/>
  </cols>
  <sheetData>
    <row r="1" spans="1:18" ht="34.5" customHeight="1" x14ac:dyDescent="0.25">
      <c r="A1" s="1"/>
      <c r="B1" s="7" t="s">
        <v>10</v>
      </c>
      <c r="D1" s="63" t="s">
        <v>92</v>
      </c>
    </row>
    <row r="2" spans="1:18" x14ac:dyDescent="0.25">
      <c r="A2" s="3" t="s">
        <v>1</v>
      </c>
      <c r="B2" s="8" t="s">
        <v>11</v>
      </c>
      <c r="D2" s="25"/>
      <c r="E2" s="25"/>
      <c r="F2" s="25">
        <v>2006</v>
      </c>
      <c r="G2" s="25">
        <v>2007</v>
      </c>
      <c r="H2" s="25">
        <v>2008</v>
      </c>
      <c r="I2" s="25">
        <v>2009</v>
      </c>
      <c r="J2" s="25">
        <v>2010</v>
      </c>
      <c r="K2" s="25">
        <v>2011</v>
      </c>
      <c r="L2" s="25">
        <v>2012</v>
      </c>
      <c r="M2" s="25">
        <v>2013</v>
      </c>
      <c r="N2" s="25">
        <v>2014</v>
      </c>
      <c r="O2" s="25">
        <v>2015</v>
      </c>
      <c r="P2" s="25">
        <v>2016</v>
      </c>
      <c r="Q2" s="25">
        <v>2017</v>
      </c>
      <c r="R2" s="25">
        <v>2018</v>
      </c>
    </row>
    <row r="3" spans="1:18" x14ac:dyDescent="0.25">
      <c r="A3" s="3" t="s">
        <v>2</v>
      </c>
      <c r="B3" s="8" t="s">
        <v>12</v>
      </c>
      <c r="D3" s="25" t="s">
        <v>0</v>
      </c>
      <c r="E3" s="25"/>
      <c r="F3" s="31">
        <f>B244</f>
        <v>86.6</v>
      </c>
      <c r="G3" s="31">
        <f>B248</f>
        <v>89.1</v>
      </c>
      <c r="H3" s="31">
        <f>B252</f>
        <v>92.4</v>
      </c>
      <c r="I3" s="31">
        <f>B256</f>
        <v>94.3</v>
      </c>
      <c r="J3" s="31">
        <f>B260</f>
        <v>96.9</v>
      </c>
      <c r="K3" s="31">
        <f>B264</f>
        <v>99.8</v>
      </c>
      <c r="L3" s="31">
        <f>B268</f>
        <v>102</v>
      </c>
      <c r="M3" s="31">
        <f>B272</f>
        <v>104.8</v>
      </c>
      <c r="N3" s="31">
        <f>B276</f>
        <v>106.6</v>
      </c>
      <c r="O3" s="26">
        <f>B280</f>
        <v>108.4</v>
      </c>
      <c r="P3" s="26">
        <f>B284</f>
        <v>110</v>
      </c>
      <c r="Q3" s="25">
        <f>B288</f>
        <v>112.1</v>
      </c>
      <c r="R3" s="66">
        <f>B292</f>
        <v>114.1</v>
      </c>
    </row>
    <row r="4" spans="1:18" x14ac:dyDescent="0.25">
      <c r="A4" s="3" t="s">
        <v>3</v>
      </c>
      <c r="B4" s="8" t="s">
        <v>13</v>
      </c>
      <c r="D4" s="25" t="s">
        <v>17</v>
      </c>
      <c r="E4" s="25"/>
      <c r="F4" s="31">
        <f>B242</f>
        <v>85.9</v>
      </c>
      <c r="G4" s="31">
        <f>B246</f>
        <v>87.7</v>
      </c>
      <c r="H4" s="31">
        <f>B250</f>
        <v>91.6</v>
      </c>
      <c r="I4" s="31">
        <f>B254</f>
        <v>92.9</v>
      </c>
      <c r="J4" s="31">
        <f>B258</f>
        <v>95.8</v>
      </c>
      <c r="K4" s="31">
        <f>B262</f>
        <v>99.2</v>
      </c>
      <c r="L4" s="31">
        <f>B266</f>
        <v>100.4</v>
      </c>
      <c r="M4" s="31">
        <f>B270</f>
        <v>102.8</v>
      </c>
      <c r="N4" s="31">
        <f>B274</f>
        <v>105.9</v>
      </c>
      <c r="O4" s="26">
        <f>B278</f>
        <v>107.5</v>
      </c>
      <c r="P4" s="26">
        <f>B282</f>
        <v>108.6</v>
      </c>
      <c r="Q4" s="25">
        <f>B286</f>
        <v>110.7</v>
      </c>
      <c r="R4" s="66">
        <f>B290</f>
        <v>113</v>
      </c>
    </row>
    <row r="5" spans="1:18" x14ac:dyDescent="0.25">
      <c r="A5" s="3" t="s">
        <v>4</v>
      </c>
      <c r="B5" s="8" t="s">
        <v>14</v>
      </c>
      <c r="D5" s="25" t="s">
        <v>16</v>
      </c>
      <c r="E5" s="25"/>
      <c r="F5" s="31">
        <f>B240</f>
        <v>83.8</v>
      </c>
      <c r="G5" s="31">
        <f>B244</f>
        <v>86.6</v>
      </c>
      <c r="H5" s="31">
        <f>B248</f>
        <v>89.1</v>
      </c>
      <c r="I5" s="31">
        <f>B252</f>
        <v>92.4</v>
      </c>
      <c r="J5" s="31">
        <f>B256</f>
        <v>94.3</v>
      </c>
      <c r="K5" s="31">
        <f>B260</f>
        <v>96.9</v>
      </c>
      <c r="L5" s="31">
        <f>B264</f>
        <v>99.8</v>
      </c>
      <c r="M5" s="31">
        <f>B268</f>
        <v>102</v>
      </c>
      <c r="N5" s="31">
        <f>B272</f>
        <v>104.8</v>
      </c>
      <c r="O5" s="31">
        <f>B276</f>
        <v>106.6</v>
      </c>
      <c r="P5" s="26">
        <f>B280</f>
        <v>108.4</v>
      </c>
      <c r="Q5" s="70">
        <f>B284</f>
        <v>110</v>
      </c>
      <c r="R5" s="66">
        <f>B288</f>
        <v>112.1</v>
      </c>
    </row>
    <row r="6" spans="1:18" x14ac:dyDescent="0.25">
      <c r="A6" s="3" t="s">
        <v>5</v>
      </c>
      <c r="B6" s="6">
        <v>3</v>
      </c>
      <c r="D6" s="25" t="s">
        <v>61</v>
      </c>
      <c r="E6" s="25"/>
      <c r="F6" s="31">
        <f>B239</f>
        <v>83.4</v>
      </c>
      <c r="G6" s="31">
        <f>B243</f>
        <v>86.7</v>
      </c>
      <c r="H6" s="31">
        <f>B247</f>
        <v>88.3</v>
      </c>
      <c r="I6" s="31">
        <f>B251</f>
        <v>92.7</v>
      </c>
      <c r="J6" s="31">
        <f>B255</f>
        <v>93.8</v>
      </c>
      <c r="K6" s="31">
        <f>B259</f>
        <v>96.5</v>
      </c>
      <c r="L6" s="31">
        <f>B263</f>
        <v>99.8</v>
      </c>
      <c r="M6" s="31">
        <f>B267</f>
        <v>101.8</v>
      </c>
      <c r="N6" s="31">
        <f>B271</f>
        <v>104</v>
      </c>
      <c r="O6" s="31">
        <f>B275</f>
        <v>106.4</v>
      </c>
      <c r="P6" s="31">
        <f>B279</f>
        <v>108</v>
      </c>
      <c r="Q6" s="25">
        <f>B283</f>
        <v>109.4</v>
      </c>
      <c r="R6" s="66">
        <f>B287</f>
        <v>111.4</v>
      </c>
    </row>
    <row r="7" spans="1:18" x14ac:dyDescent="0.25">
      <c r="A7" s="4" t="s">
        <v>6</v>
      </c>
      <c r="B7" s="9">
        <v>17777</v>
      </c>
      <c r="D7" s="27" t="str">
        <f>"Convert to real"</f>
        <v>Convert to real</v>
      </c>
      <c r="E7" s="28">
        <v>2018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5"/>
      <c r="R7" s="25"/>
    </row>
    <row r="8" spans="1:18" x14ac:dyDescent="0.25">
      <c r="A8" s="4" t="s">
        <v>7</v>
      </c>
      <c r="B8" s="9">
        <v>41699</v>
      </c>
      <c r="D8" s="25"/>
      <c r="E8" s="25">
        <f>MATCH(Real_year,F2:R2)</f>
        <v>13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5"/>
      <c r="R8" s="25"/>
    </row>
    <row r="9" spans="1:18" x14ac:dyDescent="0.25">
      <c r="A9" s="3" t="s">
        <v>8</v>
      </c>
      <c r="B9" s="6">
        <v>263</v>
      </c>
      <c r="D9" s="23" t="str">
        <f>CONCATENATE(D7, " ",Real_year)</f>
        <v>Convert to real 2018</v>
      </c>
      <c r="E9" s="25">
        <f>INDEX(F2:R5,2,$E$8)</f>
        <v>114.1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5"/>
      <c r="R9" s="25"/>
    </row>
    <row r="10" spans="1:18" x14ac:dyDescent="0.25">
      <c r="A10" s="3" t="s">
        <v>9</v>
      </c>
      <c r="B10" s="8" t="s">
        <v>15</v>
      </c>
      <c r="D10" s="25" t="s">
        <v>58</v>
      </c>
      <c r="E10" s="25"/>
      <c r="F10" s="29">
        <f t="shared" ref="F10:Q10" si="0">$E$9/F4</f>
        <v>1.3282887077997669</v>
      </c>
      <c r="G10" s="29">
        <f t="shared" si="0"/>
        <v>1.3010262257696692</v>
      </c>
      <c r="H10" s="29">
        <f t="shared" si="0"/>
        <v>1.2456331877729259</v>
      </c>
      <c r="I10" s="29">
        <f t="shared" si="0"/>
        <v>1.2282023681377825</v>
      </c>
      <c r="J10" s="29">
        <f t="shared" si="0"/>
        <v>1.1910229645093946</v>
      </c>
      <c r="K10" s="29">
        <f t="shared" si="0"/>
        <v>1.1502016129032258</v>
      </c>
      <c r="L10" s="29">
        <f t="shared" si="0"/>
        <v>1.1364541832669321</v>
      </c>
      <c r="M10" s="29">
        <f t="shared" si="0"/>
        <v>1.1099221789883269</v>
      </c>
      <c r="N10" s="29">
        <f t="shared" si="0"/>
        <v>1.077431539187913</v>
      </c>
      <c r="O10" s="29">
        <f t="shared" si="0"/>
        <v>1.0613953488372092</v>
      </c>
      <c r="P10" s="29">
        <f t="shared" si="0"/>
        <v>1.0506445672191529</v>
      </c>
      <c r="Q10" s="29">
        <f t="shared" si="0"/>
        <v>1.0307136404697379</v>
      </c>
      <c r="R10" s="29">
        <f t="shared" ref="R10" si="1">$E$9/R4</f>
        <v>1.0097345132743363</v>
      </c>
    </row>
    <row r="11" spans="1:18" x14ac:dyDescent="0.25">
      <c r="A11" s="5">
        <v>17777</v>
      </c>
      <c r="B11" s="67">
        <v>3.7</v>
      </c>
      <c r="D11" s="25" t="s">
        <v>59</v>
      </c>
      <c r="E11" s="25"/>
      <c r="F11" s="29">
        <f t="shared" ref="F11:N11" si="2">currency_base/F5</f>
        <v>1.3615751789976134</v>
      </c>
      <c r="G11" s="29">
        <f t="shared" si="2"/>
        <v>1.3175519630484989</v>
      </c>
      <c r="H11" s="29">
        <f t="shared" si="2"/>
        <v>1.2805836139169473</v>
      </c>
      <c r="I11" s="29">
        <f t="shared" si="2"/>
        <v>1.2348484848484846</v>
      </c>
      <c r="J11" s="29">
        <f t="shared" si="2"/>
        <v>1.209968186638388</v>
      </c>
      <c r="K11" s="29">
        <f t="shared" si="2"/>
        <v>1.1775025799793601</v>
      </c>
      <c r="L11" s="29">
        <f t="shared" si="2"/>
        <v>1.1432865731462925</v>
      </c>
      <c r="M11" s="29">
        <f t="shared" si="2"/>
        <v>1.1186274509803922</v>
      </c>
      <c r="N11" s="29">
        <f t="shared" si="2"/>
        <v>1.0887404580152671</v>
      </c>
      <c r="O11" s="29">
        <f t="shared" ref="O11" si="3">currency_base/O5</f>
        <v>1.0703564727954973</v>
      </c>
      <c r="P11" s="29">
        <f t="shared" ref="P11:R12" si="4">currency_base/P5</f>
        <v>1.0525830258302582</v>
      </c>
      <c r="Q11" s="29">
        <f t="shared" si="4"/>
        <v>1.0372727272727271</v>
      </c>
      <c r="R11" s="29">
        <f t="shared" si="4"/>
        <v>1.0178412132024979</v>
      </c>
    </row>
    <row r="12" spans="1:18" x14ac:dyDescent="0.25">
      <c r="A12" s="5">
        <v>17868</v>
      </c>
      <c r="B12" s="67">
        <v>3.8</v>
      </c>
      <c r="D12" s="25" t="s">
        <v>60</v>
      </c>
      <c r="E12" s="25"/>
      <c r="F12" s="29">
        <f t="shared" ref="F12:N12" si="5">currency_base/F6</f>
        <v>1.3681055155875299</v>
      </c>
      <c r="G12" s="29">
        <f t="shared" si="5"/>
        <v>1.3160322952710495</v>
      </c>
      <c r="H12" s="29">
        <f t="shared" si="5"/>
        <v>1.2921857304643261</v>
      </c>
      <c r="I12" s="29">
        <f t="shared" si="5"/>
        <v>1.2308522114347356</v>
      </c>
      <c r="J12" s="29">
        <f t="shared" si="5"/>
        <v>1.2164179104477613</v>
      </c>
      <c r="K12" s="29">
        <f t="shared" si="5"/>
        <v>1.1823834196891192</v>
      </c>
      <c r="L12" s="29">
        <f t="shared" si="5"/>
        <v>1.1432865731462925</v>
      </c>
      <c r="M12" s="29">
        <f t="shared" si="5"/>
        <v>1.1208251473477406</v>
      </c>
      <c r="N12" s="29">
        <f t="shared" si="5"/>
        <v>1.0971153846153845</v>
      </c>
      <c r="O12" s="29">
        <f t="shared" ref="O12" si="6">currency_base/O6</f>
        <v>1.0723684210526314</v>
      </c>
      <c r="P12" s="29">
        <f t="shared" ref="P12" si="7">currency_base/P6</f>
        <v>1.0564814814814814</v>
      </c>
      <c r="Q12" s="29">
        <f t="shared" si="4"/>
        <v>1.042961608775137</v>
      </c>
      <c r="R12" s="29">
        <f t="shared" si="4"/>
        <v>1.0242369838420107</v>
      </c>
    </row>
    <row r="13" spans="1:18" x14ac:dyDescent="0.25">
      <c r="A13" s="5">
        <v>17958</v>
      </c>
      <c r="B13" s="67">
        <v>3.9</v>
      </c>
      <c r="D13" s="30" t="s">
        <v>101</v>
      </c>
    </row>
    <row r="14" spans="1:18" x14ac:dyDescent="0.25">
      <c r="A14" s="5">
        <v>18050</v>
      </c>
      <c r="B14" s="67">
        <v>4</v>
      </c>
    </row>
    <row r="15" spans="1:18" x14ac:dyDescent="0.25">
      <c r="A15" s="5">
        <v>18142</v>
      </c>
      <c r="B15" s="67">
        <v>4.0999999999999996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R15" s="68"/>
    </row>
    <row r="16" spans="1:18" x14ac:dyDescent="0.25">
      <c r="A16" s="5">
        <v>18233</v>
      </c>
      <c r="B16" s="67">
        <v>4.0999999999999996</v>
      </c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R16" s="68"/>
    </row>
    <row r="17" spans="1:16" x14ac:dyDescent="0.25">
      <c r="A17" s="5">
        <v>18323</v>
      </c>
      <c r="B17" s="67">
        <v>4.2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6" x14ac:dyDescent="0.25">
      <c r="A18" s="5">
        <v>18415</v>
      </c>
      <c r="B18" s="67">
        <v>4.3</v>
      </c>
    </row>
    <row r="19" spans="1:16" x14ac:dyDescent="0.25">
      <c r="A19" s="5">
        <v>18507</v>
      </c>
      <c r="B19" s="67">
        <v>4.4000000000000004</v>
      </c>
    </row>
    <row r="20" spans="1:16" x14ac:dyDescent="0.25">
      <c r="A20" s="5">
        <v>18598</v>
      </c>
      <c r="B20" s="67">
        <v>4.5999999999999996</v>
      </c>
    </row>
    <row r="21" spans="1:16" x14ac:dyDescent="0.25">
      <c r="A21" s="5">
        <v>18688</v>
      </c>
      <c r="B21" s="67">
        <v>4.8</v>
      </c>
    </row>
    <row r="22" spans="1:16" x14ac:dyDescent="0.25">
      <c r="A22" s="5">
        <v>18780</v>
      </c>
      <c r="B22" s="67">
        <v>5.0999999999999996</v>
      </c>
    </row>
    <row r="23" spans="1:16" x14ac:dyDescent="0.25">
      <c r="A23" s="5">
        <v>18872</v>
      </c>
      <c r="B23" s="67">
        <v>5.3</v>
      </c>
    </row>
    <row r="24" spans="1:16" x14ac:dyDescent="0.25">
      <c r="A24" s="5">
        <v>18963</v>
      </c>
      <c r="B24" s="67">
        <v>5.7</v>
      </c>
    </row>
    <row r="25" spans="1:16" x14ac:dyDescent="0.25">
      <c r="A25" s="5">
        <v>19054</v>
      </c>
      <c r="B25" s="67">
        <v>5.9</v>
      </c>
    </row>
    <row r="26" spans="1:16" x14ac:dyDescent="0.25">
      <c r="A26" s="5">
        <v>19146</v>
      </c>
      <c r="B26" s="67">
        <v>6.1</v>
      </c>
    </row>
    <row r="27" spans="1:16" x14ac:dyDescent="0.25">
      <c r="A27" s="5">
        <v>19238</v>
      </c>
      <c r="B27" s="67">
        <v>6.2</v>
      </c>
    </row>
    <row r="28" spans="1:16" x14ac:dyDescent="0.25">
      <c r="A28" s="5">
        <v>19329</v>
      </c>
      <c r="B28" s="67">
        <v>6.3</v>
      </c>
    </row>
    <row r="29" spans="1:16" x14ac:dyDescent="0.25">
      <c r="A29" s="5">
        <v>19419</v>
      </c>
      <c r="B29" s="67">
        <v>6.3</v>
      </c>
    </row>
    <row r="30" spans="1:16" x14ac:dyDescent="0.25">
      <c r="A30" s="5">
        <v>19511</v>
      </c>
      <c r="B30" s="67">
        <v>6.4</v>
      </c>
    </row>
    <row r="31" spans="1:16" x14ac:dyDescent="0.25">
      <c r="A31" s="5">
        <v>19603</v>
      </c>
      <c r="B31" s="67">
        <v>6.5</v>
      </c>
    </row>
    <row r="32" spans="1:16" x14ac:dyDescent="0.25">
      <c r="A32" s="5">
        <v>19694</v>
      </c>
      <c r="B32" s="67">
        <v>6.4</v>
      </c>
    </row>
    <row r="33" spans="1:2" x14ac:dyDescent="0.25">
      <c r="A33" s="5">
        <v>19784</v>
      </c>
      <c r="B33" s="67">
        <v>6.5</v>
      </c>
    </row>
    <row r="34" spans="1:2" x14ac:dyDescent="0.25">
      <c r="A34" s="5">
        <v>19876</v>
      </c>
      <c r="B34" s="67">
        <v>6.5</v>
      </c>
    </row>
    <row r="35" spans="1:2" x14ac:dyDescent="0.25">
      <c r="A35" s="5">
        <v>19968</v>
      </c>
      <c r="B35" s="67">
        <v>6.5</v>
      </c>
    </row>
    <row r="36" spans="1:2" x14ac:dyDescent="0.25">
      <c r="A36" s="5">
        <v>20059</v>
      </c>
      <c r="B36" s="67">
        <v>6.5</v>
      </c>
    </row>
    <row r="37" spans="1:2" x14ac:dyDescent="0.25">
      <c r="A37" s="5">
        <v>20149</v>
      </c>
      <c r="B37" s="67">
        <v>6.5</v>
      </c>
    </row>
    <row r="38" spans="1:2" x14ac:dyDescent="0.25">
      <c r="A38" s="5">
        <v>20241</v>
      </c>
      <c r="B38" s="67">
        <v>6.6</v>
      </c>
    </row>
    <row r="39" spans="1:2" x14ac:dyDescent="0.25">
      <c r="A39" s="5">
        <v>20333</v>
      </c>
      <c r="B39" s="67">
        <v>6.6</v>
      </c>
    </row>
    <row r="40" spans="1:2" x14ac:dyDescent="0.25">
      <c r="A40" s="5">
        <v>20424</v>
      </c>
      <c r="B40" s="67">
        <v>6.7</v>
      </c>
    </row>
    <row r="41" spans="1:2" x14ac:dyDescent="0.25">
      <c r="A41" s="5">
        <v>20515</v>
      </c>
      <c r="B41" s="67">
        <v>6.7</v>
      </c>
    </row>
    <row r="42" spans="1:2" x14ac:dyDescent="0.25">
      <c r="A42" s="5">
        <v>20607</v>
      </c>
      <c r="B42" s="67">
        <v>7</v>
      </c>
    </row>
    <row r="43" spans="1:2" x14ac:dyDescent="0.25">
      <c r="A43" s="5">
        <v>20699</v>
      </c>
      <c r="B43" s="67">
        <v>7.1</v>
      </c>
    </row>
    <row r="44" spans="1:2" x14ac:dyDescent="0.25">
      <c r="A44" s="5">
        <v>20790</v>
      </c>
      <c r="B44" s="67">
        <v>7.1</v>
      </c>
    </row>
    <row r="45" spans="1:2" x14ac:dyDescent="0.25">
      <c r="A45" s="5">
        <v>20880</v>
      </c>
      <c r="B45" s="67">
        <v>7.1</v>
      </c>
    </row>
    <row r="46" spans="1:2" x14ac:dyDescent="0.25">
      <c r="A46" s="5">
        <v>20972</v>
      </c>
      <c r="B46" s="67">
        <v>7.2</v>
      </c>
    </row>
    <row r="47" spans="1:2" x14ac:dyDescent="0.25">
      <c r="A47" s="5">
        <v>21064</v>
      </c>
      <c r="B47" s="67">
        <v>7.2</v>
      </c>
    </row>
    <row r="48" spans="1:2" x14ac:dyDescent="0.25">
      <c r="A48" s="5">
        <v>21155</v>
      </c>
      <c r="B48" s="67">
        <v>7.2</v>
      </c>
    </row>
    <row r="49" spans="1:2" x14ac:dyDescent="0.25">
      <c r="A49" s="5">
        <v>21245</v>
      </c>
      <c r="B49" s="67">
        <v>7.2</v>
      </c>
    </row>
    <row r="50" spans="1:2" x14ac:dyDescent="0.25">
      <c r="A50" s="5">
        <v>21337</v>
      </c>
      <c r="B50" s="67">
        <v>7.2</v>
      </c>
    </row>
    <row r="51" spans="1:2" x14ac:dyDescent="0.25">
      <c r="A51" s="5">
        <v>21429</v>
      </c>
      <c r="B51" s="67">
        <v>7.2</v>
      </c>
    </row>
    <row r="52" spans="1:2" x14ac:dyDescent="0.25">
      <c r="A52" s="5">
        <v>21520</v>
      </c>
      <c r="B52" s="67">
        <v>7.3</v>
      </c>
    </row>
    <row r="53" spans="1:2" x14ac:dyDescent="0.25">
      <c r="A53" s="5">
        <v>21610</v>
      </c>
      <c r="B53" s="67">
        <v>7.3</v>
      </c>
    </row>
    <row r="54" spans="1:2" x14ac:dyDescent="0.25">
      <c r="A54" s="5">
        <v>21702</v>
      </c>
      <c r="B54" s="67">
        <v>7.3</v>
      </c>
    </row>
    <row r="55" spans="1:2" x14ac:dyDescent="0.25">
      <c r="A55" s="5">
        <v>21794</v>
      </c>
      <c r="B55" s="67">
        <v>7.4</v>
      </c>
    </row>
    <row r="56" spans="1:2" x14ac:dyDescent="0.25">
      <c r="A56" s="5">
        <v>21885</v>
      </c>
      <c r="B56" s="67">
        <v>7.5</v>
      </c>
    </row>
    <row r="57" spans="1:2" x14ac:dyDescent="0.25">
      <c r="A57" s="5">
        <v>21976</v>
      </c>
      <c r="B57" s="67">
        <v>7.5</v>
      </c>
    </row>
    <row r="58" spans="1:2" x14ac:dyDescent="0.25">
      <c r="A58" s="5">
        <v>22068</v>
      </c>
      <c r="B58" s="67">
        <v>7.6</v>
      </c>
    </row>
    <row r="59" spans="1:2" x14ac:dyDescent="0.25">
      <c r="A59" s="5">
        <v>22160</v>
      </c>
      <c r="B59" s="67">
        <v>7.7</v>
      </c>
    </row>
    <row r="60" spans="1:2" x14ac:dyDescent="0.25">
      <c r="A60" s="5">
        <v>22251</v>
      </c>
      <c r="B60" s="67">
        <v>7.8</v>
      </c>
    </row>
    <row r="61" spans="1:2" x14ac:dyDescent="0.25">
      <c r="A61" s="5">
        <v>22341</v>
      </c>
      <c r="B61" s="67">
        <v>7.8</v>
      </c>
    </row>
    <row r="62" spans="1:2" x14ac:dyDescent="0.25">
      <c r="A62" s="5">
        <v>22433</v>
      </c>
      <c r="B62" s="67">
        <v>7.9</v>
      </c>
    </row>
    <row r="63" spans="1:2" x14ac:dyDescent="0.25">
      <c r="A63" s="5">
        <v>22525</v>
      </c>
      <c r="B63" s="67">
        <v>7.8</v>
      </c>
    </row>
    <row r="64" spans="1:2" x14ac:dyDescent="0.25">
      <c r="A64" s="5">
        <v>22616</v>
      </c>
      <c r="B64" s="67">
        <v>7.8</v>
      </c>
    </row>
    <row r="65" spans="1:2" x14ac:dyDescent="0.25">
      <c r="A65" s="5">
        <v>22706</v>
      </c>
      <c r="B65" s="67">
        <v>7.8</v>
      </c>
    </row>
    <row r="66" spans="1:2" x14ac:dyDescent="0.25">
      <c r="A66" s="5">
        <v>22798</v>
      </c>
      <c r="B66" s="67">
        <v>7.8</v>
      </c>
    </row>
    <row r="67" spans="1:2" x14ac:dyDescent="0.25">
      <c r="A67" s="5">
        <v>22890</v>
      </c>
      <c r="B67" s="67">
        <v>7.8</v>
      </c>
    </row>
    <row r="68" spans="1:2" x14ac:dyDescent="0.25">
      <c r="A68" s="5">
        <v>22981</v>
      </c>
      <c r="B68" s="67">
        <v>7.8</v>
      </c>
    </row>
    <row r="69" spans="1:2" x14ac:dyDescent="0.25">
      <c r="A69" s="5">
        <v>23071</v>
      </c>
      <c r="B69" s="67">
        <v>7.8</v>
      </c>
    </row>
    <row r="70" spans="1:2" x14ac:dyDescent="0.25">
      <c r="A70" s="5">
        <v>23163</v>
      </c>
      <c r="B70" s="67">
        <v>7.8</v>
      </c>
    </row>
    <row r="71" spans="1:2" x14ac:dyDescent="0.25">
      <c r="A71" s="5">
        <v>23255</v>
      </c>
      <c r="B71" s="67">
        <v>7.9</v>
      </c>
    </row>
    <row r="72" spans="1:2" x14ac:dyDescent="0.25">
      <c r="A72" s="5">
        <v>23346</v>
      </c>
      <c r="B72" s="67">
        <v>7.9</v>
      </c>
    </row>
    <row r="73" spans="1:2" x14ac:dyDescent="0.25">
      <c r="A73" s="5">
        <v>23437</v>
      </c>
      <c r="B73" s="67">
        <v>8</v>
      </c>
    </row>
    <row r="74" spans="1:2" x14ac:dyDescent="0.25">
      <c r="A74" s="5">
        <v>23529</v>
      </c>
      <c r="B74" s="67">
        <v>8</v>
      </c>
    </row>
    <row r="75" spans="1:2" x14ac:dyDescent="0.25">
      <c r="A75" s="5">
        <v>23621</v>
      </c>
      <c r="B75" s="67">
        <v>8.1</v>
      </c>
    </row>
    <row r="76" spans="1:2" x14ac:dyDescent="0.25">
      <c r="A76" s="5">
        <v>23712</v>
      </c>
      <c r="B76" s="67">
        <v>8.1999999999999993</v>
      </c>
    </row>
    <row r="77" spans="1:2" x14ac:dyDescent="0.25">
      <c r="A77" s="5">
        <v>23802</v>
      </c>
      <c r="B77" s="67">
        <v>8.1999999999999993</v>
      </c>
    </row>
    <row r="78" spans="1:2" x14ac:dyDescent="0.25">
      <c r="A78" s="5">
        <v>23894</v>
      </c>
      <c r="B78" s="67">
        <v>8.3000000000000007</v>
      </c>
    </row>
    <row r="79" spans="1:2" x14ac:dyDescent="0.25">
      <c r="A79" s="5">
        <v>23986</v>
      </c>
      <c r="B79" s="67">
        <v>8.4</v>
      </c>
    </row>
    <row r="80" spans="1:2" x14ac:dyDescent="0.25">
      <c r="A80" s="5">
        <v>24077</v>
      </c>
      <c r="B80" s="67">
        <v>8.5</v>
      </c>
    </row>
    <row r="81" spans="1:2" x14ac:dyDescent="0.25">
      <c r="A81" s="5">
        <v>24167</v>
      </c>
      <c r="B81" s="67">
        <v>8.6</v>
      </c>
    </row>
    <row r="82" spans="1:2" x14ac:dyDescent="0.25">
      <c r="A82" s="5">
        <v>24259</v>
      </c>
      <c r="B82" s="67">
        <v>8.6</v>
      </c>
    </row>
    <row r="83" spans="1:2" x14ac:dyDescent="0.25">
      <c r="A83" s="5">
        <v>24351</v>
      </c>
      <c r="B83" s="67">
        <v>8.6</v>
      </c>
    </row>
    <row r="84" spans="1:2" x14ac:dyDescent="0.25">
      <c r="A84" s="5">
        <v>24442</v>
      </c>
      <c r="B84" s="67">
        <v>8.6999999999999993</v>
      </c>
    </row>
    <row r="85" spans="1:2" x14ac:dyDescent="0.25">
      <c r="A85" s="5">
        <v>24532</v>
      </c>
      <c r="B85" s="67">
        <v>8.8000000000000007</v>
      </c>
    </row>
    <row r="86" spans="1:2" x14ac:dyDescent="0.25">
      <c r="A86" s="5">
        <v>24624</v>
      </c>
      <c r="B86" s="67">
        <v>8.9</v>
      </c>
    </row>
    <row r="87" spans="1:2" x14ac:dyDescent="0.25">
      <c r="A87" s="5">
        <v>24716</v>
      </c>
      <c r="B87" s="67">
        <v>9</v>
      </c>
    </row>
    <row r="88" spans="1:2" x14ac:dyDescent="0.25">
      <c r="A88" s="5">
        <v>24807</v>
      </c>
      <c r="B88" s="67">
        <v>9</v>
      </c>
    </row>
    <row r="89" spans="1:2" x14ac:dyDescent="0.25">
      <c r="A89" s="5">
        <v>24898</v>
      </c>
      <c r="B89" s="67">
        <v>9.1</v>
      </c>
    </row>
    <row r="90" spans="1:2" x14ac:dyDescent="0.25">
      <c r="A90" s="5">
        <v>24990</v>
      </c>
      <c r="B90" s="67">
        <v>9.1</v>
      </c>
    </row>
    <row r="91" spans="1:2" x14ac:dyDescent="0.25">
      <c r="A91" s="5">
        <v>25082</v>
      </c>
      <c r="B91" s="67">
        <v>9.1999999999999993</v>
      </c>
    </row>
    <row r="92" spans="1:2" x14ac:dyDescent="0.25">
      <c r="A92" s="5">
        <v>25173</v>
      </c>
      <c r="B92" s="67">
        <v>9.1999999999999993</v>
      </c>
    </row>
    <row r="93" spans="1:2" x14ac:dyDescent="0.25">
      <c r="A93" s="5">
        <v>25263</v>
      </c>
      <c r="B93" s="67">
        <v>9.4</v>
      </c>
    </row>
    <row r="94" spans="1:2" x14ac:dyDescent="0.25">
      <c r="A94" s="5">
        <v>25355</v>
      </c>
      <c r="B94" s="67">
        <v>9.4</v>
      </c>
    </row>
    <row r="95" spans="1:2" x14ac:dyDescent="0.25">
      <c r="A95" s="5">
        <v>25447</v>
      </c>
      <c r="B95" s="67">
        <v>9.5</v>
      </c>
    </row>
    <row r="96" spans="1:2" x14ac:dyDescent="0.25">
      <c r="A96" s="5">
        <v>25538</v>
      </c>
      <c r="B96" s="67">
        <v>9.5</v>
      </c>
    </row>
    <row r="97" spans="1:2" x14ac:dyDescent="0.25">
      <c r="A97" s="5">
        <v>25628</v>
      </c>
      <c r="B97" s="67">
        <v>9.6</v>
      </c>
    </row>
    <row r="98" spans="1:2" x14ac:dyDescent="0.25">
      <c r="A98" s="5">
        <v>25720</v>
      </c>
      <c r="B98" s="67">
        <v>9.6999999999999993</v>
      </c>
    </row>
    <row r="99" spans="1:2" x14ac:dyDescent="0.25">
      <c r="A99" s="5">
        <v>25812</v>
      </c>
      <c r="B99" s="67">
        <v>9.8000000000000007</v>
      </c>
    </row>
    <row r="100" spans="1:2" x14ac:dyDescent="0.25">
      <c r="A100" s="5">
        <v>25903</v>
      </c>
      <c r="B100" s="67">
        <v>10</v>
      </c>
    </row>
    <row r="101" spans="1:2" x14ac:dyDescent="0.25">
      <c r="A101" s="5">
        <v>25993</v>
      </c>
      <c r="B101" s="67">
        <v>10.1</v>
      </c>
    </row>
    <row r="102" spans="1:2" x14ac:dyDescent="0.25">
      <c r="A102" s="5">
        <v>26085</v>
      </c>
      <c r="B102" s="67">
        <v>10.199999999999999</v>
      </c>
    </row>
    <row r="103" spans="1:2" x14ac:dyDescent="0.25">
      <c r="A103" s="5">
        <v>26177</v>
      </c>
      <c r="B103" s="67">
        <v>10.5</v>
      </c>
    </row>
    <row r="104" spans="1:2" x14ac:dyDescent="0.25">
      <c r="A104" s="5">
        <v>26268</v>
      </c>
      <c r="B104" s="67">
        <v>10.7</v>
      </c>
    </row>
    <row r="105" spans="1:2" x14ac:dyDescent="0.25">
      <c r="A105" s="5">
        <v>26359</v>
      </c>
      <c r="B105" s="67">
        <v>10.8</v>
      </c>
    </row>
    <row r="106" spans="1:2" x14ac:dyDescent="0.25">
      <c r="A106" s="5">
        <v>26451</v>
      </c>
      <c r="B106" s="67">
        <v>10.9</v>
      </c>
    </row>
    <row r="107" spans="1:2" x14ac:dyDescent="0.25">
      <c r="A107" s="5">
        <v>26543</v>
      </c>
      <c r="B107" s="67">
        <v>11.1</v>
      </c>
    </row>
    <row r="108" spans="1:2" x14ac:dyDescent="0.25">
      <c r="A108" s="5">
        <v>26634</v>
      </c>
      <c r="B108" s="67">
        <v>11.2</v>
      </c>
    </row>
    <row r="109" spans="1:2" x14ac:dyDescent="0.25">
      <c r="A109" s="5">
        <v>26724</v>
      </c>
      <c r="B109" s="67">
        <v>11.4</v>
      </c>
    </row>
    <row r="110" spans="1:2" x14ac:dyDescent="0.25">
      <c r="A110" s="5">
        <v>26816</v>
      </c>
      <c r="B110" s="67">
        <v>11.8</v>
      </c>
    </row>
    <row r="111" spans="1:2" x14ac:dyDescent="0.25">
      <c r="A111" s="5">
        <v>26908</v>
      </c>
      <c r="B111" s="67">
        <v>12.2</v>
      </c>
    </row>
    <row r="112" spans="1:2" x14ac:dyDescent="0.25">
      <c r="A112" s="5">
        <v>26999</v>
      </c>
      <c r="B112" s="67">
        <v>12.6</v>
      </c>
    </row>
    <row r="113" spans="1:2" x14ac:dyDescent="0.25">
      <c r="A113" s="5">
        <v>27089</v>
      </c>
      <c r="B113" s="67">
        <v>13</v>
      </c>
    </row>
    <row r="114" spans="1:2" x14ac:dyDescent="0.25">
      <c r="A114" s="5">
        <v>27181</v>
      </c>
      <c r="B114" s="67">
        <v>13.5</v>
      </c>
    </row>
    <row r="115" spans="1:2" x14ac:dyDescent="0.25">
      <c r="A115" s="5">
        <v>27273</v>
      </c>
      <c r="B115" s="67">
        <v>14.2</v>
      </c>
    </row>
    <row r="116" spans="1:2" x14ac:dyDescent="0.25">
      <c r="A116" s="5">
        <v>27364</v>
      </c>
      <c r="B116" s="67">
        <v>14.7</v>
      </c>
    </row>
    <row r="117" spans="1:2" x14ac:dyDescent="0.25">
      <c r="A117" s="5">
        <v>27454</v>
      </c>
      <c r="B117" s="67">
        <v>15.3</v>
      </c>
    </row>
    <row r="118" spans="1:2" x14ac:dyDescent="0.25">
      <c r="A118" s="5">
        <v>27546</v>
      </c>
      <c r="B118" s="67">
        <v>15.8</v>
      </c>
    </row>
    <row r="119" spans="1:2" x14ac:dyDescent="0.25">
      <c r="A119" s="5">
        <v>27638</v>
      </c>
      <c r="B119" s="67">
        <v>15.9</v>
      </c>
    </row>
    <row r="120" spans="1:2" x14ac:dyDescent="0.25">
      <c r="A120" s="5">
        <v>27729</v>
      </c>
      <c r="B120" s="67">
        <v>16.8</v>
      </c>
    </row>
    <row r="121" spans="1:2" x14ac:dyDescent="0.25">
      <c r="A121" s="5">
        <v>27820</v>
      </c>
      <c r="B121" s="67">
        <v>17.3</v>
      </c>
    </row>
    <row r="122" spans="1:2" x14ac:dyDescent="0.25">
      <c r="A122" s="5">
        <v>27912</v>
      </c>
      <c r="B122" s="67">
        <v>17.7</v>
      </c>
    </row>
    <row r="123" spans="1:2" x14ac:dyDescent="0.25">
      <c r="A123" s="5">
        <v>28004</v>
      </c>
      <c r="B123" s="67">
        <v>18.100000000000001</v>
      </c>
    </row>
    <row r="124" spans="1:2" x14ac:dyDescent="0.25">
      <c r="A124" s="5">
        <v>28095</v>
      </c>
      <c r="B124" s="67">
        <v>19.2</v>
      </c>
    </row>
    <row r="125" spans="1:2" x14ac:dyDescent="0.25">
      <c r="A125" s="5">
        <v>28185</v>
      </c>
      <c r="B125" s="67">
        <v>19.600000000000001</v>
      </c>
    </row>
    <row r="126" spans="1:2" x14ac:dyDescent="0.25">
      <c r="A126" s="5">
        <v>28277</v>
      </c>
      <c r="B126" s="67">
        <v>20.100000000000001</v>
      </c>
    </row>
    <row r="127" spans="1:2" x14ac:dyDescent="0.25">
      <c r="A127" s="5">
        <v>28369</v>
      </c>
      <c r="B127" s="67">
        <v>20.5</v>
      </c>
    </row>
    <row r="128" spans="1:2" x14ac:dyDescent="0.25">
      <c r="A128" s="5">
        <v>28460</v>
      </c>
      <c r="B128" s="67">
        <v>21</v>
      </c>
    </row>
    <row r="129" spans="1:2" x14ac:dyDescent="0.25">
      <c r="A129" s="5">
        <v>28550</v>
      </c>
      <c r="B129" s="67">
        <v>21.3</v>
      </c>
    </row>
    <row r="130" spans="1:2" x14ac:dyDescent="0.25">
      <c r="A130" s="5">
        <v>28642</v>
      </c>
      <c r="B130" s="67">
        <v>21.7</v>
      </c>
    </row>
    <row r="131" spans="1:2" x14ac:dyDescent="0.25">
      <c r="A131" s="5">
        <v>28734</v>
      </c>
      <c r="B131" s="67">
        <v>22.1</v>
      </c>
    </row>
    <row r="132" spans="1:2" x14ac:dyDescent="0.25">
      <c r="A132" s="5">
        <v>28825</v>
      </c>
      <c r="B132" s="67">
        <v>22.6</v>
      </c>
    </row>
    <row r="133" spans="1:2" x14ac:dyDescent="0.25">
      <c r="A133" s="5">
        <v>28915</v>
      </c>
      <c r="B133" s="67">
        <v>23</v>
      </c>
    </row>
    <row r="134" spans="1:2" x14ac:dyDescent="0.25">
      <c r="A134" s="5">
        <v>29007</v>
      </c>
      <c r="B134" s="67">
        <v>23.6</v>
      </c>
    </row>
    <row r="135" spans="1:2" x14ac:dyDescent="0.25">
      <c r="A135" s="5">
        <v>29099</v>
      </c>
      <c r="B135" s="67">
        <v>24.2</v>
      </c>
    </row>
    <row r="136" spans="1:2" x14ac:dyDescent="0.25">
      <c r="A136" s="5">
        <v>29190</v>
      </c>
      <c r="B136" s="67">
        <v>24.9</v>
      </c>
    </row>
    <row r="137" spans="1:2" x14ac:dyDescent="0.25">
      <c r="A137" s="5">
        <v>29281</v>
      </c>
      <c r="B137" s="67">
        <v>25.4</v>
      </c>
    </row>
    <row r="138" spans="1:2" x14ac:dyDescent="0.25">
      <c r="A138" s="5">
        <v>29373</v>
      </c>
      <c r="B138" s="67">
        <v>26.2</v>
      </c>
    </row>
    <row r="139" spans="1:2" x14ac:dyDescent="0.25">
      <c r="A139" s="5">
        <v>29465</v>
      </c>
      <c r="B139" s="67">
        <v>26.6</v>
      </c>
    </row>
    <row r="140" spans="1:2" x14ac:dyDescent="0.25">
      <c r="A140" s="5">
        <v>29556</v>
      </c>
      <c r="B140" s="67">
        <v>27.2</v>
      </c>
    </row>
    <row r="141" spans="1:2" x14ac:dyDescent="0.25">
      <c r="A141" s="5">
        <v>29646</v>
      </c>
      <c r="B141" s="67">
        <v>27.8</v>
      </c>
    </row>
    <row r="142" spans="1:2" x14ac:dyDescent="0.25">
      <c r="A142" s="5">
        <v>29738</v>
      </c>
      <c r="B142" s="67">
        <v>28.4</v>
      </c>
    </row>
    <row r="143" spans="1:2" x14ac:dyDescent="0.25">
      <c r="A143" s="5">
        <v>29830</v>
      </c>
      <c r="B143" s="67">
        <v>29</v>
      </c>
    </row>
    <row r="144" spans="1:2" x14ac:dyDescent="0.25">
      <c r="A144" s="5">
        <v>29921</v>
      </c>
      <c r="B144" s="67">
        <v>30.2</v>
      </c>
    </row>
    <row r="145" spans="1:2" x14ac:dyDescent="0.25">
      <c r="A145" s="5">
        <v>30011</v>
      </c>
      <c r="B145" s="67">
        <v>30.8</v>
      </c>
    </row>
    <row r="146" spans="1:2" x14ac:dyDescent="0.25">
      <c r="A146" s="5">
        <v>30103</v>
      </c>
      <c r="B146" s="67">
        <v>31.5</v>
      </c>
    </row>
    <row r="147" spans="1:2" x14ac:dyDescent="0.25">
      <c r="A147" s="5">
        <v>30195</v>
      </c>
      <c r="B147" s="67">
        <v>32.6</v>
      </c>
    </row>
    <row r="148" spans="1:2" x14ac:dyDescent="0.25">
      <c r="A148" s="5">
        <v>30286</v>
      </c>
      <c r="B148" s="67">
        <v>33.6</v>
      </c>
    </row>
    <row r="149" spans="1:2" x14ac:dyDescent="0.25">
      <c r="A149" s="5">
        <v>30376</v>
      </c>
      <c r="B149" s="67">
        <v>34.299999999999997</v>
      </c>
    </row>
    <row r="150" spans="1:2" x14ac:dyDescent="0.25">
      <c r="A150" s="5">
        <v>30468</v>
      </c>
      <c r="B150" s="67">
        <v>35</v>
      </c>
    </row>
    <row r="151" spans="1:2" x14ac:dyDescent="0.25">
      <c r="A151" s="5">
        <v>30560</v>
      </c>
      <c r="B151" s="67">
        <v>35.6</v>
      </c>
    </row>
    <row r="152" spans="1:2" x14ac:dyDescent="0.25">
      <c r="A152" s="5">
        <v>30651</v>
      </c>
      <c r="B152" s="67">
        <v>36.5</v>
      </c>
    </row>
    <row r="153" spans="1:2" x14ac:dyDescent="0.25">
      <c r="A153" s="5">
        <v>30742</v>
      </c>
      <c r="B153" s="67">
        <v>36.299999999999997</v>
      </c>
    </row>
    <row r="154" spans="1:2" x14ac:dyDescent="0.25">
      <c r="A154" s="5">
        <v>30834</v>
      </c>
      <c r="B154" s="67">
        <v>36.4</v>
      </c>
    </row>
    <row r="155" spans="1:2" x14ac:dyDescent="0.25">
      <c r="A155" s="5">
        <v>30926</v>
      </c>
      <c r="B155" s="67">
        <v>36.9</v>
      </c>
    </row>
    <row r="156" spans="1:2" x14ac:dyDescent="0.25">
      <c r="A156" s="5">
        <v>31017</v>
      </c>
      <c r="B156" s="67">
        <v>37.4</v>
      </c>
    </row>
    <row r="157" spans="1:2" x14ac:dyDescent="0.25">
      <c r="A157" s="5">
        <v>31107</v>
      </c>
      <c r="B157" s="67">
        <v>37.9</v>
      </c>
    </row>
    <row r="158" spans="1:2" x14ac:dyDescent="0.25">
      <c r="A158" s="5">
        <v>31199</v>
      </c>
      <c r="B158" s="67">
        <v>38.799999999999997</v>
      </c>
    </row>
    <row r="159" spans="1:2" x14ac:dyDescent="0.25">
      <c r="A159" s="5">
        <v>31291</v>
      </c>
      <c r="B159" s="67">
        <v>39.700000000000003</v>
      </c>
    </row>
    <row r="160" spans="1:2" x14ac:dyDescent="0.25">
      <c r="A160" s="5">
        <v>31382</v>
      </c>
      <c r="B160" s="67">
        <v>40.5</v>
      </c>
    </row>
    <row r="161" spans="1:2" x14ac:dyDescent="0.25">
      <c r="A161" s="5">
        <v>31472</v>
      </c>
      <c r="B161" s="67">
        <v>41.4</v>
      </c>
    </row>
    <row r="162" spans="1:2" x14ac:dyDescent="0.25">
      <c r="A162" s="5">
        <v>31564</v>
      </c>
      <c r="B162" s="67">
        <v>42.1</v>
      </c>
    </row>
    <row r="163" spans="1:2" x14ac:dyDescent="0.25">
      <c r="A163" s="5">
        <v>31656</v>
      </c>
      <c r="B163" s="67">
        <v>43.2</v>
      </c>
    </row>
    <row r="164" spans="1:2" x14ac:dyDescent="0.25">
      <c r="A164" s="5">
        <v>31747</v>
      </c>
      <c r="B164" s="67">
        <v>44.4</v>
      </c>
    </row>
    <row r="165" spans="1:2" x14ac:dyDescent="0.25">
      <c r="A165" s="5">
        <v>31837</v>
      </c>
      <c r="B165" s="67">
        <v>45.3</v>
      </c>
    </row>
    <row r="166" spans="1:2" x14ac:dyDescent="0.25">
      <c r="A166" s="5">
        <v>31929</v>
      </c>
      <c r="B166" s="67">
        <v>46</v>
      </c>
    </row>
    <row r="167" spans="1:2" x14ac:dyDescent="0.25">
      <c r="A167" s="5">
        <v>32021</v>
      </c>
      <c r="B167" s="67">
        <v>46.8</v>
      </c>
    </row>
    <row r="168" spans="1:2" x14ac:dyDescent="0.25">
      <c r="A168" s="5">
        <v>32112</v>
      </c>
      <c r="B168" s="67">
        <v>47.6</v>
      </c>
    </row>
    <row r="169" spans="1:2" x14ac:dyDescent="0.25">
      <c r="A169" s="5">
        <v>32203</v>
      </c>
      <c r="B169" s="67">
        <v>48.4</v>
      </c>
    </row>
    <row r="170" spans="1:2" x14ac:dyDescent="0.25">
      <c r="A170" s="5">
        <v>32295</v>
      </c>
      <c r="B170" s="67">
        <v>49.3</v>
      </c>
    </row>
    <row r="171" spans="1:2" x14ac:dyDescent="0.25">
      <c r="A171" s="5">
        <v>32387</v>
      </c>
      <c r="B171" s="67">
        <v>50.2</v>
      </c>
    </row>
    <row r="172" spans="1:2" x14ac:dyDescent="0.25">
      <c r="A172" s="5">
        <v>32478</v>
      </c>
      <c r="B172" s="67">
        <v>51.2</v>
      </c>
    </row>
    <row r="173" spans="1:2" x14ac:dyDescent="0.25">
      <c r="A173" s="5">
        <v>32568</v>
      </c>
      <c r="B173" s="67">
        <v>51.7</v>
      </c>
    </row>
    <row r="174" spans="1:2" x14ac:dyDescent="0.25">
      <c r="A174" s="5">
        <v>32660</v>
      </c>
      <c r="B174" s="67">
        <v>53</v>
      </c>
    </row>
    <row r="175" spans="1:2" x14ac:dyDescent="0.25">
      <c r="A175" s="5">
        <v>32752</v>
      </c>
      <c r="B175" s="67">
        <v>54.2</v>
      </c>
    </row>
    <row r="176" spans="1:2" x14ac:dyDescent="0.25">
      <c r="A176" s="5">
        <v>32843</v>
      </c>
      <c r="B176" s="67">
        <v>55.2</v>
      </c>
    </row>
    <row r="177" spans="1:2" x14ac:dyDescent="0.25">
      <c r="A177" s="5">
        <v>32933</v>
      </c>
      <c r="B177" s="67">
        <v>56.2</v>
      </c>
    </row>
    <row r="178" spans="1:2" x14ac:dyDescent="0.25">
      <c r="A178" s="5">
        <v>33025</v>
      </c>
      <c r="B178" s="67">
        <v>57.1</v>
      </c>
    </row>
    <row r="179" spans="1:2" x14ac:dyDescent="0.25">
      <c r="A179" s="5">
        <v>33117</v>
      </c>
      <c r="B179" s="67">
        <v>57.5</v>
      </c>
    </row>
    <row r="180" spans="1:2" x14ac:dyDescent="0.25">
      <c r="A180" s="5">
        <v>33208</v>
      </c>
      <c r="B180" s="67">
        <v>59</v>
      </c>
    </row>
    <row r="181" spans="1:2" x14ac:dyDescent="0.25">
      <c r="A181" s="5">
        <v>33298</v>
      </c>
      <c r="B181" s="67">
        <v>58.9</v>
      </c>
    </row>
    <row r="182" spans="1:2" x14ac:dyDescent="0.25">
      <c r="A182" s="5">
        <v>33390</v>
      </c>
      <c r="B182" s="67">
        <v>59</v>
      </c>
    </row>
    <row r="183" spans="1:2" x14ac:dyDescent="0.25">
      <c r="A183" s="5">
        <v>33482</v>
      </c>
      <c r="B183" s="67">
        <v>59.3</v>
      </c>
    </row>
    <row r="184" spans="1:2" x14ac:dyDescent="0.25">
      <c r="A184" s="5">
        <v>33573</v>
      </c>
      <c r="B184" s="67">
        <v>59.9</v>
      </c>
    </row>
    <row r="185" spans="1:2" x14ac:dyDescent="0.25">
      <c r="A185" s="5">
        <v>33664</v>
      </c>
      <c r="B185" s="67">
        <v>59.9</v>
      </c>
    </row>
    <row r="186" spans="1:2" x14ac:dyDescent="0.25">
      <c r="A186" s="5">
        <v>33756</v>
      </c>
      <c r="B186" s="67">
        <v>59.7</v>
      </c>
    </row>
    <row r="187" spans="1:2" x14ac:dyDescent="0.25">
      <c r="A187" s="5">
        <v>33848</v>
      </c>
      <c r="B187" s="67">
        <v>59.8</v>
      </c>
    </row>
    <row r="188" spans="1:2" x14ac:dyDescent="0.25">
      <c r="A188" s="5">
        <v>33939</v>
      </c>
      <c r="B188" s="67">
        <v>60.1</v>
      </c>
    </row>
    <row r="189" spans="1:2" x14ac:dyDescent="0.25">
      <c r="A189" s="5">
        <v>34029</v>
      </c>
      <c r="B189" s="67">
        <v>60.6</v>
      </c>
    </row>
    <row r="190" spans="1:2" x14ac:dyDescent="0.25">
      <c r="A190" s="5">
        <v>34121</v>
      </c>
      <c r="B190" s="67">
        <v>60.8</v>
      </c>
    </row>
    <row r="191" spans="1:2" x14ac:dyDescent="0.25">
      <c r="A191" s="5">
        <v>34213</v>
      </c>
      <c r="B191" s="67">
        <v>61.1</v>
      </c>
    </row>
    <row r="192" spans="1:2" x14ac:dyDescent="0.25">
      <c r="A192" s="5">
        <v>34304</v>
      </c>
      <c r="B192" s="67">
        <v>61.2</v>
      </c>
    </row>
    <row r="193" spans="1:2" x14ac:dyDescent="0.25">
      <c r="A193" s="5">
        <v>34394</v>
      </c>
      <c r="B193" s="67">
        <v>61.5</v>
      </c>
    </row>
    <row r="194" spans="1:2" x14ac:dyDescent="0.25">
      <c r="A194" s="5">
        <v>34486</v>
      </c>
      <c r="B194" s="67">
        <v>61.9</v>
      </c>
    </row>
    <row r="195" spans="1:2" x14ac:dyDescent="0.25">
      <c r="A195" s="5">
        <v>34578</v>
      </c>
      <c r="B195" s="67">
        <v>62.3</v>
      </c>
    </row>
    <row r="196" spans="1:2" x14ac:dyDescent="0.25">
      <c r="A196" s="5">
        <v>34669</v>
      </c>
      <c r="B196" s="67">
        <v>62.8</v>
      </c>
    </row>
    <row r="197" spans="1:2" x14ac:dyDescent="0.25">
      <c r="A197" s="5">
        <v>34759</v>
      </c>
      <c r="B197" s="67">
        <v>63.8</v>
      </c>
    </row>
    <row r="198" spans="1:2" x14ac:dyDescent="0.25">
      <c r="A198" s="5">
        <v>34851</v>
      </c>
      <c r="B198" s="67">
        <v>64.7</v>
      </c>
    </row>
    <row r="199" spans="1:2" x14ac:dyDescent="0.25">
      <c r="A199" s="5">
        <v>34943</v>
      </c>
      <c r="B199" s="67">
        <v>65.5</v>
      </c>
    </row>
    <row r="200" spans="1:2" x14ac:dyDescent="0.25">
      <c r="A200" s="5">
        <v>35034</v>
      </c>
      <c r="B200" s="67">
        <v>66</v>
      </c>
    </row>
    <row r="201" spans="1:2" x14ac:dyDescent="0.25">
      <c r="A201" s="5">
        <v>35125</v>
      </c>
      <c r="B201" s="67">
        <v>66.2</v>
      </c>
    </row>
    <row r="202" spans="1:2" x14ac:dyDescent="0.25">
      <c r="A202" s="5">
        <v>35217</v>
      </c>
      <c r="B202" s="67">
        <v>66.7</v>
      </c>
    </row>
    <row r="203" spans="1:2" x14ac:dyDescent="0.25">
      <c r="A203" s="5">
        <v>35309</v>
      </c>
      <c r="B203" s="67">
        <v>66.900000000000006</v>
      </c>
    </row>
    <row r="204" spans="1:2" x14ac:dyDescent="0.25">
      <c r="A204" s="5">
        <v>35400</v>
      </c>
      <c r="B204" s="67">
        <v>67</v>
      </c>
    </row>
    <row r="205" spans="1:2" x14ac:dyDescent="0.25">
      <c r="A205" s="5">
        <v>35490</v>
      </c>
      <c r="B205" s="67">
        <v>67.099999999999994</v>
      </c>
    </row>
    <row r="206" spans="1:2" x14ac:dyDescent="0.25">
      <c r="A206" s="5">
        <v>35582</v>
      </c>
      <c r="B206" s="67">
        <v>66.900000000000006</v>
      </c>
    </row>
    <row r="207" spans="1:2" x14ac:dyDescent="0.25">
      <c r="A207" s="5">
        <v>35674</v>
      </c>
      <c r="B207" s="67">
        <v>66.599999999999994</v>
      </c>
    </row>
    <row r="208" spans="1:2" x14ac:dyDescent="0.25">
      <c r="A208" s="5">
        <v>35765</v>
      </c>
      <c r="B208" s="67">
        <v>66.8</v>
      </c>
    </row>
    <row r="209" spans="1:2" x14ac:dyDescent="0.25">
      <c r="A209" s="5">
        <v>35855</v>
      </c>
      <c r="B209" s="67">
        <v>67</v>
      </c>
    </row>
    <row r="210" spans="1:2" x14ac:dyDescent="0.25">
      <c r="A210" s="5">
        <v>35947</v>
      </c>
      <c r="B210" s="67">
        <v>67.400000000000006</v>
      </c>
    </row>
    <row r="211" spans="1:2" x14ac:dyDescent="0.25">
      <c r="A211" s="5">
        <v>36039</v>
      </c>
      <c r="B211" s="67">
        <v>67.5</v>
      </c>
    </row>
    <row r="212" spans="1:2" x14ac:dyDescent="0.25">
      <c r="A212" s="5">
        <v>36130</v>
      </c>
      <c r="B212" s="67">
        <v>67.8</v>
      </c>
    </row>
    <row r="213" spans="1:2" x14ac:dyDescent="0.25">
      <c r="A213" s="5">
        <v>36220</v>
      </c>
      <c r="B213" s="67">
        <v>67.8</v>
      </c>
    </row>
    <row r="214" spans="1:2" x14ac:dyDescent="0.25">
      <c r="A214" s="5">
        <v>36312</v>
      </c>
      <c r="B214" s="67">
        <v>68.099999999999994</v>
      </c>
    </row>
    <row r="215" spans="1:2" x14ac:dyDescent="0.25">
      <c r="A215" s="5">
        <v>36404</v>
      </c>
      <c r="B215" s="67">
        <v>68.7</v>
      </c>
    </row>
    <row r="216" spans="1:2" x14ac:dyDescent="0.25">
      <c r="A216" s="5">
        <v>36495</v>
      </c>
      <c r="B216" s="67">
        <v>69.099999999999994</v>
      </c>
    </row>
    <row r="217" spans="1:2" x14ac:dyDescent="0.25">
      <c r="A217" s="5">
        <v>36586</v>
      </c>
      <c r="B217" s="67">
        <v>69.7</v>
      </c>
    </row>
    <row r="218" spans="1:2" x14ac:dyDescent="0.25">
      <c r="A218" s="5">
        <v>36678</v>
      </c>
      <c r="B218" s="67">
        <v>70.2</v>
      </c>
    </row>
    <row r="219" spans="1:2" x14ac:dyDescent="0.25">
      <c r="A219" s="5">
        <v>36770</v>
      </c>
      <c r="B219" s="67">
        <v>72.900000000000006</v>
      </c>
    </row>
    <row r="220" spans="1:2" x14ac:dyDescent="0.25">
      <c r="A220" s="5">
        <v>36861</v>
      </c>
      <c r="B220" s="67">
        <v>73.099999999999994</v>
      </c>
    </row>
    <row r="221" spans="1:2" x14ac:dyDescent="0.25">
      <c r="A221" s="5">
        <v>36951</v>
      </c>
      <c r="B221" s="67">
        <v>73.900000000000006</v>
      </c>
    </row>
    <row r="222" spans="1:2" x14ac:dyDescent="0.25">
      <c r="A222" s="5">
        <v>37043</v>
      </c>
      <c r="B222" s="67">
        <v>74.5</v>
      </c>
    </row>
    <row r="223" spans="1:2" x14ac:dyDescent="0.25">
      <c r="A223" s="5">
        <v>37135</v>
      </c>
      <c r="B223" s="67">
        <v>74.7</v>
      </c>
    </row>
    <row r="224" spans="1:2" x14ac:dyDescent="0.25">
      <c r="A224" s="5">
        <v>37226</v>
      </c>
      <c r="B224" s="67">
        <v>75.400000000000006</v>
      </c>
    </row>
    <row r="225" spans="1:2" x14ac:dyDescent="0.25">
      <c r="A225" s="5">
        <v>37316</v>
      </c>
      <c r="B225" s="67">
        <v>76.099999999999994</v>
      </c>
    </row>
    <row r="226" spans="1:2" x14ac:dyDescent="0.25">
      <c r="A226" s="5">
        <v>37408</v>
      </c>
      <c r="B226" s="67">
        <v>76.599999999999994</v>
      </c>
    </row>
    <row r="227" spans="1:2" x14ac:dyDescent="0.25">
      <c r="A227" s="5">
        <v>37500</v>
      </c>
      <c r="B227" s="67">
        <v>77.099999999999994</v>
      </c>
    </row>
    <row r="228" spans="1:2" x14ac:dyDescent="0.25">
      <c r="A228" s="5">
        <v>37591</v>
      </c>
      <c r="B228" s="67">
        <v>77.599999999999994</v>
      </c>
    </row>
    <row r="229" spans="1:2" x14ac:dyDescent="0.25">
      <c r="A229" s="5">
        <v>37681</v>
      </c>
      <c r="B229" s="67">
        <v>78.599999999999994</v>
      </c>
    </row>
    <row r="230" spans="1:2" x14ac:dyDescent="0.25">
      <c r="A230" s="5">
        <v>37773</v>
      </c>
      <c r="B230" s="67">
        <v>78.599999999999994</v>
      </c>
    </row>
    <row r="231" spans="1:2" x14ac:dyDescent="0.25">
      <c r="A231" s="5">
        <v>37865</v>
      </c>
      <c r="B231" s="67">
        <v>79.099999999999994</v>
      </c>
    </row>
    <row r="232" spans="1:2" x14ac:dyDescent="0.25">
      <c r="A232" s="5">
        <v>37956</v>
      </c>
      <c r="B232" s="67">
        <v>79.5</v>
      </c>
    </row>
    <row r="233" spans="1:2" x14ac:dyDescent="0.25">
      <c r="A233" s="5">
        <v>38047</v>
      </c>
      <c r="B233" s="67">
        <v>80.2</v>
      </c>
    </row>
    <row r="234" spans="1:2" x14ac:dyDescent="0.25">
      <c r="A234" s="5">
        <v>38139</v>
      </c>
      <c r="B234" s="67">
        <v>80.599999999999994</v>
      </c>
    </row>
    <row r="235" spans="1:2" x14ac:dyDescent="0.25">
      <c r="A235" s="5">
        <v>38231</v>
      </c>
      <c r="B235" s="67">
        <v>80.900000000000006</v>
      </c>
    </row>
    <row r="236" spans="1:2" x14ac:dyDescent="0.25">
      <c r="A236" s="5">
        <v>38322</v>
      </c>
      <c r="B236" s="67">
        <v>81.5</v>
      </c>
    </row>
    <row r="237" spans="1:2" x14ac:dyDescent="0.25">
      <c r="A237" s="5">
        <v>38412</v>
      </c>
      <c r="B237" s="67">
        <v>82.1</v>
      </c>
    </row>
    <row r="238" spans="1:2" x14ac:dyDescent="0.25">
      <c r="A238" s="5">
        <v>38504</v>
      </c>
      <c r="B238" s="67">
        <v>82.6</v>
      </c>
    </row>
    <row r="239" spans="1:2" x14ac:dyDescent="0.25">
      <c r="A239" s="5">
        <v>38596</v>
      </c>
      <c r="B239" s="67">
        <v>83.4</v>
      </c>
    </row>
    <row r="240" spans="1:2" x14ac:dyDescent="0.25">
      <c r="A240" s="5">
        <v>38687</v>
      </c>
      <c r="B240" s="67">
        <v>83.8</v>
      </c>
    </row>
    <row r="241" spans="1:2" x14ac:dyDescent="0.25">
      <c r="A241" s="5">
        <v>38777</v>
      </c>
      <c r="B241" s="67">
        <v>84.5</v>
      </c>
    </row>
    <row r="242" spans="1:2" x14ac:dyDescent="0.25">
      <c r="A242" s="5">
        <v>38869</v>
      </c>
      <c r="B242" s="67">
        <v>85.9</v>
      </c>
    </row>
    <row r="243" spans="1:2" x14ac:dyDescent="0.25">
      <c r="A243" s="5">
        <v>38961</v>
      </c>
      <c r="B243" s="67">
        <v>86.7</v>
      </c>
    </row>
    <row r="244" spans="1:2" x14ac:dyDescent="0.25">
      <c r="A244" s="5">
        <v>39052</v>
      </c>
      <c r="B244" s="67">
        <v>86.6</v>
      </c>
    </row>
    <row r="245" spans="1:2" x14ac:dyDescent="0.25">
      <c r="A245" s="5">
        <v>39142</v>
      </c>
      <c r="B245" s="67">
        <v>86.6</v>
      </c>
    </row>
    <row r="246" spans="1:2" x14ac:dyDescent="0.25">
      <c r="A246" s="5">
        <v>39234</v>
      </c>
      <c r="B246" s="67">
        <v>87.7</v>
      </c>
    </row>
    <row r="247" spans="1:2" x14ac:dyDescent="0.25">
      <c r="A247" s="5">
        <v>39326</v>
      </c>
      <c r="B247" s="67">
        <v>88.3</v>
      </c>
    </row>
    <row r="248" spans="1:2" x14ac:dyDescent="0.25">
      <c r="A248" s="5">
        <v>39417</v>
      </c>
      <c r="B248" s="67">
        <v>89.1</v>
      </c>
    </row>
    <row r="249" spans="1:2" x14ac:dyDescent="0.25">
      <c r="A249" s="5">
        <v>39508</v>
      </c>
      <c r="B249" s="67">
        <v>90.3</v>
      </c>
    </row>
    <row r="250" spans="1:2" x14ac:dyDescent="0.25">
      <c r="A250" s="5">
        <v>39600</v>
      </c>
      <c r="B250" s="67">
        <v>91.6</v>
      </c>
    </row>
    <row r="251" spans="1:2" x14ac:dyDescent="0.25">
      <c r="A251" s="5">
        <v>39692</v>
      </c>
      <c r="B251" s="67">
        <v>92.7</v>
      </c>
    </row>
    <row r="252" spans="1:2" x14ac:dyDescent="0.25">
      <c r="A252" s="5">
        <v>39783</v>
      </c>
      <c r="B252" s="67">
        <v>92.4</v>
      </c>
    </row>
    <row r="253" spans="1:2" x14ac:dyDescent="0.25">
      <c r="A253" s="5">
        <v>39873</v>
      </c>
      <c r="B253" s="67">
        <v>92.5</v>
      </c>
    </row>
    <row r="254" spans="1:2" x14ac:dyDescent="0.25">
      <c r="A254" s="5">
        <v>39965</v>
      </c>
      <c r="B254" s="67">
        <v>92.9</v>
      </c>
    </row>
    <row r="255" spans="1:2" x14ac:dyDescent="0.25">
      <c r="A255" s="5">
        <v>40057</v>
      </c>
      <c r="B255" s="67">
        <v>93.8</v>
      </c>
    </row>
    <row r="256" spans="1:2" x14ac:dyDescent="0.25">
      <c r="A256" s="5">
        <v>40148</v>
      </c>
      <c r="B256" s="67">
        <v>94.3</v>
      </c>
    </row>
    <row r="257" spans="1:2" x14ac:dyDescent="0.25">
      <c r="A257" s="5">
        <v>40238</v>
      </c>
      <c r="B257" s="67">
        <v>95.2</v>
      </c>
    </row>
    <row r="258" spans="1:2" x14ac:dyDescent="0.25">
      <c r="A258" s="5">
        <v>40330</v>
      </c>
      <c r="B258" s="67">
        <v>95.8</v>
      </c>
    </row>
    <row r="259" spans="1:2" x14ac:dyDescent="0.25">
      <c r="A259" s="5">
        <v>40422</v>
      </c>
      <c r="B259" s="67">
        <v>96.5</v>
      </c>
    </row>
    <row r="260" spans="1:2" x14ac:dyDescent="0.25">
      <c r="A260" s="5">
        <v>40513</v>
      </c>
      <c r="B260" s="67">
        <v>96.9</v>
      </c>
    </row>
    <row r="261" spans="1:2" x14ac:dyDescent="0.25">
      <c r="A261" s="5">
        <v>40603</v>
      </c>
      <c r="B261" s="67">
        <v>98.3</v>
      </c>
    </row>
    <row r="262" spans="1:2" x14ac:dyDescent="0.25">
      <c r="A262" s="5">
        <v>40695</v>
      </c>
      <c r="B262" s="67">
        <v>99.2</v>
      </c>
    </row>
    <row r="263" spans="1:2" x14ac:dyDescent="0.25">
      <c r="A263" s="5">
        <v>40787</v>
      </c>
      <c r="B263" s="67">
        <v>99.8</v>
      </c>
    </row>
    <row r="264" spans="1:2" x14ac:dyDescent="0.25">
      <c r="A264" s="5">
        <v>40878</v>
      </c>
      <c r="B264" s="67">
        <v>99.8</v>
      </c>
    </row>
    <row r="265" spans="1:2" x14ac:dyDescent="0.25">
      <c r="A265" s="5">
        <v>40969</v>
      </c>
      <c r="B265" s="67">
        <v>99.9</v>
      </c>
    </row>
    <row r="266" spans="1:2" x14ac:dyDescent="0.25">
      <c r="A266" s="5">
        <v>41061</v>
      </c>
      <c r="B266" s="67">
        <v>100.4</v>
      </c>
    </row>
    <row r="267" spans="1:2" x14ac:dyDescent="0.25">
      <c r="A267" s="5">
        <v>41153</v>
      </c>
      <c r="B267" s="67">
        <v>101.8</v>
      </c>
    </row>
    <row r="268" spans="1:2" x14ac:dyDescent="0.25">
      <c r="A268" s="5">
        <v>41244</v>
      </c>
      <c r="B268" s="67">
        <v>102</v>
      </c>
    </row>
    <row r="269" spans="1:2" x14ac:dyDescent="0.25">
      <c r="A269" s="5">
        <v>41334</v>
      </c>
      <c r="B269" s="67">
        <v>102.4</v>
      </c>
    </row>
    <row r="270" spans="1:2" x14ac:dyDescent="0.25">
      <c r="A270" s="5">
        <v>41426</v>
      </c>
      <c r="B270" s="67">
        <v>102.8</v>
      </c>
    </row>
    <row r="271" spans="1:2" x14ac:dyDescent="0.25">
      <c r="A271" s="5">
        <v>41518</v>
      </c>
      <c r="B271" s="67">
        <v>104</v>
      </c>
    </row>
    <row r="272" spans="1:2" x14ac:dyDescent="0.25">
      <c r="A272" s="5">
        <v>41609</v>
      </c>
      <c r="B272" s="67">
        <v>104.8</v>
      </c>
    </row>
    <row r="273" spans="1:2" x14ac:dyDescent="0.25">
      <c r="A273" s="5">
        <v>41699</v>
      </c>
      <c r="B273" s="67">
        <v>105.4</v>
      </c>
    </row>
    <row r="274" spans="1:2" x14ac:dyDescent="0.25">
      <c r="A274" s="5">
        <v>41791</v>
      </c>
      <c r="B274" s="67">
        <v>105.9</v>
      </c>
    </row>
    <row r="275" spans="1:2" x14ac:dyDescent="0.25">
      <c r="A275" s="5">
        <v>41883</v>
      </c>
      <c r="B275" s="67">
        <v>106.4</v>
      </c>
    </row>
    <row r="276" spans="1:2" x14ac:dyDescent="0.25">
      <c r="A276" s="5">
        <v>41974</v>
      </c>
      <c r="B276" s="67">
        <v>106.6</v>
      </c>
    </row>
    <row r="277" spans="1:2" x14ac:dyDescent="0.25">
      <c r="A277" s="5">
        <v>42064</v>
      </c>
      <c r="B277" s="67">
        <v>106.8</v>
      </c>
    </row>
    <row r="278" spans="1:2" x14ac:dyDescent="0.25">
      <c r="A278" s="5">
        <v>42156</v>
      </c>
      <c r="B278" s="67">
        <v>107.5</v>
      </c>
    </row>
    <row r="279" spans="1:2" x14ac:dyDescent="0.25">
      <c r="A279" s="5">
        <v>42248</v>
      </c>
      <c r="B279" s="67">
        <v>108</v>
      </c>
    </row>
    <row r="280" spans="1:2" x14ac:dyDescent="0.25">
      <c r="A280" s="5">
        <v>42339</v>
      </c>
      <c r="B280" s="67">
        <v>108.4</v>
      </c>
    </row>
    <row r="281" spans="1:2" x14ac:dyDescent="0.25">
      <c r="A281" s="5">
        <v>42430</v>
      </c>
      <c r="B281" s="67">
        <v>108.2</v>
      </c>
    </row>
    <row r="282" spans="1:2" x14ac:dyDescent="0.25">
      <c r="A282" s="5">
        <v>42522</v>
      </c>
      <c r="B282" s="67">
        <v>108.6</v>
      </c>
    </row>
    <row r="283" spans="1:2" x14ac:dyDescent="0.25">
      <c r="A283" s="5">
        <v>42614</v>
      </c>
      <c r="B283" s="67">
        <v>109.4</v>
      </c>
    </row>
    <row r="284" spans="1:2" x14ac:dyDescent="0.25">
      <c r="A284" s="5">
        <v>42705</v>
      </c>
      <c r="B284" s="67">
        <v>110</v>
      </c>
    </row>
    <row r="285" spans="1:2" x14ac:dyDescent="0.25">
      <c r="A285" s="5">
        <v>42795</v>
      </c>
      <c r="B285" s="67">
        <v>110.5</v>
      </c>
    </row>
    <row r="286" spans="1:2" x14ac:dyDescent="0.25">
      <c r="A286" s="5">
        <v>42887</v>
      </c>
      <c r="B286" s="67">
        <v>110.7</v>
      </c>
    </row>
    <row r="287" spans="1:2" x14ac:dyDescent="0.25">
      <c r="A287" s="5">
        <v>42979</v>
      </c>
      <c r="B287" s="67">
        <v>111.4</v>
      </c>
    </row>
    <row r="288" spans="1:2" x14ac:dyDescent="0.25">
      <c r="A288" s="5">
        <v>43070</v>
      </c>
      <c r="B288" s="67">
        <v>112.1</v>
      </c>
    </row>
    <row r="289" spans="1:2" x14ac:dyDescent="0.25">
      <c r="A289" s="5">
        <v>43160</v>
      </c>
      <c r="B289" s="67">
        <v>112.6</v>
      </c>
    </row>
    <row r="290" spans="1:2" x14ac:dyDescent="0.25">
      <c r="A290" s="69">
        <v>43252</v>
      </c>
      <c r="B290" s="67">
        <v>113</v>
      </c>
    </row>
    <row r="291" spans="1:2" x14ac:dyDescent="0.25">
      <c r="A291" s="69">
        <v>43344</v>
      </c>
      <c r="B291" s="67">
        <v>113.5</v>
      </c>
    </row>
    <row r="292" spans="1:2" x14ac:dyDescent="0.25">
      <c r="A292" s="69">
        <v>43435</v>
      </c>
      <c r="B292" s="67">
        <v>114.1</v>
      </c>
    </row>
    <row r="293" spans="1:2" x14ac:dyDescent="0.25">
      <c r="A293" s="69">
        <v>43525</v>
      </c>
      <c r="B293" s="67">
        <v>114.1</v>
      </c>
    </row>
    <row r="294" spans="1:2" x14ac:dyDescent="0.25">
      <c r="A294" s="69">
        <v>43617</v>
      </c>
      <c r="B294" s="67">
        <v>114.8</v>
      </c>
    </row>
  </sheetData>
  <dataValidations count="1">
    <dataValidation type="list" allowBlank="1" showInputMessage="1" showErrorMessage="1" sqref="E7">
      <formula1>$F$2:$R$2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Readme</vt:lpstr>
      <vt:lpstr>TNSP Charts-updated</vt:lpstr>
      <vt:lpstr>TNSP Analysis</vt:lpstr>
      <vt:lpstr>Asset cost and Total user cost</vt:lpstr>
      <vt:lpstr>Opex</vt:lpstr>
      <vt:lpstr>RAB</vt:lpstr>
      <vt:lpstr>Depreciation</vt:lpstr>
      <vt:lpstr>Capex</vt:lpstr>
      <vt:lpstr>CPI</vt:lpstr>
      <vt:lpstr>Physical data</vt:lpstr>
      <vt:lpstr>Network characteristics chartsU</vt:lpstr>
      <vt:lpstr>Network size table</vt:lpstr>
      <vt:lpstr>Readme!_GoBack</vt:lpstr>
      <vt:lpstr>'Physical data'!_Ref390772024</vt:lpstr>
      <vt:lpstr>currency_base</vt:lpstr>
      <vt:lpstr>Real_year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2015-11-26T04:54:25Z</dcterms:created>
  <dcterms:modified xsi:type="dcterms:W3CDTF">2019-10-04T01:26:57Z</dcterms:modified>
</cp:coreProperties>
</file>