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charts/chart3.xml" ContentType="application/vnd.openxmlformats-officedocument.drawingml.chart+xml"/>
  <Override PartName="/xl/theme/themeOverride3.xml" ContentType="application/vnd.openxmlformats-officedocument.themeOverride+xml"/>
  <Override PartName="/xl/charts/chart4.xml" ContentType="application/vnd.openxmlformats-officedocument.drawingml.chart+xml"/>
  <Override PartName="/xl/theme/themeOverride4.xml" ContentType="application/vnd.openxmlformats-officedocument.themeOverride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2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0" yWindow="0" windowWidth="19200" windowHeight="6470" tabRatio="835"/>
  </bookViews>
  <sheets>
    <sheet name="Readme" sheetId="28" r:id="rId1"/>
    <sheet name="TNSP Charts-updated" sheetId="15" r:id="rId2"/>
    <sheet name="TNSP Analysis" sheetId="23" r:id="rId3"/>
    <sheet name="Asset cost and Total cost" sheetId="22" r:id="rId4"/>
    <sheet name="Opex" sheetId="4" r:id="rId5"/>
    <sheet name="RAB" sheetId="7" r:id="rId6"/>
    <sheet name="Depreciation" sheetId="27" r:id="rId7"/>
    <sheet name="Capex" sheetId="1" r:id="rId8"/>
    <sheet name="CPI" sheetId="2" r:id="rId9"/>
    <sheet name="Physical data" sheetId="5" r:id="rId10"/>
    <sheet name="Network characteristics charts" sheetId="25" r:id="rId11"/>
    <sheet name="Network size table" sheetId="26" r:id="rId12"/>
  </sheets>
  <definedNames>
    <definedName name="_GoBack" localSheetId="0">Readme!$A$12</definedName>
    <definedName name="_Ref390772024" localSheetId="9">'Physical data'!$B$27</definedName>
    <definedName name="currency_base">CPI!$E$9</definedName>
    <definedName name="Real_year">CPI!$E$7</definedName>
  </definedNames>
  <calcPr calcId="162913"/>
</workbook>
</file>

<file path=xl/calcChain.xml><?xml version="1.0" encoding="utf-8"?>
<calcChain xmlns="http://schemas.openxmlformats.org/spreadsheetml/2006/main">
  <c r="G26" i="5" l="1"/>
  <c r="G27" i="5" l="1"/>
  <c r="G28" i="5"/>
  <c r="G29" i="5"/>
  <c r="G30" i="5"/>
  <c r="S6" i="2" l="1"/>
  <c r="S5" i="2"/>
  <c r="S4" i="2"/>
  <c r="S3" i="2"/>
  <c r="E8" i="2"/>
  <c r="E9" i="2" s="1"/>
  <c r="S10" i="2" l="1"/>
  <c r="S11" i="2"/>
  <c r="S12" i="2"/>
  <c r="P3" i="1" l="1"/>
  <c r="P3" i="27"/>
  <c r="P3" i="4"/>
  <c r="P3" i="7"/>
  <c r="P4" i="7"/>
  <c r="P4" i="1"/>
  <c r="P4" i="27"/>
  <c r="P4" i="4"/>
  <c r="Q42" i="5" l="1"/>
  <c r="Q43" i="5"/>
  <c r="Q41" i="5"/>
  <c r="Q44" i="5"/>
  <c r="Q40" i="5"/>
  <c r="P18" i="1" l="1"/>
  <c r="P18" i="27"/>
  <c r="P18" i="7"/>
  <c r="P19" i="1"/>
  <c r="P19" i="27"/>
  <c r="P19" i="7"/>
  <c r="P17" i="1" l="1"/>
  <c r="P17" i="27"/>
  <c r="P17" i="7"/>
  <c r="P16" i="1" l="1"/>
  <c r="P16" i="27"/>
  <c r="P16" i="7"/>
  <c r="P15" i="1" l="1"/>
  <c r="P15" i="27"/>
  <c r="P15" i="7" l="1"/>
  <c r="P18" i="4" l="1"/>
  <c r="P15" i="4"/>
  <c r="P19" i="4" l="1"/>
  <c r="P17" i="4" l="1"/>
  <c r="P16" i="4" l="1"/>
  <c r="P9" i="22" l="1"/>
  <c r="P17" i="22" s="1"/>
  <c r="Q55" i="23" s="1"/>
  <c r="P10" i="22"/>
  <c r="P18" i="22" s="1"/>
  <c r="Q56" i="23" s="1"/>
  <c r="P8" i="22"/>
  <c r="P16" i="22" s="1"/>
  <c r="Q54" i="23" s="1"/>
  <c r="P7" i="22"/>
  <c r="P15" i="22" s="1"/>
  <c r="Q53" i="23" s="1"/>
  <c r="P11" i="22"/>
  <c r="P19" i="22" s="1"/>
  <c r="Q57" i="23" s="1"/>
  <c r="Q22" i="23" l="1"/>
  <c r="Q14" i="23"/>
  <c r="Q30" i="23"/>
  <c r="Q46" i="23"/>
  <c r="Q13" i="23"/>
  <c r="Q29" i="23"/>
  <c r="Q45" i="23"/>
  <c r="Q21" i="23"/>
  <c r="Q24" i="23"/>
  <c r="Q16" i="23"/>
  <c r="Q48" i="23"/>
  <c r="Q32" i="23"/>
  <c r="Q25" i="23"/>
  <c r="Q49" i="23"/>
  <c r="Q33" i="23"/>
  <c r="Q17" i="23"/>
  <c r="Q23" i="23"/>
  <c r="Q31" i="23"/>
  <c r="Q47" i="23"/>
  <c r="Q50" i="23" s="1"/>
  <c r="Q15" i="23"/>
  <c r="E30" i="5"/>
  <c r="E29" i="5" l="1"/>
  <c r="E28" i="5" l="1"/>
  <c r="E27" i="5" l="1"/>
  <c r="E26" i="5" l="1"/>
  <c r="Q16" i="5" l="1"/>
  <c r="B2" i="1"/>
  <c r="B2" i="27"/>
  <c r="F6" i="2"/>
  <c r="G6" i="2"/>
  <c r="H6" i="2"/>
  <c r="I6" i="2"/>
  <c r="J6" i="2"/>
  <c r="K6" i="2"/>
  <c r="L6" i="2"/>
  <c r="M6" i="2"/>
  <c r="N6" i="2"/>
  <c r="R6" i="2"/>
  <c r="F5" i="2"/>
  <c r="G5" i="2"/>
  <c r="H5" i="2"/>
  <c r="I5" i="2"/>
  <c r="J5" i="2"/>
  <c r="K5" i="2"/>
  <c r="L5" i="2"/>
  <c r="M5" i="2"/>
  <c r="N5" i="2"/>
  <c r="R5" i="2"/>
  <c r="L4" i="2"/>
  <c r="K4" i="2"/>
  <c r="J4" i="2"/>
  <c r="I4" i="2"/>
  <c r="H4" i="2"/>
  <c r="G4" i="2"/>
  <c r="F4" i="2"/>
  <c r="M4" i="2"/>
  <c r="N4" i="2"/>
  <c r="R4" i="2"/>
  <c r="R3" i="2"/>
  <c r="N3" i="2"/>
  <c r="M3" i="2"/>
  <c r="L3" i="2"/>
  <c r="K3" i="2"/>
  <c r="J3" i="2"/>
  <c r="I3" i="2"/>
  <c r="H3" i="2"/>
  <c r="F3" i="2"/>
  <c r="G3" i="2"/>
  <c r="R49" i="5" l="1"/>
  <c r="R50" i="5"/>
  <c r="R51" i="5"/>
  <c r="F29" i="5"/>
  <c r="R48" i="5"/>
  <c r="D28" i="5"/>
  <c r="R52" i="5"/>
  <c r="R10" i="2"/>
  <c r="R11" i="2"/>
  <c r="O4" i="4" s="1"/>
  <c r="R12" i="2"/>
  <c r="F26" i="5"/>
  <c r="F30" i="5"/>
  <c r="D29" i="5"/>
  <c r="F27" i="5"/>
  <c r="D26" i="5"/>
  <c r="O16" i="5"/>
  <c r="G16" i="5"/>
  <c r="F28" i="5"/>
  <c r="D27" i="5"/>
  <c r="D30" i="5"/>
  <c r="K16" i="5"/>
  <c r="N16" i="5"/>
  <c r="J16" i="5"/>
  <c r="F16" i="5"/>
  <c r="P41" i="5"/>
  <c r="M16" i="5"/>
  <c r="P43" i="5"/>
  <c r="P42" i="5"/>
  <c r="I16" i="5"/>
  <c r="P16" i="5"/>
  <c r="H16" i="5"/>
  <c r="P40" i="5"/>
  <c r="P44" i="5"/>
  <c r="L16" i="5"/>
  <c r="O15" i="4" l="1"/>
  <c r="O16" i="4"/>
  <c r="O19" i="4"/>
  <c r="O18" i="4"/>
  <c r="O3" i="1"/>
  <c r="O17" i="1" s="1"/>
  <c r="O3" i="7"/>
  <c r="O17" i="7" s="1"/>
  <c r="O3" i="27"/>
  <c r="O17" i="27" s="1"/>
  <c r="O3" i="4"/>
  <c r="O17" i="4" s="1"/>
  <c r="O4" i="27"/>
  <c r="O4" i="1"/>
  <c r="O4" i="7"/>
  <c r="O42" i="5"/>
  <c r="O43" i="5"/>
  <c r="O44" i="5"/>
  <c r="O18" i="7" l="1"/>
  <c r="O15" i="7"/>
  <c r="O19" i="7"/>
  <c r="O16" i="7"/>
  <c r="O15" i="1"/>
  <c r="O19" i="1"/>
  <c r="O16" i="1"/>
  <c r="O18" i="1"/>
  <c r="O15" i="27"/>
  <c r="O19" i="27"/>
  <c r="O18" i="27"/>
  <c r="O16" i="27"/>
  <c r="O9" i="22"/>
  <c r="O41" i="5"/>
  <c r="O8" i="22" l="1"/>
  <c r="O17" i="22"/>
  <c r="P55" i="23" s="1"/>
  <c r="O11" i="22"/>
  <c r="O7" i="22"/>
  <c r="O15" i="22" s="1"/>
  <c r="P53" i="23" s="1"/>
  <c r="O10" i="22"/>
  <c r="O40" i="5"/>
  <c r="O16" i="22" l="1"/>
  <c r="P54" i="23" s="1"/>
  <c r="O18" i="22"/>
  <c r="P56" i="23" s="1"/>
  <c r="P21" i="23"/>
  <c r="P13" i="23"/>
  <c r="P45" i="23"/>
  <c r="P29" i="23"/>
  <c r="O19" i="22"/>
  <c r="P57" i="23" s="1"/>
  <c r="P47" i="23"/>
  <c r="P23" i="23"/>
  <c r="P31" i="23"/>
  <c r="P15" i="23"/>
  <c r="Q6" i="2"/>
  <c r="Q5" i="2"/>
  <c r="Q3" i="2"/>
  <c r="Q4" i="2"/>
  <c r="Q36" i="23" l="1"/>
  <c r="Q34" i="23"/>
  <c r="P16" i="23"/>
  <c r="P48" i="23"/>
  <c r="P32" i="23"/>
  <c r="P24" i="23"/>
  <c r="P25" i="23"/>
  <c r="P49" i="23"/>
  <c r="P33" i="23"/>
  <c r="P17" i="23"/>
  <c r="P22" i="23"/>
  <c r="P14" i="23"/>
  <c r="P30" i="23"/>
  <c r="P46" i="23"/>
  <c r="J10" i="2"/>
  <c r="Q35" i="23" l="1"/>
  <c r="Q38" i="23"/>
  <c r="Q37" i="23"/>
  <c r="Q11" i="2"/>
  <c r="K10" i="2"/>
  <c r="L10" i="2"/>
  <c r="G10" i="2"/>
  <c r="M10" i="2"/>
  <c r="H10" i="2"/>
  <c r="N10" i="2"/>
  <c r="I10" i="2"/>
  <c r="Q12" i="2"/>
  <c r="Q10" i="2"/>
  <c r="N3" i="7" l="1"/>
  <c r="N17" i="7" s="1"/>
  <c r="N3" i="27"/>
  <c r="N17" i="27" s="1"/>
  <c r="N3" i="1"/>
  <c r="N17" i="1" s="1"/>
  <c r="N4" i="7"/>
  <c r="N15" i="7" s="1"/>
  <c r="N4" i="1"/>
  <c r="N18" i="1" s="1"/>
  <c r="N4" i="27"/>
  <c r="N16" i="27" s="1"/>
  <c r="N4" i="4"/>
  <c r="N16" i="4" s="1"/>
  <c r="N3" i="4"/>
  <c r="N17" i="4" s="1"/>
  <c r="N40" i="5"/>
  <c r="N42" i="5"/>
  <c r="N41" i="5"/>
  <c r="N43" i="5"/>
  <c r="N44" i="5"/>
  <c r="N19" i="7" l="1"/>
  <c r="N18" i="7"/>
  <c r="N16" i="7"/>
  <c r="N8" i="22" s="1"/>
  <c r="N16" i="22" s="1"/>
  <c r="O54" i="23" s="1"/>
  <c r="N9" i="22"/>
  <c r="N17" i="22" s="1"/>
  <c r="N16" i="1"/>
  <c r="N15" i="27"/>
  <c r="N7" i="22" s="1"/>
  <c r="N18" i="4"/>
  <c r="N19" i="4"/>
  <c r="N15" i="4"/>
  <c r="N18" i="27"/>
  <c r="N19" i="27"/>
  <c r="N19" i="1"/>
  <c r="N15" i="1"/>
  <c r="M7" i="1"/>
  <c r="M14" i="1"/>
  <c r="N11" i="22" l="1"/>
  <c r="N19" i="22" s="1"/>
  <c r="N10" i="22"/>
  <c r="N18" i="22" s="1"/>
  <c r="N15" i="22"/>
  <c r="O46" i="23"/>
  <c r="O22" i="23"/>
  <c r="O55" i="23"/>
  <c r="O47" i="23" s="1"/>
  <c r="O30" i="23"/>
  <c r="O14" i="23"/>
  <c r="M41" i="5"/>
  <c r="R41" i="5" s="1"/>
  <c r="M40" i="5"/>
  <c r="R40" i="5" s="1"/>
  <c r="M43" i="5"/>
  <c r="R43" i="5" s="1"/>
  <c r="M42" i="5"/>
  <c r="R42" i="5" s="1"/>
  <c r="M44" i="5"/>
  <c r="R44" i="5" s="1"/>
  <c r="O57" i="23" l="1"/>
  <c r="O49" i="23" s="1"/>
  <c r="O53" i="23"/>
  <c r="O15" i="23"/>
  <c r="O23" i="23"/>
  <c r="O31" i="23"/>
  <c r="O56" i="23"/>
  <c r="O48" i="23" s="1"/>
  <c r="O51" i="23" s="1"/>
  <c r="P6" i="2"/>
  <c r="P5" i="2"/>
  <c r="P4" i="2"/>
  <c r="P10" i="2" s="1"/>
  <c r="P3" i="2"/>
  <c r="O6" i="2"/>
  <c r="O5" i="2"/>
  <c r="O4" i="2"/>
  <c r="O10" i="2" s="1"/>
  <c r="O3" i="2"/>
  <c r="O45" i="23" l="1"/>
  <c r="O50" i="23" s="1"/>
  <c r="O21" i="23"/>
  <c r="O25" i="23"/>
  <c r="O13" i="23"/>
  <c r="O32" i="23"/>
  <c r="O17" i="23"/>
  <c r="O16" i="23"/>
  <c r="O33" i="23"/>
  <c r="O24" i="23"/>
  <c r="O29" i="23"/>
  <c r="P12" i="2"/>
  <c r="P11" i="2"/>
  <c r="O12" i="2"/>
  <c r="O11" i="2"/>
  <c r="M3" i="27" l="1"/>
  <c r="M17" i="27" s="1"/>
  <c r="M3" i="1"/>
  <c r="M17" i="1" s="1"/>
  <c r="M4" i="27"/>
  <c r="M4" i="1"/>
  <c r="L4" i="7"/>
  <c r="L19" i="7" s="1"/>
  <c r="L4" i="27"/>
  <c r="L4" i="1"/>
  <c r="L3" i="7"/>
  <c r="L17" i="7" s="1"/>
  <c r="L3" i="27"/>
  <c r="L17" i="27" s="1"/>
  <c r="L3" i="1"/>
  <c r="M3" i="7"/>
  <c r="M17" i="7" s="1"/>
  <c r="M4" i="7"/>
  <c r="M16" i="7" s="1"/>
  <c r="L4" i="4"/>
  <c r="L3" i="4"/>
  <c r="M4" i="4"/>
  <c r="M15" i="4" s="1"/>
  <c r="M3" i="4"/>
  <c r="M17" i="4" s="1"/>
  <c r="L16" i="7" l="1"/>
  <c r="L15" i="7"/>
  <c r="L18" i="7"/>
  <c r="L9" i="22"/>
  <c r="Q17" i="7"/>
  <c r="M9" i="22"/>
  <c r="M17" i="22" s="1"/>
  <c r="N55" i="23" s="1"/>
  <c r="N47" i="23" s="1"/>
  <c r="Q16" i="7"/>
  <c r="Q17" i="27"/>
  <c r="M19" i="27"/>
  <c r="M18" i="27"/>
  <c r="M15" i="27"/>
  <c r="M16" i="27"/>
  <c r="M8" i="22" s="1"/>
  <c r="M18" i="7"/>
  <c r="M15" i="7"/>
  <c r="Q15" i="7" s="1"/>
  <c r="M19" i="7"/>
  <c r="L15" i="27"/>
  <c r="L18" i="27"/>
  <c r="L19" i="27"/>
  <c r="L11" i="22" s="1"/>
  <c r="L16" i="27"/>
  <c r="L8" i="22" s="1"/>
  <c r="M19" i="1"/>
  <c r="M18" i="1"/>
  <c r="M16" i="1"/>
  <c r="M15" i="1"/>
  <c r="M16" i="4"/>
  <c r="M18" i="4"/>
  <c r="M19" i="4"/>
  <c r="Q9" i="22" l="1"/>
  <c r="F16" i="26" s="1"/>
  <c r="E39" i="23"/>
  <c r="E16" i="26"/>
  <c r="Q8" i="22"/>
  <c r="F15" i="26" s="1"/>
  <c r="D15" i="26"/>
  <c r="F38" i="23"/>
  <c r="D14" i="26"/>
  <c r="F37" i="23"/>
  <c r="F39" i="23"/>
  <c r="D16" i="26"/>
  <c r="Q15" i="27"/>
  <c r="Q18" i="27"/>
  <c r="M10" i="22"/>
  <c r="M18" i="22" s="1"/>
  <c r="N56" i="23" s="1"/>
  <c r="N48" i="23" s="1"/>
  <c r="M16" i="22"/>
  <c r="N54" i="23" s="1"/>
  <c r="Q18" i="7"/>
  <c r="Q16" i="27"/>
  <c r="M11" i="22"/>
  <c r="M19" i="22" s="1"/>
  <c r="N57" i="23" s="1"/>
  <c r="N49" i="23" s="1"/>
  <c r="L10" i="22"/>
  <c r="L7" i="22"/>
  <c r="Q19" i="27"/>
  <c r="M7" i="22"/>
  <c r="M15" i="22" s="1"/>
  <c r="N53" i="23" s="1"/>
  <c r="Q19" i="7"/>
  <c r="N31" i="23"/>
  <c r="N23" i="23"/>
  <c r="N15" i="23"/>
  <c r="Q10" i="22" l="1"/>
  <c r="F17" i="26" s="1"/>
  <c r="D18" i="26"/>
  <c r="F41" i="23"/>
  <c r="E18" i="26"/>
  <c r="E41" i="23"/>
  <c r="E38" i="23"/>
  <c r="E15" i="26"/>
  <c r="E17" i="26"/>
  <c r="E40" i="23"/>
  <c r="Q7" i="22"/>
  <c r="F14" i="26" s="1"/>
  <c r="F40" i="23"/>
  <c r="D17" i="26"/>
  <c r="E14" i="26"/>
  <c r="E37" i="23"/>
  <c r="Q11" i="22"/>
  <c r="F18" i="26" s="1"/>
  <c r="N46" i="23"/>
  <c r="N22" i="23"/>
  <c r="N45" i="23"/>
  <c r="N50" i="23" s="1"/>
  <c r="N21" i="23"/>
  <c r="N30" i="23"/>
  <c r="N33" i="23"/>
  <c r="N25" i="23"/>
  <c r="N29" i="23"/>
  <c r="N13" i="23"/>
  <c r="N32" i="23"/>
  <c r="N24" i="23"/>
  <c r="N17" i="23"/>
  <c r="N16" i="23"/>
  <c r="N14" i="23"/>
  <c r="F25" i="5" l="1"/>
  <c r="D4" i="26" s="1"/>
  <c r="E25" i="5"/>
  <c r="D25" i="5"/>
  <c r="B4" i="26" s="1"/>
  <c r="F13" i="26"/>
  <c r="E13" i="26"/>
  <c r="D13" i="26"/>
  <c r="C13" i="26"/>
  <c r="B13" i="26"/>
  <c r="D40" i="5" l="1"/>
  <c r="D41" i="5"/>
  <c r="D42" i="5"/>
  <c r="D43" i="5"/>
  <c r="D44" i="5"/>
  <c r="A14" i="1" l="1"/>
  <c r="A14" i="27"/>
  <c r="B2" i="4"/>
  <c r="A14" i="4" s="1"/>
  <c r="B2" i="7"/>
  <c r="A14" i="7" s="1"/>
  <c r="D7" i="2" l="1"/>
  <c r="D9" i="2" s="1"/>
  <c r="G12" i="2" l="1"/>
  <c r="I12" i="2"/>
  <c r="K12" i="2"/>
  <c r="M12" i="2"/>
  <c r="H12" i="2"/>
  <c r="J12" i="2"/>
  <c r="L12" i="2"/>
  <c r="N12" i="2"/>
  <c r="F12" i="2"/>
  <c r="M11" i="2"/>
  <c r="K11" i="2"/>
  <c r="I11" i="2"/>
  <c r="G11" i="2"/>
  <c r="N11" i="2"/>
  <c r="L11" i="2"/>
  <c r="J11" i="2"/>
  <c r="H11" i="2"/>
  <c r="F11" i="2"/>
  <c r="F10" i="2"/>
  <c r="K3" i="7" l="1"/>
  <c r="K17" i="7" s="1"/>
  <c r="K3" i="1"/>
  <c r="K3" i="27"/>
  <c r="K17" i="27" s="1"/>
  <c r="J3" i="7"/>
  <c r="J17" i="7" s="1"/>
  <c r="J3" i="27"/>
  <c r="J17" i="27" s="1"/>
  <c r="J3" i="1"/>
  <c r="I4" i="7"/>
  <c r="I19" i="7" s="1"/>
  <c r="I4" i="27"/>
  <c r="I4" i="1"/>
  <c r="H4" i="7"/>
  <c r="H16" i="7" s="1"/>
  <c r="H4" i="27"/>
  <c r="H4" i="1"/>
  <c r="I3" i="7"/>
  <c r="I17" i="7" s="1"/>
  <c r="I3" i="27"/>
  <c r="I17" i="27" s="1"/>
  <c r="I3" i="1"/>
  <c r="H3" i="7"/>
  <c r="H17" i="7" s="1"/>
  <c r="H3" i="27"/>
  <c r="H17" i="27" s="1"/>
  <c r="H3" i="1"/>
  <c r="F4" i="7"/>
  <c r="F16" i="7" s="1"/>
  <c r="F4" i="1"/>
  <c r="F4" i="27"/>
  <c r="C4" i="27"/>
  <c r="C4" i="1"/>
  <c r="G3" i="7"/>
  <c r="G17" i="7" s="1"/>
  <c r="G3" i="1"/>
  <c r="G3" i="27"/>
  <c r="G17" i="27" s="1"/>
  <c r="F3" i="7"/>
  <c r="F17" i="7" s="1"/>
  <c r="F3" i="27"/>
  <c r="F17" i="27" s="1"/>
  <c r="F3" i="1"/>
  <c r="G4" i="7"/>
  <c r="G15" i="7" s="1"/>
  <c r="G4" i="27"/>
  <c r="G4" i="1"/>
  <c r="K4" i="7"/>
  <c r="K15" i="7" s="1"/>
  <c r="K4" i="27"/>
  <c r="K4" i="1"/>
  <c r="J4" i="7"/>
  <c r="J18" i="7" s="1"/>
  <c r="J4" i="1"/>
  <c r="J4" i="27"/>
  <c r="E4" i="7"/>
  <c r="E16" i="7" s="1"/>
  <c r="E4" i="27"/>
  <c r="E4" i="1"/>
  <c r="D4" i="7"/>
  <c r="D19" i="7" s="1"/>
  <c r="D4" i="27"/>
  <c r="D4" i="1"/>
  <c r="C3" i="1"/>
  <c r="C3" i="27"/>
  <c r="E3" i="7"/>
  <c r="E17" i="7" s="1"/>
  <c r="E3" i="27"/>
  <c r="E17" i="27" s="1"/>
  <c r="E3" i="1"/>
  <c r="D3" i="7"/>
  <c r="D17" i="7" s="1"/>
  <c r="D3" i="27"/>
  <c r="D17" i="27" s="1"/>
  <c r="D3" i="1"/>
  <c r="C4" i="4"/>
  <c r="C4" i="7"/>
  <c r="E4" i="4"/>
  <c r="I4" i="4"/>
  <c r="F4" i="4"/>
  <c r="J4" i="4"/>
  <c r="C3" i="4"/>
  <c r="C3" i="7"/>
  <c r="I3" i="4"/>
  <c r="E3" i="4"/>
  <c r="J3" i="4"/>
  <c r="F3" i="4"/>
  <c r="G4" i="4"/>
  <c r="K4" i="4"/>
  <c r="D4" i="4"/>
  <c r="H4" i="4"/>
  <c r="K3" i="4"/>
  <c r="G3" i="4"/>
  <c r="H3" i="4"/>
  <c r="D3" i="4"/>
  <c r="B3" i="26"/>
  <c r="D14" i="1"/>
  <c r="E14" i="1"/>
  <c r="F14" i="1"/>
  <c r="G14" i="1"/>
  <c r="H14" i="1"/>
  <c r="I14" i="1"/>
  <c r="J14" i="1"/>
  <c r="K14" i="1"/>
  <c r="L14" i="1"/>
  <c r="C14" i="1"/>
  <c r="G19" i="7" l="1"/>
  <c r="G16" i="7"/>
  <c r="H19" i="7"/>
  <c r="K18" i="7"/>
  <c r="K16" i="7"/>
  <c r="K19" i="7"/>
  <c r="D18" i="7"/>
  <c r="D16" i="7"/>
  <c r="H15" i="7"/>
  <c r="I16" i="7"/>
  <c r="D15" i="7"/>
  <c r="I18" i="7"/>
  <c r="G18" i="7"/>
  <c r="H18" i="7"/>
  <c r="H9" i="22"/>
  <c r="J9" i="22"/>
  <c r="E18" i="7"/>
  <c r="F18" i="7"/>
  <c r="E15" i="7"/>
  <c r="F15" i="7"/>
  <c r="E19" i="7"/>
  <c r="I15" i="7"/>
  <c r="F19" i="7"/>
  <c r="J15" i="7"/>
  <c r="J19" i="7"/>
  <c r="E9" i="22"/>
  <c r="F9" i="22"/>
  <c r="G9" i="22"/>
  <c r="J16" i="7"/>
  <c r="D9" i="22"/>
  <c r="I9" i="22"/>
  <c r="K9" i="22"/>
  <c r="J18" i="27"/>
  <c r="J10" i="22" s="1"/>
  <c r="J19" i="27"/>
  <c r="J16" i="27"/>
  <c r="J15" i="27"/>
  <c r="F18" i="27"/>
  <c r="F15" i="27"/>
  <c r="F19" i="27"/>
  <c r="F16" i="27"/>
  <c r="F8" i="22" s="1"/>
  <c r="G18" i="27"/>
  <c r="G15" i="27"/>
  <c r="G7" i="22" s="1"/>
  <c r="G16" i="27"/>
  <c r="G8" i="22" s="1"/>
  <c r="G19" i="27"/>
  <c r="G11" i="22" s="1"/>
  <c r="E19" i="27"/>
  <c r="E16" i="27"/>
  <c r="E8" i="22" s="1"/>
  <c r="E18" i="27"/>
  <c r="E15" i="27"/>
  <c r="D15" i="27"/>
  <c r="D18" i="27"/>
  <c r="D19" i="27"/>
  <c r="D11" i="22" s="1"/>
  <c r="D16" i="27"/>
  <c r="H18" i="27"/>
  <c r="H15" i="27"/>
  <c r="H19" i="27"/>
  <c r="H16" i="27"/>
  <c r="H8" i="22" s="1"/>
  <c r="K18" i="27"/>
  <c r="K15" i="27"/>
  <c r="K19" i="27"/>
  <c r="K16" i="27"/>
  <c r="I19" i="27"/>
  <c r="I11" i="22" s="1"/>
  <c r="I18" i="27"/>
  <c r="I15" i="27"/>
  <c r="I16" i="27"/>
  <c r="D10" i="22" l="1"/>
  <c r="H10" i="22"/>
  <c r="H7" i="22"/>
  <c r="E11" i="22"/>
  <c r="G10" i="22"/>
  <c r="H11" i="22"/>
  <c r="E10" i="22"/>
  <c r="F10" i="22"/>
  <c r="I10" i="22"/>
  <c r="D8" i="22"/>
  <c r="I8" i="22"/>
  <c r="D7" i="22"/>
  <c r="E7" i="22"/>
  <c r="I7" i="22"/>
  <c r="F11" i="22"/>
  <c r="F7" i="22"/>
  <c r="K7" i="22"/>
  <c r="J7" i="22"/>
  <c r="K10" i="22"/>
  <c r="K8" i="22"/>
  <c r="K11" i="22"/>
  <c r="J11" i="22"/>
  <c r="J8" i="22"/>
  <c r="E16" i="5" l="1"/>
  <c r="E40" i="5" l="1"/>
  <c r="I40" i="5"/>
  <c r="E41" i="5"/>
  <c r="I41" i="5"/>
  <c r="E42" i="5"/>
  <c r="I42" i="5"/>
  <c r="E43" i="5"/>
  <c r="I43" i="5"/>
  <c r="E44" i="5"/>
  <c r="I44" i="5"/>
  <c r="F40" i="5"/>
  <c r="J40" i="5"/>
  <c r="F41" i="5"/>
  <c r="J41" i="5"/>
  <c r="F42" i="5"/>
  <c r="F43" i="5"/>
  <c r="F44" i="5"/>
  <c r="G40" i="5"/>
  <c r="K40" i="5"/>
  <c r="G41" i="5"/>
  <c r="K41" i="5"/>
  <c r="G42" i="5"/>
  <c r="K42" i="5"/>
  <c r="G43" i="5"/>
  <c r="K43" i="5"/>
  <c r="G44" i="5"/>
  <c r="K44" i="5"/>
  <c r="H40" i="5"/>
  <c r="L40" i="5"/>
  <c r="H41" i="5"/>
  <c r="L41" i="5"/>
  <c r="H42" i="5"/>
  <c r="L42" i="5"/>
  <c r="H43" i="5"/>
  <c r="L43" i="5"/>
  <c r="H44" i="5"/>
  <c r="L44" i="5"/>
  <c r="J42" i="5"/>
  <c r="J43" i="5"/>
  <c r="J44" i="5"/>
  <c r="L7" i="1" l="1"/>
  <c r="B9" i="26" l="1"/>
  <c r="B8" i="26"/>
  <c r="B6" i="26"/>
  <c r="B5" i="26"/>
  <c r="B7" i="26"/>
  <c r="A14" i="22" l="1"/>
  <c r="A6" i="22" l="1"/>
  <c r="C13" i="22" s="1"/>
  <c r="D7" i="1"/>
  <c r="E7" i="1"/>
  <c r="F7" i="1"/>
  <c r="G7" i="1"/>
  <c r="H7" i="1"/>
  <c r="I7" i="1"/>
  <c r="J7" i="1"/>
  <c r="K7" i="1"/>
  <c r="C7" i="1"/>
  <c r="C3" i="26" l="1"/>
  <c r="D3" i="26"/>
  <c r="A5" i="26"/>
  <c r="A6" i="26"/>
  <c r="A7" i="26"/>
  <c r="A8" i="26"/>
  <c r="A9" i="26"/>
  <c r="B5" i="22" l="1"/>
  <c r="C8" i="26" l="1"/>
  <c r="C7" i="26"/>
  <c r="C6" i="26"/>
  <c r="D6" i="26"/>
  <c r="C9" i="26"/>
  <c r="D9" i="26"/>
  <c r="D8" i="26"/>
  <c r="D7" i="26"/>
  <c r="C17" i="7" l="1"/>
  <c r="C18" i="7" l="1"/>
  <c r="C15" i="7"/>
  <c r="C19" i="7"/>
  <c r="C16" i="7"/>
  <c r="L17" i="4" l="1"/>
  <c r="Q17" i="4" s="1"/>
  <c r="K17" i="4"/>
  <c r="I17" i="4"/>
  <c r="I17" i="22" s="1"/>
  <c r="G17" i="4"/>
  <c r="G17" i="22" s="1"/>
  <c r="E17" i="4"/>
  <c r="E17" i="22" s="1"/>
  <c r="C17" i="4"/>
  <c r="J17" i="4"/>
  <c r="J17" i="22" s="1"/>
  <c r="H17" i="4"/>
  <c r="H17" i="22" s="1"/>
  <c r="F17" i="4"/>
  <c r="F17" i="22" s="1"/>
  <c r="D17" i="4"/>
  <c r="D17" i="22" s="1"/>
  <c r="B16" i="26" l="1"/>
  <c r="D39" i="23"/>
  <c r="K17" i="22"/>
  <c r="L17" i="22"/>
  <c r="M55" i="23" s="1"/>
  <c r="R55" i="23" s="1"/>
  <c r="C16" i="4"/>
  <c r="C15" i="4"/>
  <c r="C19" i="4"/>
  <c r="C18" i="4"/>
  <c r="L15" i="4"/>
  <c r="Q15" i="4" s="1"/>
  <c r="D37" i="23" s="1"/>
  <c r="L19" i="4"/>
  <c r="Q19" i="4" s="1"/>
  <c r="L16" i="4"/>
  <c r="Q16" i="4" s="1"/>
  <c r="L18" i="4"/>
  <c r="L17" i="1"/>
  <c r="Q17" i="1" s="1"/>
  <c r="C16" i="26" s="1"/>
  <c r="K16" i="4"/>
  <c r="K18" i="4"/>
  <c r="K15" i="4"/>
  <c r="K19" i="4"/>
  <c r="K17" i="1"/>
  <c r="C17" i="1"/>
  <c r="C17" i="27"/>
  <c r="F19" i="4"/>
  <c r="F19" i="22" s="1"/>
  <c r="F18" i="4"/>
  <c r="F18" i="22" s="1"/>
  <c r="F16" i="4"/>
  <c r="F16" i="22" s="1"/>
  <c r="J19" i="4"/>
  <c r="J19" i="22" s="1"/>
  <c r="J18" i="4"/>
  <c r="J18" i="22" s="1"/>
  <c r="J16" i="4"/>
  <c r="J16" i="22" s="1"/>
  <c r="E19" i="4"/>
  <c r="E19" i="22" s="1"/>
  <c r="E18" i="4"/>
  <c r="E18" i="22" s="1"/>
  <c r="E16" i="4"/>
  <c r="E16" i="22" s="1"/>
  <c r="I19" i="4"/>
  <c r="I19" i="22" s="1"/>
  <c r="I18" i="4"/>
  <c r="I18" i="22" s="1"/>
  <c r="I16" i="4"/>
  <c r="I16" i="22" s="1"/>
  <c r="D19" i="4"/>
  <c r="D19" i="22" s="1"/>
  <c r="D18" i="4"/>
  <c r="D18" i="22" s="1"/>
  <c r="D16" i="4"/>
  <c r="D16" i="22" s="1"/>
  <c r="H19" i="4"/>
  <c r="H19" i="22" s="1"/>
  <c r="H18" i="4"/>
  <c r="H18" i="22" s="1"/>
  <c r="H16" i="4"/>
  <c r="H16" i="22" s="1"/>
  <c r="G19" i="4"/>
  <c r="G19" i="22" s="1"/>
  <c r="G18" i="4"/>
  <c r="G18" i="22" s="1"/>
  <c r="G16" i="4"/>
  <c r="G16" i="22" s="1"/>
  <c r="D38" i="23" l="1"/>
  <c r="B15" i="26"/>
  <c r="D41" i="23"/>
  <c r="B18" i="26"/>
  <c r="B14" i="26"/>
  <c r="L18" i="22"/>
  <c r="M56" i="23" s="1"/>
  <c r="Q18" i="4"/>
  <c r="M47" i="23"/>
  <c r="M31" i="23"/>
  <c r="M23" i="23"/>
  <c r="R23" i="23" s="1"/>
  <c r="K19" i="22"/>
  <c r="K15" i="22"/>
  <c r="L53" i="23" s="1"/>
  <c r="L21" i="23" s="1"/>
  <c r="K18" i="22"/>
  <c r="L56" i="23" s="1"/>
  <c r="L16" i="22"/>
  <c r="M54" i="23" s="1"/>
  <c r="R54" i="23" s="1"/>
  <c r="L15" i="22"/>
  <c r="M53" i="23" s="1"/>
  <c r="K16" i="22"/>
  <c r="L54" i="23" s="1"/>
  <c r="L22" i="23" s="1"/>
  <c r="L19" i="22"/>
  <c r="M57" i="23" s="1"/>
  <c r="C19" i="27"/>
  <c r="C18" i="27"/>
  <c r="C15" i="27"/>
  <c r="C16" i="27"/>
  <c r="C18" i="1"/>
  <c r="C16" i="1"/>
  <c r="C19" i="1"/>
  <c r="C15" i="1"/>
  <c r="M15" i="23"/>
  <c r="R15" i="23" s="1"/>
  <c r="L16" i="1"/>
  <c r="Q16" i="1" s="1"/>
  <c r="C15" i="26" s="1"/>
  <c r="L18" i="1"/>
  <c r="Q18" i="1" s="1"/>
  <c r="C17" i="26" s="1"/>
  <c r="L15" i="1"/>
  <c r="Q15" i="1" s="1"/>
  <c r="C14" i="26" s="1"/>
  <c r="L19" i="1"/>
  <c r="Q19" i="1" s="1"/>
  <c r="C18" i="26" s="1"/>
  <c r="L55" i="23"/>
  <c r="K16" i="1"/>
  <c r="K19" i="1"/>
  <c r="K18" i="1"/>
  <c r="K15" i="1"/>
  <c r="R47" i="23" l="1"/>
  <c r="B17" i="26"/>
  <c r="D40" i="23"/>
  <c r="M49" i="23"/>
  <c r="R49" i="23" s="1"/>
  <c r="R57" i="23"/>
  <c r="V31" i="23"/>
  <c r="R31" i="23"/>
  <c r="M21" i="23"/>
  <c r="R21" i="23" s="1"/>
  <c r="R53" i="23"/>
  <c r="M48" i="23"/>
  <c r="R48" i="23" s="1"/>
  <c r="R56" i="23"/>
  <c r="M25" i="23"/>
  <c r="R25" i="23" s="1"/>
  <c r="M22" i="23"/>
  <c r="R22" i="23" s="1"/>
  <c r="M46" i="23"/>
  <c r="R46" i="23" s="1"/>
  <c r="M30" i="23"/>
  <c r="M33" i="23"/>
  <c r="M45" i="23"/>
  <c r="L48" i="23"/>
  <c r="L45" i="23"/>
  <c r="L46" i="23"/>
  <c r="L47" i="23"/>
  <c r="M29" i="23"/>
  <c r="M13" i="23"/>
  <c r="R13" i="23" s="1"/>
  <c r="L31" i="23"/>
  <c r="L23" i="23"/>
  <c r="L32" i="23"/>
  <c r="L24" i="23"/>
  <c r="M32" i="23"/>
  <c r="M24" i="23"/>
  <c r="R24" i="23" s="1"/>
  <c r="L30" i="23"/>
  <c r="M17" i="23"/>
  <c r="R17" i="23" s="1"/>
  <c r="M16" i="23"/>
  <c r="R16" i="23" s="1"/>
  <c r="M14" i="23"/>
  <c r="R14" i="23" s="1"/>
  <c r="L57" i="23"/>
  <c r="R50" i="23" l="1"/>
  <c r="M50" i="23"/>
  <c r="V30" i="23"/>
  <c r="R30" i="23"/>
  <c r="V29" i="23"/>
  <c r="R29" i="23"/>
  <c r="F4" i="23" s="1"/>
  <c r="R45" i="23"/>
  <c r="V32" i="23"/>
  <c r="R32" i="23"/>
  <c r="V33" i="23"/>
  <c r="R33" i="23"/>
  <c r="L50" i="23"/>
  <c r="L49" i="23"/>
  <c r="L29" i="23"/>
  <c r="L13" i="23"/>
  <c r="L33" i="23"/>
  <c r="L25" i="23"/>
  <c r="T29" i="23"/>
  <c r="L14" i="23"/>
  <c r="L16" i="23"/>
  <c r="L15" i="23"/>
  <c r="J15" i="4"/>
  <c r="J15" i="22" s="1"/>
  <c r="D15" i="1"/>
  <c r="F15" i="1"/>
  <c r="H15" i="1"/>
  <c r="J15" i="1"/>
  <c r="E15" i="1"/>
  <c r="G15" i="1"/>
  <c r="I15" i="1"/>
  <c r="G19" i="1"/>
  <c r="D19" i="1"/>
  <c r="H19" i="1"/>
  <c r="E19" i="1"/>
  <c r="I19" i="1"/>
  <c r="F19" i="1"/>
  <c r="J19" i="1"/>
  <c r="E18" i="1"/>
  <c r="I18" i="1"/>
  <c r="F18" i="1"/>
  <c r="J18" i="1"/>
  <c r="G18" i="1"/>
  <c r="D18" i="1"/>
  <c r="H18" i="1"/>
  <c r="E17" i="1"/>
  <c r="I17" i="1"/>
  <c r="D17" i="1"/>
  <c r="H17" i="1"/>
  <c r="G17" i="1"/>
  <c r="F17" i="1"/>
  <c r="J17" i="1"/>
  <c r="E55" i="23"/>
  <c r="E47" i="23" s="1"/>
  <c r="D16" i="1"/>
  <c r="F16" i="1"/>
  <c r="H16" i="1"/>
  <c r="J16" i="1"/>
  <c r="E16" i="1"/>
  <c r="G16" i="1"/>
  <c r="I16" i="1"/>
  <c r="L51" i="23" l="1"/>
  <c r="F55" i="23"/>
  <c r="F47" i="23" s="1"/>
  <c r="J55" i="23"/>
  <c r="J47" i="23" s="1"/>
  <c r="L17" i="23"/>
  <c r="C9" i="22"/>
  <c r="C17" i="22" s="1"/>
  <c r="G54" i="23"/>
  <c r="F54" i="23"/>
  <c r="I56" i="23"/>
  <c r="I48" i="23" s="1"/>
  <c r="H56" i="23"/>
  <c r="H48" i="23" s="1"/>
  <c r="I57" i="23"/>
  <c r="I49" i="23" s="1"/>
  <c r="H57" i="23"/>
  <c r="H49" i="23" s="1"/>
  <c r="K53" i="23"/>
  <c r="H54" i="23"/>
  <c r="C8" i="22"/>
  <c r="C16" i="22" s="1"/>
  <c r="I54" i="23"/>
  <c r="E54" i="23"/>
  <c r="C5" i="26"/>
  <c r="G55" i="23"/>
  <c r="G47" i="23" s="1"/>
  <c r="G56" i="23"/>
  <c r="G48" i="23" s="1"/>
  <c r="G57" i="23"/>
  <c r="G49" i="23" s="1"/>
  <c r="E56" i="23"/>
  <c r="E48" i="23" s="1"/>
  <c r="C10" i="22"/>
  <c r="C18" i="22" s="1"/>
  <c r="F56" i="23"/>
  <c r="F48" i="23" s="1"/>
  <c r="F57" i="23"/>
  <c r="F49" i="23" s="1"/>
  <c r="E57" i="23"/>
  <c r="E49" i="23" s="1"/>
  <c r="C11" i="22"/>
  <c r="C19" i="22" s="1"/>
  <c r="C7" i="22"/>
  <c r="C15" i="22" l="1"/>
  <c r="D53" i="23" s="1"/>
  <c r="I46" i="23"/>
  <c r="I22" i="23"/>
  <c r="F46" i="23"/>
  <c r="F22" i="23"/>
  <c r="K45" i="23"/>
  <c r="K21" i="23"/>
  <c r="G46" i="23"/>
  <c r="G22" i="23"/>
  <c r="E46" i="23"/>
  <c r="E22" i="23"/>
  <c r="H46" i="23"/>
  <c r="H22" i="23"/>
  <c r="I30" i="23"/>
  <c r="H33" i="23"/>
  <c r="H25" i="23"/>
  <c r="K54" i="23"/>
  <c r="E33" i="23"/>
  <c r="E25" i="23"/>
  <c r="G31" i="23"/>
  <c r="G23" i="23"/>
  <c r="I33" i="23"/>
  <c r="I25" i="23"/>
  <c r="K56" i="23"/>
  <c r="K48" i="23" s="1"/>
  <c r="F30" i="23"/>
  <c r="J31" i="23"/>
  <c r="J23" i="23"/>
  <c r="F31" i="23"/>
  <c r="F23" i="23"/>
  <c r="E31" i="23"/>
  <c r="E23" i="23"/>
  <c r="F33" i="23"/>
  <c r="F25" i="23"/>
  <c r="G33" i="23"/>
  <c r="G25" i="23"/>
  <c r="H30" i="23"/>
  <c r="E30" i="23"/>
  <c r="K57" i="23"/>
  <c r="K49" i="23" s="1"/>
  <c r="K51" i="23" s="1"/>
  <c r="G30" i="23"/>
  <c r="J57" i="23"/>
  <c r="J49" i="23" s="1"/>
  <c r="J56" i="23"/>
  <c r="J48" i="23" s="1"/>
  <c r="J54" i="23"/>
  <c r="F15" i="23"/>
  <c r="J15" i="23"/>
  <c r="H55" i="23"/>
  <c r="H47" i="23" s="1"/>
  <c r="I55" i="23"/>
  <c r="I47" i="23" s="1"/>
  <c r="E15" i="23"/>
  <c r="D55" i="23"/>
  <c r="D31" i="23" s="1"/>
  <c r="S31" i="23" s="1"/>
  <c r="D5" i="26"/>
  <c r="G15" i="4"/>
  <c r="F15" i="4"/>
  <c r="E15" i="4"/>
  <c r="D15" i="4"/>
  <c r="I15" i="4"/>
  <c r="I15" i="22" s="1"/>
  <c r="H15" i="4"/>
  <c r="H15" i="22" s="1"/>
  <c r="D57" i="23"/>
  <c r="D33" i="23" s="1"/>
  <c r="S33" i="23" s="1"/>
  <c r="D56" i="23"/>
  <c r="D32" i="23" s="1"/>
  <c r="S32" i="23" s="1"/>
  <c r="D54" i="23"/>
  <c r="D30" i="23" s="1"/>
  <c r="S30" i="23" s="1"/>
  <c r="D29" i="23" l="1"/>
  <c r="D45" i="23"/>
  <c r="S45" i="23" s="1"/>
  <c r="D21" i="23"/>
  <c r="S21" i="23" s="1"/>
  <c r="D13" i="23"/>
  <c r="S13" i="23" s="1"/>
  <c r="G15" i="22"/>
  <c r="H53" i="23" s="1"/>
  <c r="D15" i="22"/>
  <c r="E53" i="23" s="1"/>
  <c r="E45" i="23" s="1"/>
  <c r="E50" i="23" s="1"/>
  <c r="E15" i="22"/>
  <c r="F53" i="23" s="1"/>
  <c r="F15" i="22"/>
  <c r="G53" i="23" s="1"/>
  <c r="K46" i="23"/>
  <c r="K22" i="23"/>
  <c r="J46" i="23"/>
  <c r="J22" i="23"/>
  <c r="K55" i="23"/>
  <c r="K47" i="23" s="1"/>
  <c r="K50" i="23" s="1"/>
  <c r="G32" i="23"/>
  <c r="G24" i="23"/>
  <c r="H32" i="23"/>
  <c r="H24" i="23"/>
  <c r="U33" i="23"/>
  <c r="K32" i="23"/>
  <c r="K24" i="23"/>
  <c r="I31" i="23"/>
  <c r="I23" i="23"/>
  <c r="J32" i="23"/>
  <c r="J24" i="23"/>
  <c r="U30" i="23"/>
  <c r="K29" i="23"/>
  <c r="K13" i="23"/>
  <c r="U31" i="23"/>
  <c r="H31" i="23"/>
  <c r="H23" i="23"/>
  <c r="J33" i="23"/>
  <c r="J25" i="23"/>
  <c r="K30" i="23"/>
  <c r="U45" i="23"/>
  <c r="T45" i="23"/>
  <c r="K33" i="23"/>
  <c r="K25" i="23"/>
  <c r="U32" i="23"/>
  <c r="F32" i="23"/>
  <c r="F24" i="23"/>
  <c r="I32" i="23"/>
  <c r="I24" i="23"/>
  <c r="E32" i="23"/>
  <c r="E24" i="23"/>
  <c r="J30" i="23"/>
  <c r="J53" i="23"/>
  <c r="I53" i="23"/>
  <c r="H15" i="23"/>
  <c r="G14" i="23"/>
  <c r="J16" i="23"/>
  <c r="E14" i="23"/>
  <c r="F16" i="23"/>
  <c r="K17" i="23"/>
  <c r="F14" i="23"/>
  <c r="H16" i="23"/>
  <c r="J17" i="23"/>
  <c r="D46" i="23"/>
  <c r="S46" i="23" s="1"/>
  <c r="D22" i="23"/>
  <c r="S22" i="23" s="1"/>
  <c r="D14" i="23"/>
  <c r="S14" i="23" s="1"/>
  <c r="G15" i="23"/>
  <c r="D48" i="23"/>
  <c r="S48" i="23" s="1"/>
  <c r="D24" i="23"/>
  <c r="S24" i="23" s="1"/>
  <c r="D16" i="23"/>
  <c r="S16" i="23" s="1"/>
  <c r="F17" i="23"/>
  <c r="J14" i="23"/>
  <c r="K16" i="23"/>
  <c r="I17" i="23"/>
  <c r="H14" i="23"/>
  <c r="G16" i="23"/>
  <c r="E17" i="23"/>
  <c r="D47" i="23"/>
  <c r="S47" i="23" s="1"/>
  <c r="D23" i="23"/>
  <c r="S23" i="23" s="1"/>
  <c r="D15" i="23"/>
  <c r="S15" i="23" s="1"/>
  <c r="I15" i="23"/>
  <c r="K14" i="23"/>
  <c r="H17" i="23"/>
  <c r="G17" i="23"/>
  <c r="D49" i="23"/>
  <c r="S49" i="23" s="1"/>
  <c r="D25" i="23"/>
  <c r="S25" i="23" s="1"/>
  <c r="D17" i="23"/>
  <c r="S17" i="23" s="1"/>
  <c r="I16" i="23"/>
  <c r="I14" i="23"/>
  <c r="E16" i="23"/>
  <c r="S29" i="23" l="1"/>
  <c r="U29" i="23"/>
  <c r="K31" i="23"/>
  <c r="G45" i="23"/>
  <c r="G50" i="23" s="1"/>
  <c r="G21" i="23"/>
  <c r="H45" i="23"/>
  <c r="H50" i="23" s="1"/>
  <c r="H21" i="23"/>
  <c r="F45" i="23"/>
  <c r="F50" i="23" s="1"/>
  <c r="F21" i="23"/>
  <c r="D50" i="23"/>
  <c r="E21" i="23"/>
  <c r="K23" i="23"/>
  <c r="J45" i="23"/>
  <c r="J50" i="23" s="1"/>
  <c r="J21" i="23"/>
  <c r="I45" i="23"/>
  <c r="I50" i="23" s="1"/>
  <c r="I21" i="23"/>
  <c r="K15" i="23"/>
  <c r="H29" i="23"/>
  <c r="H13" i="23"/>
  <c r="U48" i="23"/>
  <c r="T48" i="23"/>
  <c r="U46" i="23"/>
  <c r="T46" i="23"/>
  <c r="F29" i="23"/>
  <c r="F13" i="23"/>
  <c r="G29" i="23"/>
  <c r="G13" i="23"/>
  <c r="U47" i="23"/>
  <c r="T47" i="23"/>
  <c r="I29" i="23"/>
  <c r="I13" i="23"/>
  <c r="J29" i="23"/>
  <c r="J13" i="23"/>
  <c r="E29" i="23"/>
  <c r="E13" i="23"/>
  <c r="U49" i="23"/>
  <c r="T49" i="23"/>
  <c r="D6" i="23"/>
  <c r="D5" i="23"/>
  <c r="F5" i="23"/>
  <c r="E8" i="23"/>
  <c r="D7" i="23"/>
  <c r="F7" i="23"/>
  <c r="E5" i="23"/>
  <c r="E7" i="23"/>
  <c r="F8" i="23"/>
  <c r="F6" i="23"/>
  <c r="D8" i="23"/>
  <c r="E6" i="23"/>
  <c r="E4" i="23" l="1"/>
  <c r="D4" i="23"/>
</calcChain>
</file>

<file path=xl/sharedStrings.xml><?xml version="1.0" encoding="utf-8"?>
<sst xmlns="http://schemas.openxmlformats.org/spreadsheetml/2006/main" count="456" uniqueCount="136">
  <si>
    <t>CPI (Dec)</t>
  </si>
  <si>
    <t>Unit</t>
  </si>
  <si>
    <t>Series Type</t>
  </si>
  <si>
    <t>Data Type</t>
  </si>
  <si>
    <t>Frequency</t>
  </si>
  <si>
    <t>Collection Month</t>
  </si>
  <si>
    <t>Series Start</t>
  </si>
  <si>
    <t>Series End</t>
  </si>
  <si>
    <t>No. Obs</t>
  </si>
  <si>
    <t>Series ID</t>
  </si>
  <si>
    <t>Index Numbers ;  All groups CPI ;  Australia ;</t>
  </si>
  <si>
    <t>Index Numbers</t>
  </si>
  <si>
    <t>Original</t>
  </si>
  <si>
    <t>INDEX</t>
  </si>
  <si>
    <t>Quarter</t>
  </si>
  <si>
    <t>A2325846C</t>
  </si>
  <si>
    <t>Financial year data (Real December previous year)</t>
  </si>
  <si>
    <t>Calander year data (Real June same year)</t>
  </si>
  <si>
    <t>$ '000</t>
  </si>
  <si>
    <t>Maximum demand</t>
  </si>
  <si>
    <t>DNSP Network services capex</t>
  </si>
  <si>
    <t>Powerlink</t>
  </si>
  <si>
    <t>Energy transported</t>
  </si>
  <si>
    <t>Depreciation</t>
  </si>
  <si>
    <t>5 year average</t>
  </si>
  <si>
    <t>Opex</t>
  </si>
  <si>
    <t>Capex</t>
  </si>
  <si>
    <t>RAB</t>
  </si>
  <si>
    <t>Asset cost</t>
  </si>
  <si>
    <t>TasNetworks</t>
  </si>
  <si>
    <t>Prescribed transmission services RAB</t>
  </si>
  <si>
    <t>Average real WACC</t>
  </si>
  <si>
    <t>Benchmarking metrics</t>
  </si>
  <si>
    <t>Total user cost per MWh energy</t>
  </si>
  <si>
    <t>Return on assets</t>
  </si>
  <si>
    <t>AusNet Services</t>
  </si>
  <si>
    <t>Circuit line length</t>
  </si>
  <si>
    <t>ElectraNet</t>
  </si>
  <si>
    <t>TransGrid</t>
  </si>
  <si>
    <t>AVG Last 5YRs</t>
  </si>
  <si>
    <t>CPI conversion</t>
  </si>
  <si>
    <t>Total user cost ($)</t>
  </si>
  <si>
    <t>Transmission system non-coincident summated maximum demand (MVA)</t>
  </si>
  <si>
    <t>Voltage of entry/exit points (kV)</t>
  </si>
  <si>
    <t>Circuit line length (km)</t>
  </si>
  <si>
    <t>Connection density (kV/km)</t>
  </si>
  <si>
    <t>Total user cost per MVA of maximum demand ($/MVA)</t>
  </si>
  <si>
    <t>Total user cost per km of transmission circuit length ($/km)</t>
  </si>
  <si>
    <t>Total energy transported</t>
  </si>
  <si>
    <t>Prescribed transmission services opex ($'000)</t>
  </si>
  <si>
    <t>TNSP Asset cost ($'000)</t>
  </si>
  <si>
    <t>Transmission inputs (avg last 5 years)</t>
  </si>
  <si>
    <t>Transmission outputs (avg last 5 yrs)</t>
  </si>
  <si>
    <t>Total user cost per MWh of energy transported ($/MWh)</t>
  </si>
  <si>
    <t>Convert to real (Financial year TNSP)</t>
  </si>
  <si>
    <t>Convert to real (March ending TNSP)</t>
  </si>
  <si>
    <t>March ending data (Real September previous year)</t>
  </si>
  <si>
    <t>Summary tables used in the annual benchmarking report</t>
  </si>
  <si>
    <t>TNSP depreciation</t>
  </si>
  <si>
    <t>Nominal</t>
  </si>
  <si>
    <t>$'000</t>
  </si>
  <si>
    <t>Nominal - Prescribed transmission services capex ($'000)</t>
  </si>
  <si>
    <t>MWh</t>
  </si>
  <si>
    <t>TOPED01</t>
  </si>
  <si>
    <t>MVA</t>
  </si>
  <si>
    <t>TOPSD0204</t>
  </si>
  <si>
    <t>kV</t>
  </si>
  <si>
    <t>km</t>
  </si>
  <si>
    <t>TPA01+TPA02</t>
  </si>
  <si>
    <t>kv/km</t>
  </si>
  <si>
    <t>GWh</t>
  </si>
  <si>
    <t>Total user cost per MVA MD</t>
  </si>
  <si>
    <t>Summary</t>
  </si>
  <si>
    <t>Data worksheets</t>
  </si>
  <si>
    <t xml:space="preserve">– CPI: this contains consumer price index sourced from the Australian Bureau of Statistics.  This index is used to convert nominal values into real values. </t>
  </si>
  <si>
    <t>Analysis worksheets</t>
  </si>
  <si>
    <t>AER TNSP Partial Performance Indicator Analysis</t>
  </si>
  <si>
    <t>– Asset cost and total user cost: this calculates asset cost and total user costs.</t>
  </si>
  <si>
    <t>– Data analysis: TNSP Analysis</t>
  </si>
  <si>
    <t>– Data analysis: Network Size Table</t>
  </si>
  <si>
    <t>Asset cost and total user cost</t>
  </si>
  <si>
    <t>CPI</t>
  </si>
  <si>
    <t>Physical data</t>
  </si>
  <si>
    <t>Network Characteristics Charts</t>
  </si>
  <si>
    <t xml:space="preserve">TNSP Analysis </t>
  </si>
  <si>
    <t>TNSP Charts</t>
  </si>
  <si>
    <t>– Graphical analysis: Network Characteristics Charts</t>
  </si>
  <si>
    <t>End User Number</t>
  </si>
  <si>
    <t>#</t>
  </si>
  <si>
    <t>Total user cost per total end user number ($/#)</t>
  </si>
  <si>
    <t>*These are used to convert to $2018</t>
  </si>
  <si>
    <t>ENT</t>
  </si>
  <si>
    <t>PLK</t>
  </si>
  <si>
    <t>ANT</t>
  </si>
  <si>
    <t>TNT</t>
  </si>
  <si>
    <t>TRG</t>
  </si>
  <si>
    <t xml:space="preserve"> Average 2015-19</t>
  </si>
  <si>
    <t>Average(2015-19)</t>
  </si>
  <si>
    <t>Average(2015-2019)</t>
  </si>
  <si>
    <t>Five year average circuit length by TNSP (2015 to 2019)</t>
  </si>
  <si>
    <t>Energy transported in 2019 (GWh)</t>
  </si>
  <si>
    <t>Maximum demand in 2019 (MVA)</t>
  </si>
  <si>
    <t>Old WACC used for reference</t>
  </si>
  <si>
    <t>Five year average circuit length by TNSP (2015-19)</t>
  </si>
  <si>
    <t>Connection density (end user per circuit km, 2015-19 average)</t>
  </si>
  <si>
    <t>Energy transported in 2019 (MWh)</t>
  </si>
  <si>
    <t>Maximum demand for 2019 (MVA)</t>
  </si>
  <si>
    <t>Date: August 2020</t>
  </si>
  <si>
    <t>This spreadsheet contains the PPI analysis on Electricity Transmission Network Service Providers for the years up to 2019.</t>
  </si>
  <si>
    <t>– Physical data: this presents key operational data submitted under TNSP EBRINs.</t>
  </si>
  <si>
    <t>– Capex: this presents network services capex data submitted under TNSP EBRINs.</t>
  </si>
  <si>
    <t>– Depreciation: this presents network services depreciation data submitted under TNSP EBRINs.</t>
  </si>
  <si>
    <t>– Opex: this presents network services opex data submitted under TNSP EBRINs.</t>
  </si>
  <si>
    <t>– RAB: this presents network services RAB data submitted under TNSP EBRINs.</t>
  </si>
  <si>
    <t>– Graphical analysis: TNSP Charts-updated</t>
  </si>
  <si>
    <t>Total cost per MVA of maximum demand served ($2019), 2006 to 2019</t>
  </si>
  <si>
    <t>Total cost per MWh of energy transported ($2019), 2006 to 2019</t>
  </si>
  <si>
    <t>Total cost per end user ($2019), 2006 to 2019</t>
  </si>
  <si>
    <t>Total cost per km of transmission circuit length ($2019), 2006 to 2019</t>
  </si>
  <si>
    <t>End User Number (millions, 2019)</t>
  </si>
  <si>
    <t>Average NSP performance 2015-2019</t>
  </si>
  <si>
    <t>$2019/mva</t>
  </si>
  <si>
    <t>$2019/mwh</t>
  </si>
  <si>
    <t>$2019/kV</t>
  </si>
  <si>
    <t>Total user cost per end user number</t>
  </si>
  <si>
    <t>$ 2019/MVA</t>
  </si>
  <si>
    <t>$ 2019/MWh</t>
  </si>
  <si>
    <t>$ 2019/kV</t>
  </si>
  <si>
    <t>$ 2019/km</t>
  </si>
  <si>
    <t>$, 2019</t>
  </si>
  <si>
    <t>$'000 2019</t>
  </si>
  <si>
    <t>asset additions (recognised in RAB)</t>
  </si>
  <si>
    <t>Energy transported in 2019</t>
  </si>
  <si>
    <t>Average 2015-19</t>
  </si>
  <si>
    <t>currency_base (Calendar year TNSP)</t>
  </si>
  <si>
    <t>Change between 2019 and 2006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</si>
</sst>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64" formatCode="&quot;$&quot;#,##0_);[Red]\(&quot;$&quot;#,##0\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mmm\-yyyy"/>
    <numFmt numFmtId="168" formatCode="0.0;\-0.0;0.0;@"/>
    <numFmt numFmtId="169" formatCode="#,##0.000"/>
    <numFmt numFmtId="170" formatCode="#,##0.0"/>
    <numFmt numFmtId="171" formatCode="_-&quot;$&quot;* #,##0_-;\-&quot;$&quot;* #,##0_-;_-&quot;$&quot;* &quot;-&quot;??_-;_-@_-"/>
    <numFmt numFmtId="172" formatCode="_-* #,##0_-;\-* #,##0_-;_-* &quot;-&quot;??_-;_-@_-"/>
    <numFmt numFmtId="173" formatCode="#,##0.0000"/>
    <numFmt numFmtId="174" formatCode="0.000"/>
    <numFmt numFmtId="175" formatCode="0.0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2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1" fillId="0" borderId="0"/>
    <xf numFmtId="0" fontId="1" fillId="0" borderId="0"/>
    <xf numFmtId="165" fontId="6" fillId="0" borderId="0" applyFont="0" applyFill="0" applyBorder="0" applyAlignment="0" applyProtection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2" borderId="0" applyNumberFormat="0" applyBorder="0" applyAlignment="0" applyProtection="0"/>
    <xf numFmtId="166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76">
    <xf numFmtId="0" fontId="0" fillId="0" borderId="0" xfId="0"/>
    <xf numFmtId="0" fontId="2" fillId="0" borderId="0" xfId="0" applyFont="1" applyAlignment="1">
      <alignment wrapText="1"/>
    </xf>
    <xf numFmtId="0" fontId="0" fillId="0" borderId="0" xfId="0"/>
    <xf numFmtId="0" fontId="3" fillId="0" borderId="0" xfId="0" applyFont="1" applyAlignment="1"/>
    <xf numFmtId="167" fontId="3" fillId="0" borderId="0" xfId="0" applyNumberFormat="1" applyFont="1" applyAlignment="1"/>
    <xf numFmtId="167" fontId="2" fillId="0" borderId="0" xfId="0" applyNumberFormat="1" applyFont="1" applyAlignment="1">
      <alignment horizontal="left"/>
    </xf>
    <xf numFmtId="0" fontId="2" fillId="0" borderId="0" xfId="0" applyFont="1" applyAlignment="1"/>
    <xf numFmtId="0" fontId="2" fillId="0" borderId="0" xfId="0" applyFont="1" applyAlignment="1">
      <alignment horizontal="right" wrapText="1"/>
    </xf>
    <xf numFmtId="0" fontId="2" fillId="0" borderId="0" xfId="0" applyFont="1" applyAlignment="1">
      <alignment horizontal="right"/>
    </xf>
    <xf numFmtId="167" fontId="2" fillId="0" borderId="0" xfId="0" applyNumberFormat="1" applyFont="1" applyAlignment="1"/>
    <xf numFmtId="0" fontId="4" fillId="0" borderId="0" xfId="0" applyFont="1"/>
    <xf numFmtId="0" fontId="5" fillId="0" borderId="0" xfId="0" applyFont="1"/>
    <xf numFmtId="3" fontId="0" fillId="0" borderId="0" xfId="0" applyNumberFormat="1"/>
    <xf numFmtId="3" fontId="0" fillId="0" borderId="0" xfId="0" applyNumberFormat="1" applyBorder="1"/>
    <xf numFmtId="0" fontId="5" fillId="0" borderId="0" xfId="0" applyFont="1" applyFill="1" applyBorder="1"/>
    <xf numFmtId="171" fontId="0" fillId="0" borderId="0" xfId="3" applyNumberFormat="1" applyFont="1"/>
    <xf numFmtId="0" fontId="5" fillId="0" borderId="0" xfId="0" applyFont="1" applyAlignment="1">
      <alignment wrapText="1"/>
    </xf>
    <xf numFmtId="0" fontId="0" fillId="0" borderId="0" xfId="0"/>
    <xf numFmtId="0" fontId="5" fillId="0" borderId="1" xfId="0" applyFont="1" applyFill="1" applyBorder="1"/>
    <xf numFmtId="1" fontId="0" fillId="0" borderId="0" xfId="0" applyNumberFormat="1"/>
    <xf numFmtId="0" fontId="7" fillId="0" borderId="0" xfId="0" applyFont="1"/>
    <xf numFmtId="169" fontId="0" fillId="0" borderId="0" xfId="0" applyNumberFormat="1"/>
    <xf numFmtId="0" fontId="0" fillId="0" borderId="0" xfId="0" applyFill="1" applyBorder="1"/>
    <xf numFmtId="173" fontId="0" fillId="0" borderId="0" xfId="0" applyNumberFormat="1"/>
    <xf numFmtId="0" fontId="0" fillId="0" borderId="0" xfId="0" applyFill="1"/>
    <xf numFmtId="0" fontId="5" fillId="0" borderId="0" xfId="0" applyFont="1" applyFill="1"/>
    <xf numFmtId="0" fontId="0" fillId="0" borderId="0" xfId="0" applyFont="1" applyFill="1"/>
    <xf numFmtId="1" fontId="0" fillId="0" borderId="1" xfId="0" applyNumberFormat="1" applyFill="1" applyBorder="1"/>
    <xf numFmtId="3" fontId="0" fillId="0" borderId="1" xfId="0" applyNumberFormat="1" applyFill="1" applyBorder="1"/>
    <xf numFmtId="0" fontId="0" fillId="0" borderId="0" xfId="0" applyFont="1"/>
    <xf numFmtId="0" fontId="10" fillId="0" borderId="0" xfId="0" applyFont="1"/>
    <xf numFmtId="0" fontId="0" fillId="0" borderId="0" xfId="0" applyFont="1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wrapText="1"/>
    </xf>
    <xf numFmtId="0" fontId="0" fillId="0" borderId="0" xfId="0" applyAlignment="1">
      <alignment wrapText="1"/>
    </xf>
    <xf numFmtId="0" fontId="10" fillId="0" borderId="0" xfId="0" applyFont="1" applyAlignment="1">
      <alignment vertical="center"/>
    </xf>
    <xf numFmtId="10" fontId="0" fillId="0" borderId="0" xfId="8" applyNumberFormat="1" applyFont="1" applyFill="1"/>
    <xf numFmtId="169" fontId="0" fillId="0" borderId="0" xfId="0" applyNumberFormat="1" applyFill="1" applyBorder="1"/>
    <xf numFmtId="0" fontId="0" fillId="0" borderId="1" xfId="0" applyFill="1" applyBorder="1"/>
    <xf numFmtId="10" fontId="0" fillId="0" borderId="0" xfId="0" applyNumberFormat="1" applyFill="1"/>
    <xf numFmtId="3" fontId="0" fillId="0" borderId="0" xfId="0" applyNumberFormat="1" applyFill="1"/>
    <xf numFmtId="0" fontId="5" fillId="0" borderId="0" xfId="0" applyFont="1" applyFill="1" applyAlignment="1">
      <alignment wrapText="1"/>
    </xf>
    <xf numFmtId="0" fontId="5" fillId="0" borderId="1" xfId="6" applyFont="1" applyFill="1" applyBorder="1" applyAlignment="1">
      <alignment wrapText="1"/>
    </xf>
    <xf numFmtId="0" fontId="5" fillId="0" borderId="1" xfId="0" applyFont="1" applyFill="1" applyBorder="1" applyAlignment="1">
      <alignment wrapText="1"/>
    </xf>
    <xf numFmtId="4" fontId="0" fillId="0" borderId="1" xfId="0" applyNumberFormat="1" applyFill="1" applyBorder="1"/>
    <xf numFmtId="3" fontId="0" fillId="0" borderId="0" xfId="0" applyNumberFormat="1" applyFill="1" applyBorder="1"/>
    <xf numFmtId="171" fontId="0" fillId="0" borderId="0" xfId="3" applyNumberFormat="1" applyFont="1" applyFill="1"/>
    <xf numFmtId="0" fontId="0" fillId="0" borderId="0" xfId="3" applyNumberFormat="1" applyFont="1" applyFill="1"/>
    <xf numFmtId="1" fontId="0" fillId="0" borderId="0" xfId="0" applyNumberFormat="1" applyFill="1"/>
    <xf numFmtId="170" fontId="0" fillId="0" borderId="1" xfId="0" applyNumberFormat="1" applyFill="1" applyBorder="1"/>
    <xf numFmtId="0" fontId="7" fillId="0" borderId="0" xfId="0" applyFont="1" applyFill="1"/>
    <xf numFmtId="172" fontId="0" fillId="0" borderId="0" xfId="7" applyNumberFormat="1" applyFont="1" applyFill="1"/>
    <xf numFmtId="172" fontId="5" fillId="0" borderId="0" xfId="7" applyNumberFormat="1" applyFont="1" applyFill="1"/>
    <xf numFmtId="0" fontId="5" fillId="0" borderId="0" xfId="0" applyFont="1" applyAlignment="1">
      <alignment vertical="top"/>
    </xf>
    <xf numFmtId="9" fontId="0" fillId="0" borderId="0" xfId="8" applyFont="1" applyFill="1" applyBorder="1"/>
    <xf numFmtId="168" fontId="11" fillId="0" borderId="0" xfId="0" applyNumberFormat="1" applyFont="1" applyAlignment="1"/>
    <xf numFmtId="0" fontId="0" fillId="0" borderId="0" xfId="0"/>
    <xf numFmtId="167" fontId="11" fillId="0" borderId="0" xfId="0" applyNumberFormat="1" applyFont="1" applyAlignment="1">
      <alignment horizontal="left"/>
    </xf>
    <xf numFmtId="1" fontId="0" fillId="0" borderId="1" xfId="0" applyNumberFormat="1" applyFont="1" applyFill="1" applyBorder="1" applyAlignment="1">
      <alignment wrapText="1"/>
    </xf>
    <xf numFmtId="167" fontId="11" fillId="0" borderId="0" xfId="0" applyNumberFormat="1" applyFont="1" applyFill="1" applyAlignment="1">
      <alignment horizontal="left"/>
    </xf>
    <xf numFmtId="175" fontId="2" fillId="0" borderId="0" xfId="0" applyNumberFormat="1" applyFont="1" applyAlignment="1"/>
    <xf numFmtId="168" fontId="0" fillId="0" borderId="0" xfId="0" applyNumberFormat="1" applyFill="1" applyBorder="1"/>
    <xf numFmtId="0" fontId="0" fillId="0" borderId="0" xfId="0" applyNumberFormat="1" applyFill="1" applyBorder="1"/>
    <xf numFmtId="168" fontId="0" fillId="0" borderId="0" xfId="0" applyNumberFormat="1" applyFill="1"/>
    <xf numFmtId="175" fontId="0" fillId="0" borderId="0" xfId="0" applyNumberFormat="1" applyFill="1"/>
    <xf numFmtId="0" fontId="0" fillId="0" borderId="0" xfId="0" applyFill="1" applyAlignment="1">
      <alignment horizontal="right"/>
    </xf>
    <xf numFmtId="0" fontId="0" fillId="0" borderId="0" xfId="0" applyFont="1" applyFill="1" applyAlignment="1">
      <alignment horizontal="left"/>
    </xf>
    <xf numFmtId="174" fontId="0" fillId="0" borderId="0" xfId="0" applyNumberFormat="1" applyFill="1" applyBorder="1"/>
    <xf numFmtId="0" fontId="8" fillId="0" borderId="0" xfId="0" applyFont="1" applyFill="1"/>
    <xf numFmtId="164" fontId="0" fillId="0" borderId="1" xfId="0" applyNumberFormat="1" applyFill="1" applyBorder="1"/>
    <xf numFmtId="9" fontId="0" fillId="0" borderId="0" xfId="8" applyFont="1" applyFill="1"/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vertical="center" wrapText="1"/>
    </xf>
    <xf numFmtId="0" fontId="9" fillId="0" borderId="0" xfId="0" applyFont="1" applyFill="1"/>
    <xf numFmtId="3" fontId="12" fillId="0" borderId="1" xfId="0" applyNumberFormat="1" applyFont="1" applyFill="1" applyBorder="1"/>
    <xf numFmtId="175" fontId="2" fillId="0" borderId="0" xfId="0" applyNumberFormat="1" applyFont="1" applyFill="1" applyAlignment="1"/>
  </cellXfs>
  <cellStyles count="9">
    <cellStyle name="20% - Accent4" xfId="6" builtinId="42"/>
    <cellStyle name="Comma" xfId="7" builtinId="3"/>
    <cellStyle name="Comma 2" xfId="4"/>
    <cellStyle name="Currency" xfId="3" builtinId="4"/>
    <cellStyle name="Normal" xfId="0" builtinId="0"/>
    <cellStyle name="Normal 2" xfId="2"/>
    <cellStyle name="Normal 3" xfId="1"/>
    <cellStyle name="Percent" xfId="8" builtinId="5"/>
    <cellStyle name="Percent 2" xfId="5"/>
  </cellStyles>
  <dxfs count="0"/>
  <tableStyles count="0" defaultTableStyle="TableStyleMedium2" defaultPivotStyle="PivotStyleLight16"/>
  <colors>
    <mruColors>
      <color rgb="FFA1D99B"/>
      <color rgb="FFBD0026"/>
      <color rgb="FFC6DBEF"/>
      <color rgb="FFAC0000"/>
      <color rgb="FFFCC0C0"/>
      <color rgb="FF006D2C"/>
      <color rgb="FF238B45"/>
      <color rgb="FF74C476"/>
      <color rgb="FF41AB5D"/>
      <color rgb="FFDE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6916367231011364"/>
          <c:y val="4.5778984791770873E-2"/>
          <c:w val="0.64753789185043431"/>
          <c:h val="0.87172906062808597"/>
        </c:manualLayout>
      </c:layout>
      <c:lineChart>
        <c:grouping val="standard"/>
        <c:varyColors val="0"/>
        <c:ser>
          <c:idx val="2"/>
          <c:order val="0"/>
          <c:tx>
            <c:strRef>
              <c:f>'TNSP Analysis'!$B$13</c:f>
              <c:strCache>
                <c:ptCount val="1"/>
                <c:pt idx="0">
                  <c:v>ENT</c:v>
                </c:pt>
              </c:strCache>
            </c:strRef>
          </c:tx>
          <c:spPr>
            <a:ln w="25400">
              <a:solidFill>
                <a:srgbClr val="F79646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79646"/>
              </a:solidFill>
              <a:ln>
                <a:solidFill>
                  <a:srgbClr val="F79646"/>
                </a:solidFill>
              </a:ln>
            </c:spPr>
          </c:marker>
          <c:cat>
            <c:numRef>
              <c:f>'TNSP Analysis'!$D$12:$Q$12</c:f>
              <c:numCache>
                <c:formatCode>General</c:formatCode>
                <c:ptCount val="14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</c:numCache>
            </c:numRef>
          </c:cat>
          <c:val>
            <c:numRef>
              <c:f>'TNSP Analysis'!$D$13:$Q$13</c:f>
              <c:numCache>
                <c:formatCode>#,##0</c:formatCode>
                <c:ptCount val="14"/>
                <c:pt idx="0">
                  <c:v>44625.735214835666</c:v>
                </c:pt>
                <c:pt idx="1">
                  <c:v>47189.612650960444</c:v>
                </c:pt>
                <c:pt idx="2">
                  <c:v>42380.897996923959</c:v>
                </c:pt>
                <c:pt idx="3">
                  <c:v>45029.510350410506</c:v>
                </c:pt>
                <c:pt idx="4">
                  <c:v>46301.987902966859</c:v>
                </c:pt>
                <c:pt idx="5">
                  <c:v>47224.638579698985</c:v>
                </c:pt>
                <c:pt idx="6">
                  <c:v>52242.220808051556</c:v>
                </c:pt>
                <c:pt idx="7">
                  <c:v>52069.36966091521</c:v>
                </c:pt>
                <c:pt idx="8">
                  <c:v>69065.692936941676</c:v>
                </c:pt>
                <c:pt idx="9">
                  <c:v>79899.379678813479</c:v>
                </c:pt>
                <c:pt idx="10">
                  <c:v>82042.215172090597</c:v>
                </c:pt>
                <c:pt idx="11">
                  <c:v>81274.784818465414</c:v>
                </c:pt>
                <c:pt idx="12">
                  <c:v>85259.631613760721</c:v>
                </c:pt>
                <c:pt idx="13">
                  <c:v>77518.083991700725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E-EA8E-449F-8386-CE6506D8A256}"/>
            </c:ext>
          </c:extLst>
        </c:ser>
        <c:ser>
          <c:idx val="3"/>
          <c:order val="1"/>
          <c:tx>
            <c:strRef>
              <c:f>'TNSP Analysis'!$B$14</c:f>
              <c:strCache>
                <c:ptCount val="1"/>
                <c:pt idx="0">
                  <c:v>PLK</c:v>
                </c:pt>
              </c:strCache>
            </c:strRef>
          </c:tx>
          <c:spPr>
            <a:ln w="25400">
              <a:solidFill>
                <a:srgbClr val="C0504D"/>
              </a:solidFill>
            </a:ln>
          </c:spPr>
          <c:marker>
            <c:symbol val="square"/>
            <c:size val="5"/>
            <c:spPr>
              <a:solidFill>
                <a:srgbClr val="C0504D"/>
              </a:solidFill>
              <a:ln>
                <a:solidFill>
                  <a:srgbClr val="C0504D"/>
                </a:solidFill>
              </a:ln>
            </c:spPr>
          </c:marker>
          <c:cat>
            <c:numRef>
              <c:f>'TNSP Analysis'!$D$12:$Q$12</c:f>
              <c:numCache>
                <c:formatCode>General</c:formatCode>
                <c:ptCount val="14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</c:numCache>
            </c:numRef>
          </c:cat>
          <c:val>
            <c:numRef>
              <c:f>'TNSP Analysis'!$D$14:$Q$14</c:f>
              <c:numCache>
                <c:formatCode>#,##0</c:formatCode>
                <c:ptCount val="14"/>
                <c:pt idx="0">
                  <c:v>43836.418356416216</c:v>
                </c:pt>
                <c:pt idx="1">
                  <c:v>42632.335876621451</c:v>
                </c:pt>
                <c:pt idx="2">
                  <c:v>47253.388216335348</c:v>
                </c:pt>
                <c:pt idx="3">
                  <c:v>48534.354802348069</c:v>
                </c:pt>
                <c:pt idx="4">
                  <c:v>50390.481047612622</c:v>
                </c:pt>
                <c:pt idx="5">
                  <c:v>53409.472161416408</c:v>
                </c:pt>
                <c:pt idx="6">
                  <c:v>56749.937491561628</c:v>
                </c:pt>
                <c:pt idx="7">
                  <c:v>56114.189403323428</c:v>
                </c:pt>
                <c:pt idx="8">
                  <c:v>60408.152535052606</c:v>
                </c:pt>
                <c:pt idx="9">
                  <c:v>63972.391353291787</c:v>
                </c:pt>
                <c:pt idx="10">
                  <c:v>64007.187258109247</c:v>
                </c:pt>
                <c:pt idx="11">
                  <c:v>61633.741135315824</c:v>
                </c:pt>
                <c:pt idx="12">
                  <c:v>56216.054289525237</c:v>
                </c:pt>
                <c:pt idx="13">
                  <c:v>57475.137082894267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0-EA8E-449F-8386-CE6506D8A256}"/>
            </c:ext>
          </c:extLst>
        </c:ser>
        <c:ser>
          <c:idx val="4"/>
          <c:order val="2"/>
          <c:tx>
            <c:strRef>
              <c:f>'TNSP Analysis'!$B$15</c:f>
              <c:strCache>
                <c:ptCount val="1"/>
                <c:pt idx="0">
                  <c:v>ANT</c:v>
                </c:pt>
              </c:strCache>
            </c:strRef>
          </c:tx>
          <c:spPr>
            <a:ln w="25400">
              <a:solidFill>
                <a:srgbClr val="9BBB59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9BBB59"/>
              </a:solidFill>
              <a:ln>
                <a:solidFill>
                  <a:srgbClr val="9BBB59"/>
                </a:solidFill>
              </a:ln>
            </c:spPr>
          </c:marker>
          <c:cat>
            <c:numRef>
              <c:f>'TNSP Analysis'!$D$12:$Q$12</c:f>
              <c:numCache>
                <c:formatCode>General</c:formatCode>
                <c:ptCount val="14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</c:numCache>
            </c:numRef>
          </c:cat>
          <c:val>
            <c:numRef>
              <c:f>'TNSP Analysis'!$D$15:$Q$15</c:f>
              <c:numCache>
                <c:formatCode>#,##0</c:formatCode>
                <c:ptCount val="14"/>
                <c:pt idx="0">
                  <c:v>36605.504960380131</c:v>
                </c:pt>
                <c:pt idx="1">
                  <c:v>30729.120491504273</c:v>
                </c:pt>
                <c:pt idx="2">
                  <c:v>30677.445173077849</c:v>
                </c:pt>
                <c:pt idx="3">
                  <c:v>31567.268629535312</c:v>
                </c:pt>
                <c:pt idx="4">
                  <c:v>33447.428448879611</c:v>
                </c:pt>
                <c:pt idx="5">
                  <c:v>33677.453127735571</c:v>
                </c:pt>
                <c:pt idx="6">
                  <c:v>35632.319161516098</c:v>
                </c:pt>
                <c:pt idx="7">
                  <c:v>34023.324772071726</c:v>
                </c:pt>
                <c:pt idx="8">
                  <c:v>31933.718667225185</c:v>
                </c:pt>
                <c:pt idx="9">
                  <c:v>38876.452110088059</c:v>
                </c:pt>
                <c:pt idx="10">
                  <c:v>37555.265966974024</c:v>
                </c:pt>
                <c:pt idx="11">
                  <c:v>38139.430116138668</c:v>
                </c:pt>
                <c:pt idx="12">
                  <c:v>35721.43383509195</c:v>
                </c:pt>
                <c:pt idx="13">
                  <c:v>37188.008426742206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2-EA8E-449F-8386-CE6506D8A256}"/>
            </c:ext>
          </c:extLst>
        </c:ser>
        <c:ser>
          <c:idx val="5"/>
          <c:order val="3"/>
          <c:tx>
            <c:strRef>
              <c:f>'TNSP Analysis'!$B$16</c:f>
              <c:strCache>
                <c:ptCount val="1"/>
                <c:pt idx="0">
                  <c:v>TNT</c:v>
                </c:pt>
              </c:strCache>
            </c:strRef>
          </c:tx>
          <c:spPr>
            <a:ln w="19050">
              <a:solidFill>
                <a:srgbClr val="8064A2"/>
              </a:solidFill>
            </a:ln>
          </c:spPr>
          <c:marker>
            <c:symbol val="triangle"/>
            <c:size val="5"/>
            <c:spPr>
              <a:solidFill>
                <a:srgbClr val="8064A2"/>
              </a:solidFill>
              <a:ln w="19050">
                <a:solidFill>
                  <a:srgbClr val="8064A2"/>
                </a:solidFill>
              </a:ln>
            </c:spPr>
          </c:marker>
          <c:cat>
            <c:numRef>
              <c:f>'TNSP Analysis'!$D$12:$Q$12</c:f>
              <c:numCache>
                <c:formatCode>General</c:formatCode>
                <c:ptCount val="14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</c:numCache>
            </c:numRef>
          </c:cat>
          <c:val>
            <c:numRef>
              <c:f>'TNSP Analysis'!$D$16:$Q$16</c:f>
              <c:numCache>
                <c:formatCode>#,##0</c:formatCode>
                <c:ptCount val="14"/>
                <c:pt idx="0">
                  <c:v>47466.692336622073</c:v>
                </c:pt>
                <c:pt idx="1">
                  <c:v>47869.128688198864</c:v>
                </c:pt>
                <c:pt idx="2">
                  <c:v>54927.616258406044</c:v>
                </c:pt>
                <c:pt idx="3">
                  <c:v>55056.43938672878</c:v>
                </c:pt>
                <c:pt idx="4">
                  <c:v>59700.739138111865</c:v>
                </c:pt>
                <c:pt idx="5">
                  <c:v>62111.581693197339</c:v>
                </c:pt>
                <c:pt idx="6">
                  <c:v>62959.373403201302</c:v>
                </c:pt>
                <c:pt idx="7">
                  <c:v>62651.908905169272</c:v>
                </c:pt>
                <c:pt idx="8">
                  <c:v>66718.357591189008</c:v>
                </c:pt>
                <c:pt idx="9">
                  <c:v>58496.396151855617</c:v>
                </c:pt>
                <c:pt idx="10">
                  <c:v>60063.508432043724</c:v>
                </c:pt>
                <c:pt idx="11">
                  <c:v>58327.015881726766</c:v>
                </c:pt>
                <c:pt idx="12">
                  <c:v>55740.084277573282</c:v>
                </c:pt>
                <c:pt idx="13">
                  <c:v>59773.611444569084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4-EA8E-449F-8386-CE6506D8A256}"/>
            </c:ext>
          </c:extLst>
        </c:ser>
        <c:ser>
          <c:idx val="0"/>
          <c:order val="4"/>
          <c:tx>
            <c:strRef>
              <c:f>'TNSP Analysis'!$B$17</c:f>
              <c:strCache>
                <c:ptCount val="1"/>
                <c:pt idx="0">
                  <c:v>TRG</c:v>
                </c:pt>
              </c:strCache>
            </c:strRef>
          </c:tx>
          <c:spPr>
            <a:ln>
              <a:solidFill>
                <a:srgbClr val="4F81BD"/>
              </a:solidFill>
            </a:ln>
          </c:spPr>
          <c:marker>
            <c:spPr>
              <a:solidFill>
                <a:srgbClr val="4F81BD"/>
              </a:solidFill>
              <a:ln>
                <a:solidFill>
                  <a:srgbClr val="4F81BD"/>
                </a:solidFill>
              </a:ln>
            </c:spPr>
          </c:marker>
          <c:cat>
            <c:numRef>
              <c:f>'TNSP Analysis'!$D$12:$Q$12</c:f>
              <c:numCache>
                <c:formatCode>General</c:formatCode>
                <c:ptCount val="14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</c:numCache>
            </c:numRef>
          </c:cat>
          <c:val>
            <c:numRef>
              <c:f>'TNSP Analysis'!$D$17:$Q$17</c:f>
              <c:numCache>
                <c:formatCode>#,##0</c:formatCode>
                <c:ptCount val="14"/>
                <c:pt idx="0">
                  <c:v>26560.338640100974</c:v>
                </c:pt>
                <c:pt idx="1">
                  <c:v>26332.28363625038</c:v>
                </c:pt>
                <c:pt idx="2">
                  <c:v>26483.025284279374</c:v>
                </c:pt>
                <c:pt idx="3">
                  <c:v>27761.330946108312</c:v>
                </c:pt>
                <c:pt idx="4">
                  <c:v>30419.096622366604</c:v>
                </c:pt>
                <c:pt idx="5">
                  <c:v>29197.983579137435</c:v>
                </c:pt>
                <c:pt idx="6">
                  <c:v>32288.861635993209</c:v>
                </c:pt>
                <c:pt idx="7">
                  <c:v>33694.70529338489</c:v>
                </c:pt>
                <c:pt idx="8">
                  <c:v>38149.591834634513</c:v>
                </c:pt>
                <c:pt idx="9">
                  <c:v>40331.518884768178</c:v>
                </c:pt>
                <c:pt idx="10">
                  <c:v>37737.900617324391</c:v>
                </c:pt>
                <c:pt idx="11">
                  <c:v>36895.168054377318</c:v>
                </c:pt>
                <c:pt idx="12">
                  <c:v>34803.996329140995</c:v>
                </c:pt>
                <c:pt idx="13">
                  <c:v>33779.728324177995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6-EA8E-449F-8386-CE6506D8A2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936448"/>
        <c:axId val="48938368"/>
      </c:lineChart>
      <c:catAx>
        <c:axId val="489364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8938368"/>
        <c:crosses val="autoZero"/>
        <c:auto val="1"/>
        <c:lblAlgn val="ctr"/>
        <c:lblOffset val="100"/>
        <c:noMultiLvlLbl val="0"/>
      </c:catAx>
      <c:valAx>
        <c:axId val="4893836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AU" b="1"/>
                  <a:t>Total</a:t>
                </a:r>
                <a:r>
                  <a:rPr lang="en-AU" b="1" baseline="0"/>
                  <a:t> cost per MVA of maximum demand served</a:t>
                </a:r>
                <a:endParaRPr lang="en-AU" b="1"/>
              </a:p>
            </c:rich>
          </c:tx>
          <c:layout>
            <c:manualLayout>
              <c:xMode val="edge"/>
              <c:yMode val="edge"/>
              <c:x val="2.5935179811358646E-2"/>
              <c:y val="9.3092357912083853E-2"/>
            </c:manualLayout>
          </c:layout>
          <c:overlay val="0"/>
        </c:title>
        <c:numFmt formatCode="&quot;$&quot;#,##0" sourceLinked="0"/>
        <c:majorTickMark val="out"/>
        <c:minorTickMark val="none"/>
        <c:tickLblPos val="nextTo"/>
        <c:crossAx val="48936448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81942566998820454"/>
          <c:y val="0.18641190757817613"/>
          <c:w val="0.12400639505969771"/>
          <c:h val="0.45733735075812382"/>
        </c:manualLayout>
      </c:layout>
      <c:overlay val="0"/>
      <c:spPr>
        <a:ln>
          <a:noFill/>
        </a:ln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 b="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498856362812389"/>
          <c:y val="3.7448969862505802E-2"/>
          <c:w val="0.86501143637187616"/>
          <c:h val="0.87210594643411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'Physical data'!$D$24</c:f>
              <c:strCache>
                <c:ptCount val="1"/>
                <c:pt idx="0">
                  <c:v>Circuit line length</c:v>
                </c:pt>
              </c:strCache>
            </c:strRef>
          </c:tx>
          <c:spPr>
            <a:ln w="3175"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chemeClr val="accent6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AF89-4C87-9955-3AE49454F5F4}"/>
              </c:ext>
            </c:extLst>
          </c:dPt>
          <c:dPt>
            <c:idx val="1"/>
            <c:invertIfNegative val="0"/>
            <c:bubble3D val="0"/>
            <c:spPr>
              <a:solidFill>
                <a:srgbClr val="800026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AF89-4C87-9955-3AE49454F5F4}"/>
              </c:ext>
            </c:extLst>
          </c:dPt>
          <c:dPt>
            <c:idx val="2"/>
            <c:invertIfNegative val="0"/>
            <c:bubble3D val="0"/>
            <c:spPr>
              <a:solidFill>
                <a:srgbClr val="A1D99B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AF89-4C87-9955-3AE49454F5F4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AF89-4C87-9955-3AE49454F5F4}"/>
              </c:ext>
            </c:extLst>
          </c:dPt>
          <c:dPt>
            <c:idx val="4"/>
            <c:invertIfNegative val="0"/>
            <c:bubble3D val="0"/>
            <c:spPr>
              <a:solidFill>
                <a:srgbClr val="2171B5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AF89-4C87-9955-3AE49454F5F4}"/>
              </c:ext>
            </c:extLst>
          </c:dPt>
          <c:dPt>
            <c:idx val="5"/>
            <c:invertIfNegative val="0"/>
            <c:bubble3D val="0"/>
            <c:spPr>
              <a:solidFill>
                <a:srgbClr val="800026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B-AF89-4C87-9955-3AE49454F5F4}"/>
              </c:ext>
            </c:extLst>
          </c:dPt>
          <c:dPt>
            <c:idx val="6"/>
            <c:invertIfNegative val="0"/>
            <c:bubble3D val="0"/>
            <c:spPr>
              <a:solidFill>
                <a:srgbClr val="FD8D3C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D-AF89-4C87-9955-3AE49454F5F4}"/>
              </c:ext>
            </c:extLst>
          </c:dPt>
          <c:dPt>
            <c:idx val="7"/>
            <c:invertIfNegative val="0"/>
            <c:bubble3D val="0"/>
            <c:spPr>
              <a:solidFill>
                <a:srgbClr val="E7E1EF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F-AF89-4C87-9955-3AE49454F5F4}"/>
              </c:ext>
            </c:extLst>
          </c:dPt>
          <c:dPt>
            <c:idx val="8"/>
            <c:invertIfNegative val="0"/>
            <c:bubble3D val="0"/>
            <c:spPr>
              <a:solidFill>
                <a:srgbClr val="A1D99B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1-AF89-4C87-9955-3AE49454F5F4}"/>
              </c:ext>
            </c:extLst>
          </c:dPt>
          <c:dPt>
            <c:idx val="9"/>
            <c:invertIfNegative val="0"/>
            <c:bubble3D val="0"/>
            <c:spPr>
              <a:solidFill>
                <a:srgbClr val="A1D99B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3-AF89-4C87-9955-3AE49454F5F4}"/>
              </c:ext>
            </c:extLst>
          </c:dPt>
          <c:dPt>
            <c:idx val="10"/>
            <c:invertIfNegative val="0"/>
            <c:bubble3D val="0"/>
            <c:spPr>
              <a:solidFill>
                <a:srgbClr val="A1D99B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5-AF89-4C87-9955-3AE49454F5F4}"/>
              </c:ext>
            </c:extLst>
          </c:dPt>
          <c:dPt>
            <c:idx val="11"/>
            <c:invertIfNegative val="0"/>
            <c:bubble3D val="0"/>
            <c:spPr>
              <a:solidFill>
                <a:srgbClr val="A1D99B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7-AF89-4C87-9955-3AE49454F5F4}"/>
              </c:ext>
            </c:extLst>
          </c:dPt>
          <c:dPt>
            <c:idx val="12"/>
            <c:invertIfNegative val="0"/>
            <c:bubble3D val="0"/>
            <c:spPr>
              <a:solidFill>
                <a:srgbClr val="A1D99B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9-AF89-4C87-9955-3AE49454F5F4}"/>
              </c:ext>
            </c:extLst>
          </c:dPt>
          <c:cat>
            <c:strRef>
              <c:f>'Physical data'!$B$26:$B$30</c:f>
              <c:strCache>
                <c:ptCount val="5"/>
                <c:pt idx="0">
                  <c:v>ENT</c:v>
                </c:pt>
                <c:pt idx="1">
                  <c:v>PLK</c:v>
                </c:pt>
                <c:pt idx="2">
                  <c:v>ANT</c:v>
                </c:pt>
                <c:pt idx="3">
                  <c:v>TNT</c:v>
                </c:pt>
                <c:pt idx="4">
                  <c:v>TRG</c:v>
                </c:pt>
              </c:strCache>
            </c:strRef>
          </c:cat>
          <c:val>
            <c:numRef>
              <c:f>'Physical data'!$D$26:$D$30</c:f>
              <c:numCache>
                <c:formatCode>#,##0</c:formatCode>
                <c:ptCount val="5"/>
                <c:pt idx="0">
                  <c:v>5520</c:v>
                </c:pt>
                <c:pt idx="1">
                  <c:v>14619</c:v>
                </c:pt>
                <c:pt idx="2">
                  <c:v>6589</c:v>
                </c:pt>
                <c:pt idx="3">
                  <c:v>3556</c:v>
                </c:pt>
                <c:pt idx="4">
                  <c:v>13057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AF89-4C87-9955-3AE49454F5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axId val="46022656"/>
        <c:axId val="46024192"/>
      </c:barChart>
      <c:catAx>
        <c:axId val="4602265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6024192"/>
        <c:crosses val="autoZero"/>
        <c:auto val="1"/>
        <c:lblAlgn val="ctr"/>
        <c:lblOffset val="100"/>
        <c:noMultiLvlLbl val="0"/>
      </c:catAx>
      <c:valAx>
        <c:axId val="4602419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AU" b="0"/>
                  <a:t>Circuit length (km)</a:t>
                </a:r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crossAx val="4602265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275266890192175"/>
          <c:y val="4.4929835603229447E-2"/>
          <c:w val="0.86724733109807828"/>
          <c:h val="0.87210594643411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'Physical data'!$B$2</c:f>
              <c:strCache>
                <c:ptCount val="1"/>
                <c:pt idx="0">
                  <c:v>Total energy transported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chemeClr val="accent6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C770-4DA2-84B7-6AE3FBF867D7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C770-4DA2-84B7-6AE3FBF867D7}"/>
              </c:ext>
            </c:extLst>
          </c:dPt>
          <c:dPt>
            <c:idx val="2"/>
            <c:invertIfNegative val="0"/>
            <c:bubble3D val="0"/>
            <c:spPr>
              <a:solidFill>
                <a:srgbClr val="A1D99B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C770-4DA2-84B7-6AE3FBF867D7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C770-4DA2-84B7-6AE3FBF867D7}"/>
              </c:ext>
            </c:extLst>
          </c:dPt>
          <c:dPt>
            <c:idx val="4"/>
            <c:invertIfNegative val="0"/>
            <c:bubble3D val="0"/>
            <c:spPr>
              <a:solidFill>
                <a:srgbClr val="0070C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C770-4DA2-84B7-6AE3FBF867D7}"/>
              </c:ext>
            </c:extLst>
          </c:dPt>
          <c:cat>
            <c:strRef>
              <c:f>'Physical data'!$B$3:$B$7</c:f>
              <c:strCache>
                <c:ptCount val="5"/>
                <c:pt idx="0">
                  <c:v>ENT</c:v>
                </c:pt>
                <c:pt idx="1">
                  <c:v>PLK</c:v>
                </c:pt>
                <c:pt idx="2">
                  <c:v>ANT</c:v>
                </c:pt>
                <c:pt idx="3">
                  <c:v>TNT</c:v>
                </c:pt>
                <c:pt idx="4">
                  <c:v>TRG</c:v>
                </c:pt>
              </c:strCache>
            </c:strRef>
          </c:cat>
          <c:val>
            <c:numRef>
              <c:f>'Physical data'!$Q$3:$Q$7</c:f>
              <c:numCache>
                <c:formatCode>#,##0</c:formatCode>
                <c:ptCount val="5"/>
                <c:pt idx="0">
                  <c:v>13786714.687984707</c:v>
                </c:pt>
                <c:pt idx="1">
                  <c:v>53765294.224065989</c:v>
                </c:pt>
                <c:pt idx="2">
                  <c:v>41479994.350973003</c:v>
                </c:pt>
                <c:pt idx="3">
                  <c:v>12884563.992276987</c:v>
                </c:pt>
                <c:pt idx="4">
                  <c:v>74400000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C770-4DA2-84B7-6AE3FBF867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axId val="46068864"/>
        <c:axId val="46070400"/>
      </c:barChart>
      <c:catAx>
        <c:axId val="460688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6070400"/>
        <c:crosses val="autoZero"/>
        <c:auto val="1"/>
        <c:lblAlgn val="ctr"/>
        <c:lblOffset val="100"/>
        <c:noMultiLvlLbl val="0"/>
      </c:catAx>
      <c:valAx>
        <c:axId val="4607040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AU" b="0"/>
                  <a:t>Energy transported (MWh)</a:t>
                </a:r>
              </a:p>
            </c:rich>
          </c:tx>
          <c:layout>
            <c:manualLayout>
              <c:xMode val="edge"/>
              <c:yMode val="edge"/>
              <c:x val="2.5688295758768721E-3"/>
              <c:y val="0.2533811355007668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crossAx val="46068864"/>
        <c:crosses val="autoZero"/>
        <c:crossBetween val="between"/>
        <c:dispUnits>
          <c:builtInUnit val="thousands"/>
        </c:dispUnits>
      </c:valAx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489063691747995"/>
          <c:y val="3.7449071656417712E-2"/>
          <c:w val="0.87279650154287303"/>
          <c:h val="0.87210594643411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'Physical data'!$B$10</c:f>
              <c:strCache>
                <c:ptCount val="1"/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chemeClr val="accent6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6F7F-4C16-98C2-A5EC7FB7C6BF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6F7F-4C16-98C2-A5EC7FB7C6BF}"/>
              </c:ext>
            </c:extLst>
          </c:dPt>
          <c:dPt>
            <c:idx val="2"/>
            <c:invertIfNegative val="0"/>
            <c:bubble3D val="0"/>
            <c:spPr>
              <a:solidFill>
                <a:srgbClr val="A1D99B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6F7F-4C16-98C2-A5EC7FB7C6BF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6F7F-4C16-98C2-A5EC7FB7C6BF}"/>
              </c:ext>
            </c:extLst>
          </c:dPt>
          <c:dPt>
            <c:idx val="4"/>
            <c:invertIfNegative val="0"/>
            <c:bubble3D val="0"/>
            <c:spPr>
              <a:solidFill>
                <a:srgbClr val="0070C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6F7F-4C16-98C2-A5EC7FB7C6BF}"/>
              </c:ext>
            </c:extLst>
          </c:dPt>
          <c:cat>
            <c:strRef>
              <c:f>'Physical data'!$B$11:$B$15</c:f>
              <c:strCache>
                <c:ptCount val="5"/>
                <c:pt idx="0">
                  <c:v>ENT</c:v>
                </c:pt>
                <c:pt idx="1">
                  <c:v>PLK</c:v>
                </c:pt>
                <c:pt idx="2">
                  <c:v>ANT</c:v>
                </c:pt>
                <c:pt idx="3">
                  <c:v>TNT</c:v>
                </c:pt>
                <c:pt idx="4">
                  <c:v>TRG</c:v>
                </c:pt>
              </c:strCache>
            </c:strRef>
          </c:cat>
          <c:val>
            <c:numRef>
              <c:f>'Physical data'!$Q$11:$Q$15</c:f>
              <c:numCache>
                <c:formatCode>#,##0</c:formatCode>
                <c:ptCount val="5"/>
                <c:pt idx="0">
                  <c:v>3685.7549853780001</c:v>
                </c:pt>
                <c:pt idx="1">
                  <c:v>12496.769520000003</c:v>
                </c:pt>
                <c:pt idx="2">
                  <c:v>9909.9320000000007</c:v>
                </c:pt>
                <c:pt idx="3">
                  <c:v>2394.0013028095805</c:v>
                </c:pt>
                <c:pt idx="4">
                  <c:v>18700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6F7F-4C16-98C2-A5EC7FB7C6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axId val="46105344"/>
        <c:axId val="46106880"/>
      </c:barChart>
      <c:catAx>
        <c:axId val="461053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6106880"/>
        <c:crosses val="autoZero"/>
        <c:auto val="1"/>
        <c:lblAlgn val="ctr"/>
        <c:lblOffset val="100"/>
        <c:noMultiLvlLbl val="0"/>
      </c:catAx>
      <c:valAx>
        <c:axId val="4610688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AU" b="0"/>
                  <a:t>Maximum</a:t>
                </a:r>
                <a:r>
                  <a:rPr lang="en-AU" b="0" baseline="0"/>
                  <a:t> demand (MVA)</a:t>
                </a:r>
                <a:endParaRPr lang="en-AU" b="0"/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crossAx val="4610534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pPr>
              <a:ln>
                <a:solidFill>
                  <a:schemeClr val="tx1"/>
                </a:solidFill>
              </a:ln>
            </c:spPr>
          </c:marker>
          <c:dPt>
            <c:idx val="0"/>
            <c:marker>
              <c:spPr>
                <a:solidFill>
                  <a:srgbClr val="FCC0C0"/>
                </a:solidFill>
                <a:ln>
                  <a:solidFill>
                    <a:schemeClr val="tx1"/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630B-45FE-BDB3-CBA5F4893EA7}"/>
              </c:ext>
            </c:extLst>
          </c:dPt>
          <c:dPt>
            <c:idx val="1"/>
            <c:marker>
              <c:spPr>
                <a:solidFill>
                  <a:srgbClr val="2171B5"/>
                </a:solidFill>
                <a:ln>
                  <a:solidFill>
                    <a:schemeClr val="tx1"/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630B-45FE-BDB3-CBA5F4893EA7}"/>
              </c:ext>
            </c:extLst>
          </c:dPt>
          <c:dPt>
            <c:idx val="2"/>
            <c:marker>
              <c:symbol val="diamond"/>
              <c:size val="7"/>
              <c:spPr>
                <a:solidFill>
                  <a:srgbClr val="A1D99B"/>
                </a:solidFill>
                <a:ln>
                  <a:solidFill>
                    <a:schemeClr val="tx1"/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2-630B-45FE-BDB3-CBA5F4893EA7}"/>
              </c:ext>
            </c:extLst>
          </c:dPt>
          <c:dPt>
            <c:idx val="3"/>
            <c:marker>
              <c:spPr>
                <a:solidFill>
                  <a:srgbClr val="2171B5"/>
                </a:solidFill>
                <a:ln>
                  <a:solidFill>
                    <a:schemeClr val="tx1"/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3-630B-45FE-BDB3-CBA5F4893EA7}"/>
              </c:ext>
            </c:extLst>
          </c:dPt>
          <c:dPt>
            <c:idx val="4"/>
            <c:marker>
              <c:spPr>
                <a:solidFill>
                  <a:srgbClr val="800026"/>
                </a:solidFill>
                <a:ln>
                  <a:solidFill>
                    <a:schemeClr val="tx1"/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4-630B-45FE-BDB3-CBA5F4893EA7}"/>
              </c:ext>
            </c:extLst>
          </c:dPt>
          <c:dPt>
            <c:idx val="5"/>
            <c:marker>
              <c:spPr>
                <a:solidFill>
                  <a:srgbClr val="800026"/>
                </a:solidFill>
                <a:ln>
                  <a:solidFill>
                    <a:schemeClr val="tx1"/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5-630B-45FE-BDB3-CBA5F4893EA7}"/>
              </c:ext>
            </c:extLst>
          </c:dPt>
          <c:dPt>
            <c:idx val="6"/>
            <c:marker>
              <c:spPr>
                <a:solidFill>
                  <a:srgbClr val="2171B5"/>
                </a:solidFill>
                <a:ln>
                  <a:solidFill>
                    <a:schemeClr val="tx1"/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6-630B-45FE-BDB3-CBA5F4893EA7}"/>
              </c:ext>
            </c:extLst>
          </c:dPt>
          <c:dPt>
            <c:idx val="7"/>
            <c:marker>
              <c:spPr>
                <a:solidFill>
                  <a:srgbClr val="A1D99B"/>
                </a:solidFill>
                <a:ln>
                  <a:solidFill>
                    <a:schemeClr val="tx1"/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7-630B-45FE-BDB3-CBA5F4893EA7}"/>
              </c:ext>
            </c:extLst>
          </c:dPt>
          <c:dPt>
            <c:idx val="8"/>
            <c:marker>
              <c:spPr>
                <a:solidFill>
                  <a:srgbClr val="A1D99B"/>
                </a:solidFill>
                <a:ln>
                  <a:solidFill>
                    <a:schemeClr val="tx1"/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8-630B-45FE-BDB3-CBA5F4893EA7}"/>
              </c:ext>
            </c:extLst>
          </c:dPt>
          <c:dPt>
            <c:idx val="9"/>
            <c:marker>
              <c:spPr>
                <a:solidFill>
                  <a:srgbClr val="FD8D3C"/>
                </a:solidFill>
                <a:ln>
                  <a:solidFill>
                    <a:schemeClr val="tx1"/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9-630B-45FE-BDB3-CBA5F4893EA7}"/>
              </c:ext>
            </c:extLst>
          </c:dPt>
          <c:dPt>
            <c:idx val="10"/>
            <c:marker>
              <c:spPr>
                <a:solidFill>
                  <a:srgbClr val="A1D99B"/>
                </a:solidFill>
                <a:ln>
                  <a:solidFill>
                    <a:schemeClr val="tx1"/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A-630B-45FE-BDB3-CBA5F4893EA7}"/>
              </c:ext>
            </c:extLst>
          </c:dPt>
          <c:dPt>
            <c:idx val="11"/>
            <c:marker>
              <c:spPr>
                <a:solidFill>
                  <a:srgbClr val="E7E1EF"/>
                </a:solidFill>
                <a:ln>
                  <a:solidFill>
                    <a:schemeClr val="tx1"/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B-630B-45FE-BDB3-CBA5F4893EA7}"/>
              </c:ext>
            </c:extLst>
          </c:dPt>
          <c:dPt>
            <c:idx val="12"/>
            <c:marker>
              <c:spPr>
                <a:solidFill>
                  <a:srgbClr val="A1D99B"/>
                </a:solidFill>
                <a:ln>
                  <a:solidFill>
                    <a:schemeClr val="tx1"/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C-630B-45FE-BDB3-CBA5F4893EA7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ACT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30B-45FE-BDB3-CBA5F4893EA7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AGD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30B-45FE-BDB3-CBA5F4893EA7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CIT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30B-45FE-BDB3-CBA5F4893EA7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r>
                      <a:rPr lang="en-US"/>
                      <a:t>END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30B-45FE-BDB3-CBA5F4893EA7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r>
                      <a:rPr lang="en-US"/>
                      <a:t>ENX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30B-45FE-BDB3-CBA5F4893EA7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r>
                      <a:rPr lang="en-US"/>
                      <a:t>ERG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30B-45FE-BDB3-CBA5F4893EA7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r>
                      <a:rPr lang="en-US"/>
                      <a:t>ESS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30B-45FE-BDB3-CBA5F4893EA7}"/>
                </c:ext>
              </c:extLst>
            </c:dLbl>
            <c:dLbl>
              <c:idx val="7"/>
              <c:layout>
                <c:manualLayout>
                  <c:x val="0"/>
                  <c:y val="-1.433691756272401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JEN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30B-45FE-BDB3-CBA5F4893EA7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r>
                      <a:rPr lang="en-US"/>
                      <a:t>PCR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30B-45FE-BDB3-CBA5F4893EA7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r>
                      <a:rPr lang="en-US"/>
                      <a:t>SAPN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30B-45FE-BDB3-CBA5F4893EA7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r>
                      <a:rPr lang="en-US"/>
                      <a:t>SPD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30B-45FE-BDB3-CBA5F4893EA7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r>
                      <a:rPr lang="en-US"/>
                      <a:t>TND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30B-45FE-BDB3-CBA5F4893EA7}"/>
                </c:ext>
              </c:extLst>
            </c:dLbl>
            <c:dLbl>
              <c:idx val="12"/>
              <c:layout>
                <c:manualLayout>
                  <c:x val="7.1492397224518778E-3"/>
                  <c:y val="3.225806451612903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UED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630B-45FE-BDB3-CBA5F4893EA7}"/>
                </c:ext>
              </c:extLst>
            </c:dLbl>
            <c:spPr>
              <a:noFill/>
              <a:ln>
                <a:noFill/>
              </a:ln>
              <a:effectLst/>
            </c:sp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trendline>
            <c:trendlineType val="linear"/>
            <c:dispRSqr val="0"/>
            <c:dispEq val="0"/>
          </c:trendline>
          <c:trendline>
            <c:trendlineType val="linear"/>
            <c:dispRSqr val="1"/>
            <c:dispEq val="1"/>
            <c:trendlineLbl>
              <c:numFmt formatCode="General" sourceLinked="0"/>
            </c:trendlineLbl>
          </c:trendline>
          <c:xVal>
            <c:numRef>
              <c:f>#REF!</c:f>
              <c:numCache>
                <c:formatCode>#,##0.00</c:formatCode>
                <c:ptCount val="13"/>
                <c:pt idx="0">
                  <c:v>650.64659999999992</c:v>
                </c:pt>
                <c:pt idx="1">
                  <c:v>6239.1921308135725</c:v>
                </c:pt>
                <c:pt idx="2">
                  <c:v>1415.44</c:v>
                </c:pt>
                <c:pt idx="3">
                  <c:v>3859.4410659514933</c:v>
                </c:pt>
                <c:pt idx="4">
                  <c:v>4938.7225829315184</c:v>
                </c:pt>
                <c:pt idx="5">
                  <c:v>3139.6704</c:v>
                </c:pt>
                <c:pt idx="6">
                  <c:v>2549.3371293861064</c:v>
                </c:pt>
                <c:pt idx="7">
                  <c:v>979.92228880000005</c:v>
                </c:pt>
                <c:pt idx="8">
                  <c:v>2405.4639999999999</c:v>
                </c:pt>
                <c:pt idx="9">
                  <c:v>3011.1711388000003</c:v>
                </c:pt>
                <c:pt idx="10">
                  <c:v>1868.1995999999999</c:v>
                </c:pt>
                <c:pt idx="11">
                  <c:v>1078.2</c:v>
                </c:pt>
                <c:pt idx="12">
                  <c:v>2000.5300010968608</c:v>
                </c:pt>
              </c:numCache>
            </c:numRef>
          </c:xVal>
          <c:yVal>
            <c:numRef>
              <c:f>#REF!</c:f>
              <c:numCache>
                <c:formatCode>#,##0</c:formatCode>
                <c:ptCount val="13"/>
                <c:pt idx="0">
                  <c:v>169074</c:v>
                </c:pt>
                <c:pt idx="1">
                  <c:v>1609696.2</c:v>
                </c:pt>
                <c:pt idx="2">
                  <c:v>314395.72017981031</c:v>
                </c:pt>
                <c:pt idx="3">
                  <c:v>896579.25652216526</c:v>
                </c:pt>
                <c:pt idx="4">
                  <c:v>1325025.9033333333</c:v>
                </c:pt>
                <c:pt idx="5">
                  <c:v>687766</c:v>
                </c:pt>
                <c:pt idx="6">
                  <c:v>832767.6</c:v>
                </c:pt>
                <c:pt idx="7">
                  <c:v>312816.59999999998</c:v>
                </c:pt>
                <c:pt idx="8">
                  <c:v>728996.13955593482</c:v>
                </c:pt>
                <c:pt idx="9">
                  <c:v>833881</c:v>
                </c:pt>
                <c:pt idx="10">
                  <c:v>657790.19999999995</c:v>
                </c:pt>
                <c:pt idx="11">
                  <c:v>274036.43045142054</c:v>
                </c:pt>
                <c:pt idx="12">
                  <c:v>641496.15483870974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630B-45FE-BDB3-CBA5F4893EA7}"/>
            </c:ext>
          </c:extLst>
        </c:ser>
        <c:dLbls>
          <c:dLblPos val="r"/>
          <c:showLegendKey val="0"/>
          <c:showVal val="1"/>
          <c:showCatName val="0"/>
          <c:showSerName val="0"/>
          <c:showPercent val="0"/>
          <c:showBubbleSize val="0"/>
        </c:dLbls>
        <c:axId val="46194048"/>
        <c:axId val="46199936"/>
      </c:scatterChart>
      <c:valAx>
        <c:axId val="46194048"/>
        <c:scaling>
          <c:orientation val="minMax"/>
        </c:scaling>
        <c:delete val="0"/>
        <c:axPos val="b"/>
        <c:numFmt formatCode="#,##0" sourceLinked="0"/>
        <c:majorTickMark val="out"/>
        <c:minorTickMark val="none"/>
        <c:tickLblPos val="nextTo"/>
        <c:crossAx val="46199936"/>
        <c:crosses val="autoZero"/>
        <c:crossBetween val="midCat"/>
      </c:valAx>
      <c:valAx>
        <c:axId val="4619993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46194048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pPr>
              <a:ln>
                <a:solidFill>
                  <a:schemeClr val="tx1"/>
                </a:solidFill>
              </a:ln>
            </c:spPr>
          </c:marker>
          <c:dPt>
            <c:idx val="0"/>
            <c:marker>
              <c:spPr>
                <a:solidFill>
                  <a:srgbClr val="FCC0C0"/>
                </a:solidFill>
                <a:ln>
                  <a:solidFill>
                    <a:schemeClr val="tx1"/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7A5B-41C0-B388-7571ACEDBFAB}"/>
              </c:ext>
            </c:extLst>
          </c:dPt>
          <c:dPt>
            <c:idx val="1"/>
            <c:marker>
              <c:spPr>
                <a:solidFill>
                  <a:srgbClr val="2171B5"/>
                </a:solidFill>
                <a:ln>
                  <a:solidFill>
                    <a:schemeClr val="tx1"/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7A5B-41C0-B388-7571ACEDBFAB}"/>
              </c:ext>
            </c:extLst>
          </c:dPt>
          <c:dPt>
            <c:idx val="2"/>
            <c:marker>
              <c:symbol val="diamond"/>
              <c:size val="7"/>
              <c:spPr>
                <a:solidFill>
                  <a:srgbClr val="A1D99B"/>
                </a:solidFill>
                <a:ln>
                  <a:solidFill>
                    <a:schemeClr val="tx1"/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2-7A5B-41C0-B388-7571ACEDBFAB}"/>
              </c:ext>
            </c:extLst>
          </c:dPt>
          <c:dPt>
            <c:idx val="3"/>
            <c:marker>
              <c:spPr>
                <a:solidFill>
                  <a:srgbClr val="2171B5"/>
                </a:solidFill>
                <a:ln>
                  <a:solidFill>
                    <a:schemeClr val="tx1"/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3-7A5B-41C0-B388-7571ACEDBFAB}"/>
              </c:ext>
            </c:extLst>
          </c:dPt>
          <c:dPt>
            <c:idx val="4"/>
            <c:marker>
              <c:spPr>
                <a:solidFill>
                  <a:srgbClr val="800026"/>
                </a:solidFill>
                <a:ln>
                  <a:solidFill>
                    <a:schemeClr val="tx1"/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4-7A5B-41C0-B388-7571ACEDBFAB}"/>
              </c:ext>
            </c:extLst>
          </c:dPt>
          <c:dPt>
            <c:idx val="5"/>
            <c:marker>
              <c:spPr>
                <a:solidFill>
                  <a:srgbClr val="800026"/>
                </a:solidFill>
                <a:ln>
                  <a:solidFill>
                    <a:schemeClr val="tx1"/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5-7A5B-41C0-B388-7571ACEDBFAB}"/>
              </c:ext>
            </c:extLst>
          </c:dPt>
          <c:dPt>
            <c:idx val="6"/>
            <c:marker>
              <c:spPr>
                <a:solidFill>
                  <a:srgbClr val="2171B5"/>
                </a:solidFill>
                <a:ln>
                  <a:solidFill>
                    <a:schemeClr val="tx1"/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6-7A5B-41C0-B388-7571ACEDBFAB}"/>
              </c:ext>
            </c:extLst>
          </c:dPt>
          <c:dPt>
            <c:idx val="7"/>
            <c:marker>
              <c:spPr>
                <a:solidFill>
                  <a:srgbClr val="A1D99B"/>
                </a:solidFill>
                <a:ln>
                  <a:solidFill>
                    <a:schemeClr val="tx1"/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7-7A5B-41C0-B388-7571ACEDBFAB}"/>
              </c:ext>
            </c:extLst>
          </c:dPt>
          <c:dPt>
            <c:idx val="8"/>
            <c:marker>
              <c:spPr>
                <a:solidFill>
                  <a:srgbClr val="A1D99B"/>
                </a:solidFill>
                <a:ln>
                  <a:solidFill>
                    <a:schemeClr val="tx1"/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8-7A5B-41C0-B388-7571ACEDBFAB}"/>
              </c:ext>
            </c:extLst>
          </c:dPt>
          <c:dPt>
            <c:idx val="9"/>
            <c:marker>
              <c:spPr>
                <a:solidFill>
                  <a:srgbClr val="FD8D3C"/>
                </a:solidFill>
                <a:ln>
                  <a:solidFill>
                    <a:schemeClr val="tx1"/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9-7A5B-41C0-B388-7571ACEDBFAB}"/>
              </c:ext>
            </c:extLst>
          </c:dPt>
          <c:dPt>
            <c:idx val="10"/>
            <c:marker>
              <c:spPr>
                <a:solidFill>
                  <a:srgbClr val="A1D99B"/>
                </a:solidFill>
                <a:ln>
                  <a:solidFill>
                    <a:schemeClr val="tx1"/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A-7A5B-41C0-B388-7571ACEDBFAB}"/>
              </c:ext>
            </c:extLst>
          </c:dPt>
          <c:dPt>
            <c:idx val="11"/>
            <c:marker>
              <c:spPr>
                <a:solidFill>
                  <a:srgbClr val="E7E1EF"/>
                </a:solidFill>
                <a:ln>
                  <a:solidFill>
                    <a:schemeClr val="tx1"/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B-7A5B-41C0-B388-7571ACEDBFAB}"/>
              </c:ext>
            </c:extLst>
          </c:dPt>
          <c:dPt>
            <c:idx val="12"/>
            <c:marker>
              <c:spPr>
                <a:solidFill>
                  <a:srgbClr val="A1D99B"/>
                </a:solidFill>
                <a:ln>
                  <a:solidFill>
                    <a:schemeClr val="tx1"/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C-7A5B-41C0-B388-7571ACEDBFAB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ACT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A5B-41C0-B388-7571ACEDBFAB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AGD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A5B-41C0-B388-7571ACEDBFAB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CIT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A5B-41C0-B388-7571ACEDBFAB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r>
                      <a:rPr lang="en-US"/>
                      <a:t>END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A5B-41C0-B388-7571ACEDBFAB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r>
                      <a:rPr lang="en-US"/>
                      <a:t>ENX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A5B-41C0-B388-7571ACEDBFAB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r>
                      <a:rPr lang="en-US"/>
                      <a:t>ERG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A5B-41C0-B388-7571ACEDBFAB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r>
                      <a:rPr lang="en-US"/>
                      <a:t>ESS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A5B-41C0-B388-7571ACEDBFAB}"/>
                </c:ext>
              </c:extLst>
            </c:dLbl>
            <c:dLbl>
              <c:idx val="7"/>
              <c:layout>
                <c:manualLayout>
                  <c:x val="0"/>
                  <c:y val="-1.433691756272401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JEN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A5B-41C0-B388-7571ACEDBFAB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r>
                      <a:rPr lang="en-US"/>
                      <a:t>PCR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A5B-41C0-B388-7571ACEDBFAB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r>
                      <a:rPr lang="en-US"/>
                      <a:t>SAPN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A5B-41C0-B388-7571ACEDBFAB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r>
                      <a:rPr lang="en-US"/>
                      <a:t>SPD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7A5B-41C0-B388-7571ACEDBFAB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r>
                      <a:rPr lang="en-US"/>
                      <a:t>TND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A5B-41C0-B388-7571ACEDBFAB}"/>
                </c:ext>
              </c:extLst>
            </c:dLbl>
            <c:dLbl>
              <c:idx val="12"/>
              <c:layout>
                <c:manualLayout>
                  <c:x val="7.1492397224518778E-3"/>
                  <c:y val="3.225806451612903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UED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7A5B-41C0-B388-7571ACEDBFAB}"/>
                </c:ext>
              </c:extLst>
            </c:dLbl>
            <c:spPr>
              <a:noFill/>
              <a:ln>
                <a:noFill/>
              </a:ln>
              <a:effectLst/>
            </c:sp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trendline>
            <c:trendlineType val="linear"/>
            <c:dispRSqr val="0"/>
            <c:dispEq val="0"/>
          </c:trendline>
          <c:trendline>
            <c:trendlineType val="linear"/>
            <c:dispRSqr val="1"/>
            <c:dispEq val="1"/>
            <c:trendlineLbl>
              <c:numFmt formatCode="General" sourceLinked="0"/>
            </c:trendlineLbl>
          </c:trendline>
          <c:xVal>
            <c:numRef>
              <c:f>#REF!</c:f>
              <c:numCache>
                <c:formatCode>#,##0.00</c:formatCode>
                <c:ptCount val="13"/>
                <c:pt idx="0">
                  <c:v>650.64659999999992</c:v>
                </c:pt>
                <c:pt idx="1">
                  <c:v>6239.1921308135725</c:v>
                </c:pt>
                <c:pt idx="2">
                  <c:v>1415.44</c:v>
                </c:pt>
                <c:pt idx="3">
                  <c:v>3859.4410659514933</c:v>
                </c:pt>
                <c:pt idx="4">
                  <c:v>4938.7225829315184</c:v>
                </c:pt>
                <c:pt idx="5">
                  <c:v>3139.6704</c:v>
                </c:pt>
                <c:pt idx="6">
                  <c:v>2549.3371293861064</c:v>
                </c:pt>
                <c:pt idx="7">
                  <c:v>979.92228880000005</c:v>
                </c:pt>
                <c:pt idx="8">
                  <c:v>2405.4639999999999</c:v>
                </c:pt>
                <c:pt idx="9">
                  <c:v>3011.1711388000003</c:v>
                </c:pt>
                <c:pt idx="10">
                  <c:v>1868.1995999999999</c:v>
                </c:pt>
                <c:pt idx="11">
                  <c:v>1078.2</c:v>
                </c:pt>
                <c:pt idx="12">
                  <c:v>2000.5300010968608</c:v>
                </c:pt>
              </c:numCache>
            </c:numRef>
          </c:xVal>
          <c:yVal>
            <c:numRef>
              <c:f>#REF!</c:f>
              <c:numCache>
                <c:formatCode>#,##0</c:formatCode>
                <c:ptCount val="13"/>
                <c:pt idx="0">
                  <c:v>2894863.3612000002</c:v>
                </c:pt>
                <c:pt idx="1">
                  <c:v>29498623.453123212</c:v>
                </c:pt>
                <c:pt idx="2">
                  <c:v>6095543.732903216</c:v>
                </c:pt>
                <c:pt idx="3">
                  <c:v>16968905.781588919</c:v>
                </c:pt>
                <c:pt idx="4">
                  <c:v>21581200</c:v>
                </c:pt>
                <c:pt idx="5">
                  <c:v>13760201.800000001</c:v>
                </c:pt>
                <c:pt idx="6">
                  <c:v>12062537.723719694</c:v>
                </c:pt>
                <c:pt idx="7">
                  <c:v>4372000</c:v>
                </c:pt>
                <c:pt idx="8">
                  <c:v>10587837.423770327</c:v>
                </c:pt>
                <c:pt idx="9">
                  <c:v>11211160</c:v>
                </c:pt>
                <c:pt idx="10">
                  <c:v>7676879.5999999996</c:v>
                </c:pt>
                <c:pt idx="11">
                  <c:v>4428349.8270545658</c:v>
                </c:pt>
                <c:pt idx="12">
                  <c:v>8035224.7425093148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7A5B-41C0-B388-7571ACEDBFAB}"/>
            </c:ext>
          </c:extLst>
        </c:ser>
        <c:dLbls>
          <c:dLblPos val="r"/>
          <c:showLegendKey val="0"/>
          <c:showVal val="1"/>
          <c:showCatName val="0"/>
          <c:showSerName val="0"/>
          <c:showPercent val="0"/>
          <c:showBubbleSize val="0"/>
        </c:dLbls>
        <c:axId val="52325760"/>
        <c:axId val="52327936"/>
      </c:scatterChart>
      <c:valAx>
        <c:axId val="523257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52327936"/>
        <c:crosses val="autoZero"/>
        <c:crossBetween val="midCat"/>
      </c:valAx>
      <c:valAx>
        <c:axId val="52327936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MWh</a:t>
                </a:r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crossAx val="52325760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0772626523308618"/>
          <c:y val="5.824049968555034E-2"/>
          <c:w val="0.67386825482717161"/>
          <c:h val="0.85926763819826446"/>
        </c:manualLayout>
      </c:layout>
      <c:lineChart>
        <c:grouping val="standard"/>
        <c:varyColors val="0"/>
        <c:ser>
          <c:idx val="2"/>
          <c:order val="0"/>
          <c:tx>
            <c:strRef>
              <c:f>'TNSP Analysis'!$B$21</c:f>
              <c:strCache>
                <c:ptCount val="1"/>
                <c:pt idx="0">
                  <c:v>ENT</c:v>
                </c:pt>
              </c:strCache>
            </c:strRef>
          </c:tx>
          <c:spPr>
            <a:ln w="25400">
              <a:solidFill>
                <a:srgbClr val="F79646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79646"/>
              </a:solidFill>
              <a:ln>
                <a:solidFill>
                  <a:srgbClr val="F79646"/>
                </a:solidFill>
              </a:ln>
            </c:spPr>
          </c:marker>
          <c:cat>
            <c:numRef>
              <c:f>'TNSP Analysis'!$D$20:$Q$20</c:f>
              <c:numCache>
                <c:formatCode>General</c:formatCode>
                <c:ptCount val="14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</c:numCache>
            </c:numRef>
          </c:cat>
          <c:val>
            <c:numRef>
              <c:f>'TNSP Analysis'!$D$21:$Q$21</c:f>
              <c:numCache>
                <c:formatCode>#,##0.00</c:formatCode>
                <c:ptCount val="14"/>
                <c:pt idx="0">
                  <c:v>11.756691111935552</c:v>
                </c:pt>
                <c:pt idx="1">
                  <c:v>13.413028044051744</c:v>
                </c:pt>
                <c:pt idx="2">
                  <c:v>13.67892654409531</c:v>
                </c:pt>
                <c:pt idx="3">
                  <c:v>14.212592155357147</c:v>
                </c:pt>
                <c:pt idx="4">
                  <c:v>14.329576537750503</c:v>
                </c:pt>
                <c:pt idx="5">
                  <c:v>14.888573701334495</c:v>
                </c:pt>
                <c:pt idx="6">
                  <c:v>15.710326943224617</c:v>
                </c:pt>
                <c:pt idx="7">
                  <c:v>16.051853330227875</c:v>
                </c:pt>
                <c:pt idx="8">
                  <c:v>16.970901045928894</c:v>
                </c:pt>
                <c:pt idx="9">
                  <c:v>18.855401594779721</c:v>
                </c:pt>
                <c:pt idx="10">
                  <c:v>18.838390812298737</c:v>
                </c:pt>
                <c:pt idx="11">
                  <c:v>19.290828881868325</c:v>
                </c:pt>
                <c:pt idx="12">
                  <c:v>24.786395122375918</c:v>
                </c:pt>
                <c:pt idx="13">
                  <c:v>20.723767118961533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08AB-4CD5-8CE9-A2E9A4433A1D}"/>
            </c:ext>
          </c:extLst>
        </c:ser>
        <c:ser>
          <c:idx val="3"/>
          <c:order val="1"/>
          <c:tx>
            <c:strRef>
              <c:f>'TNSP Analysis'!$B$22</c:f>
              <c:strCache>
                <c:ptCount val="1"/>
                <c:pt idx="0">
                  <c:v>PLK</c:v>
                </c:pt>
              </c:strCache>
            </c:strRef>
          </c:tx>
          <c:spPr>
            <a:ln w="25400">
              <a:solidFill>
                <a:srgbClr val="C0504D"/>
              </a:solidFill>
            </a:ln>
          </c:spPr>
          <c:marker>
            <c:symbol val="square"/>
            <c:size val="5"/>
            <c:spPr>
              <a:solidFill>
                <a:srgbClr val="C0504D"/>
              </a:solidFill>
              <a:ln>
                <a:solidFill>
                  <a:srgbClr val="C0504D"/>
                </a:solidFill>
              </a:ln>
            </c:spPr>
          </c:marker>
          <c:cat>
            <c:numRef>
              <c:f>'TNSP Analysis'!$D$20:$Q$20</c:f>
              <c:numCache>
                <c:formatCode>General</c:formatCode>
                <c:ptCount val="14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</c:numCache>
            </c:numRef>
          </c:cat>
          <c:val>
            <c:numRef>
              <c:f>'TNSP Analysis'!$D$22:$Q$22</c:f>
              <c:numCache>
                <c:formatCode>#,##0.00</c:formatCode>
                <c:ptCount val="14"/>
                <c:pt idx="0">
                  <c:v>9.4726518176033139</c:v>
                </c:pt>
                <c:pt idx="1">
                  <c:v>9.6295045953970408</c:v>
                </c:pt>
                <c:pt idx="2">
                  <c:v>10.719869428610618</c:v>
                </c:pt>
                <c:pt idx="3">
                  <c:v>11.222948772090527</c:v>
                </c:pt>
                <c:pt idx="4">
                  <c:v>11.677765423701375</c:v>
                </c:pt>
                <c:pt idx="5">
                  <c:v>12.280794322447472</c:v>
                </c:pt>
                <c:pt idx="6">
                  <c:v>13.02190384298156</c:v>
                </c:pt>
                <c:pt idx="7">
                  <c:v>13.268022570851945</c:v>
                </c:pt>
                <c:pt idx="8">
                  <c:v>14.605736072831894</c:v>
                </c:pt>
                <c:pt idx="9">
                  <c:v>14.258354406256121</c:v>
                </c:pt>
                <c:pt idx="10">
                  <c:v>14.521484956536113</c:v>
                </c:pt>
                <c:pt idx="11">
                  <c:v>14.074305284041131</c:v>
                </c:pt>
                <c:pt idx="12">
                  <c:v>12.628070252771122</c:v>
                </c:pt>
                <c:pt idx="13">
                  <c:v>13.359055346410363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3-08AB-4CD5-8CE9-A2E9A4433A1D}"/>
            </c:ext>
          </c:extLst>
        </c:ser>
        <c:ser>
          <c:idx val="4"/>
          <c:order val="2"/>
          <c:tx>
            <c:strRef>
              <c:f>'TNSP Analysis'!$B$23</c:f>
              <c:strCache>
                <c:ptCount val="1"/>
                <c:pt idx="0">
                  <c:v>ANT</c:v>
                </c:pt>
              </c:strCache>
            </c:strRef>
          </c:tx>
          <c:spPr>
            <a:ln w="25400">
              <a:solidFill>
                <a:srgbClr val="9BBB59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9BBB59"/>
              </a:solidFill>
              <a:ln>
                <a:solidFill>
                  <a:srgbClr val="9BBB59"/>
                </a:solidFill>
              </a:ln>
            </c:spPr>
          </c:marker>
          <c:cat>
            <c:numRef>
              <c:f>'TNSP Analysis'!$D$20:$Q$20</c:f>
              <c:numCache>
                <c:formatCode>General</c:formatCode>
                <c:ptCount val="14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</c:numCache>
            </c:numRef>
          </c:cat>
          <c:val>
            <c:numRef>
              <c:f>'TNSP Analysis'!$D$23:$Q$23</c:f>
              <c:numCache>
                <c:formatCode>#,##0.00</c:formatCode>
                <c:ptCount val="14"/>
                <c:pt idx="0">
                  <c:v>6.5187231038128788</c:v>
                </c:pt>
                <c:pt idx="1">
                  <c:v>6.364430994228985</c:v>
                </c:pt>
                <c:pt idx="2">
                  <c:v>6.6887658033256239</c:v>
                </c:pt>
                <c:pt idx="3">
                  <c:v>6.8160645641968216</c:v>
                </c:pt>
                <c:pt idx="4">
                  <c:v>6.7441583967817404</c:v>
                </c:pt>
                <c:pt idx="5">
                  <c:v>6.7377589956817543</c:v>
                </c:pt>
                <c:pt idx="6">
                  <c:v>6.6966913768553749</c:v>
                </c:pt>
                <c:pt idx="7">
                  <c:v>6.637279432164692</c:v>
                </c:pt>
                <c:pt idx="8">
                  <c:v>6.7537525901950612</c:v>
                </c:pt>
                <c:pt idx="9">
                  <c:v>7.373865145549817</c:v>
                </c:pt>
                <c:pt idx="10">
                  <c:v>7.6026085659930107</c:v>
                </c:pt>
                <c:pt idx="11">
                  <c:v>7.8524467095968031</c:v>
                </c:pt>
                <c:pt idx="12">
                  <c:v>8.7890240053525517</c:v>
                </c:pt>
                <c:pt idx="13">
                  <c:v>8.884539173419574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5-08AB-4CD5-8CE9-A2E9A4433A1D}"/>
            </c:ext>
          </c:extLst>
        </c:ser>
        <c:ser>
          <c:idx val="5"/>
          <c:order val="3"/>
          <c:tx>
            <c:strRef>
              <c:f>'TNSP Analysis'!$B$24</c:f>
              <c:strCache>
                <c:ptCount val="1"/>
                <c:pt idx="0">
                  <c:v>TNT</c:v>
                </c:pt>
              </c:strCache>
            </c:strRef>
          </c:tx>
          <c:spPr>
            <a:ln w="19050">
              <a:solidFill>
                <a:srgbClr val="8064A2"/>
              </a:solidFill>
            </a:ln>
          </c:spPr>
          <c:marker>
            <c:symbol val="triangle"/>
            <c:size val="5"/>
            <c:spPr>
              <a:solidFill>
                <a:srgbClr val="8064A2"/>
              </a:solidFill>
              <a:ln w="19050">
                <a:solidFill>
                  <a:srgbClr val="8064A2"/>
                </a:solidFill>
              </a:ln>
            </c:spPr>
          </c:marker>
          <c:cat>
            <c:numRef>
              <c:f>'TNSP Analysis'!$D$20:$Q$20</c:f>
              <c:numCache>
                <c:formatCode>General</c:formatCode>
                <c:ptCount val="14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</c:numCache>
            </c:numRef>
          </c:cat>
          <c:val>
            <c:numRef>
              <c:f>'TNSP Analysis'!$D$24:$Q$24</c:f>
              <c:numCache>
                <c:formatCode>#,##0.00</c:formatCode>
                <c:ptCount val="14"/>
                <c:pt idx="0">
                  <c:v>12.099797497289272</c:v>
                </c:pt>
                <c:pt idx="1">
                  <c:v>10.039928800659185</c:v>
                </c:pt>
                <c:pt idx="2">
                  <c:v>10.677100586268118</c:v>
                </c:pt>
                <c:pt idx="3">
                  <c:v>10.902961495997225</c:v>
                </c:pt>
                <c:pt idx="4">
                  <c:v>12.070413362433253</c:v>
                </c:pt>
                <c:pt idx="5">
                  <c:v>12.308708296126325</c:v>
                </c:pt>
                <c:pt idx="6">
                  <c:v>12.94906431266716</c:v>
                </c:pt>
                <c:pt idx="7">
                  <c:v>12.391646790075102</c:v>
                </c:pt>
                <c:pt idx="8">
                  <c:v>12.529701551000791</c:v>
                </c:pt>
                <c:pt idx="9">
                  <c:v>11.177065773009563</c:v>
                </c:pt>
                <c:pt idx="10">
                  <c:v>12.984602504520698</c:v>
                </c:pt>
                <c:pt idx="11">
                  <c:v>11.845231533882759</c:v>
                </c:pt>
                <c:pt idx="12">
                  <c:v>11.365362620315667</c:v>
                </c:pt>
                <c:pt idx="13">
                  <c:v>11.106165777724812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7-08AB-4CD5-8CE9-A2E9A4433A1D}"/>
            </c:ext>
          </c:extLst>
        </c:ser>
        <c:ser>
          <c:idx val="0"/>
          <c:order val="4"/>
          <c:tx>
            <c:strRef>
              <c:f>'TNSP Analysis'!$B$25</c:f>
              <c:strCache>
                <c:ptCount val="1"/>
                <c:pt idx="0">
                  <c:v>TRG</c:v>
                </c:pt>
              </c:strCache>
            </c:strRef>
          </c:tx>
          <c:spPr>
            <a:ln>
              <a:solidFill>
                <a:srgbClr val="4F81BD"/>
              </a:solidFill>
            </a:ln>
          </c:spPr>
          <c:marker>
            <c:spPr>
              <a:solidFill>
                <a:srgbClr val="4F81BD"/>
              </a:solidFill>
              <a:ln>
                <a:solidFill>
                  <a:srgbClr val="4F81BD"/>
                </a:solidFill>
              </a:ln>
            </c:spPr>
          </c:marker>
          <c:cat>
            <c:numRef>
              <c:f>'TNSP Analysis'!$D$20:$Q$20</c:f>
              <c:numCache>
                <c:formatCode>General</c:formatCode>
                <c:ptCount val="14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</c:numCache>
            </c:numRef>
          </c:cat>
          <c:val>
            <c:numRef>
              <c:f>'TNSP Analysis'!$D$25:$Q$25</c:f>
              <c:numCache>
                <c:formatCode>#,##0.00</c:formatCode>
                <c:ptCount val="14"/>
                <c:pt idx="0">
                  <c:v>5.9312658067464747</c:v>
                </c:pt>
                <c:pt idx="1">
                  <c:v>5.900969585954905</c:v>
                </c:pt>
                <c:pt idx="2">
                  <c:v>5.9707184277284409</c:v>
                </c:pt>
                <c:pt idx="3">
                  <c:v>6.4011946817783656</c:v>
                </c:pt>
                <c:pt idx="4">
                  <c:v>7.1330139722422929</c:v>
                </c:pt>
                <c:pt idx="5">
                  <c:v>7.0982566595898025</c:v>
                </c:pt>
                <c:pt idx="6">
                  <c:v>7.5874609588495794</c:v>
                </c:pt>
                <c:pt idx="7">
                  <c:v>8.2459616329802685</c:v>
                </c:pt>
                <c:pt idx="8">
                  <c:v>9.5655318271162457</c:v>
                </c:pt>
                <c:pt idx="9">
                  <c:v>8.9444900752510073</c:v>
                </c:pt>
                <c:pt idx="10">
                  <c:v>9.4083408741251944</c:v>
                </c:pt>
                <c:pt idx="11">
                  <c:v>9.1991952348914108</c:v>
                </c:pt>
                <c:pt idx="12">
                  <c:v>8.5056001596976021</c:v>
                </c:pt>
                <c:pt idx="13">
                  <c:v>8.4903349416952754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9-08AB-4CD5-8CE9-A2E9A4433A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936448"/>
        <c:axId val="48938368"/>
      </c:lineChart>
      <c:catAx>
        <c:axId val="489364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8938368"/>
        <c:crosses val="autoZero"/>
        <c:auto val="1"/>
        <c:lblAlgn val="ctr"/>
        <c:lblOffset val="100"/>
        <c:noMultiLvlLbl val="0"/>
      </c:catAx>
      <c:valAx>
        <c:axId val="4893836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AU" b="1"/>
                  <a:t>Total cost per MWh of energy transported</a:t>
                </a:r>
              </a:p>
            </c:rich>
          </c:tx>
          <c:layout>
            <c:manualLayout>
              <c:xMode val="edge"/>
              <c:yMode val="edge"/>
              <c:x val="1.0136924186824294E-2"/>
              <c:y val="0.20836156440320475"/>
            </c:manualLayout>
          </c:layout>
          <c:overlay val="0"/>
        </c:title>
        <c:numFmt formatCode="&quot;$&quot;#,##0" sourceLinked="0"/>
        <c:majorTickMark val="out"/>
        <c:minorTickMark val="none"/>
        <c:tickLblPos val="nextTo"/>
        <c:crossAx val="48936448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81942566998820454"/>
          <c:y val="0.18641190757817613"/>
          <c:w val="0.12400639505969771"/>
          <c:h val="0.45733735075812382"/>
        </c:manualLayout>
      </c:layout>
      <c:overlay val="0"/>
      <c:spPr>
        <a:ln>
          <a:noFill/>
        </a:ln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 b="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3686194229495191"/>
          <c:y val="3.2864067873149466E-2"/>
          <c:w val="0.64473253889415272"/>
          <c:h val="0.88464406959155817"/>
        </c:manualLayout>
      </c:layout>
      <c:lineChart>
        <c:grouping val="standard"/>
        <c:varyColors val="0"/>
        <c:ser>
          <c:idx val="2"/>
          <c:order val="0"/>
          <c:tx>
            <c:strRef>
              <c:f>'TNSP Analysis'!$B$45</c:f>
              <c:strCache>
                <c:ptCount val="1"/>
                <c:pt idx="0">
                  <c:v>ENT</c:v>
                </c:pt>
              </c:strCache>
            </c:strRef>
          </c:tx>
          <c:spPr>
            <a:ln w="25400">
              <a:solidFill>
                <a:srgbClr val="F79646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79646"/>
              </a:solidFill>
              <a:ln>
                <a:solidFill>
                  <a:srgbClr val="F79646"/>
                </a:solidFill>
              </a:ln>
            </c:spPr>
          </c:marker>
          <c:cat>
            <c:numRef>
              <c:f>'TNSP Analysis'!$D$44:$Q$44</c:f>
              <c:numCache>
                <c:formatCode>General</c:formatCode>
                <c:ptCount val="14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</c:numCache>
            </c:numRef>
          </c:cat>
          <c:val>
            <c:numRef>
              <c:f>'TNSP Analysis'!$D$45:$Q$45</c:f>
              <c:numCache>
                <c:formatCode>#,##0</c:formatCode>
                <c:ptCount val="14"/>
                <c:pt idx="0">
                  <c:v>31700.281975044727</c:v>
                </c:pt>
                <c:pt idx="1">
                  <c:v>34001.501314057197</c:v>
                </c:pt>
                <c:pt idx="2">
                  <c:v>32429.168131599261</c:v>
                </c:pt>
                <c:pt idx="3">
                  <c:v>34897.285037492853</c:v>
                </c:pt>
                <c:pt idx="4">
                  <c:v>36064.956596879601</c:v>
                </c:pt>
                <c:pt idx="5">
                  <c:v>37545.634453825034</c:v>
                </c:pt>
                <c:pt idx="6">
                  <c:v>39980.036613945384</c:v>
                </c:pt>
                <c:pt idx="7">
                  <c:v>41480.674215702682</c:v>
                </c:pt>
                <c:pt idx="8">
                  <c:v>42836.96876223947</c:v>
                </c:pt>
                <c:pt idx="9">
                  <c:v>45949.939145620636</c:v>
                </c:pt>
                <c:pt idx="10">
                  <c:v>48586.537564492362</c:v>
                </c:pt>
                <c:pt idx="11">
                  <c:v>50764.777155116761</c:v>
                </c:pt>
                <c:pt idx="12">
                  <c:v>51370.419587631557</c:v>
                </c:pt>
                <c:pt idx="13">
                  <c:v>51828.372886048754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676-4A6E-B43D-32345A2B97F0}"/>
            </c:ext>
          </c:extLst>
        </c:ser>
        <c:ser>
          <c:idx val="3"/>
          <c:order val="1"/>
          <c:tx>
            <c:strRef>
              <c:f>'TNSP Analysis'!$B$46</c:f>
              <c:strCache>
                <c:ptCount val="1"/>
                <c:pt idx="0">
                  <c:v>PLK</c:v>
                </c:pt>
              </c:strCache>
            </c:strRef>
          </c:tx>
          <c:spPr>
            <a:ln w="25400">
              <a:solidFill>
                <a:srgbClr val="C0504D"/>
              </a:solidFill>
            </a:ln>
          </c:spPr>
          <c:marker>
            <c:symbol val="square"/>
            <c:size val="5"/>
            <c:spPr>
              <a:solidFill>
                <a:srgbClr val="C0504D"/>
              </a:solidFill>
              <a:ln>
                <a:solidFill>
                  <a:srgbClr val="C0504D"/>
                </a:solidFill>
              </a:ln>
            </c:spPr>
          </c:marker>
          <c:cat>
            <c:numRef>
              <c:f>'TNSP Analysis'!$D$44:$Q$44</c:f>
              <c:numCache>
                <c:formatCode>General</c:formatCode>
                <c:ptCount val="14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</c:numCache>
            </c:numRef>
          </c:cat>
          <c:val>
            <c:numRef>
              <c:f>'TNSP Analysis'!$D$46:$Q$46</c:f>
              <c:numCache>
                <c:formatCode>#,##0</c:formatCode>
                <c:ptCount val="14"/>
                <c:pt idx="0">
                  <c:v>41325.43402173811</c:v>
                </c:pt>
                <c:pt idx="1">
                  <c:v>42075.210300503109</c:v>
                </c:pt>
                <c:pt idx="2">
                  <c:v>44149.191250828109</c:v>
                </c:pt>
                <c:pt idx="3">
                  <c:v>45529.965693316131</c:v>
                </c:pt>
                <c:pt idx="4">
                  <c:v>46328.953829957041</c:v>
                </c:pt>
                <c:pt idx="5">
                  <c:v>46408.815665028073</c:v>
                </c:pt>
                <c:pt idx="6">
                  <c:v>48351.816985276455</c:v>
                </c:pt>
                <c:pt idx="7">
                  <c:v>45730.520962150462</c:v>
                </c:pt>
                <c:pt idx="8">
                  <c:v>47076.080807017664</c:v>
                </c:pt>
                <c:pt idx="9">
                  <c:v>51302.402241909287</c:v>
                </c:pt>
                <c:pt idx="10">
                  <c:v>52033.857265969615</c:v>
                </c:pt>
                <c:pt idx="11">
                  <c:v>52542.749503705141</c:v>
                </c:pt>
                <c:pt idx="12">
                  <c:v>47678.393436149541</c:v>
                </c:pt>
                <c:pt idx="13">
                  <c:v>49445.384288756519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676-4A6E-B43D-32345A2B97F0}"/>
            </c:ext>
          </c:extLst>
        </c:ser>
        <c:ser>
          <c:idx val="4"/>
          <c:order val="2"/>
          <c:tx>
            <c:strRef>
              <c:f>'TNSP Analysis'!$B$47</c:f>
              <c:strCache>
                <c:ptCount val="1"/>
                <c:pt idx="0">
                  <c:v>ANT</c:v>
                </c:pt>
              </c:strCache>
            </c:strRef>
          </c:tx>
          <c:spPr>
            <a:ln w="25400">
              <a:solidFill>
                <a:srgbClr val="9BBB59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9BBB59"/>
              </a:solidFill>
              <a:ln>
                <a:solidFill>
                  <a:srgbClr val="9BBB59"/>
                </a:solidFill>
              </a:ln>
            </c:spPr>
          </c:marker>
          <c:cat>
            <c:numRef>
              <c:f>'TNSP Analysis'!$D$44:$Q$44</c:f>
              <c:numCache>
                <c:formatCode>General</c:formatCode>
                <c:ptCount val="14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</c:numCache>
            </c:numRef>
          </c:cat>
          <c:val>
            <c:numRef>
              <c:f>'TNSP Analysis'!$D$47:$Q$47</c:f>
              <c:numCache>
                <c:formatCode>#,##0</c:formatCode>
                <c:ptCount val="14"/>
                <c:pt idx="0">
                  <c:v>44813.171412018513</c:v>
                </c:pt>
                <c:pt idx="1">
                  <c:v>44498.185379032591</c:v>
                </c:pt>
                <c:pt idx="2">
                  <c:v>45840.095407911038</c:v>
                </c:pt>
                <c:pt idx="3">
                  <c:v>49172.70439118785</c:v>
                </c:pt>
                <c:pt idx="4">
                  <c:v>50251.969047858394</c:v>
                </c:pt>
                <c:pt idx="5">
                  <c:v>49252.342732233818</c:v>
                </c:pt>
                <c:pt idx="6">
                  <c:v>48423.773578332715</c:v>
                </c:pt>
                <c:pt idx="7">
                  <c:v>49536.16670727983</c:v>
                </c:pt>
                <c:pt idx="8">
                  <c:v>49837.589050985764</c:v>
                </c:pt>
                <c:pt idx="9">
                  <c:v>53809.827383596363</c:v>
                </c:pt>
                <c:pt idx="10">
                  <c:v>55412.894322934822</c:v>
                </c:pt>
                <c:pt idx="11">
                  <c:v>56055.817143203436</c:v>
                </c:pt>
                <c:pt idx="12">
                  <c:v>55364.965098665889</c:v>
                </c:pt>
                <c:pt idx="13">
                  <c:v>55604.016844948179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676-4A6E-B43D-32345A2B97F0}"/>
            </c:ext>
          </c:extLst>
        </c:ser>
        <c:ser>
          <c:idx val="5"/>
          <c:order val="3"/>
          <c:tx>
            <c:strRef>
              <c:f>'TNSP Analysis'!$B$48</c:f>
              <c:strCache>
                <c:ptCount val="1"/>
                <c:pt idx="0">
                  <c:v>TNT</c:v>
                </c:pt>
              </c:strCache>
            </c:strRef>
          </c:tx>
          <c:spPr>
            <a:ln w="19050">
              <a:solidFill>
                <a:srgbClr val="8064A2"/>
              </a:solidFill>
            </a:ln>
          </c:spPr>
          <c:marker>
            <c:symbol val="triangle"/>
            <c:size val="5"/>
            <c:spPr>
              <a:solidFill>
                <a:srgbClr val="8064A2"/>
              </a:solidFill>
              <a:ln w="19050">
                <a:solidFill>
                  <a:srgbClr val="8064A2"/>
                </a:solidFill>
              </a:ln>
            </c:spPr>
          </c:marker>
          <c:cat>
            <c:numRef>
              <c:f>'TNSP Analysis'!$D$44:$Q$44</c:f>
              <c:numCache>
                <c:formatCode>General</c:formatCode>
                <c:ptCount val="14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</c:numCache>
            </c:numRef>
          </c:cat>
          <c:val>
            <c:numRef>
              <c:f>'TNSP Analysis'!$D$48:$Q$48</c:f>
              <c:numCache>
                <c:formatCode>#,##0</c:formatCode>
                <c:ptCount val="14"/>
                <c:pt idx="0">
                  <c:v>35577.076509765662</c:v>
                </c:pt>
                <c:pt idx="1">
                  <c:v>35556.733660865953</c:v>
                </c:pt>
                <c:pt idx="2">
                  <c:v>39793.627280323868</c:v>
                </c:pt>
                <c:pt idx="3">
                  <c:v>41541.423057676453</c:v>
                </c:pt>
                <c:pt idx="4">
                  <c:v>45178.538201286334</c:v>
                </c:pt>
                <c:pt idx="5">
                  <c:v>46187.84561972892</c:v>
                </c:pt>
                <c:pt idx="6">
                  <c:v>46668.389973200821</c:v>
                </c:pt>
                <c:pt idx="7">
                  <c:v>45510.879293073682</c:v>
                </c:pt>
                <c:pt idx="8">
                  <c:v>47775.660481846338</c:v>
                </c:pt>
                <c:pt idx="9">
                  <c:v>41116.572839254804</c:v>
                </c:pt>
                <c:pt idx="10">
                  <c:v>42464.295393701534</c:v>
                </c:pt>
                <c:pt idx="11">
                  <c:v>41304.460045163782</c:v>
                </c:pt>
                <c:pt idx="12">
                  <c:v>39862.525469134722</c:v>
                </c:pt>
                <c:pt idx="13">
                  <c:v>40363.901520910542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7676-4A6E-B43D-32345A2B97F0}"/>
            </c:ext>
          </c:extLst>
        </c:ser>
        <c:ser>
          <c:idx val="0"/>
          <c:order val="4"/>
          <c:tx>
            <c:strRef>
              <c:f>'TNSP Analysis'!$B$49</c:f>
              <c:strCache>
                <c:ptCount val="1"/>
                <c:pt idx="0">
                  <c:v>TRG</c:v>
                </c:pt>
              </c:strCache>
            </c:strRef>
          </c:tx>
          <c:spPr>
            <a:ln>
              <a:solidFill>
                <a:srgbClr val="4F81BD"/>
              </a:solidFill>
            </a:ln>
          </c:spPr>
          <c:marker>
            <c:spPr>
              <a:solidFill>
                <a:srgbClr val="4F81BD"/>
              </a:solidFill>
              <a:ln>
                <a:solidFill>
                  <a:srgbClr val="4F81BD"/>
                </a:solidFill>
              </a:ln>
            </c:spPr>
          </c:marker>
          <c:cat>
            <c:numRef>
              <c:f>'TNSP Analysis'!$D$44:$Q$44</c:f>
              <c:numCache>
                <c:formatCode>General</c:formatCode>
                <c:ptCount val="14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</c:numCache>
            </c:numRef>
          </c:cat>
          <c:val>
            <c:numRef>
              <c:f>'TNSP Analysis'!$D$49:$Q$49</c:f>
              <c:numCache>
                <c:formatCode>#,##0</c:formatCode>
                <c:ptCount val="14"/>
                <c:pt idx="0">
                  <c:v>38618.618067353527</c:v>
                </c:pt>
                <c:pt idx="1">
                  <c:v>39099.565739165075</c:v>
                </c:pt>
                <c:pt idx="2">
                  <c:v>39332.751996571904</c:v>
                </c:pt>
                <c:pt idx="3">
                  <c:v>41453.519237723493</c:v>
                </c:pt>
                <c:pt idx="4">
                  <c:v>45331.97593327357</c:v>
                </c:pt>
                <c:pt idx="5">
                  <c:v>44665.431367242039</c:v>
                </c:pt>
                <c:pt idx="6">
                  <c:v>45773.807534828542</c:v>
                </c:pt>
                <c:pt idx="7">
                  <c:v>45471.171673929595</c:v>
                </c:pt>
                <c:pt idx="8">
                  <c:v>50159.305057747551</c:v>
                </c:pt>
                <c:pt idx="9">
                  <c:v>51092.674382155812</c:v>
                </c:pt>
                <c:pt idx="10">
                  <c:v>52095.410116333034</c:v>
                </c:pt>
                <c:pt idx="11">
                  <c:v>52755.288293647885</c:v>
                </c:pt>
                <c:pt idx="12">
                  <c:v>49190.128954300417</c:v>
                </c:pt>
                <c:pt idx="13">
                  <c:v>48395.859682776652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7676-4A6E-B43D-32345A2B97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936448"/>
        <c:axId val="48938368"/>
      </c:lineChart>
      <c:catAx>
        <c:axId val="489364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8938368"/>
        <c:crosses val="autoZero"/>
        <c:auto val="1"/>
        <c:lblAlgn val="ctr"/>
        <c:lblOffset val="100"/>
        <c:noMultiLvlLbl val="0"/>
      </c:catAx>
      <c:valAx>
        <c:axId val="4893836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AU" b="1"/>
                  <a:t>Total cost per km of transmission circuit length</a:t>
                </a:r>
              </a:p>
            </c:rich>
          </c:tx>
          <c:layout>
            <c:manualLayout>
              <c:xMode val="edge"/>
              <c:yMode val="edge"/>
              <c:x val="1.175561474466476E-2"/>
              <c:y val="9.0995238409233042E-2"/>
            </c:manualLayout>
          </c:layout>
          <c:overlay val="0"/>
        </c:title>
        <c:numFmt formatCode="&quot;$&quot;#,##0" sourceLinked="0"/>
        <c:majorTickMark val="out"/>
        <c:minorTickMark val="none"/>
        <c:tickLblPos val="nextTo"/>
        <c:crossAx val="48936448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81942566998820454"/>
          <c:y val="0.18641190757817613"/>
          <c:w val="0.12400639505969771"/>
          <c:h val="0.45733735075812382"/>
        </c:manualLayout>
      </c:layout>
      <c:overlay val="0"/>
      <c:spPr>
        <a:ln>
          <a:noFill/>
        </a:ln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 b="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0772626523308618"/>
          <c:y val="5.824049968555034E-2"/>
          <c:w val="0.67386825482717161"/>
          <c:h val="0.85926763819826446"/>
        </c:manualLayout>
      </c:layout>
      <c:lineChart>
        <c:grouping val="standard"/>
        <c:varyColors val="0"/>
        <c:ser>
          <c:idx val="2"/>
          <c:order val="0"/>
          <c:tx>
            <c:strRef>
              <c:f>'TNSP Analysis'!$B$29</c:f>
              <c:strCache>
                <c:ptCount val="1"/>
                <c:pt idx="0">
                  <c:v>ENT</c:v>
                </c:pt>
              </c:strCache>
            </c:strRef>
          </c:tx>
          <c:spPr>
            <a:ln w="25400">
              <a:solidFill>
                <a:srgbClr val="F79646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79646"/>
              </a:solidFill>
              <a:ln>
                <a:solidFill>
                  <a:srgbClr val="F79646"/>
                </a:solidFill>
              </a:ln>
            </c:spPr>
          </c:marker>
          <c:cat>
            <c:numRef>
              <c:f>'TNSP Analysis'!$D$28:$Q$28</c:f>
              <c:numCache>
                <c:formatCode>General</c:formatCode>
                <c:ptCount val="14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</c:numCache>
            </c:numRef>
          </c:cat>
          <c:val>
            <c:numRef>
              <c:f>'TNSP Analysis'!$D$29:$Q$29</c:f>
              <c:numCache>
                <c:formatCode>#,##0</c:formatCode>
                <c:ptCount val="14"/>
                <c:pt idx="0">
                  <c:v>227.9529729664732</c:v>
                </c:pt>
                <c:pt idx="1">
                  <c:v>240.74515252935714</c:v>
                </c:pt>
                <c:pt idx="2">
                  <c:v>229.11733925265935</c:v>
                </c:pt>
                <c:pt idx="3">
                  <c:v>235.81447234205098</c:v>
                </c:pt>
                <c:pt idx="4">
                  <c:v>239.9348142064201</c:v>
                </c:pt>
                <c:pt idx="5">
                  <c:v>247.204179226609</c:v>
                </c:pt>
                <c:pt idx="6">
                  <c:v>261.72085030934983</c:v>
                </c:pt>
                <c:pt idx="7">
                  <c:v>270.44982123072873</c:v>
                </c:pt>
                <c:pt idx="8">
                  <c:v>278.08427062819396</c:v>
                </c:pt>
                <c:pt idx="9">
                  <c:v>297.10043756255817</c:v>
                </c:pt>
                <c:pt idx="10">
                  <c:v>312.59545133866595</c:v>
                </c:pt>
                <c:pt idx="11">
                  <c:v>319.02521893419117</c:v>
                </c:pt>
                <c:pt idx="12">
                  <c:v>317.17027065588525</c:v>
                </c:pt>
                <c:pt idx="13">
                  <c:v>315.28741199281779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9A3-4514-96E8-B6985F3CB73C}"/>
            </c:ext>
          </c:extLst>
        </c:ser>
        <c:ser>
          <c:idx val="3"/>
          <c:order val="1"/>
          <c:tx>
            <c:strRef>
              <c:f>'TNSP Analysis'!$B$30</c:f>
              <c:strCache>
                <c:ptCount val="1"/>
                <c:pt idx="0">
                  <c:v>PLK</c:v>
                </c:pt>
              </c:strCache>
            </c:strRef>
          </c:tx>
          <c:spPr>
            <a:ln w="25400">
              <a:solidFill>
                <a:srgbClr val="C0504D"/>
              </a:solidFill>
            </a:ln>
          </c:spPr>
          <c:marker>
            <c:symbol val="square"/>
            <c:size val="5"/>
            <c:spPr>
              <a:solidFill>
                <a:srgbClr val="C0504D"/>
              </a:solidFill>
              <a:ln>
                <a:solidFill>
                  <a:srgbClr val="C0504D"/>
                </a:solidFill>
              </a:ln>
            </c:spPr>
          </c:marker>
          <c:cat>
            <c:numRef>
              <c:f>'TNSP Analysis'!$D$28:$Q$28</c:f>
              <c:numCache>
                <c:formatCode>General</c:formatCode>
                <c:ptCount val="14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</c:numCache>
            </c:numRef>
          </c:cat>
          <c:val>
            <c:numRef>
              <c:f>'TNSP Analysis'!$D$30:$Q$30</c:f>
              <c:numCache>
                <c:formatCode>#,##0</c:formatCode>
                <c:ptCount val="14"/>
                <c:pt idx="0">
                  <c:v>263.33859801499352</c:v>
                </c:pt>
                <c:pt idx="1">
                  <c:v>267.4143059844759</c:v>
                </c:pt>
                <c:pt idx="2">
                  <c:v>287.06449437679117</c:v>
                </c:pt>
                <c:pt idx="3">
                  <c:v>300.28301138835047</c:v>
                </c:pt>
                <c:pt idx="4">
                  <c:v>310.9842123577061</c:v>
                </c:pt>
                <c:pt idx="5">
                  <c:v>316.33627167765422</c:v>
                </c:pt>
                <c:pt idx="6">
                  <c:v>324.27521668806213</c:v>
                </c:pt>
                <c:pt idx="7">
                  <c:v>316.19263494747042</c:v>
                </c:pt>
                <c:pt idx="8">
                  <c:v>331.40826125346558</c:v>
                </c:pt>
                <c:pt idx="9">
                  <c:v>356.12697352494041</c:v>
                </c:pt>
                <c:pt idx="10">
                  <c:v>355.3122708309732</c:v>
                </c:pt>
                <c:pt idx="11">
                  <c:v>348.06983626314184</c:v>
                </c:pt>
                <c:pt idx="12">
                  <c:v>310.05841311898843</c:v>
                </c:pt>
                <c:pt idx="13">
                  <c:v>317.49647418437513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59A3-4514-96E8-B6985F3CB73C}"/>
            </c:ext>
          </c:extLst>
        </c:ser>
        <c:ser>
          <c:idx val="4"/>
          <c:order val="2"/>
          <c:tx>
            <c:strRef>
              <c:f>'TNSP Analysis'!$B$31</c:f>
              <c:strCache>
                <c:ptCount val="1"/>
                <c:pt idx="0">
                  <c:v>ANT</c:v>
                </c:pt>
              </c:strCache>
            </c:strRef>
          </c:tx>
          <c:spPr>
            <a:ln w="25400">
              <a:solidFill>
                <a:srgbClr val="9BBB59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9BBB59"/>
              </a:solidFill>
              <a:ln>
                <a:solidFill>
                  <a:srgbClr val="9BBB59"/>
                </a:solidFill>
              </a:ln>
            </c:spPr>
          </c:marker>
          <c:cat>
            <c:numRef>
              <c:f>'TNSP Analysis'!$D$28:$Q$28</c:f>
              <c:numCache>
                <c:formatCode>General</c:formatCode>
                <c:ptCount val="14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</c:numCache>
            </c:numRef>
          </c:cat>
          <c:val>
            <c:numRef>
              <c:f>'TNSP Analysis'!$D$31:$Q$31</c:f>
              <c:numCache>
                <c:formatCode>#,##0</c:formatCode>
                <c:ptCount val="14"/>
                <c:pt idx="0">
                  <c:v>119.2417906960044</c:v>
                </c:pt>
                <c:pt idx="1">
                  <c:v>116.54119590794244</c:v>
                </c:pt>
                <c:pt idx="2">
                  <c:v>118.35534982957556</c:v>
                </c:pt>
                <c:pt idx="3">
                  <c:v>125.32626746210475</c:v>
                </c:pt>
                <c:pt idx="4">
                  <c:v>126.33578468540507</c:v>
                </c:pt>
                <c:pt idx="5">
                  <c:v>121.9410403041269</c:v>
                </c:pt>
                <c:pt idx="6">
                  <c:v>118.06647067113505</c:v>
                </c:pt>
                <c:pt idx="7">
                  <c:v>119.12410302835313</c:v>
                </c:pt>
                <c:pt idx="8">
                  <c:v>118.98098230077994</c:v>
                </c:pt>
                <c:pt idx="9">
                  <c:v>126.43719196513089</c:v>
                </c:pt>
                <c:pt idx="10">
                  <c:v>127.72208895473683</c:v>
                </c:pt>
                <c:pt idx="11">
                  <c:v>126.7124489861411</c:v>
                </c:pt>
                <c:pt idx="12">
                  <c:v>124.35613927842344</c:v>
                </c:pt>
                <c:pt idx="13">
                  <c:v>122.30507642500692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59A3-4514-96E8-B6985F3CB73C}"/>
            </c:ext>
          </c:extLst>
        </c:ser>
        <c:ser>
          <c:idx val="5"/>
          <c:order val="3"/>
          <c:tx>
            <c:strRef>
              <c:f>'TNSP Analysis'!$B$32</c:f>
              <c:strCache>
                <c:ptCount val="1"/>
                <c:pt idx="0">
                  <c:v>TNT</c:v>
                </c:pt>
              </c:strCache>
            </c:strRef>
          </c:tx>
          <c:spPr>
            <a:ln w="19050">
              <a:solidFill>
                <a:srgbClr val="8064A2"/>
              </a:solidFill>
            </a:ln>
          </c:spPr>
          <c:marker>
            <c:symbol val="triangle"/>
            <c:size val="5"/>
            <c:spPr>
              <a:solidFill>
                <a:srgbClr val="8064A2"/>
              </a:solidFill>
              <a:ln w="19050">
                <a:solidFill>
                  <a:srgbClr val="8064A2"/>
                </a:solidFill>
              </a:ln>
            </c:spPr>
          </c:marker>
          <c:cat>
            <c:numRef>
              <c:f>'TNSP Analysis'!$D$28:$Q$28</c:f>
              <c:numCache>
                <c:formatCode>General</c:formatCode>
                <c:ptCount val="14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</c:numCache>
            </c:numRef>
          </c:cat>
          <c:val>
            <c:numRef>
              <c:f>'TNSP Analysis'!$D$32:$Q$32</c:f>
              <c:numCache>
                <c:formatCode>#,##0</c:formatCode>
                <c:ptCount val="14"/>
                <c:pt idx="0">
                  <c:v>508.34224763111018</c:v>
                </c:pt>
                <c:pt idx="1">
                  <c:v>504.12926844626418</c:v>
                </c:pt>
                <c:pt idx="2">
                  <c:v>553.49857344801535</c:v>
                </c:pt>
                <c:pt idx="3">
                  <c:v>550.87770788601631</c:v>
                </c:pt>
                <c:pt idx="4">
                  <c:v>581.21413509205934</c:v>
                </c:pt>
                <c:pt idx="5">
                  <c:v>584.90785313648223</c:v>
                </c:pt>
                <c:pt idx="6">
                  <c:v>585.60119074322643</c:v>
                </c:pt>
                <c:pt idx="7">
                  <c:v>569.67305026193958</c:v>
                </c:pt>
                <c:pt idx="8">
                  <c:v>596.24704967513162</c:v>
                </c:pt>
                <c:pt idx="9">
                  <c:v>517.65579129175319</c:v>
                </c:pt>
                <c:pt idx="10">
                  <c:v>530.37767281007325</c:v>
                </c:pt>
                <c:pt idx="11">
                  <c:v>511.7188827862127</c:v>
                </c:pt>
                <c:pt idx="12">
                  <c:v>490.80568353098056</c:v>
                </c:pt>
                <c:pt idx="13">
                  <c:v>492.6840227509831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59A3-4514-96E8-B6985F3CB73C}"/>
            </c:ext>
          </c:extLst>
        </c:ser>
        <c:ser>
          <c:idx val="0"/>
          <c:order val="4"/>
          <c:tx>
            <c:strRef>
              <c:f>'TNSP Analysis'!$B$33</c:f>
              <c:strCache>
                <c:ptCount val="1"/>
                <c:pt idx="0">
                  <c:v>TRG</c:v>
                </c:pt>
              </c:strCache>
            </c:strRef>
          </c:tx>
          <c:spPr>
            <a:ln>
              <a:solidFill>
                <a:srgbClr val="4F81BD"/>
              </a:solidFill>
            </a:ln>
          </c:spPr>
          <c:marker>
            <c:spPr>
              <a:solidFill>
                <a:srgbClr val="4F81BD"/>
              </a:solidFill>
              <a:ln>
                <a:solidFill>
                  <a:srgbClr val="4F81BD"/>
                </a:solidFill>
              </a:ln>
            </c:spPr>
          </c:marker>
          <c:cat>
            <c:numRef>
              <c:f>'TNSP Analysis'!$D$28:$Q$28</c:f>
              <c:numCache>
                <c:formatCode>General</c:formatCode>
                <c:ptCount val="14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</c:numCache>
            </c:numRef>
          </c:cat>
          <c:val>
            <c:numRef>
              <c:f>'TNSP Analysis'!$D$33:$Q$33</c:f>
              <c:numCache>
                <c:formatCode>#,##0</c:formatCode>
                <c:ptCount val="14"/>
                <c:pt idx="0">
                  <c:v>144.32894495336436</c:v>
                </c:pt>
                <c:pt idx="1">
                  <c:v>144.78183167640702</c:v>
                </c:pt>
                <c:pt idx="2">
                  <c:v>144.14460131334792</c:v>
                </c:pt>
                <c:pt idx="3">
                  <c:v>150.58706435558835</c:v>
                </c:pt>
                <c:pt idx="4">
                  <c:v>165.53648550690784</c:v>
                </c:pt>
                <c:pt idx="5">
                  <c:v>161.50907656346544</c:v>
                </c:pt>
                <c:pt idx="6">
                  <c:v>164.32101277782968</c:v>
                </c:pt>
                <c:pt idx="7">
                  <c:v>163.95366667649211</c:v>
                </c:pt>
                <c:pt idx="8">
                  <c:v>178.95142838149158</c:v>
                </c:pt>
                <c:pt idx="9">
                  <c:v>181.11759663110874</c:v>
                </c:pt>
                <c:pt idx="10">
                  <c:v>182.57024444202943</c:v>
                </c:pt>
                <c:pt idx="11">
                  <c:v>182.7867974042687</c:v>
                </c:pt>
                <c:pt idx="12">
                  <c:v>167.83446511425234</c:v>
                </c:pt>
                <c:pt idx="13">
                  <c:v>162.43749481830815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59A3-4514-96E8-B6985F3CB7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936448"/>
        <c:axId val="48938368"/>
      </c:lineChart>
      <c:catAx>
        <c:axId val="489364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8938368"/>
        <c:crosses val="autoZero"/>
        <c:auto val="1"/>
        <c:lblAlgn val="ctr"/>
        <c:lblOffset val="100"/>
        <c:noMultiLvlLbl val="0"/>
      </c:catAx>
      <c:valAx>
        <c:axId val="4893836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AU" b="1"/>
                  <a:t>Total cost per end user</a:t>
                </a:r>
              </a:p>
            </c:rich>
          </c:tx>
          <c:layout>
            <c:manualLayout>
              <c:xMode val="edge"/>
              <c:yMode val="edge"/>
              <c:x val="1.0136977609516372E-2"/>
              <c:y val="0.28613927236783598"/>
            </c:manualLayout>
          </c:layout>
          <c:overlay val="0"/>
        </c:title>
        <c:numFmt formatCode="&quot;$&quot;#,##0" sourceLinked="0"/>
        <c:majorTickMark val="out"/>
        <c:minorTickMark val="none"/>
        <c:tickLblPos val="nextTo"/>
        <c:crossAx val="48936448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81942566998820454"/>
          <c:y val="0.18641190757817613"/>
          <c:w val="0.12400639505969771"/>
          <c:h val="0.45733735075812382"/>
        </c:manualLayout>
      </c:layout>
      <c:overlay val="0"/>
      <c:spPr>
        <a:ln>
          <a:noFill/>
        </a:ln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 b="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444899903690436"/>
          <c:y val="3.7448982602920851E-2"/>
          <c:w val="0.88555097943280603"/>
          <c:h val="0.8613532582620721"/>
        </c:manualLayout>
      </c:layout>
      <c:barChart>
        <c:barDir val="col"/>
        <c:grouping val="clustered"/>
        <c:varyColors val="0"/>
        <c:ser>
          <c:idx val="0"/>
          <c:order val="0"/>
          <c:spPr>
            <a:ln w="3175"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chemeClr val="accent6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202A-459E-8AE3-FCE64AB8F02D}"/>
              </c:ext>
            </c:extLst>
          </c:dPt>
          <c:dPt>
            <c:idx val="1"/>
            <c:invertIfNegative val="0"/>
            <c:bubble3D val="0"/>
            <c:spPr>
              <a:solidFill>
                <a:srgbClr val="800026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202A-459E-8AE3-FCE64AB8F02D}"/>
              </c:ext>
            </c:extLst>
          </c:dPt>
          <c:dPt>
            <c:idx val="2"/>
            <c:invertIfNegative val="0"/>
            <c:bubble3D val="0"/>
            <c:spPr>
              <a:solidFill>
                <a:srgbClr val="A1D99B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202A-459E-8AE3-FCE64AB8F02D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202A-459E-8AE3-FCE64AB8F02D}"/>
              </c:ext>
            </c:extLst>
          </c:dPt>
          <c:dPt>
            <c:idx val="4"/>
            <c:invertIfNegative val="0"/>
            <c:bubble3D val="0"/>
            <c:spPr>
              <a:solidFill>
                <a:srgbClr val="2171B5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202A-459E-8AE3-FCE64AB8F02D}"/>
              </c:ext>
            </c:extLst>
          </c:dPt>
          <c:dPt>
            <c:idx val="5"/>
            <c:invertIfNegative val="0"/>
            <c:bubble3D val="0"/>
            <c:spPr>
              <a:solidFill>
                <a:srgbClr val="800026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B-202A-459E-8AE3-FCE64AB8F02D}"/>
              </c:ext>
            </c:extLst>
          </c:dPt>
          <c:dPt>
            <c:idx val="6"/>
            <c:invertIfNegative val="0"/>
            <c:bubble3D val="0"/>
            <c:spPr>
              <a:solidFill>
                <a:srgbClr val="FD8D3C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D-202A-459E-8AE3-FCE64AB8F02D}"/>
              </c:ext>
            </c:extLst>
          </c:dPt>
          <c:dPt>
            <c:idx val="7"/>
            <c:invertIfNegative val="0"/>
            <c:bubble3D val="0"/>
            <c:spPr>
              <a:solidFill>
                <a:srgbClr val="E7E1EF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F-202A-459E-8AE3-FCE64AB8F02D}"/>
              </c:ext>
            </c:extLst>
          </c:dPt>
          <c:dPt>
            <c:idx val="8"/>
            <c:invertIfNegative val="0"/>
            <c:bubble3D val="0"/>
            <c:spPr>
              <a:solidFill>
                <a:srgbClr val="A1D99B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1-202A-459E-8AE3-FCE64AB8F02D}"/>
              </c:ext>
            </c:extLst>
          </c:dPt>
          <c:dPt>
            <c:idx val="9"/>
            <c:invertIfNegative val="0"/>
            <c:bubble3D val="0"/>
            <c:spPr>
              <a:solidFill>
                <a:srgbClr val="A1D99B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3-202A-459E-8AE3-FCE64AB8F02D}"/>
              </c:ext>
            </c:extLst>
          </c:dPt>
          <c:dPt>
            <c:idx val="10"/>
            <c:invertIfNegative val="0"/>
            <c:bubble3D val="0"/>
            <c:spPr>
              <a:solidFill>
                <a:srgbClr val="A1D99B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5-202A-459E-8AE3-FCE64AB8F02D}"/>
              </c:ext>
            </c:extLst>
          </c:dPt>
          <c:dPt>
            <c:idx val="11"/>
            <c:invertIfNegative val="0"/>
            <c:bubble3D val="0"/>
            <c:spPr>
              <a:solidFill>
                <a:srgbClr val="A1D99B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7-202A-459E-8AE3-FCE64AB8F02D}"/>
              </c:ext>
            </c:extLst>
          </c:dPt>
          <c:dPt>
            <c:idx val="12"/>
            <c:invertIfNegative val="0"/>
            <c:bubble3D val="0"/>
            <c:spPr>
              <a:solidFill>
                <a:srgbClr val="A1D99B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9-202A-459E-8AE3-FCE64AB8F02D}"/>
              </c:ext>
            </c:extLst>
          </c:dPt>
          <c:cat>
            <c:strRef>
              <c:f>'Physical data'!$B$40:$B$44</c:f>
              <c:strCache>
                <c:ptCount val="5"/>
                <c:pt idx="0">
                  <c:v>ENT</c:v>
                </c:pt>
                <c:pt idx="1">
                  <c:v>PLK</c:v>
                </c:pt>
                <c:pt idx="2">
                  <c:v>ANT</c:v>
                </c:pt>
                <c:pt idx="3">
                  <c:v>TNT</c:v>
                </c:pt>
                <c:pt idx="4">
                  <c:v>TRG</c:v>
                </c:pt>
              </c:strCache>
            </c:strRef>
          </c:cat>
          <c:val>
            <c:numRef>
              <c:f>'Physical data'!$R$40:$R$44</c:f>
              <c:numCache>
                <c:formatCode>#,##0.0</c:formatCode>
                <c:ptCount val="5"/>
                <c:pt idx="0">
                  <c:v>159.1129450475301</c:v>
                </c:pt>
                <c:pt idx="1">
                  <c:v>150.19281090068611</c:v>
                </c:pt>
                <c:pt idx="2">
                  <c:v>440.3346803342871</c:v>
                </c:pt>
                <c:pt idx="3">
                  <c:v>80.670970306453398</c:v>
                </c:pt>
                <c:pt idx="4">
                  <c:v>289.41602484832237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202A-459E-8AE3-FCE64AB8F0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axId val="50229632"/>
        <c:axId val="50231168"/>
      </c:barChart>
      <c:catAx>
        <c:axId val="5022963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50231168"/>
        <c:crosses val="autoZero"/>
        <c:auto val="1"/>
        <c:lblAlgn val="ctr"/>
        <c:lblOffset val="100"/>
        <c:noMultiLvlLbl val="0"/>
      </c:catAx>
      <c:valAx>
        <c:axId val="5023116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AU" b="1"/>
                  <a:t>Connection density (end user per km)</a:t>
                </a:r>
              </a:p>
            </c:rich>
          </c:tx>
          <c:layout/>
          <c:overlay val="0"/>
        </c:title>
        <c:numFmt formatCode="#,##0" sourceLinked="0"/>
        <c:majorTickMark val="out"/>
        <c:minorTickMark val="none"/>
        <c:tickLblPos val="nextTo"/>
        <c:crossAx val="5022963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 b="0"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'Physical data'!$Q$47</c:f>
              <c:strCache>
                <c:ptCount val="1"/>
                <c:pt idx="0">
                  <c:v>2019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accent6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D98D-440C-ACD2-0230351807CD}"/>
              </c:ext>
            </c:extLst>
          </c:dPt>
          <c:dPt>
            <c:idx val="1"/>
            <c:invertIfNegative val="0"/>
            <c:bubble3D val="0"/>
            <c:spPr>
              <a:solidFill>
                <a:srgbClr val="AC000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D98D-440C-ACD2-0230351807CD}"/>
              </c:ext>
            </c:extLst>
          </c:dPt>
          <c:dPt>
            <c:idx val="2"/>
            <c:invertIfNegative val="0"/>
            <c:bubble3D val="0"/>
            <c:spPr>
              <a:solidFill>
                <a:srgbClr val="A1D99B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D98D-440C-ACD2-0230351807CD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D98D-440C-ACD2-0230351807CD}"/>
              </c:ext>
            </c:extLst>
          </c:dPt>
          <c:dPt>
            <c:idx val="4"/>
            <c:invertIfNegative val="0"/>
            <c:bubble3D val="0"/>
            <c:spPr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D98D-440C-ACD2-0230351807CD}"/>
              </c:ext>
            </c:extLst>
          </c:dPt>
          <c:cat>
            <c:strRef>
              <c:f>'Physical data'!$B$48:$B$52</c:f>
              <c:strCache>
                <c:ptCount val="5"/>
                <c:pt idx="0">
                  <c:v>ENT</c:v>
                </c:pt>
                <c:pt idx="1">
                  <c:v>PLK</c:v>
                </c:pt>
                <c:pt idx="2">
                  <c:v>ANT</c:v>
                </c:pt>
                <c:pt idx="3">
                  <c:v>TNT</c:v>
                </c:pt>
                <c:pt idx="4">
                  <c:v>TRG</c:v>
                </c:pt>
              </c:strCache>
            </c:strRef>
          </c:cat>
          <c:val>
            <c:numRef>
              <c:f>'Physical data'!$Q$48:$Q$52</c:f>
              <c:numCache>
                <c:formatCode>#,##0.0</c:formatCode>
                <c:ptCount val="5"/>
                <c:pt idx="0">
                  <c:v>906197.5</c:v>
                </c:pt>
                <c:pt idx="1">
                  <c:v>2262241</c:v>
                </c:pt>
                <c:pt idx="2">
                  <c:v>3013208</c:v>
                </c:pt>
                <c:pt idx="3">
                  <c:v>290446</c:v>
                </c:pt>
                <c:pt idx="4">
                  <c:v>3888763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98D-440C-ACD2-0230351807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1"/>
        <c:axId val="51554176"/>
        <c:axId val="51555712"/>
      </c:barChart>
      <c:catAx>
        <c:axId val="515541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51555712"/>
        <c:crosses val="autoZero"/>
        <c:auto val="1"/>
        <c:lblAlgn val="ctr"/>
        <c:lblOffset val="100"/>
        <c:noMultiLvlLbl val="0"/>
      </c:catAx>
      <c:valAx>
        <c:axId val="51555712"/>
        <c:scaling>
          <c:orientation val="minMax"/>
        </c:scaling>
        <c:delete val="0"/>
        <c:axPos val="l"/>
        <c:majorGridlines/>
        <c:numFmt formatCode="#,##0.0" sourceLinked="1"/>
        <c:majorTickMark val="out"/>
        <c:minorTickMark val="none"/>
        <c:tickLblPos val="nextTo"/>
        <c:crossAx val="51554176"/>
        <c:crosses val="autoZero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1.5216357584403234E-2"/>
                <c:y val="0.22497317692965069"/>
              </c:manualLayout>
            </c:layout>
            <c:tx>
              <c:rich>
                <a:bodyPr/>
                <a:lstStyle/>
                <a:p>
                  <a:pPr>
                    <a:defRPr b="1"/>
                  </a:pPr>
                  <a:r>
                    <a:rPr lang="en-US" b="1"/>
                    <a:t>Total number of end users (millons)</a:t>
                  </a:r>
                </a:p>
              </c:rich>
            </c:tx>
          </c:dispUnitsLbl>
        </c:dispUnits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 b="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444902056719393"/>
          <c:y val="3.7448969862505802E-2"/>
          <c:w val="0.88555097943280603"/>
          <c:h val="0.861353258262072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'Physical data'!$D$25</c:f>
              <c:strCache>
                <c:ptCount val="1"/>
                <c:pt idx="0">
                  <c:v>km</c:v>
                </c:pt>
              </c:strCache>
            </c:strRef>
          </c:tx>
          <c:spPr>
            <a:ln w="3175"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chemeClr val="accent6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72AB-4F81-8570-1F2106DA406C}"/>
              </c:ext>
            </c:extLst>
          </c:dPt>
          <c:dPt>
            <c:idx val="1"/>
            <c:invertIfNegative val="0"/>
            <c:bubble3D val="0"/>
            <c:spPr>
              <a:solidFill>
                <a:srgbClr val="800026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72AB-4F81-8570-1F2106DA406C}"/>
              </c:ext>
            </c:extLst>
          </c:dPt>
          <c:dPt>
            <c:idx val="2"/>
            <c:invertIfNegative val="0"/>
            <c:bubble3D val="0"/>
            <c:spPr>
              <a:solidFill>
                <a:srgbClr val="A1D99B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72AB-4F81-8570-1F2106DA406C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72AB-4F81-8570-1F2106DA406C}"/>
              </c:ext>
            </c:extLst>
          </c:dPt>
          <c:dPt>
            <c:idx val="4"/>
            <c:invertIfNegative val="0"/>
            <c:bubble3D val="0"/>
            <c:spPr>
              <a:solidFill>
                <a:srgbClr val="2171B5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72AB-4F81-8570-1F2106DA406C}"/>
              </c:ext>
            </c:extLst>
          </c:dPt>
          <c:dPt>
            <c:idx val="5"/>
            <c:invertIfNegative val="0"/>
            <c:bubble3D val="0"/>
            <c:spPr>
              <a:solidFill>
                <a:srgbClr val="800026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B-72AB-4F81-8570-1F2106DA406C}"/>
              </c:ext>
            </c:extLst>
          </c:dPt>
          <c:dPt>
            <c:idx val="6"/>
            <c:invertIfNegative val="0"/>
            <c:bubble3D val="0"/>
            <c:spPr>
              <a:solidFill>
                <a:srgbClr val="FD8D3C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D-72AB-4F81-8570-1F2106DA406C}"/>
              </c:ext>
            </c:extLst>
          </c:dPt>
          <c:dPt>
            <c:idx val="7"/>
            <c:invertIfNegative val="0"/>
            <c:bubble3D val="0"/>
            <c:spPr>
              <a:solidFill>
                <a:srgbClr val="E7E1EF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F-72AB-4F81-8570-1F2106DA406C}"/>
              </c:ext>
            </c:extLst>
          </c:dPt>
          <c:dPt>
            <c:idx val="8"/>
            <c:invertIfNegative val="0"/>
            <c:bubble3D val="0"/>
            <c:spPr>
              <a:solidFill>
                <a:srgbClr val="A1D99B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1-72AB-4F81-8570-1F2106DA406C}"/>
              </c:ext>
            </c:extLst>
          </c:dPt>
          <c:dPt>
            <c:idx val="9"/>
            <c:invertIfNegative val="0"/>
            <c:bubble3D val="0"/>
            <c:spPr>
              <a:solidFill>
                <a:srgbClr val="A1D99B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3-72AB-4F81-8570-1F2106DA406C}"/>
              </c:ext>
            </c:extLst>
          </c:dPt>
          <c:dPt>
            <c:idx val="10"/>
            <c:invertIfNegative val="0"/>
            <c:bubble3D val="0"/>
            <c:spPr>
              <a:solidFill>
                <a:srgbClr val="A1D99B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5-72AB-4F81-8570-1F2106DA406C}"/>
              </c:ext>
            </c:extLst>
          </c:dPt>
          <c:dPt>
            <c:idx val="11"/>
            <c:invertIfNegative val="0"/>
            <c:bubble3D val="0"/>
            <c:spPr>
              <a:solidFill>
                <a:srgbClr val="A1D99B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7-72AB-4F81-8570-1F2106DA406C}"/>
              </c:ext>
            </c:extLst>
          </c:dPt>
          <c:dPt>
            <c:idx val="12"/>
            <c:invertIfNegative val="0"/>
            <c:bubble3D val="0"/>
            <c:spPr>
              <a:solidFill>
                <a:srgbClr val="A1D99B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9-72AB-4F81-8570-1F2106DA406C}"/>
              </c:ext>
            </c:extLst>
          </c:dPt>
          <c:cat>
            <c:strRef>
              <c:f>'Physical data'!$B$26:$B$30</c:f>
              <c:strCache>
                <c:ptCount val="5"/>
                <c:pt idx="0">
                  <c:v>ENT</c:v>
                </c:pt>
                <c:pt idx="1">
                  <c:v>PLK</c:v>
                </c:pt>
                <c:pt idx="2">
                  <c:v>ANT</c:v>
                </c:pt>
                <c:pt idx="3">
                  <c:v>TNT</c:v>
                </c:pt>
                <c:pt idx="4">
                  <c:v>TRG</c:v>
                </c:pt>
              </c:strCache>
            </c:strRef>
          </c:cat>
          <c:val>
            <c:numRef>
              <c:f>'Physical data'!$D$26:$D$30</c:f>
              <c:numCache>
                <c:formatCode>#,##0</c:formatCode>
                <c:ptCount val="5"/>
                <c:pt idx="0">
                  <c:v>5520</c:v>
                </c:pt>
                <c:pt idx="1">
                  <c:v>14619</c:v>
                </c:pt>
                <c:pt idx="2">
                  <c:v>6589</c:v>
                </c:pt>
                <c:pt idx="3">
                  <c:v>3556</c:v>
                </c:pt>
                <c:pt idx="4">
                  <c:v>13057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72AB-4F81-8570-1F2106DA40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axId val="50229632"/>
        <c:axId val="50231168"/>
      </c:barChart>
      <c:catAx>
        <c:axId val="5022963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50231168"/>
        <c:crosses val="autoZero"/>
        <c:auto val="1"/>
        <c:lblAlgn val="ctr"/>
        <c:lblOffset val="100"/>
        <c:noMultiLvlLbl val="0"/>
      </c:catAx>
      <c:valAx>
        <c:axId val="5023116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AU" b="1"/>
                  <a:t>Circuit length (km)</a:t>
                </a:r>
              </a:p>
            </c:rich>
          </c:tx>
          <c:layout/>
          <c:overlay val="0"/>
        </c:title>
        <c:numFmt formatCode="#,##0" sourceLinked="0"/>
        <c:majorTickMark val="out"/>
        <c:minorTickMark val="none"/>
        <c:tickLblPos val="nextTo"/>
        <c:crossAx val="5022963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 b="0">
          <a:latin typeface="Calibri (body)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444902056719393"/>
          <c:y val="3.7448969862505802E-2"/>
          <c:w val="0.88555097943280603"/>
          <c:h val="0.861353258262072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'Physical data'!$G$25</c:f>
              <c:strCache>
                <c:ptCount val="1"/>
                <c:pt idx="0">
                  <c:v>GWh</c:v>
                </c:pt>
              </c:strCache>
            </c:strRef>
          </c:tx>
          <c:spPr>
            <a:ln w="3175"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chemeClr val="accent6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02C4-441F-8B9B-1C0359DA9B10}"/>
              </c:ext>
            </c:extLst>
          </c:dPt>
          <c:dPt>
            <c:idx val="1"/>
            <c:invertIfNegative val="0"/>
            <c:bubble3D val="0"/>
            <c:spPr>
              <a:solidFill>
                <a:srgbClr val="800026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02C4-441F-8B9B-1C0359DA9B10}"/>
              </c:ext>
            </c:extLst>
          </c:dPt>
          <c:dPt>
            <c:idx val="2"/>
            <c:invertIfNegative val="0"/>
            <c:bubble3D val="0"/>
            <c:spPr>
              <a:solidFill>
                <a:srgbClr val="A1D99B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02C4-441F-8B9B-1C0359DA9B10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02C4-441F-8B9B-1C0359DA9B10}"/>
              </c:ext>
            </c:extLst>
          </c:dPt>
          <c:dPt>
            <c:idx val="4"/>
            <c:invertIfNegative val="0"/>
            <c:bubble3D val="0"/>
            <c:spPr>
              <a:solidFill>
                <a:srgbClr val="2171B5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02C4-441F-8B9B-1C0359DA9B10}"/>
              </c:ext>
            </c:extLst>
          </c:dPt>
          <c:dPt>
            <c:idx val="5"/>
            <c:invertIfNegative val="0"/>
            <c:bubble3D val="0"/>
            <c:spPr>
              <a:solidFill>
                <a:srgbClr val="800026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B-02C4-441F-8B9B-1C0359DA9B10}"/>
              </c:ext>
            </c:extLst>
          </c:dPt>
          <c:dPt>
            <c:idx val="6"/>
            <c:invertIfNegative val="0"/>
            <c:bubble3D val="0"/>
            <c:spPr>
              <a:solidFill>
                <a:srgbClr val="FD8D3C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D-02C4-441F-8B9B-1C0359DA9B10}"/>
              </c:ext>
            </c:extLst>
          </c:dPt>
          <c:dPt>
            <c:idx val="7"/>
            <c:invertIfNegative val="0"/>
            <c:bubble3D val="0"/>
            <c:spPr>
              <a:solidFill>
                <a:srgbClr val="E7E1EF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F-02C4-441F-8B9B-1C0359DA9B10}"/>
              </c:ext>
            </c:extLst>
          </c:dPt>
          <c:dPt>
            <c:idx val="8"/>
            <c:invertIfNegative val="0"/>
            <c:bubble3D val="0"/>
            <c:spPr>
              <a:solidFill>
                <a:srgbClr val="A1D99B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1-02C4-441F-8B9B-1C0359DA9B10}"/>
              </c:ext>
            </c:extLst>
          </c:dPt>
          <c:dPt>
            <c:idx val="9"/>
            <c:invertIfNegative val="0"/>
            <c:bubble3D val="0"/>
            <c:spPr>
              <a:solidFill>
                <a:srgbClr val="A1D99B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3-02C4-441F-8B9B-1C0359DA9B10}"/>
              </c:ext>
            </c:extLst>
          </c:dPt>
          <c:dPt>
            <c:idx val="10"/>
            <c:invertIfNegative val="0"/>
            <c:bubble3D val="0"/>
            <c:spPr>
              <a:solidFill>
                <a:srgbClr val="A1D99B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5-02C4-441F-8B9B-1C0359DA9B10}"/>
              </c:ext>
            </c:extLst>
          </c:dPt>
          <c:dPt>
            <c:idx val="11"/>
            <c:invertIfNegative val="0"/>
            <c:bubble3D val="0"/>
            <c:spPr>
              <a:solidFill>
                <a:srgbClr val="A1D99B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7-02C4-441F-8B9B-1C0359DA9B10}"/>
              </c:ext>
            </c:extLst>
          </c:dPt>
          <c:dPt>
            <c:idx val="12"/>
            <c:invertIfNegative val="0"/>
            <c:bubble3D val="0"/>
            <c:spPr>
              <a:solidFill>
                <a:srgbClr val="A1D99B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9-02C4-441F-8B9B-1C0359DA9B10}"/>
              </c:ext>
            </c:extLst>
          </c:dPt>
          <c:cat>
            <c:strRef>
              <c:f>'Physical data'!$B$26:$B$30</c:f>
              <c:strCache>
                <c:ptCount val="5"/>
                <c:pt idx="0">
                  <c:v>ENT</c:v>
                </c:pt>
                <c:pt idx="1">
                  <c:v>PLK</c:v>
                </c:pt>
                <c:pt idx="2">
                  <c:v>ANT</c:v>
                </c:pt>
                <c:pt idx="3">
                  <c:v>TNT</c:v>
                </c:pt>
                <c:pt idx="4">
                  <c:v>TRG</c:v>
                </c:pt>
              </c:strCache>
            </c:strRef>
          </c:cat>
          <c:val>
            <c:numRef>
              <c:f>'Physical data'!$G$26:$G$30</c:f>
              <c:numCache>
                <c:formatCode>0</c:formatCode>
                <c:ptCount val="5"/>
                <c:pt idx="0">
                  <c:v>13786.714687984706</c:v>
                </c:pt>
                <c:pt idx="1">
                  <c:v>53765.29422406599</c:v>
                </c:pt>
                <c:pt idx="2">
                  <c:v>41479.994350973</c:v>
                </c:pt>
                <c:pt idx="3">
                  <c:v>12884.563992276988</c:v>
                </c:pt>
                <c:pt idx="4">
                  <c:v>74400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02C4-441F-8B9B-1C0359DA9B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axId val="50229632"/>
        <c:axId val="50231168"/>
      </c:barChart>
      <c:catAx>
        <c:axId val="5022963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50231168"/>
        <c:crosses val="autoZero"/>
        <c:auto val="1"/>
        <c:lblAlgn val="ctr"/>
        <c:lblOffset val="100"/>
        <c:noMultiLvlLbl val="0"/>
      </c:catAx>
      <c:valAx>
        <c:axId val="5023116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AU" b="1"/>
                  <a:t>Energy transported  (GWh)</a:t>
                </a:r>
              </a:p>
            </c:rich>
          </c:tx>
          <c:layout/>
          <c:overlay val="0"/>
        </c:title>
        <c:numFmt formatCode="#,##0" sourceLinked="0"/>
        <c:majorTickMark val="out"/>
        <c:minorTickMark val="none"/>
        <c:tickLblPos val="nextTo"/>
        <c:crossAx val="5022963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 b="0">
          <a:latin typeface="Calibri (body)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444902056719393"/>
          <c:y val="3.7448969862505802E-2"/>
          <c:w val="0.88555097943280603"/>
          <c:h val="0.861353258262072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'Physical data'!$Q$10</c:f>
              <c:strCache>
                <c:ptCount val="1"/>
                <c:pt idx="0">
                  <c:v>2019</c:v>
                </c:pt>
              </c:strCache>
            </c:strRef>
          </c:tx>
          <c:spPr>
            <a:ln w="3175"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chemeClr val="accent6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D004-42D3-88F4-0CCB8E87E972}"/>
              </c:ext>
            </c:extLst>
          </c:dPt>
          <c:dPt>
            <c:idx val="1"/>
            <c:invertIfNegative val="0"/>
            <c:bubble3D val="0"/>
            <c:spPr>
              <a:solidFill>
                <a:srgbClr val="800026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D004-42D3-88F4-0CCB8E87E972}"/>
              </c:ext>
            </c:extLst>
          </c:dPt>
          <c:dPt>
            <c:idx val="2"/>
            <c:invertIfNegative val="0"/>
            <c:bubble3D val="0"/>
            <c:spPr>
              <a:solidFill>
                <a:srgbClr val="A1D99B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D004-42D3-88F4-0CCB8E87E972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D004-42D3-88F4-0CCB8E87E972}"/>
              </c:ext>
            </c:extLst>
          </c:dPt>
          <c:dPt>
            <c:idx val="4"/>
            <c:invertIfNegative val="0"/>
            <c:bubble3D val="0"/>
            <c:spPr>
              <a:solidFill>
                <a:srgbClr val="2171B5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D004-42D3-88F4-0CCB8E87E972}"/>
              </c:ext>
            </c:extLst>
          </c:dPt>
          <c:dPt>
            <c:idx val="5"/>
            <c:invertIfNegative val="0"/>
            <c:bubble3D val="0"/>
            <c:spPr>
              <a:solidFill>
                <a:srgbClr val="800026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B-D004-42D3-88F4-0CCB8E87E972}"/>
              </c:ext>
            </c:extLst>
          </c:dPt>
          <c:dPt>
            <c:idx val="6"/>
            <c:invertIfNegative val="0"/>
            <c:bubble3D val="0"/>
            <c:spPr>
              <a:solidFill>
                <a:srgbClr val="FD8D3C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D-D004-42D3-88F4-0CCB8E87E972}"/>
              </c:ext>
            </c:extLst>
          </c:dPt>
          <c:dPt>
            <c:idx val="7"/>
            <c:invertIfNegative val="0"/>
            <c:bubble3D val="0"/>
            <c:spPr>
              <a:solidFill>
                <a:srgbClr val="E7E1EF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F-D004-42D3-88F4-0CCB8E87E972}"/>
              </c:ext>
            </c:extLst>
          </c:dPt>
          <c:dPt>
            <c:idx val="8"/>
            <c:invertIfNegative val="0"/>
            <c:bubble3D val="0"/>
            <c:spPr>
              <a:solidFill>
                <a:srgbClr val="A1D99B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1-D004-42D3-88F4-0CCB8E87E972}"/>
              </c:ext>
            </c:extLst>
          </c:dPt>
          <c:dPt>
            <c:idx val="9"/>
            <c:invertIfNegative val="0"/>
            <c:bubble3D val="0"/>
            <c:spPr>
              <a:solidFill>
                <a:srgbClr val="A1D99B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3-D004-42D3-88F4-0CCB8E87E972}"/>
              </c:ext>
            </c:extLst>
          </c:dPt>
          <c:dPt>
            <c:idx val="10"/>
            <c:invertIfNegative val="0"/>
            <c:bubble3D val="0"/>
            <c:spPr>
              <a:solidFill>
                <a:srgbClr val="A1D99B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5-D004-42D3-88F4-0CCB8E87E972}"/>
              </c:ext>
            </c:extLst>
          </c:dPt>
          <c:dPt>
            <c:idx val="11"/>
            <c:invertIfNegative val="0"/>
            <c:bubble3D val="0"/>
            <c:spPr>
              <a:solidFill>
                <a:srgbClr val="A1D99B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7-D004-42D3-88F4-0CCB8E87E972}"/>
              </c:ext>
            </c:extLst>
          </c:dPt>
          <c:dPt>
            <c:idx val="12"/>
            <c:invertIfNegative val="0"/>
            <c:bubble3D val="0"/>
            <c:spPr>
              <a:solidFill>
                <a:srgbClr val="A1D99B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9-D004-42D3-88F4-0CCB8E87E972}"/>
              </c:ext>
            </c:extLst>
          </c:dPt>
          <c:cat>
            <c:strRef>
              <c:f>'Physical data'!$B$11:$B$15</c:f>
              <c:strCache>
                <c:ptCount val="5"/>
                <c:pt idx="0">
                  <c:v>ENT</c:v>
                </c:pt>
                <c:pt idx="1">
                  <c:v>PLK</c:v>
                </c:pt>
                <c:pt idx="2">
                  <c:v>ANT</c:v>
                </c:pt>
                <c:pt idx="3">
                  <c:v>TNT</c:v>
                </c:pt>
                <c:pt idx="4">
                  <c:v>TRG</c:v>
                </c:pt>
              </c:strCache>
            </c:strRef>
          </c:cat>
          <c:val>
            <c:numRef>
              <c:f>'Physical data'!$Q$11:$Q$15</c:f>
              <c:numCache>
                <c:formatCode>#,##0</c:formatCode>
                <c:ptCount val="5"/>
                <c:pt idx="0">
                  <c:v>3685.7549853780001</c:v>
                </c:pt>
                <c:pt idx="1">
                  <c:v>12496.769520000003</c:v>
                </c:pt>
                <c:pt idx="2">
                  <c:v>9909.9320000000007</c:v>
                </c:pt>
                <c:pt idx="3">
                  <c:v>2394.0013028095805</c:v>
                </c:pt>
                <c:pt idx="4">
                  <c:v>18700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D004-42D3-88F4-0CCB8E87E9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axId val="50229632"/>
        <c:axId val="50231168"/>
      </c:barChart>
      <c:catAx>
        <c:axId val="5022963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50231168"/>
        <c:crosses val="autoZero"/>
        <c:auto val="1"/>
        <c:lblAlgn val="ctr"/>
        <c:lblOffset val="100"/>
        <c:noMultiLvlLbl val="0"/>
      </c:catAx>
      <c:valAx>
        <c:axId val="5023116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AU" b="1"/>
                  <a:t>Maximum demand (MVA)</a:t>
                </a:r>
              </a:p>
            </c:rich>
          </c:tx>
          <c:layout>
            <c:manualLayout>
              <c:xMode val="edge"/>
              <c:yMode val="edge"/>
              <c:x val="1.7142283159470512E-3"/>
              <c:y val="0.25775766205587197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crossAx val="5022963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 b="0">
          <a:latin typeface="Calibri (body)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Relationship Id="rId5" Type="http://schemas.openxmlformats.org/officeDocument/2006/relationships/chart" Target="../charts/chart14.xml"/><Relationship Id="rId4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8" name="TextBox 7"/>
        <xdr:cNvSpPr txBox="1"/>
      </xdr:nvSpPr>
      <xdr:spPr>
        <a:xfrm>
          <a:off x="142875" y="333375"/>
          <a:ext cx="431346" cy="200977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vert270" wrap="square" rtlCol="0" anchor="t"/>
        <a:lstStyle/>
        <a:p>
          <a:r>
            <a:rPr lang="en-AU" sz="2400" b="1"/>
            <a:t>Total user</a:t>
          </a:r>
          <a:r>
            <a:rPr lang="en-AU" sz="2400" b="1" baseline="0"/>
            <a:t> cost</a:t>
          </a:r>
          <a:endParaRPr lang="en-AU" sz="2400" b="1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5" name="TextBox 14"/>
        <xdr:cNvSpPr txBox="1"/>
      </xdr:nvSpPr>
      <xdr:spPr>
        <a:xfrm>
          <a:off x="161925" y="3952875"/>
          <a:ext cx="431346" cy="8667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vert270" wrap="square" rtlCol="0" anchor="t"/>
        <a:lstStyle/>
        <a:p>
          <a:r>
            <a:rPr lang="en-AU" sz="2400" b="1"/>
            <a:t>AUCC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8" name="TextBox 17"/>
        <xdr:cNvSpPr txBox="1"/>
      </xdr:nvSpPr>
      <xdr:spPr>
        <a:xfrm>
          <a:off x="152400" y="7572375"/>
          <a:ext cx="431346" cy="76199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vert270" wrap="square" rtlCol="0" anchor="t"/>
        <a:lstStyle/>
        <a:p>
          <a:r>
            <a:rPr lang="en-AU" sz="2400" b="1"/>
            <a:t>Opex</a:t>
          </a:r>
        </a:p>
      </xdr:txBody>
    </xdr:sp>
    <xdr:clientData/>
  </xdr:twoCellAnchor>
  <xdr:twoCellAnchor>
    <xdr:from>
      <xdr:col>0</xdr:col>
      <xdr:colOff>37619</xdr:colOff>
      <xdr:row>3</xdr:row>
      <xdr:rowOff>2399</xdr:rowOff>
    </xdr:from>
    <xdr:to>
      <xdr:col>12</xdr:col>
      <xdr:colOff>11206</xdr:colOff>
      <xdr:row>24</xdr:row>
      <xdr:rowOff>78442</xdr:rowOff>
    </xdr:to>
    <xdr:graphicFrame macro="">
      <xdr:nvGraphicFramePr>
        <xdr:cNvPr id="41" name="Chart 4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27</xdr:row>
      <xdr:rowOff>180975</xdr:rowOff>
    </xdr:from>
    <xdr:to>
      <xdr:col>11</xdr:col>
      <xdr:colOff>590550</xdr:colOff>
      <xdr:row>49</xdr:row>
      <xdr:rowOff>169767</xdr:rowOff>
    </xdr:to>
    <xdr:graphicFrame macro="">
      <xdr:nvGraphicFramePr>
        <xdr:cNvPr id="43" name="Chart 4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9286</xdr:colOff>
      <xdr:row>78</xdr:row>
      <xdr:rowOff>166129</xdr:rowOff>
    </xdr:from>
    <xdr:to>
      <xdr:col>12</xdr:col>
      <xdr:colOff>593912</xdr:colOff>
      <xdr:row>99</xdr:row>
      <xdr:rowOff>169333</xdr:rowOff>
    </xdr:to>
    <xdr:graphicFrame macro="">
      <xdr:nvGraphicFramePr>
        <xdr:cNvPr id="31" name="Chart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126465</xdr:colOff>
      <xdr:row>53</xdr:row>
      <xdr:rowOff>95249</xdr:rowOff>
    </xdr:from>
    <xdr:to>
      <xdr:col>12</xdr:col>
      <xdr:colOff>59871</xdr:colOff>
      <xdr:row>74</xdr:row>
      <xdr:rowOff>95251</xdr:rowOff>
    </xdr:to>
    <xdr:graphicFrame macro="">
      <xdr:nvGraphicFramePr>
        <xdr:cNvPr id="14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14</xdr:col>
      <xdr:colOff>466725</xdr:colOff>
      <xdr:row>53</xdr:row>
      <xdr:rowOff>161925</xdr:rowOff>
    </xdr:from>
    <xdr:to>
      <xdr:col>25</xdr:col>
      <xdr:colOff>600075</xdr:colOff>
      <xdr:row>70</xdr:row>
      <xdr:rowOff>138546</xdr:rowOff>
    </xdr:to>
    <xdr:graphicFrame macro="">
      <xdr:nvGraphicFramePr>
        <xdr:cNvPr id="13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15</xdr:col>
      <xdr:colOff>38099</xdr:colOff>
      <xdr:row>28</xdr:row>
      <xdr:rowOff>61911</xdr:rowOff>
    </xdr:from>
    <xdr:to>
      <xdr:col>26</xdr:col>
      <xdr:colOff>9524</xdr:colOff>
      <xdr:row>51</xdr:row>
      <xdr:rowOff>104774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14</xdr:col>
      <xdr:colOff>0</xdr:colOff>
      <xdr:row>1</xdr:row>
      <xdr:rowOff>268940</xdr:rowOff>
    </xdr:from>
    <xdr:to>
      <xdr:col>25</xdr:col>
      <xdr:colOff>133350</xdr:colOff>
      <xdr:row>25</xdr:row>
      <xdr:rowOff>42899</xdr:rowOff>
    </xdr:to>
    <xdr:graphicFrame macro="">
      <xdr:nvGraphicFramePr>
        <xdr:cNvPr id="16" name="Chart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15</xdr:col>
      <xdr:colOff>0</xdr:colOff>
      <xdr:row>74</xdr:row>
      <xdr:rowOff>190499</xdr:rowOff>
    </xdr:from>
    <xdr:to>
      <xdr:col>26</xdr:col>
      <xdr:colOff>133350</xdr:colOff>
      <xdr:row>97</xdr:row>
      <xdr:rowOff>9281</xdr:rowOff>
    </xdr:to>
    <xdr:graphicFrame macro="">
      <xdr:nvGraphicFramePr>
        <xdr:cNvPr id="17" name="Chart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15</xdr:col>
      <xdr:colOff>0</xdr:colOff>
      <xdr:row>102</xdr:row>
      <xdr:rowOff>0</xdr:rowOff>
    </xdr:from>
    <xdr:to>
      <xdr:col>26</xdr:col>
      <xdr:colOff>133350</xdr:colOff>
      <xdr:row>125</xdr:row>
      <xdr:rowOff>42900</xdr:rowOff>
    </xdr:to>
    <xdr:graphicFrame macro="">
      <xdr:nvGraphicFramePr>
        <xdr:cNvPr id="19" name="Chart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11206</xdr:rowOff>
    </xdr:from>
    <xdr:to>
      <xdr:col>9</xdr:col>
      <xdr:colOff>593912</xdr:colOff>
      <xdr:row>21</xdr:row>
      <xdr:rowOff>0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593911</xdr:colOff>
      <xdr:row>3</xdr:row>
      <xdr:rowOff>11206</xdr:rowOff>
    </xdr:from>
    <xdr:to>
      <xdr:col>20</xdr:col>
      <xdr:colOff>593912</xdr:colOff>
      <xdr:row>20</xdr:row>
      <xdr:rowOff>168089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23</xdr:col>
      <xdr:colOff>22411</xdr:colOff>
      <xdr:row>2</xdr:row>
      <xdr:rowOff>184337</xdr:rowOff>
    </xdr:from>
    <xdr:to>
      <xdr:col>32</xdr:col>
      <xdr:colOff>0</xdr:colOff>
      <xdr:row>20</xdr:row>
      <xdr:rowOff>22412</xdr:rowOff>
    </xdr:to>
    <xdr:graphicFrame macro="">
      <xdr:nvGraphicFramePr>
        <xdr:cNvPr id="10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533399</xdr:colOff>
      <xdr:row>44</xdr:row>
      <xdr:rowOff>0</xdr:rowOff>
    </xdr:from>
    <xdr:to>
      <xdr:col>9</xdr:col>
      <xdr:colOff>294409</xdr:colOff>
      <xdr:row>44</xdr:row>
      <xdr:rowOff>0</xdr:rowOff>
    </xdr:to>
    <xdr:graphicFrame macro="">
      <xdr:nvGraphicFramePr>
        <xdr:cNvPr id="13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329045</xdr:colOff>
      <xdr:row>44</xdr:row>
      <xdr:rowOff>0</xdr:rowOff>
    </xdr:from>
    <xdr:to>
      <xdr:col>9</xdr:col>
      <xdr:colOff>69272</xdr:colOff>
      <xdr:row>44</xdr:row>
      <xdr:rowOff>0</xdr:rowOff>
    </xdr:to>
    <xdr:graphicFrame macro="">
      <xdr:nvGraphicFramePr>
        <xdr:cNvPr id="16" name="Chart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tabSelected="1" zoomScale="90" zoomScaleNormal="90" workbookViewId="0">
      <selection activeCell="A43" sqref="A43"/>
    </sheetView>
  </sheetViews>
  <sheetFormatPr defaultColWidth="8.7265625" defaultRowHeight="14.5" x14ac:dyDescent="0.35"/>
  <cols>
    <col min="1" max="1" width="101.54296875" style="29" customWidth="1"/>
    <col min="2" max="9" width="8.7265625" style="29"/>
    <col min="10" max="16384" width="8.7265625" style="17"/>
  </cols>
  <sheetData>
    <row r="1" spans="1:9" x14ac:dyDescent="0.35">
      <c r="A1" s="11" t="s">
        <v>76</v>
      </c>
    </row>
    <row r="2" spans="1:9" x14ac:dyDescent="0.35">
      <c r="A2" s="73" t="s">
        <v>107</v>
      </c>
    </row>
    <row r="4" spans="1:9" x14ac:dyDescent="0.35">
      <c r="A4" s="30" t="s">
        <v>72</v>
      </c>
    </row>
    <row r="5" spans="1:9" x14ac:dyDescent="0.35">
      <c r="A5" s="26" t="s">
        <v>108</v>
      </c>
    </row>
    <row r="7" spans="1:9" x14ac:dyDescent="0.35">
      <c r="A7" s="30" t="s">
        <v>73</v>
      </c>
    </row>
    <row r="8" spans="1:9" x14ac:dyDescent="0.35">
      <c r="A8" s="71" t="s">
        <v>109</v>
      </c>
    </row>
    <row r="9" spans="1:9" s="34" customFormat="1" ht="29.15" customHeight="1" x14ac:dyDescent="0.35">
      <c r="A9" s="32" t="s">
        <v>74</v>
      </c>
      <c r="B9" s="33"/>
      <c r="C9" s="33"/>
      <c r="D9" s="33"/>
      <c r="E9" s="33"/>
      <c r="F9" s="33"/>
      <c r="G9" s="33"/>
      <c r="H9" s="33"/>
      <c r="I9" s="33"/>
    </row>
    <row r="10" spans="1:9" ht="14.5" customHeight="1" x14ac:dyDescent="0.35">
      <c r="A10" s="72" t="s">
        <v>110</v>
      </c>
    </row>
    <row r="11" spans="1:9" s="34" customFormat="1" ht="14.5" customHeight="1" x14ac:dyDescent="0.35">
      <c r="A11" s="72" t="s">
        <v>111</v>
      </c>
      <c r="B11" s="33"/>
      <c r="C11" s="33"/>
      <c r="D11" s="33"/>
      <c r="E11" s="33"/>
      <c r="F11" s="33"/>
      <c r="G11" s="33"/>
      <c r="H11" s="33"/>
      <c r="I11" s="33"/>
    </row>
    <row r="12" spans="1:9" x14ac:dyDescent="0.35">
      <c r="A12" s="72" t="s">
        <v>113</v>
      </c>
    </row>
    <row r="13" spans="1:9" s="34" customFormat="1" ht="14.5" customHeight="1" x14ac:dyDescent="0.35">
      <c r="A13" s="72" t="s">
        <v>112</v>
      </c>
      <c r="B13" s="33"/>
      <c r="C13" s="33"/>
      <c r="D13" s="33"/>
      <c r="E13" s="33"/>
      <c r="F13" s="33"/>
      <c r="G13" s="33"/>
      <c r="H13" s="33"/>
      <c r="I13" s="33"/>
    </row>
    <row r="14" spans="1:9" x14ac:dyDescent="0.35">
      <c r="A14" s="31" t="s">
        <v>77</v>
      </c>
    </row>
    <row r="15" spans="1:9" s="29" customFormat="1" x14ac:dyDescent="0.35"/>
    <row r="17" spans="1:1" s="29" customFormat="1" x14ac:dyDescent="0.35">
      <c r="A17" s="35" t="s">
        <v>75</v>
      </c>
    </row>
    <row r="18" spans="1:1" s="29" customFormat="1" x14ac:dyDescent="0.35">
      <c r="A18" s="31" t="s">
        <v>79</v>
      </c>
    </row>
    <row r="19" spans="1:1" s="29" customFormat="1" x14ac:dyDescent="0.35">
      <c r="A19" s="31" t="s">
        <v>78</v>
      </c>
    </row>
    <row r="20" spans="1:1" s="29" customFormat="1" x14ac:dyDescent="0.35">
      <c r="A20" s="31" t="s">
        <v>86</v>
      </c>
    </row>
    <row r="21" spans="1:1" s="29" customFormat="1" x14ac:dyDescent="0.35">
      <c r="A21" s="71" t="s">
        <v>114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CU52"/>
  <sheetViews>
    <sheetView topLeftCell="A28" zoomScale="85" zoomScaleNormal="85" workbookViewId="0">
      <selection activeCell="E55" sqref="E55"/>
    </sheetView>
  </sheetViews>
  <sheetFormatPr defaultRowHeight="14.5" x14ac:dyDescent="0.35"/>
  <cols>
    <col min="1" max="1" width="9.1796875" style="56"/>
    <col min="2" max="2" width="32.26953125" customWidth="1"/>
    <col min="3" max="3" width="12.81640625" style="17" bestFit="1" customWidth="1"/>
    <col min="4" max="13" width="12.26953125" customWidth="1"/>
    <col min="14" max="16" width="12.26953125" style="17" customWidth="1"/>
    <col min="17" max="17" width="12.26953125" customWidth="1"/>
    <col min="18" max="18" width="18.7265625" bestFit="1" customWidth="1"/>
  </cols>
  <sheetData>
    <row r="1" spans="1:99" x14ac:dyDescent="0.35">
      <c r="A1" s="25" t="s">
        <v>82</v>
      </c>
      <c r="B1" s="25" t="s">
        <v>82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</row>
    <row r="2" spans="1:99" x14ac:dyDescent="0.35">
      <c r="A2" s="25" t="s">
        <v>48</v>
      </c>
      <c r="B2" s="25" t="s">
        <v>48</v>
      </c>
      <c r="C2" s="24" t="s">
        <v>63</v>
      </c>
      <c r="D2" s="18">
        <v>2006</v>
      </c>
      <c r="E2" s="18">
        <v>2007</v>
      </c>
      <c r="F2" s="18">
        <v>2008</v>
      </c>
      <c r="G2" s="18">
        <v>2009</v>
      </c>
      <c r="H2" s="18">
        <v>2010</v>
      </c>
      <c r="I2" s="18">
        <v>2011</v>
      </c>
      <c r="J2" s="18">
        <v>2012</v>
      </c>
      <c r="K2" s="18">
        <v>2013</v>
      </c>
      <c r="L2" s="18">
        <v>2014</v>
      </c>
      <c r="M2" s="18">
        <v>2015</v>
      </c>
      <c r="N2" s="18">
        <v>2016</v>
      </c>
      <c r="O2" s="18">
        <v>2017</v>
      </c>
      <c r="P2" s="18">
        <v>2018</v>
      </c>
      <c r="Q2" s="18">
        <v>2019</v>
      </c>
      <c r="R2" s="24"/>
      <c r="S2" s="24"/>
      <c r="T2" s="24"/>
    </row>
    <row r="3" spans="1:99" x14ac:dyDescent="0.35">
      <c r="A3" s="38" t="s">
        <v>37</v>
      </c>
      <c r="B3" s="38" t="s">
        <v>91</v>
      </c>
      <c r="C3" s="38" t="s">
        <v>62</v>
      </c>
      <c r="D3" s="28">
        <v>15101074.258214997</v>
      </c>
      <c r="E3" s="28">
        <v>13989610</v>
      </c>
      <c r="F3" s="28">
        <v>13083325.236576969</v>
      </c>
      <c r="G3" s="28">
        <v>13513587.369959038</v>
      </c>
      <c r="H3" s="28">
        <v>13846707.414743055</v>
      </c>
      <c r="I3" s="28">
        <v>13881537.225071985</v>
      </c>
      <c r="J3" s="28">
        <v>14062879.897383038</v>
      </c>
      <c r="K3" s="28">
        <v>14283594.450350931</v>
      </c>
      <c r="L3" s="28">
        <v>13957000</v>
      </c>
      <c r="M3" s="28">
        <v>13455329.989999998</v>
      </c>
      <c r="N3" s="28">
        <v>14247978.656044956</v>
      </c>
      <c r="O3" s="28">
        <v>14525020.775061335</v>
      </c>
      <c r="P3" s="28">
        <v>11444832.423724381</v>
      </c>
      <c r="Q3" s="28">
        <v>13786714.687984707</v>
      </c>
      <c r="R3" s="24"/>
      <c r="S3" s="40"/>
      <c r="T3" s="40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  <c r="BO3" s="12"/>
      <c r="BP3" s="12"/>
      <c r="BQ3" s="12"/>
      <c r="BR3" s="12"/>
      <c r="BS3" s="12"/>
      <c r="BT3" s="12"/>
      <c r="BU3" s="12"/>
      <c r="BV3" s="12"/>
      <c r="BW3" s="12"/>
      <c r="BX3" s="12"/>
      <c r="BY3" s="12"/>
      <c r="BZ3" s="12"/>
      <c r="CA3" s="12"/>
      <c r="CB3" s="12"/>
      <c r="CC3" s="12"/>
      <c r="CD3" s="12"/>
      <c r="CE3" s="12"/>
      <c r="CF3" s="12"/>
      <c r="CG3" s="12"/>
      <c r="CH3" s="12"/>
      <c r="CI3" s="12"/>
      <c r="CJ3" s="12"/>
      <c r="CK3" s="12"/>
      <c r="CL3" s="12"/>
      <c r="CM3" s="12"/>
      <c r="CN3" s="12"/>
      <c r="CO3" s="12"/>
      <c r="CP3" s="12"/>
      <c r="CQ3" s="12"/>
      <c r="CR3" s="12"/>
      <c r="CS3" s="12"/>
      <c r="CT3" s="12"/>
      <c r="CU3" s="12"/>
    </row>
    <row r="4" spans="1:99" x14ac:dyDescent="0.35">
      <c r="A4" s="38" t="s">
        <v>21</v>
      </c>
      <c r="B4" s="38" t="s">
        <v>92</v>
      </c>
      <c r="C4" s="38" t="s">
        <v>62</v>
      </c>
      <c r="D4" s="28">
        <v>51045963.444256991</v>
      </c>
      <c r="E4" s="28">
        <v>51964465.679886967</v>
      </c>
      <c r="F4" s="28">
        <v>51187327.595034994</v>
      </c>
      <c r="G4" s="28">
        <v>52191948.260312036</v>
      </c>
      <c r="H4" s="28">
        <v>52848520.626357004</v>
      </c>
      <c r="I4" s="28">
        <v>51917071.191967987</v>
      </c>
      <c r="J4" s="28">
        <v>50878576.976755999</v>
      </c>
      <c r="K4" s="28">
        <v>49333938.670690008</v>
      </c>
      <c r="L4" s="28">
        <v>47613581.421291001</v>
      </c>
      <c r="M4" s="28">
        <v>53087563.425000042</v>
      </c>
      <c r="N4" s="28">
        <v>52872387.581990004</v>
      </c>
      <c r="O4" s="28">
        <v>54253300.021025993</v>
      </c>
      <c r="P4" s="28">
        <v>54849858.036833994</v>
      </c>
      <c r="Q4" s="28">
        <v>53765294.224065989</v>
      </c>
      <c r="R4" s="24"/>
      <c r="S4" s="24"/>
      <c r="T4" s="24"/>
    </row>
    <row r="5" spans="1:99" x14ac:dyDescent="0.35">
      <c r="A5" s="38" t="s">
        <v>35</v>
      </c>
      <c r="B5" s="38" t="s">
        <v>93</v>
      </c>
      <c r="C5" s="38" t="s">
        <v>62</v>
      </c>
      <c r="D5" s="28">
        <v>45186299.678676002</v>
      </c>
      <c r="E5" s="28">
        <v>45956437.073729999</v>
      </c>
      <c r="F5" s="28">
        <v>45046718.030759998</v>
      </c>
      <c r="G5" s="28">
        <v>47419179.046665005</v>
      </c>
      <c r="H5" s="28">
        <v>48976636.241105005</v>
      </c>
      <c r="I5" s="28">
        <v>48047970.9925</v>
      </c>
      <c r="J5" s="28">
        <v>47529361.264941998</v>
      </c>
      <c r="K5" s="28">
        <v>49056428.480179004</v>
      </c>
      <c r="L5" s="28">
        <v>48503771.563634999</v>
      </c>
      <c r="M5" s="28">
        <v>47967077.018125005</v>
      </c>
      <c r="N5" s="28">
        <v>47805245.822115995</v>
      </c>
      <c r="O5" s="28">
        <v>46829301.624719001</v>
      </c>
      <c r="P5" s="28">
        <v>41725000</v>
      </c>
      <c r="Q5" s="28">
        <v>41479994.350973003</v>
      </c>
      <c r="R5" s="24"/>
      <c r="S5" s="24"/>
      <c r="T5" s="24"/>
    </row>
    <row r="6" spans="1:99" x14ac:dyDescent="0.35">
      <c r="A6" s="38" t="s">
        <v>29</v>
      </c>
      <c r="B6" s="38" t="s">
        <v>94</v>
      </c>
      <c r="C6" s="38" t="s">
        <v>62</v>
      </c>
      <c r="D6" s="28">
        <v>10530108.800000003</v>
      </c>
      <c r="E6" s="28">
        <v>12828493</v>
      </c>
      <c r="F6" s="28">
        <v>13500337</v>
      </c>
      <c r="G6" s="28">
        <v>13412711</v>
      </c>
      <c r="H6" s="28">
        <v>13030212</v>
      </c>
      <c r="I6" s="28">
        <v>13108443</v>
      </c>
      <c r="J6" s="28">
        <v>12589843</v>
      </c>
      <c r="K6" s="28">
        <v>12866188</v>
      </c>
      <c r="L6" s="28">
        <v>13359963.803999998</v>
      </c>
      <c r="M6" s="28">
        <v>13109624.082295986</v>
      </c>
      <c r="N6" s="28">
        <v>11654573.903348012</v>
      </c>
      <c r="O6" s="28">
        <v>12426663.323709674</v>
      </c>
      <c r="P6" s="74">
        <v>12434326.120010002</v>
      </c>
      <c r="Q6" s="74">
        <v>12884563.992276987</v>
      </c>
      <c r="R6" s="24"/>
      <c r="S6" s="24"/>
      <c r="T6" s="24"/>
    </row>
    <row r="7" spans="1:99" x14ac:dyDescent="0.35">
      <c r="A7" s="38" t="s">
        <v>38</v>
      </c>
      <c r="B7" s="38" t="s">
        <v>95</v>
      </c>
      <c r="C7" s="38" t="s">
        <v>62</v>
      </c>
      <c r="D7" s="28">
        <v>81500000</v>
      </c>
      <c r="E7" s="28">
        <v>83000000</v>
      </c>
      <c r="F7" s="28">
        <v>82500000</v>
      </c>
      <c r="G7" s="28">
        <v>81100000</v>
      </c>
      <c r="H7" s="28">
        <v>80600000</v>
      </c>
      <c r="I7" s="28">
        <v>79800000</v>
      </c>
      <c r="J7" s="28">
        <v>76600000</v>
      </c>
      <c r="K7" s="28">
        <v>71100000</v>
      </c>
      <c r="L7" s="28">
        <v>67800000.346065998</v>
      </c>
      <c r="M7" s="28">
        <v>74400000</v>
      </c>
      <c r="N7" s="28">
        <v>72200000</v>
      </c>
      <c r="O7" s="28">
        <v>75000000</v>
      </c>
      <c r="P7" s="74">
        <v>75700000</v>
      </c>
      <c r="Q7" s="74">
        <v>74400000</v>
      </c>
      <c r="R7" s="24"/>
      <c r="S7" s="24"/>
      <c r="T7" s="24"/>
    </row>
    <row r="8" spans="1:99" x14ac:dyDescent="0.35">
      <c r="A8" s="24"/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</row>
    <row r="9" spans="1:99" s="56" customFormat="1" ht="159.5" x14ac:dyDescent="0.35">
      <c r="A9" s="41" t="s">
        <v>42</v>
      </c>
      <c r="B9" s="41" t="s">
        <v>42</v>
      </c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</row>
    <row r="10" spans="1:99" x14ac:dyDescent="0.35">
      <c r="A10" s="41"/>
      <c r="B10" s="41"/>
      <c r="C10" s="24" t="s">
        <v>65</v>
      </c>
      <c r="D10" s="18">
        <v>2006</v>
      </c>
      <c r="E10" s="18">
        <v>2007</v>
      </c>
      <c r="F10" s="18">
        <v>2008</v>
      </c>
      <c r="G10" s="18">
        <v>2009</v>
      </c>
      <c r="H10" s="18">
        <v>2010</v>
      </c>
      <c r="I10" s="18">
        <v>2011</v>
      </c>
      <c r="J10" s="18">
        <v>2012</v>
      </c>
      <c r="K10" s="18">
        <v>2013</v>
      </c>
      <c r="L10" s="18">
        <v>2014</v>
      </c>
      <c r="M10" s="18">
        <v>2015</v>
      </c>
      <c r="N10" s="18">
        <v>2016</v>
      </c>
      <c r="O10" s="18">
        <v>2017</v>
      </c>
      <c r="P10" s="18">
        <v>2018</v>
      </c>
      <c r="Q10" s="18">
        <v>2019</v>
      </c>
      <c r="R10" s="24"/>
      <c r="S10" s="24"/>
      <c r="T10" s="24"/>
    </row>
    <row r="11" spans="1:99" x14ac:dyDescent="0.35">
      <c r="A11" s="38" t="s">
        <v>37</v>
      </c>
      <c r="B11" s="38" t="s">
        <v>91</v>
      </c>
      <c r="C11" s="38" t="s">
        <v>64</v>
      </c>
      <c r="D11" s="28">
        <v>3978.391944861738</v>
      </c>
      <c r="E11" s="28">
        <v>3976.363032332024</v>
      </c>
      <c r="F11" s="28">
        <v>4222.7950166755372</v>
      </c>
      <c r="G11" s="28">
        <v>4265.2719150267712</v>
      </c>
      <c r="H11" s="28">
        <v>4285.2901718002513</v>
      </c>
      <c r="I11" s="28">
        <v>4376.4504351791684</v>
      </c>
      <c r="J11" s="28">
        <v>4229.0017065495522</v>
      </c>
      <c r="K11" s="28">
        <v>4403.3212738811562</v>
      </c>
      <c r="L11" s="28">
        <v>3429.53</v>
      </c>
      <c r="M11" s="28">
        <v>3175.3143963269999</v>
      </c>
      <c r="N11" s="28">
        <v>3271.5960879999998</v>
      </c>
      <c r="O11" s="28">
        <v>3447.559915454</v>
      </c>
      <c r="P11" s="28">
        <v>3327.2034278649999</v>
      </c>
      <c r="Q11" s="28">
        <v>3685.7549853780001</v>
      </c>
      <c r="R11" s="24"/>
      <c r="S11" s="24"/>
      <c r="T11" s="24"/>
    </row>
    <row r="12" spans="1:99" x14ac:dyDescent="0.35">
      <c r="A12" s="38" t="s">
        <v>21</v>
      </c>
      <c r="B12" s="38" t="s">
        <v>92</v>
      </c>
      <c r="C12" s="38" t="s">
        <v>64</v>
      </c>
      <c r="D12" s="28">
        <v>11030.569023</v>
      </c>
      <c r="E12" s="28">
        <v>11737.383156999998</v>
      </c>
      <c r="F12" s="28">
        <v>11612.320067000001</v>
      </c>
      <c r="G12" s="28">
        <v>12068.720476999999</v>
      </c>
      <c r="H12" s="28">
        <v>12247.404947000005</v>
      </c>
      <c r="I12" s="28">
        <v>11937.636665000005</v>
      </c>
      <c r="J12" s="28">
        <v>11674.654921999996</v>
      </c>
      <c r="K12" s="28">
        <v>11664.853734000002</v>
      </c>
      <c r="L12" s="28">
        <v>11512.211092999996</v>
      </c>
      <c r="M12" s="28">
        <v>11832.312</v>
      </c>
      <c r="N12" s="28">
        <v>11995.302618000009</v>
      </c>
      <c r="O12" s="28">
        <v>12388.952756999994</v>
      </c>
      <c r="P12" s="28">
        <v>12321.175319</v>
      </c>
      <c r="Q12" s="28">
        <v>12496.769520000003</v>
      </c>
      <c r="R12" s="24"/>
      <c r="S12" s="24"/>
      <c r="T12" s="24"/>
    </row>
    <row r="13" spans="1:99" x14ac:dyDescent="0.35">
      <c r="A13" s="38" t="s">
        <v>35</v>
      </c>
      <c r="B13" s="38" t="s">
        <v>93</v>
      </c>
      <c r="C13" s="38" t="s">
        <v>64</v>
      </c>
      <c r="D13" s="28">
        <v>8046.7944919762931</v>
      </c>
      <c r="E13" s="28">
        <v>9518.2214075162174</v>
      </c>
      <c r="F13" s="28">
        <v>9821.7744475221989</v>
      </c>
      <c r="G13" s="28">
        <v>10238.839151920494</v>
      </c>
      <c r="H13" s="28">
        <v>9875.383784927044</v>
      </c>
      <c r="I13" s="28">
        <v>9612.8305056523277</v>
      </c>
      <c r="J13" s="28">
        <v>8932.6058819697173</v>
      </c>
      <c r="K13" s="28">
        <v>9569.9413842771264</v>
      </c>
      <c r="L13" s="28">
        <v>10258.200000000001</v>
      </c>
      <c r="M13" s="28">
        <v>9098.1233667172328</v>
      </c>
      <c r="N13" s="28">
        <v>9677.5927963400009</v>
      </c>
      <c r="O13" s="28">
        <v>9641.5859999999993</v>
      </c>
      <c r="P13" s="28">
        <v>10266.162</v>
      </c>
      <c r="Q13" s="28">
        <v>9909.9320000000007</v>
      </c>
      <c r="R13" s="24"/>
      <c r="S13" s="24"/>
      <c r="T13" s="24"/>
    </row>
    <row r="14" spans="1:99" x14ac:dyDescent="0.35">
      <c r="A14" s="38" t="s">
        <v>29</v>
      </c>
      <c r="B14" s="38" t="s">
        <v>94</v>
      </c>
      <c r="C14" s="38" t="s">
        <v>64</v>
      </c>
      <c r="D14" s="28">
        <v>2684.2440000000001</v>
      </c>
      <c r="E14" s="28">
        <v>2690.61</v>
      </c>
      <c r="F14" s="28">
        <v>2624.2620000000002</v>
      </c>
      <c r="G14" s="28">
        <v>2656.152</v>
      </c>
      <c r="H14" s="28">
        <v>2634.4740000000002</v>
      </c>
      <c r="I14" s="28">
        <v>2597.712</v>
      </c>
      <c r="J14" s="28">
        <v>2589.395</v>
      </c>
      <c r="K14" s="28">
        <v>2544.7469999999998</v>
      </c>
      <c r="L14" s="28">
        <v>2509</v>
      </c>
      <c r="M14" s="28">
        <v>2504.8915876265355</v>
      </c>
      <c r="N14" s="28">
        <v>2519.5</v>
      </c>
      <c r="O14" s="28">
        <v>2523.6453817803717</v>
      </c>
      <c r="P14" s="28">
        <v>2535.3500470044319</v>
      </c>
      <c r="Q14" s="28">
        <v>2394.0013028095805</v>
      </c>
      <c r="R14" s="24"/>
      <c r="S14" s="24"/>
      <c r="T14" s="24"/>
    </row>
    <row r="15" spans="1:99" x14ac:dyDescent="0.35">
      <c r="A15" s="38" t="s">
        <v>38</v>
      </c>
      <c r="B15" s="38" t="s">
        <v>95</v>
      </c>
      <c r="C15" s="38" t="s">
        <v>64</v>
      </c>
      <c r="D15" s="28">
        <v>18200</v>
      </c>
      <c r="E15" s="28">
        <v>18600</v>
      </c>
      <c r="F15" s="28">
        <v>18600</v>
      </c>
      <c r="G15" s="28">
        <v>18700</v>
      </c>
      <c r="H15" s="28">
        <v>18900</v>
      </c>
      <c r="I15" s="28">
        <v>19400</v>
      </c>
      <c r="J15" s="28">
        <v>18000</v>
      </c>
      <c r="K15" s="28">
        <v>17400</v>
      </c>
      <c r="L15" s="28">
        <v>17000</v>
      </c>
      <c r="M15" s="28">
        <v>16500</v>
      </c>
      <c r="N15" s="28">
        <v>18000</v>
      </c>
      <c r="O15" s="28">
        <v>18700</v>
      </c>
      <c r="P15" s="28">
        <v>18500</v>
      </c>
      <c r="Q15" s="28">
        <v>18700</v>
      </c>
      <c r="R15" s="24"/>
      <c r="S15" s="24"/>
      <c r="T15" s="24"/>
    </row>
    <row r="16" spans="1:99" x14ac:dyDescent="0.35">
      <c r="A16" s="24"/>
      <c r="B16" s="24"/>
      <c r="C16" s="24"/>
      <c r="D16" s="24"/>
      <c r="E16" s="36">
        <f>(E11-D11)/D11</f>
        <v>-5.0998306799169473E-4</v>
      </c>
      <c r="F16" s="36">
        <f t="shared" ref="F16:Q16" si="0">(F11-E11)/E11</f>
        <v>6.197421672512328E-2</v>
      </c>
      <c r="G16" s="36">
        <f t="shared" si="0"/>
        <v>1.0058953414384444E-2</v>
      </c>
      <c r="H16" s="36">
        <f t="shared" si="0"/>
        <v>4.6933131514909328E-3</v>
      </c>
      <c r="I16" s="36">
        <f t="shared" si="0"/>
        <v>2.1272833279483764E-2</v>
      </c>
      <c r="J16" s="36">
        <f t="shared" si="0"/>
        <v>-3.3691396901100693E-2</v>
      </c>
      <c r="K16" s="36">
        <f t="shared" si="0"/>
        <v>4.1220027663179074E-2</v>
      </c>
      <c r="L16" s="36">
        <f t="shared" si="0"/>
        <v>-0.2211492674080629</v>
      </c>
      <c r="M16" s="36">
        <f t="shared" si="0"/>
        <v>-7.4125493485404773E-2</v>
      </c>
      <c r="N16" s="36">
        <f t="shared" si="0"/>
        <v>3.0321939705993312E-2</v>
      </c>
      <c r="O16" s="36">
        <f t="shared" si="0"/>
        <v>5.3785315399851479E-2</v>
      </c>
      <c r="P16" s="36">
        <f t="shared" si="0"/>
        <v>-3.4910629703487177E-2</v>
      </c>
      <c r="Q16" s="36">
        <f t="shared" si="0"/>
        <v>0.10776364153455914</v>
      </c>
      <c r="R16" s="24"/>
      <c r="S16" s="24"/>
      <c r="T16" s="24"/>
    </row>
    <row r="17" spans="1:42" x14ac:dyDescent="0.35">
      <c r="A17" s="25" t="s">
        <v>43</v>
      </c>
      <c r="B17" s="25" t="s">
        <v>43</v>
      </c>
      <c r="C17" s="25"/>
      <c r="D17" s="18">
        <v>2006</v>
      </c>
      <c r="E17" s="18">
        <v>2007</v>
      </c>
      <c r="F17" s="18">
        <v>2008</v>
      </c>
      <c r="G17" s="18">
        <v>2009</v>
      </c>
      <c r="H17" s="18">
        <v>2010</v>
      </c>
      <c r="I17" s="18">
        <v>2011</v>
      </c>
      <c r="J17" s="18">
        <v>2012</v>
      </c>
      <c r="K17" s="18">
        <v>2013</v>
      </c>
      <c r="L17" s="18">
        <v>2014</v>
      </c>
      <c r="M17" s="18">
        <v>2015</v>
      </c>
      <c r="N17" s="18">
        <v>2016</v>
      </c>
      <c r="O17" s="18">
        <v>2017</v>
      </c>
      <c r="P17" s="18">
        <v>2018</v>
      </c>
      <c r="Q17" s="18">
        <v>2019</v>
      </c>
      <c r="R17" s="24"/>
      <c r="S17" s="24"/>
      <c r="T17" s="24"/>
    </row>
    <row r="18" spans="1:42" x14ac:dyDescent="0.35">
      <c r="A18" s="38" t="s">
        <v>37</v>
      </c>
      <c r="B18" s="38" t="s">
        <v>37</v>
      </c>
      <c r="C18" s="38" t="s">
        <v>66</v>
      </c>
      <c r="D18" s="27">
        <v>5875.1</v>
      </c>
      <c r="E18" s="27">
        <v>5974.1</v>
      </c>
      <c r="F18" s="27">
        <v>6007.1</v>
      </c>
      <c r="G18" s="27">
        <v>6546.1</v>
      </c>
      <c r="H18" s="27">
        <v>6953.1</v>
      </c>
      <c r="I18" s="27">
        <v>7052.1</v>
      </c>
      <c r="J18" s="27">
        <v>7129.1</v>
      </c>
      <c r="K18" s="27">
        <v>7129.1</v>
      </c>
      <c r="L18" s="27">
        <v>7195.1</v>
      </c>
      <c r="M18" s="27">
        <v>7470.1</v>
      </c>
      <c r="N18" s="27">
        <v>7470.1</v>
      </c>
      <c r="O18" s="27"/>
      <c r="P18" s="28"/>
      <c r="Q18" s="28"/>
      <c r="R18" s="24"/>
      <c r="S18" s="48"/>
      <c r="T18" s="48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</row>
    <row r="19" spans="1:42" x14ac:dyDescent="0.35">
      <c r="A19" s="38" t="s">
        <v>21</v>
      </c>
      <c r="B19" s="38" t="s">
        <v>21</v>
      </c>
      <c r="C19" s="38" t="s">
        <v>66</v>
      </c>
      <c r="D19" s="27">
        <v>12468.5</v>
      </c>
      <c r="E19" s="27">
        <v>12694</v>
      </c>
      <c r="F19" s="27">
        <v>13117.5</v>
      </c>
      <c r="G19" s="27">
        <v>13898.5</v>
      </c>
      <c r="H19" s="27">
        <v>14580.5</v>
      </c>
      <c r="I19" s="27">
        <v>15009.5</v>
      </c>
      <c r="J19" s="27">
        <v>15356</v>
      </c>
      <c r="K19" s="27">
        <v>16214</v>
      </c>
      <c r="L19" s="27">
        <v>17050</v>
      </c>
      <c r="M19" s="27">
        <v>17160</v>
      </c>
      <c r="N19" s="27">
        <v>17407.5</v>
      </c>
      <c r="O19" s="27"/>
      <c r="P19" s="28"/>
      <c r="Q19" s="28"/>
      <c r="R19" s="24"/>
      <c r="S19" s="24"/>
      <c r="T19" s="24"/>
    </row>
    <row r="20" spans="1:42" x14ac:dyDescent="0.35">
      <c r="A20" s="38" t="s">
        <v>35</v>
      </c>
      <c r="B20" s="38" t="s">
        <v>35</v>
      </c>
      <c r="C20" s="38" t="s">
        <v>66</v>
      </c>
      <c r="D20" s="27">
        <v>7330</v>
      </c>
      <c r="E20" s="27">
        <v>7264</v>
      </c>
      <c r="F20" s="27">
        <v>7544</v>
      </c>
      <c r="G20" s="27">
        <v>8336</v>
      </c>
      <c r="H20" s="27">
        <v>8402</v>
      </c>
      <c r="I20" s="27">
        <v>8424</v>
      </c>
      <c r="J20" s="27">
        <v>9144</v>
      </c>
      <c r="K20" s="27">
        <v>10210</v>
      </c>
      <c r="L20" s="27">
        <v>10260</v>
      </c>
      <c r="M20" s="27">
        <v>9320</v>
      </c>
      <c r="N20" s="27">
        <v>9320</v>
      </c>
      <c r="O20" s="27"/>
      <c r="P20" s="28"/>
      <c r="Q20" s="28"/>
      <c r="R20" s="24"/>
      <c r="S20" s="24"/>
      <c r="T20" s="24"/>
    </row>
    <row r="21" spans="1:42" x14ac:dyDescent="0.35">
      <c r="A21" s="38" t="s">
        <v>29</v>
      </c>
      <c r="B21" s="38" t="s">
        <v>29</v>
      </c>
      <c r="C21" s="38" t="s">
        <v>66</v>
      </c>
      <c r="D21" s="27">
        <v>5893.8</v>
      </c>
      <c r="E21" s="27">
        <v>5882.8</v>
      </c>
      <c r="F21" s="27">
        <v>5860.8</v>
      </c>
      <c r="G21" s="27">
        <v>5970.8</v>
      </c>
      <c r="H21" s="27">
        <v>5860.8</v>
      </c>
      <c r="I21" s="27">
        <v>5893.8</v>
      </c>
      <c r="J21" s="27">
        <v>5948.8</v>
      </c>
      <c r="K21" s="27">
        <v>6058.8</v>
      </c>
      <c r="L21" s="27">
        <v>6058.8</v>
      </c>
      <c r="M21" s="27">
        <v>6058.8</v>
      </c>
      <c r="N21" s="27">
        <v>6058.8</v>
      </c>
      <c r="O21" s="27"/>
      <c r="P21" s="28"/>
      <c r="Q21" s="28"/>
      <c r="R21" s="24"/>
      <c r="S21" s="24"/>
      <c r="T21" s="24"/>
    </row>
    <row r="22" spans="1:42" x14ac:dyDescent="0.35">
      <c r="A22" s="38" t="s">
        <v>38</v>
      </c>
      <c r="B22" s="38" t="s">
        <v>38</v>
      </c>
      <c r="C22" s="38" t="s">
        <v>66</v>
      </c>
      <c r="D22" s="27">
        <v>14481</v>
      </c>
      <c r="E22" s="27">
        <v>14481</v>
      </c>
      <c r="F22" s="27">
        <v>15108</v>
      </c>
      <c r="G22" s="27">
        <v>15883.5</v>
      </c>
      <c r="H22" s="27">
        <v>16348</v>
      </c>
      <c r="I22" s="27">
        <v>16895</v>
      </c>
      <c r="J22" s="27">
        <v>17192</v>
      </c>
      <c r="K22" s="27">
        <v>17456</v>
      </c>
      <c r="L22" s="27">
        <v>17621</v>
      </c>
      <c r="M22" s="27">
        <v>17720</v>
      </c>
      <c r="N22" s="27">
        <v>18182</v>
      </c>
      <c r="O22" s="27"/>
      <c r="P22" s="28"/>
      <c r="Q22" s="28"/>
      <c r="R22" s="24"/>
      <c r="S22" s="24"/>
      <c r="T22" s="24"/>
    </row>
    <row r="23" spans="1:42" x14ac:dyDescent="0.35">
      <c r="A23" s="24"/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</row>
    <row r="24" spans="1:42" ht="43.5" x14ac:dyDescent="0.35">
      <c r="A24" s="25" t="s">
        <v>39</v>
      </c>
      <c r="B24" s="25" t="s">
        <v>39</v>
      </c>
      <c r="C24" s="25"/>
      <c r="D24" s="41" t="s">
        <v>36</v>
      </c>
      <c r="E24" s="41" t="s">
        <v>22</v>
      </c>
      <c r="F24" s="41" t="s">
        <v>19</v>
      </c>
      <c r="G24" s="41" t="s">
        <v>132</v>
      </c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</row>
    <row r="25" spans="1:42" s="17" customFormat="1" x14ac:dyDescent="0.35">
      <c r="A25" s="25"/>
      <c r="B25" s="25"/>
      <c r="C25" s="25"/>
      <c r="D25" s="41" t="str">
        <f>$C$33</f>
        <v>km</v>
      </c>
      <c r="E25" s="41" t="str">
        <f>$C$3</f>
        <v>MWh</v>
      </c>
      <c r="F25" s="41" t="str">
        <f>$C$11</f>
        <v>MVA</v>
      </c>
      <c r="G25" s="41" t="s">
        <v>70</v>
      </c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</row>
    <row r="26" spans="1:42" x14ac:dyDescent="0.35">
      <c r="A26" s="38" t="s">
        <v>37</v>
      </c>
      <c r="B26" s="38" t="s">
        <v>91</v>
      </c>
      <c r="C26" s="38"/>
      <c r="D26" s="28">
        <f>ROUND(AVERAGE(M33:Q33),0)</f>
        <v>5520</v>
      </c>
      <c r="E26" s="28">
        <f>ROUND(AVERAGE(M3:Q3),0)</f>
        <v>13491975</v>
      </c>
      <c r="F26" s="28">
        <f>ROUND(AVERAGE(M11:Q11),0)</f>
        <v>3381</v>
      </c>
      <c r="G26" s="58">
        <f>Q3/1000</f>
        <v>13786.714687984706</v>
      </c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</row>
    <row r="27" spans="1:42" x14ac:dyDescent="0.35">
      <c r="A27" s="38" t="s">
        <v>21</v>
      </c>
      <c r="B27" s="38" t="s">
        <v>92</v>
      </c>
      <c r="C27" s="38"/>
      <c r="D27" s="28">
        <f t="shared" ref="D27:D30" si="1">ROUND(AVERAGE(M34:Q34),0)</f>
        <v>14619</v>
      </c>
      <c r="E27" s="28">
        <f t="shared" ref="E27:E30" si="2">ROUND(AVERAGE(M4:Q4),0)</f>
        <v>53765681</v>
      </c>
      <c r="F27" s="28">
        <f t="shared" ref="F27:F30" si="3">ROUND(AVERAGE(M12:Q12),0)</f>
        <v>12207</v>
      </c>
      <c r="G27" s="58">
        <f t="shared" ref="G27:G30" si="4">Q4/1000</f>
        <v>53765.29422406599</v>
      </c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</row>
    <row r="28" spans="1:42" x14ac:dyDescent="0.35">
      <c r="A28" s="38" t="s">
        <v>35</v>
      </c>
      <c r="B28" s="38" t="s">
        <v>93</v>
      </c>
      <c r="C28" s="38"/>
      <c r="D28" s="28">
        <f t="shared" si="1"/>
        <v>6589</v>
      </c>
      <c r="E28" s="28">
        <f t="shared" si="2"/>
        <v>45161324</v>
      </c>
      <c r="F28" s="28">
        <f t="shared" si="3"/>
        <v>9719</v>
      </c>
      <c r="G28" s="58">
        <f t="shared" si="4"/>
        <v>41479.994350973</v>
      </c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</row>
    <row r="29" spans="1:42" x14ac:dyDescent="0.35">
      <c r="A29" s="38" t="s">
        <v>29</v>
      </c>
      <c r="B29" s="38" t="s">
        <v>94</v>
      </c>
      <c r="C29" s="38"/>
      <c r="D29" s="28">
        <f t="shared" si="1"/>
        <v>3556</v>
      </c>
      <c r="E29" s="28">
        <f t="shared" si="2"/>
        <v>12501950</v>
      </c>
      <c r="F29" s="28">
        <f t="shared" si="3"/>
        <v>2495</v>
      </c>
      <c r="G29" s="58">
        <f t="shared" si="4"/>
        <v>12884.563992276988</v>
      </c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</row>
    <row r="30" spans="1:42" x14ac:dyDescent="0.35">
      <c r="A30" s="38" t="s">
        <v>38</v>
      </c>
      <c r="B30" s="38" t="s">
        <v>95</v>
      </c>
      <c r="C30" s="38"/>
      <c r="D30" s="28">
        <f t="shared" si="1"/>
        <v>13057</v>
      </c>
      <c r="E30" s="28">
        <f t="shared" si="2"/>
        <v>74340000</v>
      </c>
      <c r="F30" s="28">
        <f t="shared" si="3"/>
        <v>18080</v>
      </c>
      <c r="G30" s="58">
        <f t="shared" si="4"/>
        <v>74400</v>
      </c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</row>
    <row r="31" spans="1:42" x14ac:dyDescent="0.35">
      <c r="A31" s="24"/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</row>
    <row r="32" spans="1:42" s="17" customFormat="1" x14ac:dyDescent="0.35">
      <c r="A32" s="25" t="s">
        <v>44</v>
      </c>
      <c r="B32" s="25" t="s">
        <v>44</v>
      </c>
      <c r="C32" s="26" t="s">
        <v>68</v>
      </c>
      <c r="D32" s="18">
        <v>2006</v>
      </c>
      <c r="E32" s="18">
        <v>2007</v>
      </c>
      <c r="F32" s="18">
        <v>2008</v>
      </c>
      <c r="G32" s="18">
        <v>2009</v>
      </c>
      <c r="H32" s="18">
        <v>2010</v>
      </c>
      <c r="I32" s="18">
        <v>2011</v>
      </c>
      <c r="J32" s="18">
        <v>2012</v>
      </c>
      <c r="K32" s="18">
        <v>2013</v>
      </c>
      <c r="L32" s="18">
        <v>2014</v>
      </c>
      <c r="M32" s="18">
        <v>2015</v>
      </c>
      <c r="N32" s="18">
        <v>2016</v>
      </c>
      <c r="O32" s="18">
        <v>2017</v>
      </c>
      <c r="P32" s="18">
        <v>2018</v>
      </c>
      <c r="Q32" s="18">
        <v>2019</v>
      </c>
      <c r="R32" s="24"/>
      <c r="S32" s="24"/>
      <c r="T32" s="24"/>
    </row>
    <row r="33" spans="1:41" x14ac:dyDescent="0.35">
      <c r="A33" s="38" t="s">
        <v>37</v>
      </c>
      <c r="B33" s="38" t="s">
        <v>91</v>
      </c>
      <c r="C33" s="38" t="s">
        <v>67</v>
      </c>
      <c r="D33" s="28">
        <v>5600.5389999999998</v>
      </c>
      <c r="E33" s="28">
        <v>5518.6689999999999</v>
      </c>
      <c r="F33" s="28">
        <v>5518.6689999999999</v>
      </c>
      <c r="G33" s="28">
        <v>5503.6689999999999</v>
      </c>
      <c r="H33" s="28">
        <v>5501.6689999999999</v>
      </c>
      <c r="I33" s="28">
        <v>5504.6689999999999</v>
      </c>
      <c r="J33" s="28">
        <v>5526.0690000000004</v>
      </c>
      <c r="K33" s="28">
        <v>5527.3490000000002</v>
      </c>
      <c r="L33" s="28">
        <v>5529.4030540000012</v>
      </c>
      <c r="M33" s="28">
        <v>5521.3490000000002</v>
      </c>
      <c r="N33" s="28">
        <v>5524.3490000000002</v>
      </c>
      <c r="O33" s="28">
        <v>5519.5689999999995</v>
      </c>
      <c r="P33" s="28">
        <v>5522.1689999999999</v>
      </c>
      <c r="Q33" s="28">
        <v>5512.6689999999999</v>
      </c>
      <c r="R33" s="24"/>
      <c r="S33" s="24"/>
      <c r="T33" s="24"/>
      <c r="AO33" s="19"/>
    </row>
    <row r="34" spans="1:41" x14ac:dyDescent="0.35">
      <c r="A34" s="38" t="s">
        <v>21</v>
      </c>
      <c r="B34" s="38" t="s">
        <v>92</v>
      </c>
      <c r="C34" s="38" t="s">
        <v>67</v>
      </c>
      <c r="D34" s="28">
        <v>11700.8</v>
      </c>
      <c r="E34" s="28">
        <v>11892.8</v>
      </c>
      <c r="F34" s="28">
        <v>12428.8</v>
      </c>
      <c r="G34" s="28">
        <v>12865.1</v>
      </c>
      <c r="H34" s="28">
        <v>13321.1</v>
      </c>
      <c r="I34" s="28">
        <v>13738.4</v>
      </c>
      <c r="J34" s="28">
        <v>13702.4</v>
      </c>
      <c r="K34" s="28">
        <v>14313.5</v>
      </c>
      <c r="L34" s="28">
        <v>14772.5</v>
      </c>
      <c r="M34" s="28">
        <v>14754.5</v>
      </c>
      <c r="N34" s="28">
        <v>14755.5</v>
      </c>
      <c r="O34" s="28">
        <v>14532.5</v>
      </c>
      <c r="P34" s="28">
        <v>14527.5</v>
      </c>
      <c r="Q34" s="28">
        <v>14526.2</v>
      </c>
      <c r="R34" s="24"/>
      <c r="S34" s="24"/>
      <c r="T34" s="24"/>
    </row>
    <row r="35" spans="1:41" x14ac:dyDescent="0.35">
      <c r="A35" s="38" t="s">
        <v>35</v>
      </c>
      <c r="B35" s="38" t="s">
        <v>93</v>
      </c>
      <c r="C35" s="38" t="s">
        <v>67</v>
      </c>
      <c r="D35" s="28">
        <v>6573</v>
      </c>
      <c r="E35" s="28">
        <v>6573</v>
      </c>
      <c r="F35" s="28">
        <v>6573</v>
      </c>
      <c r="G35" s="28">
        <v>6573</v>
      </c>
      <c r="H35" s="28">
        <v>6573</v>
      </c>
      <c r="I35" s="28">
        <v>6573</v>
      </c>
      <c r="J35" s="28">
        <v>6573</v>
      </c>
      <c r="K35" s="28">
        <v>6573</v>
      </c>
      <c r="L35" s="28">
        <v>6573</v>
      </c>
      <c r="M35" s="28">
        <v>6573.2</v>
      </c>
      <c r="N35" s="28">
        <v>6558.8447567553731</v>
      </c>
      <c r="O35" s="28">
        <v>6559.9720813333324</v>
      </c>
      <c r="P35" s="28">
        <v>6623.72</v>
      </c>
      <c r="Q35" s="28">
        <v>6627.7700000000013</v>
      </c>
      <c r="R35" s="24"/>
      <c r="S35" s="24"/>
      <c r="T35" s="24"/>
    </row>
    <row r="36" spans="1:41" x14ac:dyDescent="0.35">
      <c r="A36" s="38" t="s">
        <v>29</v>
      </c>
      <c r="B36" s="38" t="s">
        <v>94</v>
      </c>
      <c r="C36" s="38" t="s">
        <v>67</v>
      </c>
      <c r="D36" s="28">
        <v>3581.3</v>
      </c>
      <c r="E36" s="28">
        <v>3622.3</v>
      </c>
      <c r="F36" s="28">
        <v>3622.3</v>
      </c>
      <c r="G36" s="28">
        <v>3520.3</v>
      </c>
      <c r="H36" s="28">
        <v>3481.3</v>
      </c>
      <c r="I36" s="28">
        <v>3493.3</v>
      </c>
      <c r="J36" s="28">
        <v>3493.3</v>
      </c>
      <c r="K36" s="28">
        <v>3503.19</v>
      </c>
      <c r="L36" s="28">
        <v>3503.8</v>
      </c>
      <c r="M36" s="28">
        <v>3563.7000000000003</v>
      </c>
      <c r="N36" s="28">
        <v>3563.7000000000003</v>
      </c>
      <c r="O36" s="28">
        <v>3563.7</v>
      </c>
      <c r="P36" s="28">
        <v>3545.2</v>
      </c>
      <c r="Q36" s="28">
        <v>3545.2</v>
      </c>
      <c r="R36" s="24"/>
      <c r="S36" s="24"/>
      <c r="T36" s="24"/>
    </row>
    <row r="37" spans="1:41" x14ac:dyDescent="0.35">
      <c r="A37" s="38" t="s">
        <v>38</v>
      </c>
      <c r="B37" s="38" t="s">
        <v>95</v>
      </c>
      <c r="C37" s="38" t="s">
        <v>67</v>
      </c>
      <c r="D37" s="28">
        <v>12517.231000000002</v>
      </c>
      <c r="E37" s="28">
        <v>12526.494000000004</v>
      </c>
      <c r="F37" s="28">
        <v>12523.514000000005</v>
      </c>
      <c r="G37" s="28">
        <v>12523.349000000004</v>
      </c>
      <c r="H37" s="28">
        <v>12682.458999999999</v>
      </c>
      <c r="I37" s="28">
        <v>12681.863000000001</v>
      </c>
      <c r="J37" s="28">
        <v>12697.207</v>
      </c>
      <c r="K37" s="28">
        <v>12893.617000000002</v>
      </c>
      <c r="L37" s="28">
        <v>12929.666000000003</v>
      </c>
      <c r="M37" s="28">
        <v>13024.7646976</v>
      </c>
      <c r="N37" s="28">
        <v>13039.195</v>
      </c>
      <c r="O37" s="28">
        <v>13078.1133974</v>
      </c>
      <c r="P37" s="28">
        <v>13089.494696939968</v>
      </c>
      <c r="Q37" s="28">
        <v>13052.37521975323</v>
      </c>
      <c r="R37" s="24"/>
      <c r="S37" s="24"/>
      <c r="T37" s="24"/>
    </row>
    <row r="38" spans="1:41" s="17" customFormat="1" x14ac:dyDescent="0.35">
      <c r="A38" s="22"/>
      <c r="B38" s="22"/>
      <c r="C38" s="22"/>
      <c r="D38" s="45"/>
      <c r="E38" s="45"/>
      <c r="F38" s="45"/>
      <c r="G38" s="45"/>
      <c r="H38" s="45"/>
      <c r="I38" s="45"/>
      <c r="J38" s="45"/>
      <c r="K38" s="45"/>
      <c r="L38" s="45"/>
      <c r="M38" s="24"/>
      <c r="N38" s="24"/>
      <c r="O38" s="24"/>
      <c r="P38" s="24"/>
      <c r="Q38" s="24"/>
      <c r="R38" s="24"/>
      <c r="S38" s="24"/>
      <c r="T38" s="24"/>
    </row>
    <row r="39" spans="1:41" x14ac:dyDescent="0.35">
      <c r="A39" s="25" t="s">
        <v>45</v>
      </c>
      <c r="B39" s="25" t="s">
        <v>45</v>
      </c>
      <c r="C39" s="25"/>
      <c r="D39" s="18">
        <v>2006</v>
      </c>
      <c r="E39" s="18">
        <v>2007</v>
      </c>
      <c r="F39" s="18">
        <v>2008</v>
      </c>
      <c r="G39" s="18">
        <v>2009</v>
      </c>
      <c r="H39" s="18">
        <v>2010</v>
      </c>
      <c r="I39" s="18">
        <v>2011</v>
      </c>
      <c r="J39" s="18">
        <v>2012</v>
      </c>
      <c r="K39" s="18">
        <v>2013</v>
      </c>
      <c r="L39" s="18">
        <v>2014</v>
      </c>
      <c r="M39" s="18">
        <v>2015</v>
      </c>
      <c r="N39" s="18">
        <v>2016</v>
      </c>
      <c r="O39" s="18">
        <v>2017</v>
      </c>
      <c r="P39" s="18">
        <v>2018</v>
      </c>
      <c r="Q39" s="18">
        <v>2019</v>
      </c>
      <c r="R39" s="18" t="s">
        <v>97</v>
      </c>
      <c r="S39" s="24"/>
      <c r="T39" s="24"/>
    </row>
    <row r="40" spans="1:41" x14ac:dyDescent="0.35">
      <c r="A40" s="38" t="s">
        <v>37</v>
      </c>
      <c r="B40" s="38" t="s">
        <v>91</v>
      </c>
      <c r="C40" s="38" t="s">
        <v>69</v>
      </c>
      <c r="D40" s="49">
        <f>D48/D33</f>
        <v>139.06500785013728</v>
      </c>
      <c r="E40" s="49">
        <f t="shared" ref="E40:O40" si="5">E48/E33</f>
        <v>141.23441721183133</v>
      </c>
      <c r="F40" s="49">
        <f t="shared" si="5"/>
        <v>141.53956325338592</v>
      </c>
      <c r="G40" s="49">
        <f t="shared" si="5"/>
        <v>147.98618884965649</v>
      </c>
      <c r="H40" s="49">
        <f t="shared" si="5"/>
        <v>150.31147820779478</v>
      </c>
      <c r="I40" s="49">
        <f t="shared" si="5"/>
        <v>151.88106678167208</v>
      </c>
      <c r="J40" s="49">
        <f t="shared" si="5"/>
        <v>152.75831698807957</v>
      </c>
      <c r="K40" s="49">
        <f t="shared" si="5"/>
        <v>153.37660060908041</v>
      </c>
      <c r="L40" s="49">
        <f t="shared" si="5"/>
        <v>154.04312032992917</v>
      </c>
      <c r="M40" s="49">
        <f t="shared" si="5"/>
        <v>154.6612974474173</v>
      </c>
      <c r="N40" s="49">
        <f t="shared" si="5"/>
        <v>155.42944517082464</v>
      </c>
      <c r="O40" s="49">
        <f t="shared" si="5"/>
        <v>159.12465266762678</v>
      </c>
      <c r="P40" s="49">
        <f>P48/P33</f>
        <v>161.96480042534012</v>
      </c>
      <c r="Q40" s="49">
        <f>Q48/Q33</f>
        <v>164.38452952644172</v>
      </c>
      <c r="R40" s="49">
        <f>AVERAGE(M40:Q40)</f>
        <v>159.1129450475301</v>
      </c>
      <c r="S40" s="24"/>
      <c r="T40" s="24"/>
    </row>
    <row r="41" spans="1:41" x14ac:dyDescent="0.35">
      <c r="A41" s="38" t="s">
        <v>21</v>
      </c>
      <c r="B41" s="38" t="s">
        <v>92</v>
      </c>
      <c r="C41" s="38" t="s">
        <v>69</v>
      </c>
      <c r="D41" s="49">
        <f t="shared" ref="D41:O41" si="6">D49/D34</f>
        <v>156.92889053577022</v>
      </c>
      <c r="E41" s="49">
        <f t="shared" si="6"/>
        <v>157.34091018655405</v>
      </c>
      <c r="F41" s="49">
        <f t="shared" si="6"/>
        <v>153.79537391649478</v>
      </c>
      <c r="G41" s="49">
        <f t="shared" si="6"/>
        <v>151.62351503939416</v>
      </c>
      <c r="H41" s="49">
        <f t="shared" si="6"/>
        <v>148.9752598008663</v>
      </c>
      <c r="I41" s="49">
        <f t="shared" si="6"/>
        <v>146.70722209281939</v>
      </c>
      <c r="J41" s="49">
        <f t="shared" si="6"/>
        <v>149.1073461583365</v>
      </c>
      <c r="K41" s="49">
        <f t="shared" si="6"/>
        <v>144.62867223250709</v>
      </c>
      <c r="L41" s="49">
        <f t="shared" si="6"/>
        <v>142.04860382467422</v>
      </c>
      <c r="M41" s="49">
        <f t="shared" si="6"/>
        <v>144.05649123996068</v>
      </c>
      <c r="N41" s="49">
        <f t="shared" si="6"/>
        <v>146.44542712886721</v>
      </c>
      <c r="O41" s="49">
        <f t="shared" si="6"/>
        <v>150.95461895750904</v>
      </c>
      <c r="P41" s="49">
        <f t="shared" ref="P41:Q41" si="7">P49/P34</f>
        <v>153.77229392531407</v>
      </c>
      <c r="Q41" s="49">
        <f t="shared" si="7"/>
        <v>155.73522325177953</v>
      </c>
      <c r="R41" s="49">
        <f t="shared" ref="R41:R44" si="8">AVERAGE(M41:Q41)</f>
        <v>150.19281090068611</v>
      </c>
      <c r="S41" s="24"/>
      <c r="T41" s="24"/>
    </row>
    <row r="42" spans="1:41" x14ac:dyDescent="0.35">
      <c r="A42" s="38" t="s">
        <v>35</v>
      </c>
      <c r="B42" s="38" t="s">
        <v>93</v>
      </c>
      <c r="C42" s="38" t="s">
        <v>69</v>
      </c>
      <c r="D42" s="49">
        <f t="shared" ref="D42:O42" si="9">D50/D35</f>
        <v>375.81766552185911</v>
      </c>
      <c r="E42" s="49">
        <f t="shared" si="9"/>
        <v>381.82365499477407</v>
      </c>
      <c r="F42" s="49">
        <f t="shared" si="9"/>
        <v>387.30902721269433</v>
      </c>
      <c r="G42" s="49">
        <f t="shared" si="9"/>
        <v>392.35752717247675</v>
      </c>
      <c r="H42" s="49">
        <f t="shared" si="9"/>
        <v>397.76512389576146</v>
      </c>
      <c r="I42" s="49">
        <f t="shared" si="9"/>
        <v>403.90292398191838</v>
      </c>
      <c r="J42" s="49">
        <f t="shared" si="9"/>
        <v>410.13992628960142</v>
      </c>
      <c r="K42" s="49">
        <f t="shared" si="9"/>
        <v>415.83663967223794</v>
      </c>
      <c r="L42" s="49">
        <f t="shared" si="9"/>
        <v>418.87021007271568</v>
      </c>
      <c r="M42" s="49">
        <f t="shared" si="9"/>
        <v>425.58543532377837</v>
      </c>
      <c r="N42" s="49">
        <f t="shared" si="9"/>
        <v>433.85521468077837</v>
      </c>
      <c r="O42" s="49">
        <f t="shared" si="9"/>
        <v>442.38602908964702</v>
      </c>
      <c r="P42" s="49">
        <f t="shared" ref="P42:Q42" si="10">P50/P35</f>
        <v>445.21296190056341</v>
      </c>
      <c r="Q42" s="49">
        <f t="shared" si="10"/>
        <v>454.63376067666792</v>
      </c>
      <c r="R42" s="49">
        <f t="shared" si="8"/>
        <v>440.3346803342871</v>
      </c>
      <c r="S42" s="24"/>
      <c r="T42" s="24"/>
    </row>
    <row r="43" spans="1:41" x14ac:dyDescent="0.35">
      <c r="A43" s="38" t="s">
        <v>29</v>
      </c>
      <c r="B43" s="38" t="s">
        <v>94</v>
      </c>
      <c r="C43" s="38" t="s">
        <v>69</v>
      </c>
      <c r="D43" s="49">
        <f t="shared" ref="D43:O43" si="11">D51/D36</f>
        <v>69.986464189344645</v>
      </c>
      <c r="E43" s="49">
        <f t="shared" si="11"/>
        <v>70.530984583482862</v>
      </c>
      <c r="F43" s="49">
        <f t="shared" si="11"/>
        <v>71.894724194914829</v>
      </c>
      <c r="G43" s="49">
        <f t="shared" si="11"/>
        <v>75.409519141899835</v>
      </c>
      <c r="H43" s="49">
        <f t="shared" si="11"/>
        <v>77.731313596030219</v>
      </c>
      <c r="I43" s="49">
        <f t="shared" si="11"/>
        <v>78.966020668133282</v>
      </c>
      <c r="J43" s="49">
        <f t="shared" si="11"/>
        <v>79.693126842810514</v>
      </c>
      <c r="K43" s="49">
        <f t="shared" si="11"/>
        <v>79.889472166793695</v>
      </c>
      <c r="L43" s="49">
        <f t="shared" si="11"/>
        <v>80.127290370454929</v>
      </c>
      <c r="M43" s="49">
        <f t="shared" si="11"/>
        <v>79.428403064230992</v>
      </c>
      <c r="N43" s="49">
        <f t="shared" si="11"/>
        <v>80.064259056598473</v>
      </c>
      <c r="O43" s="49">
        <f t="shared" si="11"/>
        <v>80.717091814686995</v>
      </c>
      <c r="P43" s="49">
        <f t="shared" ref="P43:Q43" si="12">P51/P36</f>
        <v>81.218549024032498</v>
      </c>
      <c r="Q43" s="49">
        <f t="shared" si="12"/>
        <v>81.926548572718048</v>
      </c>
      <c r="R43" s="49">
        <f t="shared" si="8"/>
        <v>80.670970306453398</v>
      </c>
      <c r="S43" s="24"/>
      <c r="T43" s="24"/>
    </row>
    <row r="44" spans="1:41" x14ac:dyDescent="0.35">
      <c r="A44" s="38" t="s">
        <v>38</v>
      </c>
      <c r="B44" s="38" t="s">
        <v>95</v>
      </c>
      <c r="C44" s="38" t="s">
        <v>69</v>
      </c>
      <c r="D44" s="49">
        <f t="shared" ref="D44:O44" si="13">D52/D37</f>
        <v>267.57361858241251</v>
      </c>
      <c r="E44" s="49">
        <f t="shared" si="13"/>
        <v>270.058510010801</v>
      </c>
      <c r="F44" s="49">
        <f t="shared" si="13"/>
        <v>272.87010153830613</v>
      </c>
      <c r="G44" s="49">
        <f t="shared" si="13"/>
        <v>275.27941669569532</v>
      </c>
      <c r="H44" s="49">
        <f t="shared" si="13"/>
        <v>273.84884845451109</v>
      </c>
      <c r="I44" s="49">
        <f t="shared" si="13"/>
        <v>276.55059590221009</v>
      </c>
      <c r="J44" s="49">
        <f t="shared" si="13"/>
        <v>278.5633240754002</v>
      </c>
      <c r="K44" s="49">
        <f t="shared" si="13"/>
        <v>277.34159653563461</v>
      </c>
      <c r="L44" s="49">
        <f t="shared" si="13"/>
        <v>280.29563950066455</v>
      </c>
      <c r="M44" s="49">
        <f t="shared" si="13"/>
        <v>282.09668929197869</v>
      </c>
      <c r="N44" s="49">
        <f t="shared" si="13"/>
        <v>285.34447261954898</v>
      </c>
      <c r="O44" s="49">
        <f t="shared" si="13"/>
        <v>288.6165141181902</v>
      </c>
      <c r="P44" s="49">
        <f t="shared" ref="P44:Q44" si="14">P52/P37</f>
        <v>293.08717325022917</v>
      </c>
      <c r="Q44" s="49">
        <f t="shared" si="14"/>
        <v>297.9352749616649</v>
      </c>
      <c r="R44" s="49">
        <f t="shared" si="8"/>
        <v>289.41602484832237</v>
      </c>
      <c r="S44" s="24"/>
      <c r="T44" s="24"/>
    </row>
    <row r="45" spans="1:41" x14ac:dyDescent="0.35">
      <c r="A45" s="24"/>
      <c r="B45" s="24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</row>
    <row r="46" spans="1:41" x14ac:dyDescent="0.35">
      <c r="A46" s="25" t="s">
        <v>87</v>
      </c>
      <c r="B46" s="25" t="s">
        <v>87</v>
      </c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</row>
    <row r="47" spans="1:41" x14ac:dyDescent="0.35">
      <c r="C47" s="25"/>
      <c r="D47" s="18">
        <v>2006</v>
      </c>
      <c r="E47" s="18">
        <v>2007</v>
      </c>
      <c r="F47" s="18">
        <v>2008</v>
      </c>
      <c r="G47" s="18">
        <v>2009</v>
      </c>
      <c r="H47" s="18">
        <v>2010</v>
      </c>
      <c r="I47" s="18">
        <v>2011</v>
      </c>
      <c r="J47" s="18">
        <v>2012</v>
      </c>
      <c r="K47" s="18">
        <v>2013</v>
      </c>
      <c r="L47" s="18">
        <v>2014</v>
      </c>
      <c r="M47" s="18">
        <v>2015</v>
      </c>
      <c r="N47" s="18">
        <v>2016</v>
      </c>
      <c r="O47" s="18">
        <v>2017</v>
      </c>
      <c r="P47" s="18">
        <v>2018</v>
      </c>
      <c r="Q47" s="18">
        <v>2019</v>
      </c>
      <c r="R47" s="18" t="s">
        <v>98</v>
      </c>
      <c r="S47" s="24"/>
      <c r="T47" s="24"/>
    </row>
    <row r="48" spans="1:41" x14ac:dyDescent="0.35">
      <c r="A48" s="38" t="s">
        <v>37</v>
      </c>
      <c r="B48" s="38" t="s">
        <v>91</v>
      </c>
      <c r="C48" s="38" t="s">
        <v>88</v>
      </c>
      <c r="D48" s="49">
        <v>778839</v>
      </c>
      <c r="E48" s="49">
        <v>779426</v>
      </c>
      <c r="F48" s="49">
        <v>781110</v>
      </c>
      <c r="G48" s="49">
        <v>814467</v>
      </c>
      <c r="H48" s="49">
        <v>826964</v>
      </c>
      <c r="I48" s="49">
        <v>836055</v>
      </c>
      <c r="J48" s="49">
        <v>844153</v>
      </c>
      <c r="K48" s="49">
        <v>847766</v>
      </c>
      <c r="L48" s="49">
        <v>851766.5</v>
      </c>
      <c r="M48" s="49">
        <v>853939</v>
      </c>
      <c r="N48" s="49">
        <v>858646.5</v>
      </c>
      <c r="O48" s="49">
        <v>878299.5</v>
      </c>
      <c r="P48" s="49">
        <v>894397</v>
      </c>
      <c r="Q48" s="49">
        <v>906197.5</v>
      </c>
      <c r="R48" s="49">
        <f>AVERAGE(M48:Q48)</f>
        <v>878295.9</v>
      </c>
      <c r="S48" s="24"/>
      <c r="T48" s="24"/>
    </row>
    <row r="49" spans="1:20" x14ac:dyDescent="0.35">
      <c r="A49" s="38" t="s">
        <v>21</v>
      </c>
      <c r="B49" s="38" t="s">
        <v>92</v>
      </c>
      <c r="C49" s="38" t="s">
        <v>88</v>
      </c>
      <c r="D49" s="49">
        <v>1836193.56238094</v>
      </c>
      <c r="E49" s="49">
        <v>1871223.97666665</v>
      </c>
      <c r="F49" s="49">
        <v>1911491.9433333301</v>
      </c>
      <c r="G49" s="49">
        <v>1950651.6833333101</v>
      </c>
      <c r="H49" s="49">
        <v>1984514.33333332</v>
      </c>
      <c r="I49" s="49">
        <v>2015522.49999999</v>
      </c>
      <c r="J49" s="49">
        <v>2043128.49999999</v>
      </c>
      <c r="K49" s="49">
        <v>2070142.49999999</v>
      </c>
      <c r="L49" s="49">
        <v>2098413</v>
      </c>
      <c r="M49" s="49">
        <v>2125481.5</v>
      </c>
      <c r="N49" s="49">
        <v>2160875.5</v>
      </c>
      <c r="O49" s="49">
        <v>2193748</v>
      </c>
      <c r="P49" s="49">
        <v>2233927</v>
      </c>
      <c r="Q49" s="49">
        <v>2262241</v>
      </c>
      <c r="R49" s="49">
        <f t="shared" ref="R49:R52" si="15">AVERAGE(M49:Q49)</f>
        <v>2195254.6</v>
      </c>
      <c r="S49" s="24"/>
      <c r="T49" s="24"/>
    </row>
    <row r="50" spans="1:20" x14ac:dyDescent="0.35">
      <c r="A50" s="38" t="s">
        <v>35</v>
      </c>
      <c r="B50" s="38" t="s">
        <v>93</v>
      </c>
      <c r="C50" s="38" t="s">
        <v>88</v>
      </c>
      <c r="D50" s="49">
        <v>2470249.51547518</v>
      </c>
      <c r="E50" s="49">
        <v>2509726.8842806499</v>
      </c>
      <c r="F50" s="49">
        <v>2545782.2358690398</v>
      </c>
      <c r="G50" s="49">
        <v>2578966.0261046896</v>
      </c>
      <c r="H50" s="49">
        <v>2614510.15936684</v>
      </c>
      <c r="I50" s="49">
        <v>2654853.9193331497</v>
      </c>
      <c r="J50" s="49">
        <v>2695849.7355015501</v>
      </c>
      <c r="K50" s="49">
        <v>2733294.23256562</v>
      </c>
      <c r="L50" s="49">
        <v>2753233.8908079602</v>
      </c>
      <c r="M50" s="49">
        <v>2797458.1834702599</v>
      </c>
      <c r="N50" s="49">
        <v>2845589</v>
      </c>
      <c r="O50" s="49">
        <v>2902040</v>
      </c>
      <c r="P50" s="49">
        <v>2948966</v>
      </c>
      <c r="Q50" s="49">
        <v>3013208</v>
      </c>
      <c r="R50" s="49">
        <f t="shared" si="15"/>
        <v>2901452.2366940519</v>
      </c>
      <c r="S50" s="24"/>
      <c r="T50" s="24"/>
    </row>
    <row r="51" spans="1:20" x14ac:dyDescent="0.35">
      <c r="A51" s="38" t="s">
        <v>29</v>
      </c>
      <c r="B51" s="38" t="s">
        <v>94</v>
      </c>
      <c r="C51" s="38" t="s">
        <v>88</v>
      </c>
      <c r="D51" s="49">
        <v>250642.5242013</v>
      </c>
      <c r="E51" s="49">
        <v>255484.38545674999</v>
      </c>
      <c r="F51" s="49">
        <v>260424.25945124001</v>
      </c>
      <c r="G51" s="49">
        <v>265464.13023523003</v>
      </c>
      <c r="H51" s="49">
        <v>270606.02202186</v>
      </c>
      <c r="I51" s="49">
        <v>275851.99999998999</v>
      </c>
      <c r="J51" s="49">
        <v>278391.99999998999</v>
      </c>
      <c r="K51" s="49">
        <v>279867.99999998999</v>
      </c>
      <c r="L51" s="49">
        <v>280750</v>
      </c>
      <c r="M51" s="49">
        <v>283059</v>
      </c>
      <c r="N51" s="49">
        <v>285325</v>
      </c>
      <c r="O51" s="49">
        <v>287651.5001</v>
      </c>
      <c r="P51" s="49">
        <v>287936</v>
      </c>
      <c r="Q51" s="49">
        <v>290446</v>
      </c>
      <c r="R51" s="49">
        <f t="shared" si="15"/>
        <v>286883.50002000004</v>
      </c>
      <c r="S51" s="24"/>
      <c r="T51" s="24"/>
    </row>
    <row r="52" spans="1:20" x14ac:dyDescent="0.35">
      <c r="A52" s="38" t="s">
        <v>38</v>
      </c>
      <c r="B52" s="38" t="s">
        <v>95</v>
      </c>
      <c r="C52" s="38" t="s">
        <v>88</v>
      </c>
      <c r="D52" s="49">
        <v>3349280.7933019502</v>
      </c>
      <c r="E52" s="49">
        <v>3382886.3052992402</v>
      </c>
      <c r="F52" s="49">
        <v>3417292.5367963999</v>
      </c>
      <c r="G52" s="49">
        <v>3447420.2077966202</v>
      </c>
      <c r="H52" s="49">
        <v>3473076.79272155</v>
      </c>
      <c r="I52" s="49">
        <v>3507176.7698001899</v>
      </c>
      <c r="J52" s="49">
        <v>3536976.1883934401</v>
      </c>
      <c r="K52" s="49">
        <v>3575936.323899</v>
      </c>
      <c r="L52" s="49">
        <v>3624129</v>
      </c>
      <c r="M52" s="49">
        <v>3674243</v>
      </c>
      <c r="N52" s="49">
        <v>3720662.2206584597</v>
      </c>
      <c r="O52" s="49">
        <v>3774559.4999999898</v>
      </c>
      <c r="P52" s="49">
        <v>3836363</v>
      </c>
      <c r="Q52" s="49">
        <v>3888763</v>
      </c>
      <c r="R52" s="49">
        <f t="shared" si="15"/>
        <v>3778918.1441316903</v>
      </c>
      <c r="S52" s="24"/>
      <c r="T52" s="24"/>
    </row>
  </sheetData>
  <pageMargins left="0.7" right="0.7" top="0.75" bottom="0.75" header="0.3" footer="0.3"/>
  <pageSetup paperSize="9" orientation="portrait" r:id="rId1"/>
  <extLst>
    <ext xmlns:x14="http://schemas.microsoft.com/office/spreadsheetml/2009/9/main" uri="{05C60535-1F16-4fd2-B633-F4F36F0B64E0}">
      <x14:sparklineGroups xmlns:xm="http://schemas.microsoft.com/office/excel/2006/main">
        <x14:sparklineGroup displayEmptyCellsAs="gap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'Physical data'!D11:M11</xm:f>
              <xm:sqref>R11</xm:sqref>
            </x14:sparkline>
          </x14:sparklines>
        </x14:sparklineGroup>
        <x14:sparklineGroup displayEmptyCellsAs="gap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'Physical data'!D12:M12</xm:f>
              <xm:sqref>R12</xm:sqref>
            </x14:sparkline>
          </x14:sparklines>
        </x14:sparklineGroup>
        <x14:sparklineGroup displayEmptyCellsAs="gap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'Physical data'!D13:M13</xm:f>
              <xm:sqref>R13</xm:sqref>
            </x14:sparkline>
          </x14:sparklines>
        </x14:sparklineGroup>
        <x14:sparklineGroup displayEmptyCellsAs="gap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'Physical data'!D14:M14</xm:f>
              <xm:sqref>R14</xm:sqref>
            </x14:sparkline>
          </x14:sparklines>
        </x14:sparklineGroup>
        <x14:sparklineGroup displayEmptyCellsAs="gap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'Physical data'!D15:M15</xm:f>
              <xm:sqref>R15</xm:sqref>
            </x14:sparkline>
          </x14:sparklines>
        </x14:sparklineGroup>
        <x14:sparklineGroup displayEmptyCellsAs="gap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'Physical data'!D18:M18</xm:f>
              <xm:sqref>R18</xm:sqref>
            </x14:sparkline>
          </x14:sparklines>
        </x14:sparklineGroup>
        <x14:sparklineGroup displayEmptyCellsAs="gap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'Physical data'!D19:M19</xm:f>
              <xm:sqref>R19</xm:sqref>
            </x14:sparkline>
          </x14:sparklines>
        </x14:sparklineGroup>
        <x14:sparklineGroup displayEmptyCellsAs="gap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'Physical data'!D20:M20</xm:f>
              <xm:sqref>R20</xm:sqref>
            </x14:sparkline>
          </x14:sparklines>
        </x14:sparklineGroup>
        <x14:sparklineGroup displayEmptyCellsAs="gap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'Physical data'!D21:M21</xm:f>
              <xm:sqref>R21</xm:sqref>
            </x14:sparkline>
          </x14:sparklines>
        </x14:sparklineGroup>
        <x14:sparklineGroup displayEmptyCellsAs="gap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'Physical data'!D22:M22</xm:f>
              <xm:sqref>R22</xm:sqref>
            </x14:sparkline>
          </x14:sparklines>
        </x14:sparklineGroup>
        <x14:sparklineGroup displayEmptyCellsAs="gap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'Physical data'!D33:M33</xm:f>
              <xm:sqref>R33</xm:sqref>
            </x14:sparkline>
          </x14:sparklines>
        </x14:sparklineGroup>
        <x14:sparklineGroup displayEmptyCellsAs="gap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'Physical data'!D34:M34</xm:f>
              <xm:sqref>R34</xm:sqref>
            </x14:sparkline>
          </x14:sparklines>
        </x14:sparklineGroup>
        <x14:sparklineGroup displayEmptyCellsAs="gap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'Physical data'!D35:M35</xm:f>
              <xm:sqref>R35</xm:sqref>
            </x14:sparkline>
          </x14:sparklines>
        </x14:sparklineGroup>
        <x14:sparklineGroup displayEmptyCellsAs="gap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'Physical data'!D36:M36</xm:f>
              <xm:sqref>R36</xm:sqref>
            </x14:sparkline>
          </x14:sparklines>
        </x14:sparklineGroup>
        <x14:sparklineGroup displayEmptyCellsAs="gap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'Physical data'!D37:M37</xm:f>
              <xm:sqref>R37</xm:sqref>
            </x14:sparkline>
          </x14:sparklines>
        </x14:sparklineGroup>
        <x14:sparklineGroup displayEmptyCellsAs="gap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'Physical data'!D3:Q3</xm:f>
              <xm:sqref>R3</xm:sqref>
            </x14:sparkline>
            <x14:sparkline>
              <xm:f>'Physical data'!D4:Q4</xm:f>
              <xm:sqref>R4</xm:sqref>
            </x14:sparkline>
            <x14:sparkline>
              <xm:f>'Physical data'!D5:Q5</xm:f>
              <xm:sqref>R5</xm:sqref>
            </x14:sparkline>
            <x14:sparkline>
              <xm:f>'Physical data'!D6:Q6</xm:f>
              <xm:sqref>R6</xm:sqref>
            </x14:sparkline>
            <x14:sparkline>
              <xm:f>'Physical data'!D7:Q7</xm:f>
              <xm:sqref>R7</xm:sqref>
            </x14:sparkline>
          </x14:sparklines>
        </x14:sparklineGroup>
      </x14:sparklineGroup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25"/>
  <sheetViews>
    <sheetView zoomScale="85" zoomScaleNormal="85" workbookViewId="0">
      <selection activeCell="V44" sqref="V44"/>
    </sheetView>
  </sheetViews>
  <sheetFormatPr defaultRowHeight="14.5" x14ac:dyDescent="0.35"/>
  <sheetData>
    <row r="1" spans="1:47" x14ac:dyDescent="0.35">
      <c r="A1" s="11" t="s">
        <v>83</v>
      </c>
    </row>
    <row r="2" spans="1:47" ht="26" x14ac:dyDescent="0.6">
      <c r="B2" s="20" t="s">
        <v>103</v>
      </c>
      <c r="M2" s="50" t="s">
        <v>105</v>
      </c>
      <c r="X2" s="50" t="s">
        <v>106</v>
      </c>
      <c r="AC2" s="10"/>
      <c r="AU2" s="10"/>
    </row>
    <row r="22" spans="2:13" s="17" customFormat="1" x14ac:dyDescent="0.35"/>
    <row r="24" spans="2:13" ht="26" x14ac:dyDescent="0.6">
      <c r="B24" s="50"/>
      <c r="C24" s="24"/>
      <c r="L24" s="10"/>
      <c r="M24" s="20"/>
    </row>
    <row r="25" spans="2:13" x14ac:dyDescent="0.35">
      <c r="B25" s="24"/>
      <c r="C25" s="24"/>
    </row>
  </sheetData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workbookViewId="0">
      <selection activeCell="E30" sqref="E30"/>
    </sheetView>
  </sheetViews>
  <sheetFormatPr defaultRowHeight="14.5" x14ac:dyDescent="0.35"/>
  <cols>
    <col min="1" max="1" width="17.54296875" customWidth="1"/>
    <col min="2" max="6" width="20" customWidth="1"/>
    <col min="7" max="7" width="19.1796875" customWidth="1"/>
    <col min="8" max="9" width="17.81640625" customWidth="1"/>
  </cols>
  <sheetData>
    <row r="1" spans="1:9" x14ac:dyDescent="0.35">
      <c r="A1" s="25" t="s">
        <v>57</v>
      </c>
      <c r="B1" s="24"/>
      <c r="C1" s="24"/>
      <c r="D1" s="24"/>
      <c r="E1" s="24"/>
      <c r="F1" s="24"/>
      <c r="G1" s="24"/>
      <c r="H1" s="2"/>
      <c r="I1" s="2"/>
    </row>
    <row r="2" spans="1:9" x14ac:dyDescent="0.35">
      <c r="A2" s="25" t="s">
        <v>52</v>
      </c>
      <c r="B2" s="24"/>
      <c r="C2" s="24"/>
      <c r="D2" s="24"/>
      <c r="E2" s="24"/>
      <c r="F2" s="24"/>
      <c r="G2" s="24"/>
      <c r="H2" s="2"/>
      <c r="I2" s="2"/>
    </row>
    <row r="3" spans="1:9" x14ac:dyDescent="0.35">
      <c r="A3" s="24"/>
      <c r="B3" s="24" t="str">
        <f>'Physical data'!D24</f>
        <v>Circuit line length</v>
      </c>
      <c r="C3" s="24" t="str">
        <f>'Physical data'!E24</f>
        <v>Energy transported</v>
      </c>
      <c r="D3" s="24" t="str">
        <f>'Physical data'!F24</f>
        <v>Maximum demand</v>
      </c>
      <c r="E3" s="24"/>
      <c r="F3" s="24"/>
      <c r="G3" s="24"/>
      <c r="H3" s="2"/>
      <c r="I3" s="2"/>
    </row>
    <row r="4" spans="1:9" s="17" customFormat="1" x14ac:dyDescent="0.35">
      <c r="A4" s="24"/>
      <c r="B4" s="51" t="str">
        <f>'Physical data'!D25</f>
        <v>km</v>
      </c>
      <c r="C4" s="52" t="s">
        <v>70</v>
      </c>
      <c r="D4" s="51" t="str">
        <f>'Physical data'!F25</f>
        <v>MVA</v>
      </c>
      <c r="E4" s="51"/>
      <c r="F4" s="24"/>
      <c r="G4" s="24"/>
    </row>
    <row r="5" spans="1:9" x14ac:dyDescent="0.35">
      <c r="A5" s="24" t="str">
        <f>'Physical data'!B26</f>
        <v>ENT</v>
      </c>
      <c r="B5" s="51">
        <f>'Physical data'!D26</f>
        <v>5520</v>
      </c>
      <c r="C5" s="51">
        <f>'Physical data'!E26/1000</f>
        <v>13491.975</v>
      </c>
      <c r="D5" s="51">
        <f>'Physical data'!F26</f>
        <v>3381</v>
      </c>
      <c r="E5" s="51"/>
      <c r="F5" s="24"/>
      <c r="G5" s="24"/>
      <c r="H5" s="2"/>
      <c r="I5" s="2"/>
    </row>
    <row r="6" spans="1:9" x14ac:dyDescent="0.35">
      <c r="A6" s="24" t="str">
        <f>'Physical data'!B27</f>
        <v>PLK</v>
      </c>
      <c r="B6" s="51">
        <f>'Physical data'!D27</f>
        <v>14619</v>
      </c>
      <c r="C6" s="51">
        <f>'Physical data'!E27/1000</f>
        <v>53765.680999999997</v>
      </c>
      <c r="D6" s="51">
        <f>'Physical data'!F27</f>
        <v>12207</v>
      </c>
      <c r="E6" s="51"/>
      <c r="F6" s="24"/>
      <c r="G6" s="24"/>
      <c r="H6" s="2"/>
      <c r="I6" s="2"/>
    </row>
    <row r="7" spans="1:9" x14ac:dyDescent="0.35">
      <c r="A7" s="24" t="str">
        <f>'Physical data'!B28</f>
        <v>ANT</v>
      </c>
      <c r="B7" s="51">
        <f>'Physical data'!D28</f>
        <v>6589</v>
      </c>
      <c r="C7" s="51">
        <f>'Physical data'!E28/1000</f>
        <v>45161.324000000001</v>
      </c>
      <c r="D7" s="51">
        <f>'Physical data'!F28</f>
        <v>9719</v>
      </c>
      <c r="E7" s="51"/>
      <c r="F7" s="24"/>
      <c r="G7" s="24"/>
      <c r="H7" s="2"/>
      <c r="I7" s="2"/>
    </row>
    <row r="8" spans="1:9" x14ac:dyDescent="0.35">
      <c r="A8" s="24" t="str">
        <f>'Physical data'!B29</f>
        <v>TNT</v>
      </c>
      <c r="B8" s="51">
        <f>'Physical data'!D29</f>
        <v>3556</v>
      </c>
      <c r="C8" s="51">
        <f>'Physical data'!E29/1000</f>
        <v>12501.95</v>
      </c>
      <c r="D8" s="51">
        <f>'Physical data'!F29</f>
        <v>2495</v>
      </c>
      <c r="E8" s="51"/>
      <c r="F8" s="24"/>
      <c r="G8" s="24"/>
      <c r="H8" s="2"/>
      <c r="I8" s="2"/>
    </row>
    <row r="9" spans="1:9" x14ac:dyDescent="0.35">
      <c r="A9" s="24" t="str">
        <f>'Physical data'!B30</f>
        <v>TRG</v>
      </c>
      <c r="B9" s="51">
        <f>'Physical data'!D30</f>
        <v>13057</v>
      </c>
      <c r="C9" s="51">
        <f>'Physical data'!E30/1000</f>
        <v>74340</v>
      </c>
      <c r="D9" s="51">
        <f>'Physical data'!F30</f>
        <v>18080</v>
      </c>
      <c r="E9" s="51"/>
      <c r="F9" s="24"/>
      <c r="G9" s="24"/>
      <c r="H9" s="2"/>
      <c r="I9" s="2"/>
    </row>
    <row r="10" spans="1:9" x14ac:dyDescent="0.35">
      <c r="A10" s="24"/>
      <c r="B10" s="24"/>
      <c r="C10" s="24"/>
      <c r="D10" s="24"/>
      <c r="E10" s="24"/>
      <c r="F10" s="24"/>
      <c r="G10" s="24"/>
      <c r="H10" s="2"/>
      <c r="I10" s="2"/>
    </row>
    <row r="11" spans="1:9" x14ac:dyDescent="0.35">
      <c r="A11" s="25" t="s">
        <v>51</v>
      </c>
      <c r="B11" s="24"/>
      <c r="C11" s="24"/>
      <c r="D11" s="24"/>
      <c r="E11" s="24"/>
      <c r="F11" s="24"/>
      <c r="G11" s="24"/>
      <c r="H11" s="2"/>
      <c r="I11" s="2"/>
    </row>
    <row r="12" spans="1:9" x14ac:dyDescent="0.35">
      <c r="A12" s="24"/>
      <c r="B12" s="24" t="s">
        <v>25</v>
      </c>
      <c r="C12" s="24" t="s">
        <v>26</v>
      </c>
      <c r="D12" s="24" t="s">
        <v>27</v>
      </c>
      <c r="E12" s="24" t="s">
        <v>23</v>
      </c>
      <c r="F12" s="24" t="s">
        <v>28</v>
      </c>
      <c r="G12" s="24"/>
    </row>
    <row r="13" spans="1:9" s="17" customFormat="1" x14ac:dyDescent="0.35">
      <c r="A13" s="24"/>
      <c r="B13" s="24" t="str">
        <f>Opex!$B$15</f>
        <v>$'000 2019</v>
      </c>
      <c r="C13" s="24" t="str">
        <f>Capex!$B$15</f>
        <v>$'000 2019</v>
      </c>
      <c r="D13" s="24" t="str">
        <f>RAB!$B$15</f>
        <v>$'000 2019</v>
      </c>
      <c r="E13" s="24" t="str">
        <f>Depreciation!$B$15</f>
        <v>$'000 2019</v>
      </c>
      <c r="F13" s="24" t="str">
        <f>'Asset cost and Total cost'!$B$7</f>
        <v>$'000 2019</v>
      </c>
      <c r="G13" s="24"/>
    </row>
    <row r="14" spans="1:9" x14ac:dyDescent="0.35">
      <c r="A14" s="24" t="s">
        <v>37</v>
      </c>
      <c r="B14" s="40">
        <f>Opex!Q15</f>
        <v>92858.609310593907</v>
      </c>
      <c r="C14" s="40">
        <f>Capex!Q15</f>
        <v>165898.06086191395</v>
      </c>
      <c r="D14" s="40">
        <f>RAB!Q15</f>
        <v>2302099.915424603</v>
      </c>
      <c r="E14" s="40">
        <f>ABS(Depreciation!Q15)</f>
        <v>104297.53836133734</v>
      </c>
      <c r="F14" s="40">
        <f>'Asset cost and Total cost'!Q7</f>
        <v>181482.01751541873</v>
      </c>
      <c r="G14" s="24"/>
    </row>
    <row r="15" spans="1:9" x14ac:dyDescent="0.35">
      <c r="A15" s="24" t="s">
        <v>21</v>
      </c>
      <c r="B15" s="40">
        <f>Opex!Q16</f>
        <v>220027.15738013253</v>
      </c>
      <c r="C15" s="40">
        <f>Capex!Q16</f>
        <v>184765.70728936288</v>
      </c>
      <c r="D15" s="40">
        <f>RAB!Q16</f>
        <v>6951002.839812139</v>
      </c>
      <c r="E15" s="40">
        <f>ABS(Depreciation!Q16)</f>
        <v>286761.76294917392</v>
      </c>
      <c r="F15" s="40">
        <f>'Asset cost and Total cost'!Q8</f>
        <v>519813.99938543903</v>
      </c>
      <c r="G15" s="24"/>
    </row>
    <row r="16" spans="1:9" x14ac:dyDescent="0.35">
      <c r="A16" s="24" t="s">
        <v>35</v>
      </c>
      <c r="B16" s="40">
        <f>Opex!Q17</f>
        <v>91203.200925291239</v>
      </c>
      <c r="C16" s="40">
        <f>Capex!Q17</f>
        <v>145734.71434991344</v>
      </c>
      <c r="D16" s="40">
        <f>RAB!Q17</f>
        <v>3058916.8010738245</v>
      </c>
      <c r="E16" s="40">
        <f>ABS(Depreciation!Q17)</f>
        <v>170262.78792727547</v>
      </c>
      <c r="F16" s="40">
        <f>'Asset cost and Total cost'!Q9</f>
        <v>272821.7161843077</v>
      </c>
      <c r="G16" s="24"/>
    </row>
    <row r="17" spans="1:7" x14ac:dyDescent="0.35">
      <c r="A17" s="24" t="s">
        <v>29</v>
      </c>
      <c r="B17" s="40">
        <f>Opex!Q18</f>
        <v>34743.506694675314</v>
      </c>
      <c r="C17" s="40">
        <f>Capex!Q18</f>
        <v>40982.355460838837</v>
      </c>
      <c r="D17" s="40">
        <f>RAB!Q18</f>
        <v>1455851.1627689542</v>
      </c>
      <c r="E17" s="40">
        <f>ABS(Depreciation!Q18)</f>
        <v>62339.436865244861</v>
      </c>
      <c r="F17" s="40">
        <f>'Asset cost and Total cost'!Q10</f>
        <v>111151.00797529375</v>
      </c>
      <c r="G17" s="24"/>
    </row>
    <row r="18" spans="1:7" x14ac:dyDescent="0.35">
      <c r="A18" s="24" t="s">
        <v>38</v>
      </c>
      <c r="B18" s="40">
        <f>Opex!Q19</f>
        <v>172308.93966972397</v>
      </c>
      <c r="C18" s="40">
        <f>Capex!Q19</f>
        <v>254929.53657650115</v>
      </c>
      <c r="D18" s="40">
        <f>RAB!Q19</f>
        <v>6388401.6236071391</v>
      </c>
      <c r="E18" s="40">
        <f>ABS(Depreciation!Q19)</f>
        <v>275550.99101876561</v>
      </c>
      <c r="F18" s="40">
        <f>'Asset cost and Total cost'!Q11</f>
        <v>489740.41374599736</v>
      </c>
      <c r="G18" s="24"/>
    </row>
    <row r="19" spans="1:7" x14ac:dyDescent="0.35">
      <c r="A19" s="24"/>
      <c r="B19" s="24"/>
      <c r="C19" s="24"/>
      <c r="D19" s="24"/>
      <c r="E19" s="24"/>
      <c r="F19" s="24"/>
      <c r="G19" s="24"/>
    </row>
    <row r="20" spans="1:7" x14ac:dyDescent="0.35">
      <c r="A20" s="24"/>
      <c r="B20" s="24"/>
      <c r="C20" s="24"/>
      <c r="D20" s="24"/>
      <c r="E20" s="24"/>
      <c r="F20" s="24"/>
      <c r="G20" s="24"/>
    </row>
    <row r="21" spans="1:7" x14ac:dyDescent="0.35">
      <c r="A21" s="24"/>
      <c r="B21" s="24"/>
      <c r="C21" s="24"/>
      <c r="D21" s="24"/>
      <c r="E21" s="24"/>
      <c r="F21" s="24"/>
      <c r="G21" s="24"/>
    </row>
    <row r="22" spans="1:7" x14ac:dyDescent="0.35">
      <c r="E22" s="2"/>
    </row>
    <row r="23" spans="1:7" x14ac:dyDescent="0.35">
      <c r="E23" s="2"/>
    </row>
    <row r="24" spans="1:7" x14ac:dyDescent="0.35">
      <c r="E24" s="2"/>
    </row>
    <row r="25" spans="1:7" x14ac:dyDescent="0.35">
      <c r="E25" s="2"/>
    </row>
    <row r="26" spans="1:7" x14ac:dyDescent="0.35">
      <c r="E26" s="2"/>
    </row>
    <row r="27" spans="1:7" x14ac:dyDescent="0.35">
      <c r="E27" s="2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0"/>
  <sheetViews>
    <sheetView topLeftCell="A4" zoomScale="70" zoomScaleNormal="70" workbookViewId="0">
      <selection activeCell="M76" sqref="M76"/>
    </sheetView>
  </sheetViews>
  <sheetFormatPr defaultRowHeight="14.5" x14ac:dyDescent="0.35"/>
  <cols>
    <col min="21" max="21" width="9.1796875" customWidth="1"/>
  </cols>
  <sheetData>
    <row r="1" spans="1:15" ht="21" x14ac:dyDescent="0.5">
      <c r="A1" s="11" t="s">
        <v>85</v>
      </c>
      <c r="O1" s="20" t="s">
        <v>99</v>
      </c>
    </row>
    <row r="2" spans="1:15" ht="21" x14ac:dyDescent="0.5">
      <c r="A2" s="50" t="s">
        <v>115</v>
      </c>
    </row>
    <row r="20" spans="1:16" s="17" customFormat="1" x14ac:dyDescent="0.35"/>
    <row r="21" spans="1:16" s="17" customFormat="1" x14ac:dyDescent="0.35"/>
    <row r="22" spans="1:16" s="17" customFormat="1" x14ac:dyDescent="0.35"/>
    <row r="23" spans="1:16" s="17" customFormat="1" x14ac:dyDescent="0.35"/>
    <row r="24" spans="1:16" s="17" customFormat="1" x14ac:dyDescent="0.35"/>
    <row r="25" spans="1:16" s="17" customFormat="1" x14ac:dyDescent="0.35"/>
    <row r="26" spans="1:16" s="17" customFormat="1" x14ac:dyDescent="0.35"/>
    <row r="27" spans="1:16" ht="21" x14ac:dyDescent="0.5">
      <c r="A27" s="50" t="s">
        <v>116</v>
      </c>
      <c r="P27" s="50" t="s">
        <v>119</v>
      </c>
    </row>
    <row r="31" spans="1:16" s="17" customFormat="1" x14ac:dyDescent="0.35"/>
    <row r="32" spans="1:16" s="17" customFormat="1" x14ac:dyDescent="0.35"/>
    <row r="33" s="17" customFormat="1" x14ac:dyDescent="0.35"/>
    <row r="34" s="17" customFormat="1" x14ac:dyDescent="0.35"/>
    <row r="35" s="17" customFormat="1" x14ac:dyDescent="0.35"/>
    <row r="36" s="17" customFormat="1" x14ac:dyDescent="0.35"/>
    <row r="37" s="17" customFormat="1" x14ac:dyDescent="0.35"/>
    <row r="38" s="17" customFormat="1" x14ac:dyDescent="0.35"/>
    <row r="39" s="17" customFormat="1" x14ac:dyDescent="0.35"/>
    <row r="40" s="17" customFormat="1" x14ac:dyDescent="0.35"/>
    <row r="41" s="17" customFormat="1" x14ac:dyDescent="0.35"/>
    <row r="50" spans="1:16" s="17" customFormat="1" x14ac:dyDescent="0.35"/>
    <row r="51" spans="1:16" s="17" customFormat="1" x14ac:dyDescent="0.35"/>
    <row r="53" spans="1:16" ht="26" x14ac:dyDescent="0.6">
      <c r="A53" s="50" t="s">
        <v>117</v>
      </c>
      <c r="J53" s="10"/>
      <c r="P53" s="50" t="s">
        <v>104</v>
      </c>
    </row>
    <row r="59" spans="1:16" s="17" customFormat="1" x14ac:dyDescent="0.35"/>
    <row r="60" spans="1:16" s="17" customFormat="1" x14ac:dyDescent="0.35"/>
    <row r="61" spans="1:16" s="17" customFormat="1" x14ac:dyDescent="0.35"/>
    <row r="62" spans="1:16" s="17" customFormat="1" x14ac:dyDescent="0.35"/>
    <row r="63" spans="1:16" s="17" customFormat="1" x14ac:dyDescent="0.35"/>
    <row r="64" spans="1:16" s="17" customFormat="1" x14ac:dyDescent="0.35"/>
    <row r="65" spans="1:26" s="17" customFormat="1" x14ac:dyDescent="0.35"/>
    <row r="66" spans="1:26" s="17" customFormat="1" x14ac:dyDescent="0.35"/>
    <row r="67" spans="1:26" s="17" customFormat="1" x14ac:dyDescent="0.35"/>
    <row r="74" spans="1:26" s="17" customFormat="1" ht="21" x14ac:dyDescent="0.5">
      <c r="P74" s="50" t="s">
        <v>100</v>
      </c>
    </row>
    <row r="75" spans="1:26" s="17" customFormat="1" x14ac:dyDescent="0.35"/>
    <row r="76" spans="1:26" ht="21" x14ac:dyDescent="0.5">
      <c r="P76" s="20"/>
      <c r="Z76" s="24"/>
    </row>
    <row r="78" spans="1:26" ht="26" x14ac:dyDescent="0.6">
      <c r="A78" s="50" t="s">
        <v>118</v>
      </c>
      <c r="B78" s="2"/>
      <c r="K78" s="10"/>
    </row>
    <row r="98" spans="16:16" s="17" customFormat="1" x14ac:dyDescent="0.35"/>
    <row r="99" spans="16:16" s="17" customFormat="1" x14ac:dyDescent="0.35"/>
    <row r="100" spans="16:16" ht="21" x14ac:dyDescent="0.5">
      <c r="P100" s="50" t="s">
        <v>101</v>
      </c>
    </row>
  </sheetData>
  <pageMargins left="0.7" right="0.7" top="0.75" bottom="0.75" header="0.3" footer="0.3"/>
  <pageSetup paperSize="9" scale="53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04"/>
  <sheetViews>
    <sheetView zoomScale="50" zoomScaleNormal="50" workbookViewId="0">
      <pane xSplit="2" topLeftCell="C1" activePane="topRight" state="frozen"/>
      <selection pane="topRight" activeCell="O49" sqref="O49"/>
    </sheetView>
  </sheetViews>
  <sheetFormatPr defaultColWidth="9.1796875" defaultRowHeight="14.5" x14ac:dyDescent="0.35"/>
  <cols>
    <col min="1" max="1" width="44.453125" style="56" customWidth="1"/>
    <col min="2" max="2" width="44.453125" style="2" customWidth="1"/>
    <col min="3" max="3" width="16.7265625" style="17" customWidth="1"/>
    <col min="4" max="6" width="20.7265625" style="2" customWidth="1"/>
    <col min="7" max="12" width="15.7265625" style="2" customWidth="1"/>
    <col min="13" max="16" width="15.7265625" style="17" customWidth="1"/>
    <col min="17" max="17" width="16.26953125" bestFit="1" customWidth="1"/>
    <col min="18" max="18" width="15.7265625" style="2" customWidth="1"/>
    <col min="19" max="25" width="25.453125" style="2" customWidth="1"/>
    <col min="26" max="26" width="14.7265625" style="2" customWidth="1"/>
    <col min="27" max="27" width="14.54296875" style="2" customWidth="1"/>
    <col min="28" max="28" width="19.81640625" style="2" customWidth="1"/>
    <col min="29" max="30" width="21" style="2" customWidth="1"/>
    <col min="31" max="31" width="12.81640625" style="2" customWidth="1"/>
    <col min="32" max="32" width="16" style="2" customWidth="1"/>
    <col min="33" max="33" width="21.26953125" style="2" customWidth="1"/>
    <col min="34" max="35" width="18.54296875" style="2" customWidth="1"/>
    <col min="36" max="16384" width="9.1796875" style="2"/>
  </cols>
  <sheetData>
    <row r="1" spans="1:25" x14ac:dyDescent="0.35">
      <c r="A1" s="25" t="s">
        <v>84</v>
      </c>
      <c r="B1" s="25" t="s">
        <v>84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R1" s="24"/>
      <c r="S1" s="24"/>
      <c r="T1" s="24"/>
      <c r="U1" s="24"/>
      <c r="V1" s="24"/>
      <c r="W1" s="24"/>
      <c r="X1" s="24"/>
      <c r="Y1" s="24"/>
    </row>
    <row r="2" spans="1:25" s="16" customFormat="1" ht="29" x14ac:dyDescent="0.35">
      <c r="A2" s="25" t="s">
        <v>120</v>
      </c>
      <c r="B2" s="25" t="s">
        <v>120</v>
      </c>
      <c r="C2" s="25"/>
      <c r="D2" s="41" t="s">
        <v>71</v>
      </c>
      <c r="E2" s="41" t="s">
        <v>33</v>
      </c>
      <c r="F2" s="41" t="s">
        <v>124</v>
      </c>
      <c r="G2" s="41"/>
      <c r="H2" s="41"/>
      <c r="I2" s="41"/>
      <c r="J2" s="41"/>
      <c r="K2" s="41"/>
      <c r="L2" s="41"/>
      <c r="M2" s="41"/>
      <c r="N2" s="41"/>
      <c r="O2" s="41"/>
      <c r="P2" s="41"/>
      <c r="R2" s="41"/>
      <c r="S2" s="41"/>
      <c r="T2" s="41"/>
      <c r="U2" s="41"/>
      <c r="V2" s="41"/>
      <c r="W2" s="41"/>
      <c r="X2" s="41"/>
      <c r="Y2" s="41"/>
    </row>
    <row r="3" spans="1:25" s="16" customFormat="1" x14ac:dyDescent="0.35">
      <c r="A3" s="25"/>
      <c r="B3" s="25"/>
      <c r="C3" s="25"/>
      <c r="D3" s="41" t="s">
        <v>121</v>
      </c>
      <c r="E3" s="41" t="s">
        <v>122</v>
      </c>
      <c r="F3" s="41" t="s">
        <v>123</v>
      </c>
      <c r="G3" s="41"/>
      <c r="H3" s="41"/>
      <c r="I3" s="41"/>
      <c r="J3" s="41"/>
      <c r="K3" s="41"/>
      <c r="L3" s="41"/>
      <c r="M3" s="41"/>
      <c r="N3" s="41"/>
      <c r="O3" s="41"/>
      <c r="P3" s="41"/>
      <c r="R3" s="41"/>
      <c r="S3" s="41"/>
      <c r="T3" s="41"/>
      <c r="U3" s="41"/>
      <c r="V3" s="41"/>
      <c r="W3" s="41"/>
      <c r="X3" s="41"/>
      <c r="Y3" s="41"/>
    </row>
    <row r="4" spans="1:25" x14ac:dyDescent="0.35">
      <c r="A4" s="38" t="s">
        <v>37</v>
      </c>
      <c r="B4" s="38" t="s">
        <v>91</v>
      </c>
      <c r="C4" s="38"/>
      <c r="D4" s="28">
        <f>R13</f>
        <v>81198.819054966181</v>
      </c>
      <c r="E4" s="28">
        <f>R21</f>
        <v>20.498956706056848</v>
      </c>
      <c r="F4" s="28">
        <f>R29</f>
        <v>312.2357580968237</v>
      </c>
      <c r="G4" s="24"/>
      <c r="H4" s="24"/>
      <c r="I4" s="24"/>
      <c r="J4" s="24"/>
      <c r="K4" s="24"/>
      <c r="L4" s="24"/>
      <c r="M4" s="24"/>
      <c r="N4" s="24"/>
      <c r="O4" s="24"/>
      <c r="P4" s="24"/>
      <c r="R4" s="24"/>
      <c r="S4" s="24"/>
      <c r="T4" s="24"/>
      <c r="U4" s="24"/>
      <c r="V4" s="24"/>
      <c r="W4" s="24"/>
      <c r="X4" s="24"/>
      <c r="Y4" s="24"/>
    </row>
    <row r="5" spans="1:25" x14ac:dyDescent="0.35">
      <c r="A5" s="38" t="s">
        <v>21</v>
      </c>
      <c r="B5" s="38" t="s">
        <v>92</v>
      </c>
      <c r="C5" s="38"/>
      <c r="D5" s="28">
        <f>R14</f>
        <v>60660.902223827274</v>
      </c>
      <c r="E5" s="28">
        <f>R22</f>
        <v>13.768254049202969</v>
      </c>
      <c r="F5" s="28">
        <f>R30</f>
        <v>337.41279358448384</v>
      </c>
      <c r="G5" s="24"/>
      <c r="H5" s="24"/>
      <c r="I5" s="24"/>
      <c r="J5" s="24"/>
      <c r="K5" s="24"/>
      <c r="L5" s="24"/>
      <c r="M5" s="24"/>
      <c r="N5" s="24"/>
      <c r="O5" s="24"/>
      <c r="P5" s="24"/>
      <c r="R5" s="24"/>
      <c r="S5" s="24"/>
      <c r="T5" s="24"/>
      <c r="U5" s="24"/>
      <c r="V5" s="24"/>
      <c r="W5" s="24"/>
      <c r="X5" s="24"/>
      <c r="Y5" s="24"/>
    </row>
    <row r="6" spans="1:25" x14ac:dyDescent="0.35">
      <c r="A6" s="38" t="s">
        <v>35</v>
      </c>
      <c r="B6" s="38" t="s">
        <v>93</v>
      </c>
      <c r="C6" s="38"/>
      <c r="D6" s="28">
        <f>R15</f>
        <v>37496.118091006982</v>
      </c>
      <c r="E6" s="28">
        <f>R23</f>
        <v>8.1004967199823508</v>
      </c>
      <c r="F6" s="28">
        <f>R31</f>
        <v>125.50658912188783</v>
      </c>
      <c r="G6" s="24"/>
      <c r="H6" s="24"/>
      <c r="I6" s="24"/>
      <c r="J6" s="24"/>
      <c r="K6" s="24"/>
      <c r="L6" s="24"/>
      <c r="M6" s="24"/>
      <c r="N6" s="24"/>
      <c r="O6" s="24"/>
      <c r="P6" s="24"/>
      <c r="R6" s="24"/>
      <c r="S6" s="24"/>
      <c r="T6" s="24"/>
      <c r="U6" s="24"/>
      <c r="V6" s="24"/>
      <c r="W6" s="24"/>
      <c r="X6" s="24"/>
      <c r="Y6" s="24"/>
    </row>
    <row r="7" spans="1:25" x14ac:dyDescent="0.35">
      <c r="A7" s="38" t="s">
        <v>29</v>
      </c>
      <c r="B7" s="38" t="s">
        <v>94</v>
      </c>
      <c r="C7" s="38"/>
      <c r="D7" s="28">
        <f>R16</f>
        <v>58480.123237553693</v>
      </c>
      <c r="E7" s="28">
        <f>R24</f>
        <v>11.6956856418907</v>
      </c>
      <c r="F7" s="28">
        <f>R32</f>
        <v>508.64841063400053</v>
      </c>
      <c r="G7" s="24"/>
      <c r="H7" s="24"/>
      <c r="I7" s="24"/>
      <c r="J7" s="24"/>
      <c r="K7" s="24"/>
      <c r="L7" s="24"/>
      <c r="M7" s="24"/>
      <c r="N7" s="24"/>
      <c r="O7" s="24"/>
      <c r="P7" s="24"/>
      <c r="R7" s="24"/>
      <c r="S7" s="24"/>
      <c r="T7" s="24"/>
      <c r="U7" s="24"/>
      <c r="V7" s="24"/>
      <c r="W7" s="24"/>
      <c r="X7" s="24"/>
      <c r="Y7" s="24"/>
    </row>
    <row r="8" spans="1:25" x14ac:dyDescent="0.35">
      <c r="A8" s="38" t="s">
        <v>38</v>
      </c>
      <c r="B8" s="38" t="s">
        <v>95</v>
      </c>
      <c r="C8" s="38"/>
      <c r="D8" s="28">
        <f>R17</f>
        <v>36709.662441957778</v>
      </c>
      <c r="E8" s="28">
        <f>R25</f>
        <v>8.9095922571320969</v>
      </c>
      <c r="F8" s="28">
        <f>R33</f>
        <v>175.34931968199348</v>
      </c>
      <c r="G8" s="24"/>
      <c r="H8" s="24"/>
      <c r="I8" s="24"/>
      <c r="J8" s="24"/>
      <c r="K8" s="24"/>
      <c r="L8" s="24"/>
      <c r="M8" s="24"/>
      <c r="N8" s="24"/>
      <c r="O8" s="24"/>
      <c r="P8" s="24"/>
      <c r="R8" s="24"/>
      <c r="S8" s="24"/>
      <c r="T8" s="24"/>
      <c r="U8" s="24"/>
      <c r="V8" s="24"/>
      <c r="W8" s="24"/>
      <c r="X8" s="24"/>
      <c r="Y8" s="24"/>
    </row>
    <row r="9" spans="1:25" x14ac:dyDescent="0.35">
      <c r="A9" s="24"/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R9" s="24"/>
      <c r="S9" s="24"/>
      <c r="T9" s="24"/>
      <c r="U9" s="24"/>
      <c r="V9" s="24"/>
      <c r="W9" s="24"/>
      <c r="X9" s="24"/>
      <c r="Y9" s="24"/>
    </row>
    <row r="10" spans="1:25" x14ac:dyDescent="0.35">
      <c r="A10" s="14" t="s">
        <v>32</v>
      </c>
      <c r="B10" s="14" t="s">
        <v>32</v>
      </c>
      <c r="C10" s="1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R10" s="24"/>
      <c r="S10" s="24"/>
      <c r="T10" s="24"/>
      <c r="U10" s="24"/>
      <c r="V10" s="24"/>
      <c r="W10" s="24"/>
      <c r="X10" s="24"/>
      <c r="Y10" s="24"/>
    </row>
    <row r="11" spans="1:25" x14ac:dyDescent="0.35">
      <c r="A11" s="24"/>
      <c r="B11" s="24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R11" s="24"/>
      <c r="S11" s="24"/>
      <c r="T11" s="24"/>
      <c r="U11" s="24"/>
      <c r="V11" s="24"/>
      <c r="W11" s="24"/>
      <c r="X11" s="24"/>
      <c r="Y11" s="24"/>
    </row>
    <row r="12" spans="1:25" s="11" customFormat="1" ht="29" x14ac:dyDescent="0.35">
      <c r="A12" s="42" t="s">
        <v>46</v>
      </c>
      <c r="B12" s="42" t="s">
        <v>46</v>
      </c>
      <c r="C12" s="42"/>
      <c r="D12" s="43">
        <v>2006</v>
      </c>
      <c r="E12" s="43">
        <v>2007</v>
      </c>
      <c r="F12" s="43">
        <v>2008</v>
      </c>
      <c r="G12" s="43">
        <v>2009</v>
      </c>
      <c r="H12" s="43">
        <v>2010</v>
      </c>
      <c r="I12" s="43">
        <v>2011</v>
      </c>
      <c r="J12" s="43">
        <v>2012</v>
      </c>
      <c r="K12" s="43">
        <v>2013</v>
      </c>
      <c r="L12" s="43">
        <v>2014</v>
      </c>
      <c r="M12" s="43">
        <v>2015</v>
      </c>
      <c r="N12" s="43">
        <v>2016</v>
      </c>
      <c r="O12" s="43">
        <v>2017</v>
      </c>
      <c r="P12" s="43">
        <v>2018</v>
      </c>
      <c r="Q12" s="43">
        <v>2019</v>
      </c>
      <c r="R12" s="43" t="s">
        <v>24</v>
      </c>
      <c r="S12" s="25" t="s">
        <v>135</v>
      </c>
      <c r="T12" s="25"/>
      <c r="U12" s="25"/>
      <c r="V12" s="25"/>
      <c r="W12" s="25"/>
      <c r="X12" s="25"/>
      <c r="Y12" s="25"/>
    </row>
    <row r="13" spans="1:25" x14ac:dyDescent="0.35">
      <c r="A13" s="38" t="s">
        <v>37</v>
      </c>
      <c r="B13" s="38" t="s">
        <v>91</v>
      </c>
      <c r="C13" s="38" t="s">
        <v>125</v>
      </c>
      <c r="D13" s="28">
        <f>D53/'Physical data'!D11</f>
        <v>44625.735214835666</v>
      </c>
      <c r="E13" s="28">
        <f>E53/'Physical data'!E11</f>
        <v>47189.612650960444</v>
      </c>
      <c r="F13" s="28">
        <f>F53/'Physical data'!F11</f>
        <v>42380.897996923959</v>
      </c>
      <c r="G13" s="28">
        <f>G53/'Physical data'!G11</f>
        <v>45029.510350410506</v>
      </c>
      <c r="H13" s="28">
        <f>H53/'Physical data'!H11</f>
        <v>46301.987902966859</v>
      </c>
      <c r="I13" s="28">
        <f>I53/'Physical data'!I11</f>
        <v>47224.638579698985</v>
      </c>
      <c r="J13" s="28">
        <f>J53/'Physical data'!J11</f>
        <v>52242.220808051556</v>
      </c>
      <c r="K13" s="28">
        <f>K53/'Physical data'!K11</f>
        <v>52069.36966091521</v>
      </c>
      <c r="L13" s="28">
        <f>L53/'Physical data'!L11</f>
        <v>69065.692936941676</v>
      </c>
      <c r="M13" s="28">
        <f>M53/'Physical data'!M11</f>
        <v>79899.379678813479</v>
      </c>
      <c r="N13" s="28">
        <f>N53/'Physical data'!N11</f>
        <v>82042.215172090597</v>
      </c>
      <c r="O13" s="28">
        <f>O53/'Physical data'!O11</f>
        <v>81274.784818465414</v>
      </c>
      <c r="P13" s="28">
        <f>P53/'Physical data'!P11</f>
        <v>85259.631613760721</v>
      </c>
      <c r="Q13" s="28">
        <f>Q53/'Physical data'!Q11</f>
        <v>77518.083991700725</v>
      </c>
      <c r="R13" s="28">
        <f>AVERAGE(M13:Q13)</f>
        <v>81198.819054966181</v>
      </c>
      <c r="S13" s="70">
        <f>Q13/D13-1</f>
        <v>0.73707130243380536</v>
      </c>
      <c r="T13" s="24"/>
      <c r="U13" s="24"/>
      <c r="V13" s="24"/>
      <c r="W13" s="24"/>
      <c r="X13" s="24"/>
      <c r="Y13" s="24"/>
    </row>
    <row r="14" spans="1:25" x14ac:dyDescent="0.35">
      <c r="A14" s="38" t="s">
        <v>21</v>
      </c>
      <c r="B14" s="38" t="s">
        <v>92</v>
      </c>
      <c r="C14" s="38" t="s">
        <v>125</v>
      </c>
      <c r="D14" s="28">
        <f>D54/'Physical data'!D12</f>
        <v>43836.418356416216</v>
      </c>
      <c r="E14" s="28">
        <f>E54/'Physical data'!E12</f>
        <v>42632.335876621451</v>
      </c>
      <c r="F14" s="28">
        <f>F54/'Physical data'!F12</f>
        <v>47253.388216335348</v>
      </c>
      <c r="G14" s="28">
        <f>G54/'Physical data'!G12</f>
        <v>48534.354802348069</v>
      </c>
      <c r="H14" s="28">
        <f>H54/'Physical data'!H12</f>
        <v>50390.481047612622</v>
      </c>
      <c r="I14" s="28">
        <f>I54/'Physical data'!I12</f>
        <v>53409.472161416408</v>
      </c>
      <c r="J14" s="28">
        <f>J54/'Physical data'!J12</f>
        <v>56749.937491561628</v>
      </c>
      <c r="K14" s="28">
        <f>K54/'Physical data'!K12</f>
        <v>56114.189403323428</v>
      </c>
      <c r="L14" s="28">
        <f>L54/'Physical data'!L12</f>
        <v>60408.152535052606</v>
      </c>
      <c r="M14" s="28">
        <f>M54/'Physical data'!M12</f>
        <v>63972.391353291787</v>
      </c>
      <c r="N14" s="28">
        <f>N54/'Physical data'!N12</f>
        <v>64007.187258109247</v>
      </c>
      <c r="O14" s="28">
        <f>O54/'Physical data'!O12</f>
        <v>61633.741135315824</v>
      </c>
      <c r="P14" s="28">
        <f>P54/'Physical data'!P12</f>
        <v>56216.054289525237</v>
      </c>
      <c r="Q14" s="28">
        <f>Q54/'Physical data'!Q12</f>
        <v>57475.137082894267</v>
      </c>
      <c r="R14" s="28">
        <f t="shared" ref="R14:R17" si="0">AVERAGE(M14:Q14)</f>
        <v>60660.902223827274</v>
      </c>
      <c r="S14" s="70">
        <f t="shared" ref="S14:S17" si="1">Q14/D14-1</f>
        <v>0.31112757925584011</v>
      </c>
      <c r="T14" s="24"/>
      <c r="U14" s="24"/>
      <c r="V14" s="24"/>
      <c r="W14" s="24"/>
      <c r="X14" s="24"/>
      <c r="Y14" s="24"/>
    </row>
    <row r="15" spans="1:25" x14ac:dyDescent="0.35">
      <c r="A15" s="38" t="s">
        <v>35</v>
      </c>
      <c r="B15" s="38" t="s">
        <v>93</v>
      </c>
      <c r="C15" s="38" t="s">
        <v>125</v>
      </c>
      <c r="D15" s="28">
        <f>D55/'Physical data'!D13</f>
        <v>36605.504960380131</v>
      </c>
      <c r="E15" s="28">
        <f>E55/'Physical data'!E13</f>
        <v>30729.120491504273</v>
      </c>
      <c r="F15" s="28">
        <f>F55/'Physical data'!F13</f>
        <v>30677.445173077849</v>
      </c>
      <c r="G15" s="28">
        <f>G55/'Physical data'!G13</f>
        <v>31567.268629535312</v>
      </c>
      <c r="H15" s="28">
        <f>H55/'Physical data'!H13</f>
        <v>33447.428448879611</v>
      </c>
      <c r="I15" s="28">
        <f>I55/'Physical data'!I13</f>
        <v>33677.453127735571</v>
      </c>
      <c r="J15" s="28">
        <f>J55/'Physical data'!J13</f>
        <v>35632.319161516098</v>
      </c>
      <c r="K15" s="28">
        <f>K55/'Physical data'!K13</f>
        <v>34023.324772071726</v>
      </c>
      <c r="L15" s="28">
        <f>L55/'Physical data'!L13</f>
        <v>31933.718667225185</v>
      </c>
      <c r="M15" s="28">
        <f>M55/'Physical data'!M13</f>
        <v>38876.452110088059</v>
      </c>
      <c r="N15" s="28">
        <f>N55/'Physical data'!N13</f>
        <v>37555.265966974024</v>
      </c>
      <c r="O15" s="28">
        <f>O55/'Physical data'!O13</f>
        <v>38139.430116138668</v>
      </c>
      <c r="P15" s="28">
        <f>P55/'Physical data'!P13</f>
        <v>35721.43383509195</v>
      </c>
      <c r="Q15" s="28">
        <f>Q55/'Physical data'!Q13</f>
        <v>37188.008426742206</v>
      </c>
      <c r="R15" s="28">
        <f t="shared" si="0"/>
        <v>37496.118091006982</v>
      </c>
      <c r="S15" s="70">
        <f t="shared" si="1"/>
        <v>1.5913001801028281E-2</v>
      </c>
      <c r="T15" s="24"/>
      <c r="U15" s="24"/>
      <c r="V15" s="24"/>
      <c r="W15" s="24"/>
      <c r="X15" s="24"/>
      <c r="Y15" s="24"/>
    </row>
    <row r="16" spans="1:25" x14ac:dyDescent="0.35">
      <c r="A16" s="38" t="s">
        <v>29</v>
      </c>
      <c r="B16" s="38" t="s">
        <v>94</v>
      </c>
      <c r="C16" s="38" t="s">
        <v>125</v>
      </c>
      <c r="D16" s="28">
        <f>D56/'Physical data'!D14</f>
        <v>47466.692336622073</v>
      </c>
      <c r="E16" s="28">
        <f>E56/'Physical data'!E14</f>
        <v>47869.128688198864</v>
      </c>
      <c r="F16" s="28">
        <f>F56/'Physical data'!F14</f>
        <v>54927.616258406044</v>
      </c>
      <c r="G16" s="28">
        <f>G56/'Physical data'!G14</f>
        <v>55056.43938672878</v>
      </c>
      <c r="H16" s="28">
        <f>H56/'Physical data'!H14</f>
        <v>59700.739138111865</v>
      </c>
      <c r="I16" s="28">
        <f>I56/'Physical data'!I14</f>
        <v>62111.581693197339</v>
      </c>
      <c r="J16" s="28">
        <f>J56/'Physical data'!J14</f>
        <v>62959.373403201302</v>
      </c>
      <c r="K16" s="28">
        <f>K56/'Physical data'!K14</f>
        <v>62651.908905169272</v>
      </c>
      <c r="L16" s="28">
        <f>L56/'Physical data'!L14</f>
        <v>66718.357591189008</v>
      </c>
      <c r="M16" s="28">
        <f>M56/'Physical data'!M14</f>
        <v>58496.396151855617</v>
      </c>
      <c r="N16" s="28">
        <f>N56/'Physical data'!N14</f>
        <v>60063.508432043724</v>
      </c>
      <c r="O16" s="28">
        <f>O56/'Physical data'!O14</f>
        <v>58327.015881726766</v>
      </c>
      <c r="P16" s="28">
        <f>P56/'Physical data'!P14</f>
        <v>55740.084277573282</v>
      </c>
      <c r="Q16" s="28">
        <f>Q56/'Physical data'!Q14</f>
        <v>59773.611444569084</v>
      </c>
      <c r="R16" s="28">
        <f t="shared" si="0"/>
        <v>58480.123237553693</v>
      </c>
      <c r="S16" s="70">
        <f t="shared" si="1"/>
        <v>0.25927484099101283</v>
      </c>
      <c r="T16" s="24"/>
      <c r="U16" s="24"/>
      <c r="V16" s="24"/>
      <c r="W16" s="24"/>
      <c r="X16" s="24"/>
      <c r="Y16" s="24"/>
    </row>
    <row r="17" spans="1:34" x14ac:dyDescent="0.35">
      <c r="A17" s="38" t="s">
        <v>38</v>
      </c>
      <c r="B17" s="38" t="s">
        <v>95</v>
      </c>
      <c r="C17" s="38" t="s">
        <v>125</v>
      </c>
      <c r="D17" s="28">
        <f>D57/'Physical data'!D15</f>
        <v>26560.338640100974</v>
      </c>
      <c r="E17" s="28">
        <f>E57/'Physical data'!E15</f>
        <v>26332.28363625038</v>
      </c>
      <c r="F17" s="28">
        <f>F57/'Physical data'!F15</f>
        <v>26483.025284279374</v>
      </c>
      <c r="G17" s="28">
        <f>G57/'Physical data'!G15</f>
        <v>27761.330946108312</v>
      </c>
      <c r="H17" s="28">
        <f>H57/'Physical data'!H15</f>
        <v>30419.096622366604</v>
      </c>
      <c r="I17" s="28">
        <f>I57/'Physical data'!I15</f>
        <v>29197.983579137435</v>
      </c>
      <c r="J17" s="28">
        <f>J57/'Physical data'!J15</f>
        <v>32288.861635993209</v>
      </c>
      <c r="K17" s="28">
        <f>K57/'Physical data'!K15</f>
        <v>33694.70529338489</v>
      </c>
      <c r="L17" s="28">
        <f>L57/'Physical data'!L15</f>
        <v>38149.591834634513</v>
      </c>
      <c r="M17" s="28">
        <f>M57/'Physical data'!M15</f>
        <v>40331.518884768178</v>
      </c>
      <c r="N17" s="28">
        <f>N57/'Physical data'!N15</f>
        <v>37737.900617324391</v>
      </c>
      <c r="O17" s="28">
        <f>O57/'Physical data'!O15</f>
        <v>36895.168054377318</v>
      </c>
      <c r="P17" s="28">
        <f>P57/'Physical data'!P15</f>
        <v>34803.996329140995</v>
      </c>
      <c r="Q17" s="28">
        <f>Q57/'Physical data'!Q15</f>
        <v>33779.728324177995</v>
      </c>
      <c r="R17" s="28">
        <f t="shared" si="0"/>
        <v>36709.662441957778</v>
      </c>
      <c r="S17" s="70">
        <f t="shared" si="1"/>
        <v>0.27181090504535743</v>
      </c>
      <c r="T17" s="24"/>
      <c r="U17" s="24"/>
      <c r="V17" s="24"/>
      <c r="W17" s="24"/>
      <c r="X17" s="24"/>
      <c r="Y17" s="24"/>
    </row>
    <row r="18" spans="1:34" x14ac:dyDescent="0.35">
      <c r="A18" s="24"/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R18" s="24"/>
      <c r="S18" s="24"/>
      <c r="T18" s="24"/>
      <c r="U18" s="24"/>
      <c r="V18" s="24"/>
      <c r="W18" s="24"/>
      <c r="X18" s="24"/>
      <c r="Y18" s="24"/>
    </row>
    <row r="19" spans="1:34" x14ac:dyDescent="0.35">
      <c r="A19" s="24"/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R19" s="24"/>
      <c r="S19" s="24"/>
      <c r="T19" s="24"/>
      <c r="U19" s="24"/>
      <c r="V19" s="24"/>
      <c r="W19" s="24"/>
      <c r="X19" s="24"/>
      <c r="Y19" s="22"/>
      <c r="Z19" s="13"/>
      <c r="AA19" s="13"/>
      <c r="AB19" s="13"/>
      <c r="AC19" s="13"/>
      <c r="AD19" s="13"/>
      <c r="AE19" s="13"/>
      <c r="AF19" s="13"/>
      <c r="AG19" s="13"/>
      <c r="AH19" s="13"/>
    </row>
    <row r="20" spans="1:34" s="11" customFormat="1" ht="29" x14ac:dyDescent="0.35">
      <c r="A20" s="42" t="s">
        <v>53</v>
      </c>
      <c r="B20" s="42" t="s">
        <v>53</v>
      </c>
      <c r="C20" s="42"/>
      <c r="D20" s="43">
        <v>2006</v>
      </c>
      <c r="E20" s="43">
        <v>2007</v>
      </c>
      <c r="F20" s="43">
        <v>2008</v>
      </c>
      <c r="G20" s="43">
        <v>2009</v>
      </c>
      <c r="H20" s="43">
        <v>2010</v>
      </c>
      <c r="I20" s="43">
        <v>2011</v>
      </c>
      <c r="J20" s="43">
        <v>2012</v>
      </c>
      <c r="K20" s="43">
        <v>2013</v>
      </c>
      <c r="L20" s="43">
        <v>2014</v>
      </c>
      <c r="M20" s="43">
        <v>2015</v>
      </c>
      <c r="N20" s="43">
        <v>2016</v>
      </c>
      <c r="O20" s="43">
        <v>2017</v>
      </c>
      <c r="P20" s="43">
        <v>2018</v>
      </c>
      <c r="Q20" s="43">
        <v>2019</v>
      </c>
      <c r="R20" s="43" t="s">
        <v>24</v>
      </c>
      <c r="S20" s="25" t="s">
        <v>135</v>
      </c>
      <c r="T20" s="25"/>
      <c r="U20" s="25"/>
      <c r="V20" s="25"/>
      <c r="W20" s="25"/>
      <c r="X20" s="25"/>
      <c r="Y20" s="25"/>
    </row>
    <row r="21" spans="1:34" x14ac:dyDescent="0.35">
      <c r="A21" s="38" t="s">
        <v>37</v>
      </c>
      <c r="B21" s="38" t="s">
        <v>91</v>
      </c>
      <c r="C21" s="38" t="s">
        <v>126</v>
      </c>
      <c r="D21" s="44">
        <f>D53/'Physical data'!D3</f>
        <v>11.756691111935552</v>
      </c>
      <c r="E21" s="44">
        <f>E53/'Physical data'!E3</f>
        <v>13.413028044051744</v>
      </c>
      <c r="F21" s="44">
        <f>F53/'Physical data'!F3</f>
        <v>13.67892654409531</v>
      </c>
      <c r="G21" s="44">
        <f>G53/'Physical data'!G3</f>
        <v>14.212592155357147</v>
      </c>
      <c r="H21" s="44">
        <f>H53/'Physical data'!H3</f>
        <v>14.329576537750503</v>
      </c>
      <c r="I21" s="44">
        <f>I53/'Physical data'!I3</f>
        <v>14.888573701334495</v>
      </c>
      <c r="J21" s="44">
        <f>J53/'Physical data'!J3</f>
        <v>15.710326943224617</v>
      </c>
      <c r="K21" s="44">
        <f>K53/'Physical data'!K3</f>
        <v>16.051853330227875</v>
      </c>
      <c r="L21" s="44">
        <f>L53/'Physical data'!L3</f>
        <v>16.970901045928894</v>
      </c>
      <c r="M21" s="44">
        <f>M53/'Physical data'!M3</f>
        <v>18.855401594779721</v>
      </c>
      <c r="N21" s="44">
        <f>N53/'Physical data'!N3</f>
        <v>18.838390812298737</v>
      </c>
      <c r="O21" s="44">
        <f>O53/'Physical data'!O3</f>
        <v>19.290828881868325</v>
      </c>
      <c r="P21" s="44">
        <f>P53/'Physical data'!P3</f>
        <v>24.786395122375918</v>
      </c>
      <c r="Q21" s="44">
        <f>Q53/'Physical data'!Q3</f>
        <v>20.723767118961533</v>
      </c>
      <c r="R21" s="28">
        <f>AVERAGE(M21:Q21)</f>
        <v>20.498956706056848</v>
      </c>
      <c r="S21" s="70">
        <f>Q21/D21-1</f>
        <v>0.76272106850901977</v>
      </c>
      <c r="T21" s="24"/>
      <c r="U21" s="24"/>
      <c r="V21" s="24"/>
      <c r="W21" s="24"/>
      <c r="X21" s="24"/>
      <c r="Y21" s="24"/>
    </row>
    <row r="22" spans="1:34" x14ac:dyDescent="0.35">
      <c r="A22" s="38" t="s">
        <v>21</v>
      </c>
      <c r="B22" s="38" t="s">
        <v>92</v>
      </c>
      <c r="C22" s="38" t="s">
        <v>126</v>
      </c>
      <c r="D22" s="44">
        <f>D54/'Physical data'!D4</f>
        <v>9.4726518176033139</v>
      </c>
      <c r="E22" s="44">
        <f>E54/'Physical data'!E4</f>
        <v>9.6295045953970408</v>
      </c>
      <c r="F22" s="44">
        <f>F54/'Physical data'!F4</f>
        <v>10.719869428610618</v>
      </c>
      <c r="G22" s="44">
        <f>G54/'Physical data'!G4</f>
        <v>11.222948772090527</v>
      </c>
      <c r="H22" s="44">
        <f>H54/'Physical data'!H4</f>
        <v>11.677765423701375</v>
      </c>
      <c r="I22" s="44">
        <f>I54/'Physical data'!I4</f>
        <v>12.280794322447472</v>
      </c>
      <c r="J22" s="44">
        <f>J54/'Physical data'!J4</f>
        <v>13.02190384298156</v>
      </c>
      <c r="K22" s="44">
        <f>K54/'Physical data'!K4</f>
        <v>13.268022570851945</v>
      </c>
      <c r="L22" s="44">
        <f>L54/'Physical data'!L4</f>
        <v>14.605736072831894</v>
      </c>
      <c r="M22" s="44">
        <f>M54/'Physical data'!M4</f>
        <v>14.258354406256121</v>
      </c>
      <c r="N22" s="44">
        <f>N54/'Physical data'!N4</f>
        <v>14.521484956536113</v>
      </c>
      <c r="O22" s="44">
        <f>O54/'Physical data'!O4</f>
        <v>14.074305284041131</v>
      </c>
      <c r="P22" s="44">
        <f>P54/'Physical data'!P4</f>
        <v>12.628070252771122</v>
      </c>
      <c r="Q22" s="44">
        <f>Q54/'Physical data'!Q4</f>
        <v>13.359055346410363</v>
      </c>
      <c r="R22" s="28">
        <f t="shared" ref="R22:R25" si="2">AVERAGE(M22:Q22)</f>
        <v>13.768254049202969</v>
      </c>
      <c r="S22" s="70">
        <f t="shared" ref="S22:S25" si="3">Q22/D22-1</f>
        <v>0.41027619336591981</v>
      </c>
      <c r="T22" s="24"/>
      <c r="U22" s="24"/>
      <c r="V22" s="24"/>
      <c r="W22" s="24"/>
      <c r="X22" s="24"/>
      <c r="Y22" s="24"/>
    </row>
    <row r="23" spans="1:34" x14ac:dyDescent="0.35">
      <c r="A23" s="38" t="s">
        <v>35</v>
      </c>
      <c r="B23" s="38" t="s">
        <v>93</v>
      </c>
      <c r="C23" s="38" t="s">
        <v>126</v>
      </c>
      <c r="D23" s="44">
        <f>D55/'Physical data'!D5</f>
        <v>6.5187231038128788</v>
      </c>
      <c r="E23" s="44">
        <f>E55/'Physical data'!E5</f>
        <v>6.364430994228985</v>
      </c>
      <c r="F23" s="44">
        <f>F55/'Physical data'!F5</f>
        <v>6.6887658033256239</v>
      </c>
      <c r="G23" s="44">
        <f>G55/'Physical data'!G5</f>
        <v>6.8160645641968216</v>
      </c>
      <c r="H23" s="44">
        <f>H55/'Physical data'!H5</f>
        <v>6.7441583967817404</v>
      </c>
      <c r="I23" s="44">
        <f>I55/'Physical data'!I5</f>
        <v>6.7377589956817543</v>
      </c>
      <c r="J23" s="44">
        <f>J55/'Physical data'!J5</f>
        <v>6.6966913768553749</v>
      </c>
      <c r="K23" s="44">
        <f>K55/'Physical data'!K5</f>
        <v>6.637279432164692</v>
      </c>
      <c r="L23" s="44">
        <f>L55/'Physical data'!L5</f>
        <v>6.7537525901950612</v>
      </c>
      <c r="M23" s="44">
        <f>M55/'Physical data'!M5</f>
        <v>7.373865145549817</v>
      </c>
      <c r="N23" s="44">
        <f>N55/'Physical data'!N5</f>
        <v>7.6026085659930107</v>
      </c>
      <c r="O23" s="44">
        <f>O55/'Physical data'!O5</f>
        <v>7.8524467095968031</v>
      </c>
      <c r="P23" s="44">
        <f>P55/'Physical data'!P5</f>
        <v>8.7890240053525517</v>
      </c>
      <c r="Q23" s="44">
        <f>Q55/'Physical data'!Q5</f>
        <v>8.884539173419574</v>
      </c>
      <c r="R23" s="28">
        <f t="shared" si="2"/>
        <v>8.1004967199823508</v>
      </c>
      <c r="S23" s="70">
        <f t="shared" si="3"/>
        <v>0.36292630196593278</v>
      </c>
      <c r="T23" s="24"/>
      <c r="U23" s="24"/>
      <c r="V23" s="24"/>
      <c r="W23" s="24"/>
      <c r="X23" s="24"/>
      <c r="Y23" s="24"/>
    </row>
    <row r="24" spans="1:34" x14ac:dyDescent="0.35">
      <c r="A24" s="38" t="s">
        <v>29</v>
      </c>
      <c r="B24" s="38" t="s">
        <v>94</v>
      </c>
      <c r="C24" s="38" t="s">
        <v>126</v>
      </c>
      <c r="D24" s="44">
        <f>D56/'Physical data'!D6</f>
        <v>12.099797497289272</v>
      </c>
      <c r="E24" s="44">
        <f>E56/'Physical data'!E6</f>
        <v>10.039928800659185</v>
      </c>
      <c r="F24" s="44">
        <f>F56/'Physical data'!F6</f>
        <v>10.677100586268118</v>
      </c>
      <c r="G24" s="44">
        <f>G56/'Physical data'!G6</f>
        <v>10.902961495997225</v>
      </c>
      <c r="H24" s="44">
        <f>H56/'Physical data'!H6</f>
        <v>12.070413362433253</v>
      </c>
      <c r="I24" s="44">
        <f>I56/'Physical data'!I6</f>
        <v>12.308708296126325</v>
      </c>
      <c r="J24" s="44">
        <f>J56/'Physical data'!J6</f>
        <v>12.94906431266716</v>
      </c>
      <c r="K24" s="44">
        <f>K56/'Physical data'!K6</f>
        <v>12.391646790075102</v>
      </c>
      <c r="L24" s="44">
        <f>L56/'Physical data'!L6</f>
        <v>12.529701551000791</v>
      </c>
      <c r="M24" s="44">
        <f>M56/'Physical data'!M6</f>
        <v>11.177065773009563</v>
      </c>
      <c r="N24" s="44">
        <f>N56/'Physical data'!N6</f>
        <v>12.984602504520698</v>
      </c>
      <c r="O24" s="44">
        <f>O56/'Physical data'!O6</f>
        <v>11.845231533882759</v>
      </c>
      <c r="P24" s="44">
        <f>P56/'Physical data'!P6</f>
        <v>11.365362620315667</v>
      </c>
      <c r="Q24" s="44">
        <f>Q56/'Physical data'!Q6</f>
        <v>11.106165777724812</v>
      </c>
      <c r="R24" s="28">
        <f t="shared" si="2"/>
        <v>11.6956856418907</v>
      </c>
      <c r="S24" s="70">
        <f t="shared" si="3"/>
        <v>-8.2119698266608587E-2</v>
      </c>
      <c r="T24" s="24"/>
      <c r="U24" s="24"/>
      <c r="V24" s="24"/>
      <c r="W24" s="24"/>
      <c r="X24" s="24"/>
      <c r="Y24" s="24"/>
    </row>
    <row r="25" spans="1:34" x14ac:dyDescent="0.35">
      <c r="A25" s="38" t="s">
        <v>38</v>
      </c>
      <c r="B25" s="38" t="s">
        <v>95</v>
      </c>
      <c r="C25" s="38" t="s">
        <v>126</v>
      </c>
      <c r="D25" s="44">
        <f>D57/'Physical data'!D7</f>
        <v>5.9312658067464747</v>
      </c>
      <c r="E25" s="44">
        <f>E57/'Physical data'!E7</f>
        <v>5.900969585954905</v>
      </c>
      <c r="F25" s="44">
        <f>F57/'Physical data'!F7</f>
        <v>5.9707184277284409</v>
      </c>
      <c r="G25" s="44">
        <f>G57/'Physical data'!G7</f>
        <v>6.4011946817783656</v>
      </c>
      <c r="H25" s="44">
        <f>H57/'Physical data'!H7</f>
        <v>7.1330139722422929</v>
      </c>
      <c r="I25" s="44">
        <f>I57/'Physical data'!I7</f>
        <v>7.0982566595898025</v>
      </c>
      <c r="J25" s="44">
        <f>J57/'Physical data'!J7</f>
        <v>7.5874609588495794</v>
      </c>
      <c r="K25" s="44">
        <f>K57/'Physical data'!K7</f>
        <v>8.2459616329802685</v>
      </c>
      <c r="L25" s="44">
        <f>L57/'Physical data'!L7</f>
        <v>9.5655318271162457</v>
      </c>
      <c r="M25" s="44">
        <f>M57/'Physical data'!M7</f>
        <v>8.9444900752510073</v>
      </c>
      <c r="N25" s="44">
        <f>N57/'Physical data'!N7</f>
        <v>9.4083408741251944</v>
      </c>
      <c r="O25" s="44">
        <f>O57/'Physical data'!O7</f>
        <v>9.1991952348914108</v>
      </c>
      <c r="P25" s="44">
        <f>P57/'Physical data'!P7</f>
        <v>8.5056001596976021</v>
      </c>
      <c r="Q25" s="44">
        <f>Q57/'Physical data'!Q7</f>
        <v>8.4903349416952754</v>
      </c>
      <c r="R25" s="28">
        <f t="shared" si="2"/>
        <v>8.9095922571320969</v>
      </c>
      <c r="S25" s="70">
        <f t="shared" si="3"/>
        <v>0.43145413109593012</v>
      </c>
      <c r="T25" s="24"/>
      <c r="U25" s="24"/>
      <c r="V25" s="24"/>
      <c r="W25" s="24"/>
      <c r="X25" s="24"/>
      <c r="Y25" s="24"/>
    </row>
    <row r="26" spans="1:34" x14ac:dyDescent="0.35">
      <c r="A26" s="24"/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R26" s="24"/>
      <c r="S26" s="24"/>
      <c r="T26" s="24"/>
      <c r="U26" s="24"/>
      <c r="V26" s="24"/>
      <c r="W26" s="24"/>
      <c r="X26" s="24"/>
      <c r="Y26" s="24"/>
    </row>
    <row r="27" spans="1:34" x14ac:dyDescent="0.35">
      <c r="A27" s="24"/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R27" s="24"/>
      <c r="S27" s="24"/>
      <c r="T27" s="24"/>
      <c r="U27" s="24"/>
      <c r="V27" s="24"/>
      <c r="W27" s="24"/>
      <c r="X27" s="24"/>
      <c r="Y27" s="24"/>
    </row>
    <row r="28" spans="1:34" s="11" customFormat="1" x14ac:dyDescent="0.35">
      <c r="A28" s="42" t="s">
        <v>89</v>
      </c>
      <c r="B28" s="42" t="s">
        <v>89</v>
      </c>
      <c r="C28" s="42"/>
      <c r="D28" s="43">
        <v>2006</v>
      </c>
      <c r="E28" s="43">
        <v>2007</v>
      </c>
      <c r="F28" s="43">
        <v>2008</v>
      </c>
      <c r="G28" s="43">
        <v>2009</v>
      </c>
      <c r="H28" s="43">
        <v>2010</v>
      </c>
      <c r="I28" s="43">
        <v>2011</v>
      </c>
      <c r="J28" s="43">
        <v>2012</v>
      </c>
      <c r="K28" s="43">
        <v>2013</v>
      </c>
      <c r="L28" s="43">
        <v>2014</v>
      </c>
      <c r="M28" s="43">
        <v>2015</v>
      </c>
      <c r="N28" s="43">
        <v>2016</v>
      </c>
      <c r="O28" s="43">
        <v>2017</v>
      </c>
      <c r="P28" s="43">
        <v>2018</v>
      </c>
      <c r="Q28" s="43">
        <v>2019</v>
      </c>
      <c r="R28" s="43" t="s">
        <v>24</v>
      </c>
      <c r="S28" s="25" t="s">
        <v>135</v>
      </c>
      <c r="T28" s="25"/>
      <c r="U28" s="25"/>
      <c r="V28" s="25"/>
      <c r="W28" s="25"/>
      <c r="X28" s="25"/>
      <c r="Y28" s="25"/>
    </row>
    <row r="29" spans="1:34" x14ac:dyDescent="0.35">
      <c r="A29" s="38" t="s">
        <v>37</v>
      </c>
      <c r="B29" s="38" t="s">
        <v>91</v>
      </c>
      <c r="C29" s="38" t="s">
        <v>127</v>
      </c>
      <c r="D29" s="28">
        <f>D53/'Physical data'!D48</f>
        <v>227.9529729664732</v>
      </c>
      <c r="E29" s="28">
        <f>E53/'Physical data'!E48</f>
        <v>240.74515252935714</v>
      </c>
      <c r="F29" s="28">
        <f>F53/'Physical data'!F48</f>
        <v>229.11733925265935</v>
      </c>
      <c r="G29" s="28">
        <f>G53/'Physical data'!G48</f>
        <v>235.81447234205098</v>
      </c>
      <c r="H29" s="28">
        <f>H53/'Physical data'!H48</f>
        <v>239.9348142064201</v>
      </c>
      <c r="I29" s="28">
        <f>I53/'Physical data'!I48</f>
        <v>247.204179226609</v>
      </c>
      <c r="J29" s="28">
        <f>J53/'Physical data'!J48</f>
        <v>261.72085030934983</v>
      </c>
      <c r="K29" s="28">
        <f>K53/'Physical data'!K48</f>
        <v>270.44982123072873</v>
      </c>
      <c r="L29" s="28">
        <f>L53/'Physical data'!L48</f>
        <v>278.08427062819396</v>
      </c>
      <c r="M29" s="28">
        <f>M53/'Physical data'!M48</f>
        <v>297.10043756255817</v>
      </c>
      <c r="N29" s="28">
        <f>N53/'Physical data'!N48</f>
        <v>312.59545133866595</v>
      </c>
      <c r="O29" s="28">
        <f>O53/'Physical data'!O48</f>
        <v>319.02521893419117</v>
      </c>
      <c r="P29" s="28">
        <f>P53/'Physical data'!P48</f>
        <v>317.17027065588525</v>
      </c>
      <c r="Q29" s="28">
        <f>Q53/'Physical data'!Q48</f>
        <v>315.28741199281779</v>
      </c>
      <c r="R29" s="28">
        <f>AVERAGE(M29:Q29)</f>
        <v>312.2357580968237</v>
      </c>
      <c r="S29" s="70">
        <f>Q29/D29-1</f>
        <v>0.38312480811202021</v>
      </c>
      <c r="T29" s="24">
        <f>N29/M29-1</f>
        <v>5.2154126406646961E-2</v>
      </c>
      <c r="U29" s="36">
        <f>(O29-D29)/D29</f>
        <v>0.39952208028939667</v>
      </c>
      <c r="V29" s="36">
        <f>(N29-M29)/M29</f>
        <v>5.2154126406646961E-2</v>
      </c>
      <c r="W29" s="24"/>
      <c r="X29" s="24"/>
      <c r="Y29" s="24"/>
    </row>
    <row r="30" spans="1:34" x14ac:dyDescent="0.35">
      <c r="A30" s="38" t="s">
        <v>21</v>
      </c>
      <c r="B30" s="38" t="s">
        <v>92</v>
      </c>
      <c r="C30" s="38" t="s">
        <v>127</v>
      </c>
      <c r="D30" s="28">
        <f>D54/'Physical data'!D49</f>
        <v>263.33859801499352</v>
      </c>
      <c r="E30" s="28">
        <f>E54/'Physical data'!E49</f>
        <v>267.4143059844759</v>
      </c>
      <c r="F30" s="28">
        <f>F54/'Physical data'!F49</f>
        <v>287.06449437679117</v>
      </c>
      <c r="G30" s="28">
        <f>G54/'Physical data'!G49</f>
        <v>300.28301138835047</v>
      </c>
      <c r="H30" s="28">
        <f>H54/'Physical data'!H49</f>
        <v>310.9842123577061</v>
      </c>
      <c r="I30" s="28">
        <f>I54/'Physical data'!I49</f>
        <v>316.33627167765422</v>
      </c>
      <c r="J30" s="28">
        <f>J54/'Physical data'!J49</f>
        <v>324.27521668806213</v>
      </c>
      <c r="K30" s="28">
        <f>K54/'Physical data'!K49</f>
        <v>316.19263494747042</v>
      </c>
      <c r="L30" s="28">
        <f>L54/'Physical data'!L49</f>
        <v>331.40826125346558</v>
      </c>
      <c r="M30" s="28">
        <f>M54/'Physical data'!M49</f>
        <v>356.12697352494041</v>
      </c>
      <c r="N30" s="28">
        <f>N54/'Physical data'!N49</f>
        <v>355.3122708309732</v>
      </c>
      <c r="O30" s="28">
        <f>O54/'Physical data'!O49</f>
        <v>348.06983626314184</v>
      </c>
      <c r="P30" s="28">
        <f>P54/'Physical data'!P49</f>
        <v>310.05841311898843</v>
      </c>
      <c r="Q30" s="28">
        <f>Q54/'Physical data'!Q49</f>
        <v>317.49647418437513</v>
      </c>
      <c r="R30" s="28">
        <f t="shared" ref="R30:R33" si="4">AVERAGE(M30:Q30)</f>
        <v>337.41279358448384</v>
      </c>
      <c r="S30" s="70">
        <f t="shared" ref="S30:S33" si="5">Q30/D30-1</f>
        <v>0.20565870927245555</v>
      </c>
      <c r="T30" s="24"/>
      <c r="U30" s="36">
        <f>(O30-D30)/D30</f>
        <v>0.32175776314919102</v>
      </c>
      <c r="V30" s="36">
        <f>(N30-M30)/M30</f>
        <v>-2.2876747748233972E-3</v>
      </c>
      <c r="W30" s="24"/>
      <c r="X30" s="24"/>
      <c r="Y30" s="24"/>
    </row>
    <row r="31" spans="1:34" x14ac:dyDescent="0.35">
      <c r="A31" s="38" t="s">
        <v>35</v>
      </c>
      <c r="B31" s="38" t="s">
        <v>93</v>
      </c>
      <c r="C31" s="38" t="s">
        <v>127</v>
      </c>
      <c r="D31" s="28">
        <f>D55/'Physical data'!D50</f>
        <v>119.2417906960044</v>
      </c>
      <c r="E31" s="28">
        <f>E55/'Physical data'!E50</f>
        <v>116.54119590794244</v>
      </c>
      <c r="F31" s="28">
        <f>F55/'Physical data'!F50</f>
        <v>118.35534982957556</v>
      </c>
      <c r="G31" s="28">
        <f>G55/'Physical data'!G50</f>
        <v>125.32626746210475</v>
      </c>
      <c r="H31" s="28">
        <f>H55/'Physical data'!H50</f>
        <v>126.33578468540507</v>
      </c>
      <c r="I31" s="28">
        <f>I55/'Physical data'!I50</f>
        <v>121.9410403041269</v>
      </c>
      <c r="J31" s="28">
        <f>J55/'Physical data'!J50</f>
        <v>118.06647067113505</v>
      </c>
      <c r="K31" s="28">
        <f>K55/'Physical data'!K50</f>
        <v>119.12410302835313</v>
      </c>
      <c r="L31" s="28">
        <f>L55/'Physical data'!L50</f>
        <v>118.98098230077994</v>
      </c>
      <c r="M31" s="28">
        <f>M55/'Physical data'!M50</f>
        <v>126.43719196513089</v>
      </c>
      <c r="N31" s="28">
        <f>N55/'Physical data'!N50</f>
        <v>127.72208895473683</v>
      </c>
      <c r="O31" s="28">
        <f>O55/'Physical data'!O50</f>
        <v>126.7124489861411</v>
      </c>
      <c r="P31" s="28">
        <f>P55/'Physical data'!P50</f>
        <v>124.35613927842344</v>
      </c>
      <c r="Q31" s="28">
        <f>Q55/'Physical data'!Q50</f>
        <v>122.30507642500692</v>
      </c>
      <c r="R31" s="28">
        <f t="shared" si="4"/>
        <v>125.50658912188783</v>
      </c>
      <c r="S31" s="70">
        <f t="shared" si="5"/>
        <v>2.5689699149286316E-2</v>
      </c>
      <c r="T31" s="24"/>
      <c r="U31" s="36">
        <f>(O31-D31)/D31</f>
        <v>6.2651342675509036E-2</v>
      </c>
      <c r="V31" s="36">
        <f>(N31-M31)/M31</f>
        <v>1.0162334117324368E-2</v>
      </c>
      <c r="W31" s="24"/>
      <c r="X31" s="24"/>
      <c r="Y31" s="24"/>
    </row>
    <row r="32" spans="1:34" x14ac:dyDescent="0.35">
      <c r="A32" s="38" t="s">
        <v>29</v>
      </c>
      <c r="B32" s="38" t="s">
        <v>94</v>
      </c>
      <c r="C32" s="38" t="s">
        <v>127</v>
      </c>
      <c r="D32" s="28">
        <f>D56/'Physical data'!D51</f>
        <v>508.34224763111018</v>
      </c>
      <c r="E32" s="28">
        <f>E56/'Physical data'!E51</f>
        <v>504.12926844626418</v>
      </c>
      <c r="F32" s="28">
        <f>F56/'Physical data'!F51</f>
        <v>553.49857344801535</v>
      </c>
      <c r="G32" s="28">
        <f>G56/'Physical data'!G51</f>
        <v>550.87770788601631</v>
      </c>
      <c r="H32" s="28">
        <f>H56/'Physical data'!H51</f>
        <v>581.21413509205934</v>
      </c>
      <c r="I32" s="28">
        <f>I56/'Physical data'!I51</f>
        <v>584.90785313648223</v>
      </c>
      <c r="J32" s="28">
        <f>J56/'Physical data'!J51</f>
        <v>585.60119074322643</v>
      </c>
      <c r="K32" s="28">
        <f>K56/'Physical data'!K51</f>
        <v>569.67305026193958</v>
      </c>
      <c r="L32" s="28">
        <f>L56/'Physical data'!L51</f>
        <v>596.24704967513162</v>
      </c>
      <c r="M32" s="28">
        <f>M56/'Physical data'!M51</f>
        <v>517.65579129175319</v>
      </c>
      <c r="N32" s="28">
        <f>N56/'Physical data'!N51</f>
        <v>530.37767281007325</v>
      </c>
      <c r="O32" s="28">
        <f>O56/'Physical data'!O51</f>
        <v>511.7188827862127</v>
      </c>
      <c r="P32" s="28">
        <f>P56/'Physical data'!P51</f>
        <v>490.80568353098056</v>
      </c>
      <c r="Q32" s="28">
        <f>Q56/'Physical data'!Q51</f>
        <v>492.6840227509831</v>
      </c>
      <c r="R32" s="28">
        <f t="shared" si="4"/>
        <v>508.64841063400053</v>
      </c>
      <c r="S32" s="70">
        <f t="shared" si="5"/>
        <v>-3.0802525174909001E-2</v>
      </c>
      <c r="T32" s="24"/>
      <c r="U32" s="36">
        <f>(O32-D32)/D32</f>
        <v>6.6424444768022695E-3</v>
      </c>
      <c r="V32" s="36">
        <f>(N32-M32)/M32</f>
        <v>2.4575947439077234E-2</v>
      </c>
      <c r="W32" s="24"/>
      <c r="X32" s="24"/>
      <c r="Y32" s="24"/>
    </row>
    <row r="33" spans="1:25" x14ac:dyDescent="0.35">
      <c r="A33" s="38" t="s">
        <v>38</v>
      </c>
      <c r="B33" s="38" t="s">
        <v>95</v>
      </c>
      <c r="C33" s="38" t="s">
        <v>127</v>
      </c>
      <c r="D33" s="28">
        <f>D57/'Physical data'!D52</f>
        <v>144.32894495336436</v>
      </c>
      <c r="E33" s="28">
        <f>E57/'Physical data'!E52</f>
        <v>144.78183167640702</v>
      </c>
      <c r="F33" s="28">
        <f>F57/'Physical data'!F52</f>
        <v>144.14460131334792</v>
      </c>
      <c r="G33" s="28">
        <f>G57/'Physical data'!G52</f>
        <v>150.58706435558835</v>
      </c>
      <c r="H33" s="28">
        <f>H57/'Physical data'!H52</f>
        <v>165.53648550690784</v>
      </c>
      <c r="I33" s="28">
        <f>I57/'Physical data'!I52</f>
        <v>161.50907656346544</v>
      </c>
      <c r="J33" s="28">
        <f>J57/'Physical data'!J52</f>
        <v>164.32101277782968</v>
      </c>
      <c r="K33" s="28">
        <f>K57/'Physical data'!K52</f>
        <v>163.95366667649211</v>
      </c>
      <c r="L33" s="28">
        <f>L57/'Physical data'!L52</f>
        <v>178.95142838149158</v>
      </c>
      <c r="M33" s="28">
        <f>M57/'Physical data'!M52</f>
        <v>181.11759663110874</v>
      </c>
      <c r="N33" s="28">
        <f>N57/'Physical data'!N52</f>
        <v>182.57024444202943</v>
      </c>
      <c r="O33" s="28">
        <f>O57/'Physical data'!O52</f>
        <v>182.7867974042687</v>
      </c>
      <c r="P33" s="28">
        <f>P57/'Physical data'!P52</f>
        <v>167.83446511425234</v>
      </c>
      <c r="Q33" s="28">
        <f>Q57/'Physical data'!Q52</f>
        <v>162.43749481830815</v>
      </c>
      <c r="R33" s="28">
        <f t="shared" si="4"/>
        <v>175.34931968199348</v>
      </c>
      <c r="S33" s="70">
        <f t="shared" si="5"/>
        <v>0.12546720874870276</v>
      </c>
      <c r="T33" s="24"/>
      <c r="U33" s="36">
        <f>(O33-D33)/D33</f>
        <v>0.26645973517876725</v>
      </c>
      <c r="V33" s="36">
        <f>(N33-M33)/M33</f>
        <v>8.0204675743316932E-3</v>
      </c>
      <c r="W33" s="24"/>
      <c r="X33" s="24"/>
      <c r="Y33" s="24"/>
    </row>
    <row r="34" spans="1:25" ht="15" customHeight="1" x14ac:dyDescent="0.35">
      <c r="A34" s="22"/>
      <c r="B34" s="22"/>
      <c r="C34" s="22"/>
      <c r="D34" s="45"/>
      <c r="E34" s="45"/>
      <c r="F34" s="45"/>
      <c r="G34" s="45"/>
      <c r="H34" s="45"/>
      <c r="I34" s="45"/>
      <c r="J34" s="45"/>
      <c r="K34" s="45"/>
      <c r="L34" s="45"/>
      <c r="M34" s="45"/>
      <c r="N34" s="54"/>
      <c r="O34" s="45"/>
      <c r="P34" s="54"/>
      <c r="Q34" s="70">
        <f>Q29/P29-1</f>
        <v>-5.9364285914119685E-3</v>
      </c>
      <c r="R34" s="45"/>
      <c r="S34" s="24"/>
      <c r="T34" s="24"/>
      <c r="U34" s="24"/>
      <c r="V34" s="24"/>
      <c r="W34" s="24"/>
      <c r="X34" s="24"/>
      <c r="Y34" s="24"/>
    </row>
    <row r="35" spans="1:25" ht="15" customHeight="1" x14ac:dyDescent="0.35">
      <c r="A35" s="24"/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54"/>
      <c r="Q35" s="70">
        <f t="shared" ref="Q35:Q38" si="6">Q30/P30-1</f>
        <v>2.398922509653767E-2</v>
      </c>
      <c r="R35" s="24"/>
      <c r="S35" s="24"/>
      <c r="T35" s="24"/>
      <c r="U35" s="24"/>
      <c r="V35" s="24"/>
      <c r="W35" s="24"/>
      <c r="X35" s="24"/>
      <c r="Y35" s="24"/>
    </row>
    <row r="36" spans="1:25" s="11" customFormat="1" ht="15" customHeight="1" x14ac:dyDescent="0.35">
      <c r="A36" s="43"/>
      <c r="B36" s="43"/>
      <c r="C36" s="43"/>
      <c r="D36" s="43" t="s">
        <v>25</v>
      </c>
      <c r="E36" s="43" t="s">
        <v>23</v>
      </c>
      <c r="F36" s="43" t="s">
        <v>34</v>
      </c>
      <c r="G36" s="25"/>
      <c r="H36" s="25"/>
      <c r="I36" s="25"/>
      <c r="J36" s="25"/>
      <c r="K36" s="25"/>
      <c r="L36" s="25"/>
      <c r="M36" s="25"/>
      <c r="N36" s="25"/>
      <c r="O36" s="25"/>
      <c r="P36" s="54"/>
      <c r="Q36" s="70">
        <f t="shared" si="6"/>
        <v>-1.649345874934538E-2</v>
      </c>
      <c r="R36" s="25"/>
      <c r="S36" s="25"/>
      <c r="T36" s="25"/>
      <c r="U36" s="25"/>
      <c r="V36" s="25"/>
      <c r="W36" s="25"/>
      <c r="X36" s="25"/>
      <c r="Y36" s="25"/>
    </row>
    <row r="37" spans="1:25" ht="15" customHeight="1" x14ac:dyDescent="0.35">
      <c r="A37" s="38" t="s">
        <v>37</v>
      </c>
      <c r="B37" s="38" t="s">
        <v>91</v>
      </c>
      <c r="C37" s="38"/>
      <c r="D37" s="28">
        <f>Opex!Q15</f>
        <v>92858.609310593907</v>
      </c>
      <c r="E37" s="28">
        <f>ABS(Depreciation!Q15)</f>
        <v>104297.53836133734</v>
      </c>
      <c r="F37" s="28">
        <f>RAB!Q15*'Asset cost and Total cost'!$B$2</f>
        <v>77184.47915408136</v>
      </c>
      <c r="G37" s="24"/>
      <c r="H37" s="24"/>
      <c r="I37" s="24"/>
      <c r="J37" s="24"/>
      <c r="K37" s="24"/>
      <c r="L37" s="24"/>
      <c r="M37" s="24"/>
      <c r="N37" s="24"/>
      <c r="O37" s="24"/>
      <c r="P37" s="54"/>
      <c r="Q37" s="70">
        <f t="shared" si="6"/>
        <v>3.8270527074775185E-3</v>
      </c>
      <c r="R37" s="24"/>
      <c r="S37" s="24"/>
      <c r="T37" s="24"/>
      <c r="U37" s="24"/>
      <c r="V37" s="24"/>
      <c r="W37" s="24"/>
      <c r="X37" s="24"/>
      <c r="Y37" s="24"/>
    </row>
    <row r="38" spans="1:25" ht="15" customHeight="1" x14ac:dyDescent="0.35">
      <c r="A38" s="38" t="s">
        <v>21</v>
      </c>
      <c r="B38" s="38" t="s">
        <v>92</v>
      </c>
      <c r="C38" s="38"/>
      <c r="D38" s="28">
        <f>Opex!Q16</f>
        <v>220027.15738013253</v>
      </c>
      <c r="E38" s="28">
        <f>ABS(Depreciation!Q16)</f>
        <v>286761.76294917392</v>
      </c>
      <c r="F38" s="28">
        <f>RAB!Q16*'Asset cost and Total cost'!$B$2</f>
        <v>233052.23643626508</v>
      </c>
      <c r="G38" s="24"/>
      <c r="H38" s="24"/>
      <c r="I38" s="24"/>
      <c r="J38" s="24"/>
      <c r="K38" s="24"/>
      <c r="L38" s="24"/>
      <c r="M38" s="24"/>
      <c r="N38" s="24"/>
      <c r="O38" s="24"/>
      <c r="P38" s="54"/>
      <c r="Q38" s="70">
        <f t="shared" si="6"/>
        <v>-3.2156507855941485E-2</v>
      </c>
      <c r="R38" s="24"/>
      <c r="S38" s="24"/>
      <c r="T38" s="24"/>
      <c r="U38" s="24"/>
      <c r="V38" s="24"/>
      <c r="W38" s="24"/>
      <c r="X38" s="24"/>
      <c r="Y38" s="24"/>
    </row>
    <row r="39" spans="1:25" ht="15" customHeight="1" x14ac:dyDescent="0.35">
      <c r="A39" s="38" t="s">
        <v>35</v>
      </c>
      <c r="B39" s="38" t="s">
        <v>93</v>
      </c>
      <c r="C39" s="38"/>
      <c r="D39" s="28">
        <f>Opex!Q17</f>
        <v>91203.200925291239</v>
      </c>
      <c r="E39" s="28">
        <f>ABS(Depreciation!Q17)</f>
        <v>170262.78792727547</v>
      </c>
      <c r="F39" s="28">
        <f>RAB!Q17*'Asset cost and Total cost'!$B$2</f>
        <v>102558.92825703225</v>
      </c>
      <c r="G39" s="24"/>
      <c r="H39" s="24"/>
      <c r="I39" s="24"/>
      <c r="J39" s="24"/>
      <c r="K39" s="24"/>
      <c r="L39" s="24"/>
      <c r="M39" s="24"/>
      <c r="N39" s="24"/>
      <c r="O39" s="24"/>
      <c r="P39" s="54"/>
      <c r="R39" s="24"/>
      <c r="S39" s="24"/>
      <c r="T39" s="24"/>
      <c r="U39" s="24"/>
      <c r="V39" s="24"/>
      <c r="W39" s="24"/>
      <c r="X39" s="24"/>
      <c r="Y39" s="24"/>
    </row>
    <row r="40" spans="1:25" ht="15" customHeight="1" x14ac:dyDescent="0.35">
      <c r="A40" s="38" t="s">
        <v>29</v>
      </c>
      <c r="B40" s="38" t="s">
        <v>94</v>
      </c>
      <c r="C40" s="38"/>
      <c r="D40" s="28">
        <f>Opex!Q18</f>
        <v>34743.506694675314</v>
      </c>
      <c r="E40" s="28">
        <f>ABS(Depreciation!Q18)</f>
        <v>62339.436865244861</v>
      </c>
      <c r="F40" s="28">
        <f>RAB!Q18*'Asset cost and Total cost'!$B$2</f>
        <v>48811.571110048855</v>
      </c>
      <c r="G40" s="24"/>
      <c r="H40" s="24"/>
      <c r="I40" s="24"/>
      <c r="J40" s="24"/>
      <c r="K40" s="24"/>
      <c r="L40" s="24"/>
      <c r="M40" s="24"/>
      <c r="N40" s="24"/>
      <c r="O40" s="24"/>
      <c r="P40" s="54"/>
      <c r="R40" s="24"/>
      <c r="S40" s="24"/>
      <c r="T40" s="24"/>
      <c r="U40" s="24"/>
      <c r="V40" s="24"/>
      <c r="W40" s="24"/>
      <c r="X40" s="24"/>
      <c r="Y40" s="24"/>
    </row>
    <row r="41" spans="1:25" ht="15" customHeight="1" x14ac:dyDescent="0.35">
      <c r="A41" s="38" t="s">
        <v>38</v>
      </c>
      <c r="B41" s="38" t="s">
        <v>95</v>
      </c>
      <c r="C41" s="38"/>
      <c r="D41" s="28">
        <f>Opex!Q19</f>
        <v>172308.93966972397</v>
      </c>
      <c r="E41" s="28">
        <f>ABS(Depreciation!Q19)</f>
        <v>275550.99101876561</v>
      </c>
      <c r="F41" s="28">
        <f>RAB!Q19*'Asset cost and Total cost'!$B$2</f>
        <v>214189.42272723175</v>
      </c>
      <c r="G41" s="24"/>
      <c r="H41" s="24"/>
      <c r="I41" s="24"/>
      <c r="J41" s="24"/>
      <c r="K41" s="24"/>
      <c r="L41" s="24"/>
      <c r="M41" s="24"/>
      <c r="N41" s="24"/>
      <c r="O41" s="24"/>
      <c r="P41" s="54"/>
      <c r="R41" s="24"/>
      <c r="S41" s="24"/>
      <c r="T41" s="24"/>
      <c r="U41" s="24"/>
      <c r="V41" s="24"/>
      <c r="W41" s="24"/>
      <c r="X41" s="24"/>
      <c r="Y41" s="24"/>
    </row>
    <row r="42" spans="1:25" ht="15" customHeight="1" x14ac:dyDescent="0.35">
      <c r="A42" s="24"/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R42" s="24"/>
      <c r="S42" s="24"/>
      <c r="T42" s="24"/>
      <c r="U42" s="24"/>
      <c r="V42" s="24"/>
      <c r="W42" s="24"/>
      <c r="X42" s="24"/>
      <c r="Y42" s="24"/>
    </row>
    <row r="43" spans="1:25" ht="15" customHeight="1" x14ac:dyDescent="0.35">
      <c r="A43" s="24"/>
      <c r="B43" s="24"/>
      <c r="C43" s="24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R43" s="24"/>
      <c r="S43" s="24"/>
      <c r="T43" s="24"/>
      <c r="U43" s="24"/>
      <c r="V43" s="24"/>
      <c r="W43" s="24"/>
      <c r="X43" s="24"/>
      <c r="Y43" s="24"/>
    </row>
    <row r="44" spans="1:25" s="11" customFormat="1" ht="15" customHeight="1" x14ac:dyDescent="0.35">
      <c r="A44" s="42" t="s">
        <v>47</v>
      </c>
      <c r="B44" s="42" t="s">
        <v>47</v>
      </c>
      <c r="C44" s="42"/>
      <c r="D44" s="43">
        <v>2006</v>
      </c>
      <c r="E44" s="43">
        <v>2007</v>
      </c>
      <c r="F44" s="43">
        <v>2008</v>
      </c>
      <c r="G44" s="43">
        <v>2009</v>
      </c>
      <c r="H44" s="43">
        <v>2010</v>
      </c>
      <c r="I44" s="43">
        <v>2011</v>
      </c>
      <c r="J44" s="43">
        <v>2012</v>
      </c>
      <c r="K44" s="43">
        <v>2013</v>
      </c>
      <c r="L44" s="43">
        <v>2014</v>
      </c>
      <c r="M44" s="43">
        <v>2015</v>
      </c>
      <c r="N44" s="43">
        <v>2016</v>
      </c>
      <c r="O44" s="43">
        <v>2017</v>
      </c>
      <c r="P44" s="43">
        <v>2018</v>
      </c>
      <c r="Q44" s="43">
        <v>2019</v>
      </c>
      <c r="R44" s="43" t="s">
        <v>24</v>
      </c>
      <c r="S44" s="25" t="s">
        <v>135</v>
      </c>
      <c r="T44" s="25"/>
      <c r="U44" s="25"/>
      <c r="V44" s="25"/>
      <c r="W44" s="25"/>
      <c r="X44" s="25"/>
      <c r="Y44" s="25"/>
    </row>
    <row r="45" spans="1:25" x14ac:dyDescent="0.35">
      <c r="A45" s="38" t="s">
        <v>37</v>
      </c>
      <c r="B45" s="38" t="s">
        <v>91</v>
      </c>
      <c r="C45" s="38" t="s">
        <v>128</v>
      </c>
      <c r="D45" s="28">
        <f>D53/'Physical data'!D33</f>
        <v>31700.281975044727</v>
      </c>
      <c r="E45" s="28">
        <f>E53/'Physical data'!E33</f>
        <v>34001.501314057197</v>
      </c>
      <c r="F45" s="28">
        <f>F53/'Physical data'!F33</f>
        <v>32429.168131599261</v>
      </c>
      <c r="G45" s="28">
        <f>G53/'Physical data'!G33</f>
        <v>34897.285037492853</v>
      </c>
      <c r="H45" s="28">
        <f>H53/'Physical data'!H33</f>
        <v>36064.956596879601</v>
      </c>
      <c r="I45" s="28">
        <f>I53/'Physical data'!I33</f>
        <v>37545.634453825034</v>
      </c>
      <c r="J45" s="28">
        <f>J53/'Physical data'!J33</f>
        <v>39980.036613945384</v>
      </c>
      <c r="K45" s="28">
        <f>K53/'Physical data'!K33</f>
        <v>41480.674215702682</v>
      </c>
      <c r="L45" s="28">
        <f>L53/'Physical data'!L33</f>
        <v>42836.96876223947</v>
      </c>
      <c r="M45" s="28">
        <f>M53/'Physical data'!M33</f>
        <v>45949.939145620636</v>
      </c>
      <c r="N45" s="28">
        <f>N53/'Physical data'!N33</f>
        <v>48586.537564492362</v>
      </c>
      <c r="O45" s="28">
        <f>O53/'Physical data'!O33</f>
        <v>50764.777155116761</v>
      </c>
      <c r="P45" s="28">
        <f>P53/'Physical data'!P33</f>
        <v>51370.419587631557</v>
      </c>
      <c r="Q45" s="28">
        <f>Q53/'Physical data'!Q33</f>
        <v>51828.372886048754</v>
      </c>
      <c r="R45" s="28">
        <f>AVERAGE(M45:Q45)</f>
        <v>49700.009267782014</v>
      </c>
      <c r="S45" s="70">
        <f>Q45/D45-1</f>
        <v>0.63494990129265649</v>
      </c>
      <c r="T45" s="36">
        <f>(N45-D45)/D45</f>
        <v>0.53268471248113591</v>
      </c>
      <c r="U45" s="36">
        <f>(O45-D45)/D45</f>
        <v>0.60139828393577355</v>
      </c>
      <c r="V45" s="24"/>
      <c r="W45" s="24"/>
      <c r="X45" s="24"/>
      <c r="Y45" s="24"/>
    </row>
    <row r="46" spans="1:25" x14ac:dyDescent="0.35">
      <c r="A46" s="38" t="s">
        <v>21</v>
      </c>
      <c r="B46" s="38" t="s">
        <v>92</v>
      </c>
      <c r="C46" s="38" t="s">
        <v>128</v>
      </c>
      <c r="D46" s="28">
        <f>D54/'Physical data'!D34</f>
        <v>41325.43402173811</v>
      </c>
      <c r="E46" s="28">
        <f>E54/'Physical data'!E34</f>
        <v>42075.210300503109</v>
      </c>
      <c r="F46" s="28">
        <f>F54/'Physical data'!F34</f>
        <v>44149.191250828109</v>
      </c>
      <c r="G46" s="28">
        <f>G54/'Physical data'!G34</f>
        <v>45529.965693316131</v>
      </c>
      <c r="H46" s="28">
        <f>H54/'Physical data'!H34</f>
        <v>46328.953829957041</v>
      </c>
      <c r="I46" s="28">
        <f>I54/'Physical data'!I34</f>
        <v>46408.815665028073</v>
      </c>
      <c r="J46" s="28">
        <f>J54/'Physical data'!J34</f>
        <v>48351.816985276455</v>
      </c>
      <c r="K46" s="28">
        <f>K54/'Physical data'!K34</f>
        <v>45730.520962150462</v>
      </c>
      <c r="L46" s="28">
        <f>L54/'Physical data'!L34</f>
        <v>47076.080807017664</v>
      </c>
      <c r="M46" s="28">
        <f>M54/'Physical data'!M34</f>
        <v>51302.402241909287</v>
      </c>
      <c r="N46" s="28">
        <f>N54/'Physical data'!N34</f>
        <v>52033.857265969615</v>
      </c>
      <c r="O46" s="28">
        <f>O54/'Physical data'!O34</f>
        <v>52542.749503705141</v>
      </c>
      <c r="P46" s="28">
        <f>P54/'Physical data'!P34</f>
        <v>47678.393436149541</v>
      </c>
      <c r="Q46" s="28">
        <f>Q54/'Physical data'!Q34</f>
        <v>49445.384288756519</v>
      </c>
      <c r="R46" s="28">
        <f t="shared" ref="R46:R49" si="7">AVERAGE(M46:Q46)</f>
        <v>50600.557347298025</v>
      </c>
      <c r="S46" s="70">
        <f t="shared" ref="S46:S49" si="8">Q46/D46-1</f>
        <v>0.19648796096726118</v>
      </c>
      <c r="T46" s="36">
        <f>(N46-D46)/D46</f>
        <v>0.25912427776556762</v>
      </c>
      <c r="U46" s="36">
        <f>(O46-D46)/D46</f>
        <v>0.27143854015099927</v>
      </c>
      <c r="V46" s="24"/>
      <c r="W46" s="24"/>
      <c r="X46" s="24"/>
      <c r="Y46" s="24"/>
    </row>
    <row r="47" spans="1:25" x14ac:dyDescent="0.35">
      <c r="A47" s="38" t="s">
        <v>35</v>
      </c>
      <c r="B47" s="38" t="s">
        <v>93</v>
      </c>
      <c r="C47" s="38" t="s">
        <v>128</v>
      </c>
      <c r="D47" s="28">
        <f>D55/'Physical data'!D35</f>
        <v>44813.171412018513</v>
      </c>
      <c r="E47" s="28">
        <f>E55/'Physical data'!E35</f>
        <v>44498.185379032591</v>
      </c>
      <c r="F47" s="28">
        <f>F55/'Physical data'!F35</f>
        <v>45840.095407911038</v>
      </c>
      <c r="G47" s="28">
        <f>G55/'Physical data'!G35</f>
        <v>49172.70439118785</v>
      </c>
      <c r="H47" s="28">
        <f>H55/'Physical data'!H35</f>
        <v>50251.969047858394</v>
      </c>
      <c r="I47" s="28">
        <f>I55/'Physical data'!I35</f>
        <v>49252.342732233818</v>
      </c>
      <c r="J47" s="28">
        <f>J55/'Physical data'!J35</f>
        <v>48423.773578332715</v>
      </c>
      <c r="K47" s="28">
        <f>K55/'Physical data'!K35</f>
        <v>49536.16670727983</v>
      </c>
      <c r="L47" s="28">
        <f>L55/'Physical data'!L35</f>
        <v>49837.589050985764</v>
      </c>
      <c r="M47" s="28">
        <f>M55/'Physical data'!M35</f>
        <v>53809.827383596363</v>
      </c>
      <c r="N47" s="28">
        <f>N55/'Physical data'!N35</f>
        <v>55412.894322934822</v>
      </c>
      <c r="O47" s="28">
        <f>O55/'Physical data'!O35</f>
        <v>56055.817143203436</v>
      </c>
      <c r="P47" s="28">
        <f>P55/'Physical data'!P35</f>
        <v>55364.965098665889</v>
      </c>
      <c r="Q47" s="28">
        <f>Q55/'Physical data'!Q35</f>
        <v>55604.016844948179</v>
      </c>
      <c r="R47" s="28">
        <f t="shared" si="7"/>
        <v>55249.504158669733</v>
      </c>
      <c r="S47" s="70">
        <f t="shared" si="8"/>
        <v>0.24079629030753336</v>
      </c>
      <c r="T47" s="36">
        <f>(N47-D47)/D47</f>
        <v>0.23653141647711085</v>
      </c>
      <c r="U47" s="36">
        <f>(O47-D47)/D47</f>
        <v>0.25087815427786797</v>
      </c>
      <c r="V47" s="24"/>
      <c r="W47" s="24"/>
      <c r="X47" s="24"/>
      <c r="Y47" s="24"/>
    </row>
    <row r="48" spans="1:25" x14ac:dyDescent="0.35">
      <c r="A48" s="38" t="s">
        <v>29</v>
      </c>
      <c r="B48" s="38" t="s">
        <v>94</v>
      </c>
      <c r="C48" s="38" t="s">
        <v>128</v>
      </c>
      <c r="D48" s="28">
        <f>D56/'Physical data'!D36</f>
        <v>35577.076509765662</v>
      </c>
      <c r="E48" s="28">
        <f>E56/'Physical data'!E36</f>
        <v>35556.733660865953</v>
      </c>
      <c r="F48" s="28">
        <f>F56/'Physical data'!F36</f>
        <v>39793.627280323868</v>
      </c>
      <c r="G48" s="28">
        <f>G56/'Physical data'!G36</f>
        <v>41541.423057676453</v>
      </c>
      <c r="H48" s="28">
        <f>H56/'Physical data'!H36</f>
        <v>45178.538201286334</v>
      </c>
      <c r="I48" s="28">
        <f>I56/'Physical data'!I36</f>
        <v>46187.84561972892</v>
      </c>
      <c r="J48" s="28">
        <f>J56/'Physical data'!J36</f>
        <v>46668.389973200821</v>
      </c>
      <c r="K48" s="28">
        <f>K56/'Physical data'!K36</f>
        <v>45510.879293073682</v>
      </c>
      <c r="L48" s="28">
        <f>L56/'Physical data'!L36</f>
        <v>47775.660481846338</v>
      </c>
      <c r="M48" s="28">
        <f>M56/'Physical data'!M36</f>
        <v>41116.572839254804</v>
      </c>
      <c r="N48" s="28">
        <f>N56/'Physical data'!N36</f>
        <v>42464.295393701534</v>
      </c>
      <c r="O48" s="28">
        <f>O56/'Physical data'!O36</f>
        <v>41304.460045163782</v>
      </c>
      <c r="P48" s="28">
        <f>P56/'Physical data'!P36</f>
        <v>39862.525469134722</v>
      </c>
      <c r="Q48" s="28">
        <f>Q56/'Physical data'!Q36</f>
        <v>40363.901520910542</v>
      </c>
      <c r="R48" s="28">
        <f t="shared" si="7"/>
        <v>41022.351053633072</v>
      </c>
      <c r="S48" s="70">
        <f t="shared" si="8"/>
        <v>0.1345480146417013</v>
      </c>
      <c r="T48" s="36">
        <f>(N48-D48)/D48</f>
        <v>0.19358585807480211</v>
      </c>
      <c r="U48" s="36">
        <f>(O48-D48)/D48</f>
        <v>0.16098522130748974</v>
      </c>
      <c r="V48" s="24"/>
      <c r="W48" s="24"/>
      <c r="X48" s="24"/>
      <c r="Y48" s="24"/>
    </row>
    <row r="49" spans="1:25" x14ac:dyDescent="0.35">
      <c r="A49" s="38" t="s">
        <v>38</v>
      </c>
      <c r="B49" s="38" t="s">
        <v>95</v>
      </c>
      <c r="C49" s="38" t="s">
        <v>128</v>
      </c>
      <c r="D49" s="28">
        <f>D57/'Physical data'!D37</f>
        <v>38618.618067353527</v>
      </c>
      <c r="E49" s="28">
        <f>E57/'Physical data'!E37</f>
        <v>39099.565739165075</v>
      </c>
      <c r="F49" s="28">
        <f>F57/'Physical data'!F37</f>
        <v>39332.751996571904</v>
      </c>
      <c r="G49" s="28">
        <f>G57/'Physical data'!G37</f>
        <v>41453.519237723493</v>
      </c>
      <c r="H49" s="28">
        <f>H57/'Physical data'!H37</f>
        <v>45331.97593327357</v>
      </c>
      <c r="I49" s="28">
        <f>I57/'Physical data'!I37</f>
        <v>44665.431367242039</v>
      </c>
      <c r="J49" s="28">
        <f>J57/'Physical data'!J37</f>
        <v>45773.807534828542</v>
      </c>
      <c r="K49" s="28">
        <f>K57/'Physical data'!K37</f>
        <v>45471.171673929595</v>
      </c>
      <c r="L49" s="28">
        <f>L57/'Physical data'!L37</f>
        <v>50159.305057747551</v>
      </c>
      <c r="M49" s="28">
        <f>M57/'Physical data'!M37</f>
        <v>51092.674382155812</v>
      </c>
      <c r="N49" s="28">
        <f>N57/'Physical data'!N37</f>
        <v>52095.410116333034</v>
      </c>
      <c r="O49" s="28">
        <f>O57/'Physical data'!O37</f>
        <v>52755.288293647885</v>
      </c>
      <c r="P49" s="28">
        <f>P57/'Physical data'!P37</f>
        <v>49190.128954300417</v>
      </c>
      <c r="Q49" s="28">
        <f>Q57/'Physical data'!Q37</f>
        <v>48395.859682776652</v>
      </c>
      <c r="R49" s="28">
        <f t="shared" si="7"/>
        <v>50705.872285842765</v>
      </c>
      <c r="S49" s="70">
        <f t="shared" si="8"/>
        <v>0.25317430049855605</v>
      </c>
      <c r="T49" s="36">
        <f>(N49-D49)/D49</f>
        <v>0.34897136985779903</v>
      </c>
      <c r="U49" s="36">
        <f>(O49-D49)/D49</f>
        <v>0.36605841777245973</v>
      </c>
      <c r="V49" s="24"/>
      <c r="W49" s="24"/>
      <c r="X49" s="24"/>
      <c r="Y49" s="24"/>
    </row>
    <row r="50" spans="1:25" x14ac:dyDescent="0.35">
      <c r="A50" s="24"/>
      <c r="B50" s="24"/>
      <c r="C50" s="24"/>
      <c r="D50" s="40">
        <f>D47-D45</f>
        <v>13112.889436973786</v>
      </c>
      <c r="E50" s="40">
        <f t="shared" ref="E50:O50" si="9">E47-E45</f>
        <v>10496.684064975394</v>
      </c>
      <c r="F50" s="40">
        <f t="shared" si="9"/>
        <v>13410.927276311777</v>
      </c>
      <c r="G50" s="40">
        <f t="shared" si="9"/>
        <v>14275.419353694997</v>
      </c>
      <c r="H50" s="40">
        <f t="shared" si="9"/>
        <v>14187.012450978793</v>
      </c>
      <c r="I50" s="40">
        <f t="shared" si="9"/>
        <v>11706.708278408783</v>
      </c>
      <c r="J50" s="40">
        <f t="shared" si="9"/>
        <v>8443.7369643873317</v>
      </c>
      <c r="K50" s="40">
        <f t="shared" si="9"/>
        <v>8055.492491577148</v>
      </c>
      <c r="L50" s="40">
        <f t="shared" si="9"/>
        <v>7000.6202887462932</v>
      </c>
      <c r="M50" s="40">
        <f>M47-M48</f>
        <v>12693.254544341558</v>
      </c>
      <c r="N50" s="40">
        <f t="shared" si="9"/>
        <v>6826.35675844246</v>
      </c>
      <c r="O50" s="40">
        <f t="shared" si="9"/>
        <v>5291.0399880866753</v>
      </c>
      <c r="P50" s="40"/>
      <c r="Q50" s="40">
        <f>Q47-Q48</f>
        <v>15240.115324037637</v>
      </c>
      <c r="R50" s="40">
        <f>R47-R48</f>
        <v>14227.153105036661</v>
      </c>
      <c r="S50" s="24"/>
      <c r="T50" s="24"/>
      <c r="U50" s="24"/>
      <c r="V50" s="24"/>
      <c r="W50" s="24"/>
      <c r="X50" s="24"/>
      <c r="Y50" s="24"/>
    </row>
    <row r="51" spans="1:25" x14ac:dyDescent="0.35">
      <c r="A51" s="24"/>
      <c r="B51" s="24"/>
      <c r="C51" s="24"/>
      <c r="D51" s="40"/>
      <c r="E51" s="40"/>
      <c r="F51" s="40"/>
      <c r="G51" s="40"/>
      <c r="H51" s="40"/>
      <c r="I51" s="40"/>
      <c r="J51" s="40"/>
      <c r="K51" s="40">
        <f>K49-K45</f>
        <v>3990.4974582269133</v>
      </c>
      <c r="L51" s="40">
        <f>L49-L45</f>
        <v>7322.3362955080811</v>
      </c>
      <c r="M51" s="40"/>
      <c r="N51" s="40"/>
      <c r="O51" s="40">
        <f>O47-O48</f>
        <v>14751.357098039654</v>
      </c>
      <c r="P51" s="40"/>
      <c r="R51" s="24"/>
      <c r="S51" s="24"/>
      <c r="T51" s="24"/>
      <c r="U51" s="24"/>
      <c r="V51" s="24"/>
      <c r="W51" s="24"/>
      <c r="X51" s="24"/>
      <c r="Y51" s="24"/>
    </row>
    <row r="52" spans="1:25" x14ac:dyDescent="0.35">
      <c r="A52" s="42" t="s">
        <v>41</v>
      </c>
      <c r="B52" s="42" t="s">
        <v>41</v>
      </c>
      <c r="C52" s="42"/>
      <c r="D52" s="43">
        <v>2006</v>
      </c>
      <c r="E52" s="43">
        <v>2007</v>
      </c>
      <c r="F52" s="43">
        <v>2008</v>
      </c>
      <c r="G52" s="43">
        <v>2009</v>
      </c>
      <c r="H52" s="43">
        <v>2010</v>
      </c>
      <c r="I52" s="43">
        <v>2011</v>
      </c>
      <c r="J52" s="43">
        <v>2012</v>
      </c>
      <c r="K52" s="43">
        <v>2013</v>
      </c>
      <c r="L52" s="43">
        <v>2014</v>
      </c>
      <c r="M52" s="43">
        <v>2015</v>
      </c>
      <c r="N52" s="43">
        <v>2016</v>
      </c>
      <c r="O52" s="43">
        <v>2017</v>
      </c>
      <c r="P52" s="43">
        <v>2018</v>
      </c>
      <c r="Q52" s="43">
        <v>2019</v>
      </c>
      <c r="R52" s="43" t="s">
        <v>24</v>
      </c>
      <c r="S52" s="24"/>
      <c r="T52" s="24"/>
      <c r="U52" s="24"/>
      <c r="V52" s="24"/>
      <c r="W52" s="24"/>
      <c r="X52" s="24"/>
      <c r="Y52" s="24"/>
    </row>
    <row r="53" spans="1:25" x14ac:dyDescent="0.35">
      <c r="A53" s="38" t="s">
        <v>37</v>
      </c>
      <c r="B53" s="38" t="s">
        <v>91</v>
      </c>
      <c r="C53" s="69" t="s">
        <v>129</v>
      </c>
      <c r="D53" s="44">
        <f>'Asset cost and Total cost'!C15</f>
        <v>177538665.51223502</v>
      </c>
      <c r="E53" s="44">
        <f>'Asset cost and Total cost'!D15</f>
        <v>187643031.25534672</v>
      </c>
      <c r="F53" s="44">
        <f>'Asset cost and Total cost'!E15</f>
        <v>178965844.86364475</v>
      </c>
      <c r="G53" s="44">
        <f>'Asset cost and Total cost'!F15</f>
        <v>192063105.84501323</v>
      </c>
      <c r="H53" s="44">
        <f>'Asset cost and Total cost'!G15</f>
        <v>198417453.695398</v>
      </c>
      <c r="I53" s="44">
        <f>'Asset cost and Total cost'!H15</f>
        <v>206676290.06330258</v>
      </c>
      <c r="J53" s="44">
        <f>'Asset cost and Total cost'!I15</f>
        <v>220932440.95118856</v>
      </c>
      <c r="K53" s="44">
        <f>'Asset cost and Total cost'!J15</f>
        <v>229278163.14548999</v>
      </c>
      <c r="L53" s="44">
        <f>'Asset cost and Total cost'!K15</f>
        <v>236862865.8980296</v>
      </c>
      <c r="M53" s="44">
        <f>'Asset cost and Total cost'!L15</f>
        <v>253705650.55173337</v>
      </c>
      <c r="N53" s="44">
        <f>'Asset cost and Total cost'!M15</f>
        <v>268408990.20786583</v>
      </c>
      <c r="O53" s="44">
        <f>'Asset cost and Total cost'!N15</f>
        <v>280199690.27729064</v>
      </c>
      <c r="P53" s="44">
        <f>'Asset cost and Total cost'!O15</f>
        <v>283676138.56381178</v>
      </c>
      <c r="Q53" s="44">
        <f>'Asset cost and Total cost'!P15</f>
        <v>285712664.52936149</v>
      </c>
      <c r="R53" s="28">
        <f>AVERAGE(M53:Q53)</f>
        <v>274340626.82601261</v>
      </c>
      <c r="S53" s="24"/>
      <c r="T53" s="24"/>
      <c r="U53" s="24"/>
      <c r="V53" s="24"/>
      <c r="W53" s="24"/>
      <c r="X53" s="24"/>
      <c r="Y53" s="24"/>
    </row>
    <row r="54" spans="1:25" x14ac:dyDescent="0.35">
      <c r="A54" s="38" t="s">
        <v>21</v>
      </c>
      <c r="B54" s="38" t="s">
        <v>92</v>
      </c>
      <c r="C54" s="69" t="s">
        <v>129</v>
      </c>
      <c r="D54" s="44">
        <f>'Asset cost and Total cost'!C16</f>
        <v>483540638.40155327</v>
      </c>
      <c r="E54" s="44">
        <f>'Asset cost and Total cost'!D16</f>
        <v>500392061.06182337</v>
      </c>
      <c r="F54" s="44">
        <f>'Asset cost and Total cost'!E16</f>
        <v>548721468.21829236</v>
      </c>
      <c r="G54" s="44">
        <f>'Asset cost and Total cost'!F16</f>
        <v>585747561.64108133</v>
      </c>
      <c r="H54" s="44">
        <f>'Asset cost and Total cost'!G16</f>
        <v>617152626.86424077</v>
      </c>
      <c r="I54" s="44">
        <f>'Asset cost and Total cost'!H16</f>
        <v>637582873.13242161</v>
      </c>
      <c r="J54" s="44">
        <f>'Asset cost and Total cost'!I16</f>
        <v>662535937.05905211</v>
      </c>
      <c r="K54" s="44">
        <f>'Asset cost and Total cost'!J16</f>
        <v>654563811.79174066</v>
      </c>
      <c r="L54" s="44">
        <f>'Asset cost and Total cost'!K16</f>
        <v>695431403.72166848</v>
      </c>
      <c r="M54" s="44">
        <f>'Asset cost and Total cost'!L16</f>
        <v>756941293.8782506</v>
      </c>
      <c r="N54" s="44">
        <f>'Asset cost and Total cost'!M16</f>
        <v>767785580.88801467</v>
      </c>
      <c r="O54" s="44">
        <f>'Asset cost and Total cost'!N16</f>
        <v>763577507.16259491</v>
      </c>
      <c r="P54" s="44">
        <f>'Asset cost and Total cost'!O16</f>
        <v>692647860.64366245</v>
      </c>
      <c r="Q54" s="44">
        <f>'Asset cost and Total cost'!P16</f>
        <v>718253541.25533497</v>
      </c>
      <c r="R54" s="28">
        <f t="shared" ref="R54:R57" si="10">AVERAGE(M54:Q54)</f>
        <v>739841156.76557148</v>
      </c>
      <c r="S54" s="24"/>
      <c r="T54" s="24"/>
      <c r="U54" s="24"/>
      <c r="V54" s="24"/>
      <c r="W54" s="24"/>
      <c r="X54" s="24"/>
      <c r="Y54" s="24"/>
    </row>
    <row r="55" spans="1:25" x14ac:dyDescent="0.35">
      <c r="A55" s="38" t="s">
        <v>35</v>
      </c>
      <c r="B55" s="38" t="s">
        <v>93</v>
      </c>
      <c r="C55" s="69" t="s">
        <v>129</v>
      </c>
      <c r="D55" s="44">
        <f>'Asset cost and Total cost'!C17</f>
        <v>294556975.69119769</v>
      </c>
      <c r="E55" s="44">
        <f>'Asset cost and Total cost'!D17</f>
        <v>292486572.49638122</v>
      </c>
      <c r="F55" s="44">
        <f>'Asset cost and Total cost'!E17</f>
        <v>301306947.11619925</v>
      </c>
      <c r="G55" s="44">
        <f>'Asset cost and Total cost'!F17</f>
        <v>323212185.96327776</v>
      </c>
      <c r="H55" s="44">
        <f>'Asset cost and Total cost'!G17</f>
        <v>330306192.55157322</v>
      </c>
      <c r="I55" s="44">
        <f>'Asset cost and Total cost'!H17</f>
        <v>323735648.77897286</v>
      </c>
      <c r="J55" s="44">
        <f>'Asset cost and Total cost'!I17</f>
        <v>318289463.73038095</v>
      </c>
      <c r="K55" s="44">
        <f>'Asset cost and Total cost'!J17</f>
        <v>325601223.76695031</v>
      </c>
      <c r="L55" s="44">
        <f>'Asset cost and Total cost'!K17</f>
        <v>327582472.83212942</v>
      </c>
      <c r="M55" s="44">
        <f>'Asset cost and Total cost'!L17</f>
        <v>353702757.35785562</v>
      </c>
      <c r="N55" s="44">
        <f>'Asset cost and Total cost'!M17</f>
        <v>363444571.38662064</v>
      </c>
      <c r="O55" s="44">
        <f>'Asset cost and Total cost'!N17</f>
        <v>367724595.45574093</v>
      </c>
      <c r="P55" s="44">
        <f>'Asset cost and Total cost'!O17</f>
        <v>366722026.62333524</v>
      </c>
      <c r="Q55" s="44">
        <f>'Asset cost and Total cost'!P17</f>
        <v>368530634.72444224</v>
      </c>
      <c r="R55" s="28">
        <f t="shared" si="10"/>
        <v>364024917.10959899</v>
      </c>
      <c r="S55" s="24"/>
      <c r="T55" s="24"/>
      <c r="U55" s="24"/>
      <c r="V55" s="24"/>
      <c r="W55" s="24"/>
      <c r="X55" s="24"/>
      <c r="Y55" s="24"/>
    </row>
    <row r="56" spans="1:25" x14ac:dyDescent="0.35">
      <c r="A56" s="38" t="s">
        <v>29</v>
      </c>
      <c r="B56" s="38" t="s">
        <v>94</v>
      </c>
      <c r="C56" s="69" t="s">
        <v>129</v>
      </c>
      <c r="D56" s="44">
        <f>'Asset cost and Total cost'!C18</f>
        <v>127412184.10442378</v>
      </c>
      <c r="E56" s="44">
        <f>'Asset cost and Total cost'!D18</f>
        <v>128797156.33975475</v>
      </c>
      <c r="F56" s="44">
        <f>'Asset cost and Total cost'!E18</f>
        <v>144144456.09751716</v>
      </c>
      <c r="G56" s="44">
        <f>'Asset cost and Total cost'!F18</f>
        <v>146238271.58993843</v>
      </c>
      <c r="H56" s="44">
        <f>'Asset cost and Total cost'!G18</f>
        <v>157280045.04013813</v>
      </c>
      <c r="I56" s="44">
        <f>'Asset cost and Total cost'!H18</f>
        <v>161348001.10339904</v>
      </c>
      <c r="J56" s="44">
        <f>'Asset cost and Total cost'!I18</f>
        <v>163026686.69338244</v>
      </c>
      <c r="K56" s="44">
        <f>'Asset cost and Total cost'!J18</f>
        <v>159433257.23070279</v>
      </c>
      <c r="L56" s="44">
        <f>'Asset cost and Total cost'!K18</f>
        <v>167396359.19629321</v>
      </c>
      <c r="M56" s="44">
        <f>'Asset cost and Total cost'!L18</f>
        <v>146527130.62725237</v>
      </c>
      <c r="N56" s="44">
        <f>'Asset cost and Total cost'!M18</f>
        <v>151330009.49453416</v>
      </c>
      <c r="O56" s="44">
        <f>'Asset cost and Total cost'!N18</f>
        <v>147196704.26295015</v>
      </c>
      <c r="P56" s="44">
        <f>'Asset cost and Total cost'!O18</f>
        <v>141320625.29317641</v>
      </c>
      <c r="Q56" s="44">
        <f>'Asset cost and Total cost'!P18</f>
        <v>143098103.67193204</v>
      </c>
      <c r="R56" s="28">
        <f t="shared" si="10"/>
        <v>145894514.66996902</v>
      </c>
      <c r="S56" s="24"/>
      <c r="T56" s="24"/>
      <c r="U56" s="24"/>
      <c r="V56" s="24"/>
      <c r="W56" s="24"/>
      <c r="X56" s="24"/>
      <c r="Y56" s="24"/>
    </row>
    <row r="57" spans="1:25" x14ac:dyDescent="0.35">
      <c r="A57" s="38" t="s">
        <v>38</v>
      </c>
      <c r="B57" s="38" t="s">
        <v>95</v>
      </c>
      <c r="C57" s="69" t="s">
        <v>129</v>
      </c>
      <c r="D57" s="44">
        <f>'Asset cost and Total cost'!C19</f>
        <v>483398163.2498377</v>
      </c>
      <c r="E57" s="44">
        <f>'Asset cost and Total cost'!D19</f>
        <v>489780475.63425708</v>
      </c>
      <c r="F57" s="44">
        <f>'Asset cost and Total cost'!E19</f>
        <v>492584270.28759634</v>
      </c>
      <c r="G57" s="44">
        <f>'Asset cost and Total cost'!F19</f>
        <v>519136888.69222546</v>
      </c>
      <c r="H57" s="44">
        <f>'Asset cost and Total cost'!G19</f>
        <v>574920926.16272879</v>
      </c>
      <c r="I57" s="44">
        <f>'Asset cost and Total cost'!H19</f>
        <v>566440881.43526626</v>
      </c>
      <c r="J57" s="44">
        <f>'Asset cost and Total cost'!I19</f>
        <v>581199509.44787776</v>
      </c>
      <c r="K57" s="44">
        <f>'Asset cost and Total cost'!J19</f>
        <v>586287872.10489714</v>
      </c>
      <c r="L57" s="44">
        <f>'Asset cost and Total cost'!K19</f>
        <v>648543061.18878675</v>
      </c>
      <c r="M57" s="44">
        <f>'Asset cost and Total cost'!L19</f>
        <v>665470061.59867489</v>
      </c>
      <c r="N57" s="44">
        <f>'Asset cost and Total cost'!M19</f>
        <v>679282211.11183906</v>
      </c>
      <c r="O57" s="44">
        <f>'Asset cost and Total cost'!N19</f>
        <v>689939642.61685586</v>
      </c>
      <c r="P57" s="44">
        <f>'Asset cost and Total cost'!O19</f>
        <v>643873932.08910847</v>
      </c>
      <c r="Q57" s="44">
        <f>'Asset cost and Total cost'!P19</f>
        <v>631680919.66212845</v>
      </c>
      <c r="R57" s="28">
        <f t="shared" si="10"/>
        <v>662049353.4157213</v>
      </c>
      <c r="S57" s="24"/>
      <c r="T57" s="24"/>
      <c r="U57" s="24"/>
      <c r="V57" s="24"/>
      <c r="W57" s="24"/>
      <c r="X57" s="24"/>
      <c r="Y57" s="24"/>
    </row>
    <row r="58" spans="1:25" x14ac:dyDescent="0.35">
      <c r="A58" s="24"/>
      <c r="B58" s="24"/>
      <c r="C58" s="24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4"/>
      <c r="R58" s="24"/>
      <c r="S58" s="24"/>
      <c r="T58" s="24"/>
      <c r="U58" s="24"/>
      <c r="V58" s="24"/>
      <c r="W58" s="24"/>
      <c r="X58" s="24"/>
      <c r="Y58" s="24"/>
    </row>
    <row r="59" spans="1:25" x14ac:dyDescent="0.35">
      <c r="A59" s="24"/>
      <c r="B59" s="24"/>
      <c r="C59" s="24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R59" s="24"/>
      <c r="S59" s="24"/>
      <c r="T59" s="24"/>
      <c r="U59" s="24"/>
      <c r="V59" s="24"/>
      <c r="W59" s="24"/>
      <c r="X59" s="24"/>
      <c r="Y59" s="24"/>
    </row>
    <row r="60" spans="1:25" x14ac:dyDescent="0.35">
      <c r="A60" s="24"/>
      <c r="B60" s="24"/>
      <c r="C60" s="24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R60" s="24"/>
      <c r="S60" s="24"/>
      <c r="T60" s="24"/>
      <c r="U60" s="24"/>
      <c r="V60" s="24"/>
      <c r="W60" s="24"/>
      <c r="X60" s="24"/>
      <c r="Y60" s="24"/>
    </row>
    <row r="61" spans="1:25" x14ac:dyDescent="0.35">
      <c r="A61" s="24"/>
      <c r="B61" s="24"/>
      <c r="C61" s="24"/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4"/>
      <c r="P61" s="24"/>
      <c r="R61" s="24"/>
      <c r="S61" s="24"/>
      <c r="T61" s="24"/>
      <c r="U61" s="24"/>
      <c r="V61" s="24"/>
      <c r="W61" s="24"/>
      <c r="X61" s="24"/>
      <c r="Y61" s="24"/>
    </row>
    <row r="62" spans="1:25" x14ac:dyDescent="0.35">
      <c r="A62" s="24"/>
      <c r="B62" s="24"/>
      <c r="C62" s="24"/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4"/>
      <c r="P62" s="24"/>
      <c r="R62" s="24"/>
      <c r="S62" s="24"/>
      <c r="T62" s="24"/>
      <c r="U62" s="24"/>
      <c r="V62" s="24"/>
      <c r="W62" s="24"/>
      <c r="X62" s="24"/>
      <c r="Y62" s="24"/>
    </row>
    <row r="63" spans="1:25" x14ac:dyDescent="0.35">
      <c r="A63" s="24"/>
      <c r="B63" s="24"/>
      <c r="C63" s="24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24"/>
      <c r="R63" s="24"/>
      <c r="S63" s="24"/>
      <c r="T63" s="24"/>
      <c r="U63" s="24"/>
      <c r="V63" s="24"/>
      <c r="W63" s="24"/>
      <c r="X63" s="24"/>
      <c r="Y63" s="24"/>
    </row>
    <row r="64" spans="1:25" x14ac:dyDescent="0.35">
      <c r="A64" s="24"/>
      <c r="B64" s="24"/>
      <c r="C64" s="24"/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/>
      <c r="P64" s="24"/>
      <c r="R64" s="24"/>
      <c r="S64" s="24"/>
      <c r="T64" s="24"/>
      <c r="U64" s="24"/>
      <c r="V64" s="24"/>
      <c r="W64" s="24"/>
      <c r="X64" s="24"/>
      <c r="Y64" s="24"/>
    </row>
    <row r="65" spans="1:25" x14ac:dyDescent="0.35">
      <c r="A65" s="24"/>
      <c r="B65" s="24"/>
      <c r="C65" s="24"/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24"/>
      <c r="R65" s="24"/>
      <c r="S65" s="24"/>
      <c r="T65" s="24"/>
      <c r="U65" s="24"/>
      <c r="V65" s="24"/>
      <c r="W65" s="24"/>
      <c r="X65" s="24"/>
      <c r="Y65" s="24"/>
    </row>
    <row r="66" spans="1:25" x14ac:dyDescent="0.35">
      <c r="A66" s="24"/>
      <c r="B66" s="24"/>
      <c r="C66" s="24"/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24"/>
      <c r="P66" s="24"/>
      <c r="R66" s="24"/>
      <c r="S66" s="24"/>
      <c r="T66" s="24"/>
      <c r="U66" s="24"/>
      <c r="V66" s="24"/>
      <c r="W66" s="24"/>
      <c r="X66" s="24"/>
      <c r="Y66" s="24"/>
    </row>
    <row r="67" spans="1:25" x14ac:dyDescent="0.35">
      <c r="A67" s="24"/>
      <c r="B67" s="24"/>
      <c r="C67" s="24"/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24"/>
      <c r="P67" s="24"/>
      <c r="R67" s="24"/>
      <c r="S67" s="24"/>
      <c r="T67" s="24"/>
      <c r="U67" s="24"/>
      <c r="V67" s="24"/>
      <c r="W67" s="24"/>
      <c r="X67" s="24"/>
      <c r="Y67" s="24"/>
    </row>
    <row r="68" spans="1:25" x14ac:dyDescent="0.35">
      <c r="A68" s="24"/>
      <c r="B68" s="24"/>
      <c r="C68" s="24"/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  <c r="P68" s="24"/>
      <c r="R68" s="24"/>
      <c r="S68" s="24"/>
      <c r="T68" s="24"/>
      <c r="U68" s="24"/>
      <c r="V68" s="24"/>
      <c r="W68" s="24"/>
      <c r="X68" s="24"/>
      <c r="Y68" s="24"/>
    </row>
    <row r="69" spans="1:25" x14ac:dyDescent="0.35">
      <c r="A69" s="24"/>
      <c r="B69" s="24"/>
      <c r="C69" s="24"/>
      <c r="D69" s="24"/>
      <c r="E69" s="24"/>
      <c r="F69" s="24"/>
      <c r="G69" s="24"/>
      <c r="H69" s="24"/>
      <c r="I69" s="24"/>
      <c r="J69" s="24"/>
      <c r="K69" s="24"/>
      <c r="L69" s="24"/>
      <c r="M69" s="24"/>
      <c r="N69" s="24"/>
      <c r="O69" s="24"/>
      <c r="P69" s="24"/>
      <c r="R69" s="24"/>
      <c r="S69" s="24"/>
      <c r="T69" s="24"/>
      <c r="U69" s="24"/>
      <c r="V69" s="24"/>
      <c r="W69" s="24"/>
      <c r="X69" s="24"/>
      <c r="Y69" s="24"/>
    </row>
    <row r="70" spans="1:25" x14ac:dyDescent="0.35">
      <c r="A70" s="24"/>
      <c r="B70" s="24"/>
      <c r="C70" s="24"/>
      <c r="D70" s="24"/>
      <c r="E70" s="24"/>
      <c r="F70" s="24"/>
      <c r="G70" s="24"/>
      <c r="H70" s="24"/>
      <c r="I70" s="24"/>
      <c r="J70" s="24"/>
      <c r="K70" s="24"/>
      <c r="L70" s="24"/>
      <c r="M70" s="24"/>
      <c r="N70" s="24"/>
      <c r="O70" s="24"/>
      <c r="P70" s="24"/>
      <c r="R70" s="24"/>
      <c r="S70" s="24"/>
      <c r="T70" s="24"/>
      <c r="U70" s="24"/>
      <c r="V70" s="24"/>
      <c r="W70" s="24"/>
      <c r="X70" s="24"/>
      <c r="Y70" s="24"/>
    </row>
    <row r="71" spans="1:25" x14ac:dyDescent="0.35">
      <c r="A71" s="24"/>
      <c r="B71" s="24"/>
      <c r="C71" s="24"/>
      <c r="D71" s="24"/>
      <c r="E71" s="24"/>
      <c r="F71" s="24"/>
      <c r="G71" s="24"/>
      <c r="H71" s="24"/>
      <c r="I71" s="24"/>
      <c r="J71" s="24"/>
      <c r="K71" s="24"/>
      <c r="L71" s="24"/>
      <c r="M71" s="24"/>
      <c r="N71" s="24"/>
      <c r="O71" s="24"/>
      <c r="P71" s="24"/>
      <c r="R71" s="24"/>
      <c r="S71" s="24"/>
      <c r="T71" s="24"/>
      <c r="U71" s="24"/>
      <c r="V71" s="24"/>
      <c r="W71" s="24"/>
      <c r="X71" s="24"/>
      <c r="Y71" s="24"/>
    </row>
    <row r="72" spans="1:25" x14ac:dyDescent="0.35">
      <c r="A72" s="24"/>
      <c r="B72" s="24"/>
      <c r="C72" s="24"/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24"/>
      <c r="O72" s="24"/>
      <c r="P72" s="24"/>
      <c r="R72" s="24"/>
      <c r="S72" s="24"/>
      <c r="T72" s="24"/>
      <c r="U72" s="24"/>
      <c r="V72" s="24"/>
      <c r="W72" s="24"/>
      <c r="X72" s="24"/>
      <c r="Y72" s="24"/>
    </row>
    <row r="73" spans="1:25" x14ac:dyDescent="0.35">
      <c r="A73" s="24"/>
      <c r="B73" s="24"/>
      <c r="C73" s="24"/>
      <c r="D73" s="24"/>
      <c r="E73" s="24"/>
      <c r="F73" s="24"/>
      <c r="G73" s="24"/>
      <c r="H73" s="24"/>
      <c r="I73" s="24"/>
      <c r="J73" s="24"/>
      <c r="K73" s="24"/>
      <c r="L73" s="24"/>
      <c r="M73" s="24"/>
      <c r="N73" s="24"/>
      <c r="O73" s="24"/>
      <c r="P73" s="24"/>
      <c r="R73" s="24"/>
      <c r="S73" s="24"/>
      <c r="T73" s="24"/>
      <c r="U73" s="24"/>
      <c r="V73" s="24"/>
      <c r="W73" s="24"/>
      <c r="X73" s="24"/>
      <c r="Y73" s="24"/>
    </row>
    <row r="74" spans="1:25" x14ac:dyDescent="0.35">
      <c r="A74" s="24"/>
      <c r="B74" s="24"/>
      <c r="C74" s="24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24"/>
      <c r="R74" s="24"/>
      <c r="S74" s="24"/>
      <c r="T74" s="24"/>
      <c r="U74" s="24"/>
      <c r="V74" s="24"/>
      <c r="W74" s="24"/>
      <c r="X74" s="24"/>
      <c r="Y74" s="24"/>
    </row>
    <row r="75" spans="1:25" x14ac:dyDescent="0.35">
      <c r="A75" s="24"/>
      <c r="B75" s="24"/>
      <c r="C75" s="24"/>
      <c r="D75" s="24"/>
      <c r="E75" s="24"/>
      <c r="F75" s="24"/>
      <c r="G75" s="24"/>
      <c r="H75" s="24"/>
      <c r="I75" s="24"/>
      <c r="J75" s="24"/>
      <c r="K75" s="24"/>
      <c r="L75" s="24"/>
      <c r="M75" s="24"/>
      <c r="N75" s="24"/>
      <c r="O75" s="24"/>
      <c r="P75" s="24"/>
      <c r="R75" s="24"/>
      <c r="S75" s="24"/>
      <c r="T75" s="24"/>
      <c r="U75" s="24"/>
      <c r="V75" s="24"/>
      <c r="W75" s="24"/>
      <c r="X75" s="24"/>
      <c r="Y75" s="24"/>
    </row>
    <row r="76" spans="1:25" x14ac:dyDescent="0.35">
      <c r="A76" s="24"/>
      <c r="B76" s="24"/>
      <c r="C76" s="24"/>
      <c r="D76" s="24"/>
      <c r="E76" s="24"/>
      <c r="F76" s="24"/>
      <c r="G76" s="24"/>
      <c r="H76" s="24"/>
      <c r="I76" s="24"/>
      <c r="J76" s="24"/>
      <c r="K76" s="24"/>
      <c r="L76" s="24"/>
      <c r="M76" s="24"/>
      <c r="N76" s="24"/>
      <c r="O76" s="24"/>
      <c r="P76" s="24"/>
      <c r="R76" s="24"/>
      <c r="S76" s="24"/>
      <c r="T76" s="24"/>
      <c r="U76" s="24"/>
      <c r="V76" s="24"/>
      <c r="W76" s="24"/>
      <c r="X76" s="24"/>
      <c r="Y76" s="24"/>
    </row>
    <row r="77" spans="1:25" x14ac:dyDescent="0.35">
      <c r="A77" s="24"/>
      <c r="B77" s="24"/>
      <c r="C77" s="24"/>
      <c r="D77" s="24"/>
      <c r="E77" s="24"/>
      <c r="F77" s="24"/>
      <c r="G77" s="24"/>
      <c r="H77" s="24"/>
      <c r="I77" s="24"/>
      <c r="J77" s="24"/>
      <c r="K77" s="24"/>
      <c r="L77" s="24"/>
      <c r="M77" s="24"/>
      <c r="N77" s="24"/>
      <c r="O77" s="24"/>
      <c r="P77" s="24"/>
      <c r="R77" s="24"/>
      <c r="S77" s="24"/>
      <c r="T77" s="24"/>
      <c r="U77" s="24"/>
      <c r="V77" s="24"/>
      <c r="W77" s="24"/>
      <c r="X77" s="24"/>
      <c r="Y77" s="24"/>
    </row>
    <row r="78" spans="1:25" x14ac:dyDescent="0.35">
      <c r="A78" s="24"/>
      <c r="B78" s="24"/>
      <c r="C78" s="24"/>
      <c r="D78" s="24"/>
      <c r="E78" s="24"/>
      <c r="F78" s="24"/>
      <c r="G78" s="24"/>
      <c r="H78" s="24"/>
      <c r="I78" s="24"/>
      <c r="J78" s="24"/>
      <c r="K78" s="24"/>
      <c r="L78" s="24"/>
      <c r="M78" s="24"/>
      <c r="N78" s="24"/>
      <c r="O78" s="24"/>
      <c r="P78" s="24"/>
      <c r="R78" s="24"/>
      <c r="S78" s="24"/>
      <c r="T78" s="24"/>
      <c r="U78" s="24"/>
      <c r="V78" s="24"/>
      <c r="W78" s="24"/>
      <c r="X78" s="24"/>
      <c r="Y78" s="24"/>
    </row>
    <row r="79" spans="1:25" x14ac:dyDescent="0.35">
      <c r="A79" s="24"/>
      <c r="B79" s="24"/>
      <c r="C79" s="24"/>
      <c r="D79" s="24"/>
      <c r="E79" s="24"/>
      <c r="F79" s="24"/>
      <c r="G79" s="24"/>
      <c r="H79" s="24"/>
      <c r="I79" s="24"/>
      <c r="J79" s="24"/>
      <c r="K79" s="24"/>
      <c r="L79" s="24"/>
      <c r="M79" s="24"/>
      <c r="N79" s="24"/>
      <c r="O79" s="24"/>
      <c r="P79" s="24"/>
      <c r="R79" s="24"/>
      <c r="S79" s="24"/>
      <c r="T79" s="24"/>
      <c r="U79" s="24"/>
      <c r="V79" s="24"/>
      <c r="W79" s="24"/>
      <c r="X79" s="24"/>
      <c r="Y79" s="24"/>
    </row>
    <row r="80" spans="1:25" x14ac:dyDescent="0.35">
      <c r="A80" s="24"/>
      <c r="B80" s="24"/>
      <c r="C80" s="24"/>
      <c r="D80" s="24"/>
      <c r="E80" s="24"/>
      <c r="F80" s="24"/>
      <c r="G80" s="24"/>
      <c r="H80" s="24"/>
      <c r="I80" s="24"/>
      <c r="J80" s="24"/>
      <c r="K80" s="24"/>
      <c r="L80" s="24"/>
      <c r="M80" s="24"/>
      <c r="N80" s="24"/>
      <c r="O80" s="24"/>
      <c r="P80" s="24"/>
      <c r="R80" s="24"/>
      <c r="S80" s="24"/>
      <c r="T80" s="24"/>
      <c r="U80" s="24"/>
      <c r="V80" s="24"/>
      <c r="W80" s="24"/>
      <c r="X80" s="24"/>
      <c r="Y80" s="24"/>
    </row>
    <row r="81" spans="1:25" x14ac:dyDescent="0.35">
      <c r="A81" s="24"/>
      <c r="B81" s="24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R81" s="24"/>
      <c r="S81" s="24"/>
      <c r="T81" s="24"/>
      <c r="U81" s="24"/>
      <c r="V81" s="24"/>
      <c r="W81" s="24"/>
      <c r="X81" s="24"/>
      <c r="Y81" s="24"/>
    </row>
    <row r="82" spans="1:25" x14ac:dyDescent="0.35">
      <c r="A82" s="24"/>
      <c r="B82" s="24"/>
      <c r="C82" s="24"/>
      <c r="D82" s="24"/>
      <c r="E82" s="24"/>
      <c r="F82" s="24"/>
      <c r="G82" s="24"/>
      <c r="H82" s="24"/>
      <c r="I82" s="24"/>
      <c r="J82" s="24"/>
      <c r="K82" s="24"/>
      <c r="L82" s="24"/>
      <c r="M82" s="24"/>
      <c r="N82" s="24"/>
      <c r="O82" s="24"/>
      <c r="P82" s="24"/>
      <c r="R82" s="24"/>
      <c r="S82" s="24"/>
      <c r="T82" s="24"/>
      <c r="U82" s="24"/>
      <c r="V82" s="24"/>
      <c r="W82" s="24"/>
      <c r="X82" s="24"/>
      <c r="Y82" s="24"/>
    </row>
    <row r="83" spans="1:25" x14ac:dyDescent="0.35">
      <c r="A83" s="24"/>
      <c r="B83" s="24"/>
      <c r="C83" s="24"/>
      <c r="D83" s="24"/>
      <c r="E83" s="24"/>
      <c r="F83" s="24"/>
      <c r="G83" s="24"/>
      <c r="H83" s="24"/>
      <c r="I83" s="24"/>
      <c r="J83" s="24"/>
      <c r="K83" s="24"/>
      <c r="L83" s="24"/>
      <c r="M83" s="24"/>
      <c r="N83" s="24"/>
      <c r="O83" s="24"/>
      <c r="P83" s="24"/>
      <c r="R83" s="24"/>
      <c r="S83" s="24"/>
      <c r="T83" s="24"/>
      <c r="U83" s="24"/>
      <c r="V83" s="24"/>
      <c r="W83" s="24"/>
      <c r="X83" s="24"/>
      <c r="Y83" s="24"/>
    </row>
    <row r="84" spans="1:25" x14ac:dyDescent="0.35">
      <c r="A84" s="24"/>
      <c r="B84" s="24"/>
      <c r="C84" s="24"/>
      <c r="D84" s="24"/>
      <c r="E84" s="24"/>
      <c r="F84" s="24"/>
      <c r="G84" s="24"/>
      <c r="H84" s="24"/>
      <c r="I84" s="24"/>
      <c r="J84" s="24"/>
      <c r="K84" s="24"/>
      <c r="L84" s="24"/>
      <c r="M84" s="24"/>
      <c r="N84" s="24"/>
      <c r="O84" s="24"/>
      <c r="P84" s="24"/>
      <c r="R84" s="24"/>
      <c r="S84" s="24"/>
      <c r="T84" s="24"/>
      <c r="U84" s="24"/>
      <c r="V84" s="24"/>
      <c r="W84" s="24"/>
      <c r="X84" s="24"/>
      <c r="Y84" s="24"/>
    </row>
    <row r="85" spans="1:25" x14ac:dyDescent="0.35">
      <c r="A85" s="24"/>
      <c r="B85" s="24"/>
      <c r="C85" s="24"/>
      <c r="D85" s="24"/>
      <c r="E85" s="24"/>
      <c r="F85" s="24"/>
      <c r="G85" s="24"/>
      <c r="H85" s="24"/>
      <c r="I85" s="24"/>
      <c r="J85" s="24"/>
      <c r="K85" s="24"/>
      <c r="L85" s="24"/>
      <c r="M85" s="24"/>
      <c r="N85" s="24"/>
      <c r="O85" s="24"/>
      <c r="P85" s="24"/>
      <c r="R85" s="24"/>
      <c r="S85" s="24"/>
      <c r="T85" s="24"/>
      <c r="U85" s="24"/>
      <c r="V85" s="24"/>
      <c r="W85" s="24"/>
      <c r="X85" s="24"/>
      <c r="Y85" s="24"/>
    </row>
    <row r="86" spans="1:25" x14ac:dyDescent="0.35">
      <c r="A86" s="24"/>
      <c r="B86" s="24"/>
      <c r="C86" s="24"/>
      <c r="D86" s="24"/>
      <c r="E86" s="24"/>
      <c r="F86" s="24"/>
      <c r="G86" s="24"/>
      <c r="H86" s="24"/>
      <c r="I86" s="24"/>
      <c r="J86" s="24"/>
      <c r="K86" s="24"/>
      <c r="L86" s="24"/>
      <c r="M86" s="24"/>
      <c r="N86" s="24"/>
      <c r="O86" s="24"/>
      <c r="P86" s="24"/>
      <c r="R86" s="24"/>
      <c r="S86" s="24"/>
      <c r="T86" s="24"/>
      <c r="U86" s="24"/>
      <c r="V86" s="24"/>
      <c r="W86" s="24"/>
      <c r="X86" s="24"/>
      <c r="Y86" s="24"/>
    </row>
    <row r="87" spans="1:25" x14ac:dyDescent="0.35">
      <c r="A87" s="24"/>
      <c r="B87" s="24"/>
      <c r="C87" s="24"/>
      <c r="D87" s="24"/>
      <c r="E87" s="24"/>
      <c r="F87" s="24"/>
      <c r="G87" s="24"/>
      <c r="H87" s="24"/>
      <c r="I87" s="24"/>
      <c r="J87" s="24"/>
      <c r="K87" s="24"/>
      <c r="L87" s="24"/>
      <c r="M87" s="24"/>
      <c r="N87" s="24"/>
      <c r="O87" s="24"/>
      <c r="P87" s="24"/>
      <c r="R87" s="24"/>
      <c r="S87" s="24"/>
      <c r="T87" s="24"/>
      <c r="U87" s="24"/>
      <c r="V87" s="24"/>
      <c r="W87" s="24"/>
      <c r="X87" s="24"/>
      <c r="Y87" s="24"/>
    </row>
    <row r="88" spans="1:25" x14ac:dyDescent="0.35">
      <c r="A88" s="24"/>
      <c r="B88" s="24"/>
      <c r="C88" s="24"/>
      <c r="D88" s="24"/>
      <c r="E88" s="24"/>
      <c r="F88" s="24"/>
      <c r="G88" s="24"/>
      <c r="H88" s="24"/>
      <c r="I88" s="24"/>
      <c r="J88" s="24"/>
      <c r="K88" s="24"/>
      <c r="L88" s="24"/>
      <c r="M88" s="24"/>
      <c r="N88" s="24"/>
      <c r="O88" s="24"/>
      <c r="P88" s="24"/>
      <c r="R88" s="24"/>
      <c r="S88" s="24"/>
      <c r="T88" s="24"/>
      <c r="U88" s="24"/>
      <c r="V88" s="24"/>
      <c r="W88" s="24"/>
      <c r="X88" s="24"/>
      <c r="Y88" s="24"/>
    </row>
    <row r="89" spans="1:25" x14ac:dyDescent="0.35">
      <c r="A89" s="24"/>
      <c r="B89" s="24"/>
      <c r="C89" s="24"/>
      <c r="D89" s="24"/>
      <c r="E89" s="24"/>
      <c r="F89" s="24"/>
      <c r="G89" s="24"/>
      <c r="H89" s="24"/>
      <c r="I89" s="24"/>
      <c r="J89" s="24"/>
      <c r="K89" s="24"/>
      <c r="L89" s="24"/>
      <c r="M89" s="24"/>
      <c r="N89" s="24"/>
      <c r="O89" s="24"/>
      <c r="P89" s="24"/>
      <c r="R89" s="24"/>
      <c r="S89" s="24"/>
      <c r="T89" s="24"/>
      <c r="U89" s="24"/>
      <c r="V89" s="24"/>
      <c r="W89" s="24"/>
      <c r="X89" s="24"/>
      <c r="Y89" s="24"/>
    </row>
    <row r="90" spans="1:25" x14ac:dyDescent="0.35">
      <c r="A90" s="24"/>
      <c r="B90" s="24"/>
      <c r="C90" s="24"/>
      <c r="D90" s="24"/>
      <c r="E90" s="24"/>
      <c r="F90" s="24"/>
      <c r="G90" s="24"/>
      <c r="H90" s="24"/>
      <c r="I90" s="24"/>
      <c r="J90" s="24"/>
      <c r="K90" s="24"/>
      <c r="L90" s="24"/>
      <c r="M90" s="24"/>
      <c r="N90" s="24"/>
      <c r="O90" s="24"/>
      <c r="P90" s="24"/>
      <c r="R90" s="24"/>
      <c r="S90" s="24"/>
      <c r="T90" s="24"/>
      <c r="U90" s="24"/>
      <c r="V90" s="24"/>
      <c r="W90" s="24"/>
      <c r="X90" s="24"/>
      <c r="Y90" s="24"/>
    </row>
    <row r="91" spans="1:25" x14ac:dyDescent="0.35">
      <c r="A91" s="24"/>
      <c r="B91" s="24"/>
      <c r="C91" s="24"/>
      <c r="D91" s="24"/>
      <c r="E91" s="24"/>
      <c r="F91" s="24"/>
      <c r="G91" s="24"/>
      <c r="H91" s="24"/>
      <c r="I91" s="24"/>
      <c r="J91" s="24"/>
      <c r="K91" s="24"/>
      <c r="L91" s="24"/>
      <c r="M91" s="24"/>
      <c r="N91" s="24"/>
      <c r="O91" s="24"/>
      <c r="P91" s="24"/>
      <c r="R91" s="24"/>
      <c r="S91" s="24"/>
      <c r="T91" s="24"/>
      <c r="U91" s="24"/>
      <c r="V91" s="24"/>
      <c r="W91" s="24"/>
      <c r="X91" s="24"/>
      <c r="Y91" s="24"/>
    </row>
    <row r="92" spans="1:25" x14ac:dyDescent="0.35">
      <c r="A92" s="24"/>
      <c r="B92" s="24"/>
      <c r="C92" s="24"/>
      <c r="D92" s="24"/>
      <c r="E92" s="24"/>
      <c r="F92" s="24"/>
      <c r="G92" s="24"/>
      <c r="H92" s="24"/>
      <c r="I92" s="24"/>
      <c r="J92" s="24"/>
      <c r="K92" s="24"/>
      <c r="L92" s="24"/>
      <c r="M92" s="24"/>
      <c r="N92" s="24"/>
      <c r="O92" s="24"/>
      <c r="P92" s="24"/>
      <c r="R92" s="24"/>
      <c r="S92" s="24"/>
      <c r="T92" s="24"/>
      <c r="U92" s="24"/>
      <c r="V92" s="24"/>
      <c r="W92" s="24"/>
      <c r="X92" s="24"/>
      <c r="Y92" s="24"/>
    </row>
    <row r="93" spans="1:25" x14ac:dyDescent="0.35">
      <c r="A93" s="24"/>
      <c r="B93" s="24"/>
      <c r="C93" s="24"/>
      <c r="D93" s="24"/>
      <c r="E93" s="24"/>
      <c r="F93" s="24"/>
      <c r="G93" s="24"/>
      <c r="H93" s="24"/>
      <c r="I93" s="24"/>
      <c r="J93" s="24"/>
      <c r="K93" s="24"/>
      <c r="L93" s="24"/>
      <c r="M93" s="24"/>
      <c r="N93" s="24"/>
      <c r="O93" s="24"/>
      <c r="P93" s="24"/>
      <c r="R93" s="24"/>
      <c r="S93" s="24"/>
      <c r="T93" s="24"/>
      <c r="U93" s="24"/>
      <c r="V93" s="24"/>
      <c r="W93" s="24"/>
      <c r="X93" s="24"/>
      <c r="Y93" s="24"/>
    </row>
    <row r="94" spans="1:25" x14ac:dyDescent="0.35">
      <c r="A94" s="24"/>
      <c r="B94" s="24"/>
      <c r="C94" s="24"/>
      <c r="D94" s="24"/>
      <c r="E94" s="24"/>
      <c r="F94" s="24"/>
      <c r="G94" s="24"/>
      <c r="H94" s="24"/>
      <c r="I94" s="24"/>
      <c r="J94" s="24"/>
      <c r="K94" s="24"/>
      <c r="L94" s="24"/>
      <c r="M94" s="24"/>
      <c r="N94" s="24"/>
      <c r="O94" s="24"/>
      <c r="P94" s="24"/>
      <c r="R94" s="24"/>
      <c r="S94" s="24"/>
      <c r="T94" s="24"/>
      <c r="U94" s="24"/>
      <c r="V94" s="24"/>
      <c r="W94" s="24"/>
      <c r="X94" s="24"/>
      <c r="Y94" s="24"/>
    </row>
    <row r="95" spans="1:25" x14ac:dyDescent="0.35">
      <c r="A95" s="24"/>
      <c r="B95" s="24"/>
      <c r="C95" s="24"/>
      <c r="D95" s="24"/>
      <c r="E95" s="24"/>
      <c r="F95" s="24"/>
      <c r="G95" s="24"/>
      <c r="H95" s="24"/>
      <c r="I95" s="24"/>
      <c r="J95" s="24"/>
      <c r="K95" s="24"/>
      <c r="L95" s="24"/>
      <c r="M95" s="24"/>
      <c r="N95" s="24"/>
      <c r="O95" s="24"/>
      <c r="P95" s="24"/>
      <c r="R95" s="24"/>
      <c r="S95" s="24"/>
      <c r="T95" s="24"/>
      <c r="U95" s="24"/>
      <c r="V95" s="24"/>
      <c r="W95" s="24"/>
      <c r="X95" s="24"/>
      <c r="Y95" s="24"/>
    </row>
    <row r="96" spans="1:25" x14ac:dyDescent="0.35">
      <c r="A96" s="24"/>
      <c r="B96" s="24"/>
      <c r="C96" s="24"/>
      <c r="D96" s="24"/>
      <c r="E96" s="24"/>
      <c r="F96" s="24"/>
      <c r="G96" s="24"/>
      <c r="H96" s="24"/>
      <c r="I96" s="24"/>
      <c r="J96" s="24"/>
      <c r="K96" s="24"/>
      <c r="L96" s="24"/>
      <c r="M96" s="24"/>
      <c r="N96" s="24"/>
      <c r="O96" s="24"/>
      <c r="P96" s="24"/>
      <c r="R96" s="24"/>
      <c r="S96" s="24"/>
      <c r="T96" s="24"/>
      <c r="U96" s="24"/>
      <c r="V96" s="24"/>
      <c r="W96" s="24"/>
      <c r="X96" s="24"/>
      <c r="Y96" s="24"/>
    </row>
    <row r="97" spans="1:25" x14ac:dyDescent="0.35">
      <c r="A97" s="24"/>
      <c r="B97" s="24"/>
      <c r="C97" s="24"/>
      <c r="D97" s="24"/>
      <c r="E97" s="24"/>
      <c r="F97" s="24"/>
      <c r="G97" s="24"/>
      <c r="H97" s="24"/>
      <c r="I97" s="24"/>
      <c r="J97" s="24"/>
      <c r="K97" s="24"/>
      <c r="L97" s="24"/>
      <c r="M97" s="24"/>
      <c r="N97" s="24"/>
      <c r="O97" s="24"/>
      <c r="P97" s="24"/>
      <c r="R97" s="24"/>
      <c r="S97" s="24"/>
      <c r="T97" s="24"/>
      <c r="U97" s="24"/>
      <c r="V97" s="24"/>
      <c r="W97" s="24"/>
      <c r="X97" s="24"/>
      <c r="Y97" s="24"/>
    </row>
    <row r="98" spans="1:25" x14ac:dyDescent="0.35">
      <c r="A98" s="24"/>
      <c r="B98" s="24"/>
      <c r="C98" s="24"/>
      <c r="D98" s="24"/>
      <c r="E98" s="24"/>
      <c r="F98" s="24"/>
      <c r="G98" s="24"/>
      <c r="H98" s="24"/>
      <c r="I98" s="24"/>
      <c r="J98" s="24"/>
      <c r="K98" s="24"/>
      <c r="L98" s="24"/>
      <c r="M98" s="24"/>
      <c r="N98" s="24"/>
      <c r="O98" s="24"/>
      <c r="P98" s="24"/>
      <c r="R98" s="24"/>
      <c r="S98" s="24"/>
      <c r="T98" s="24"/>
      <c r="U98" s="24"/>
      <c r="V98" s="24"/>
      <c r="W98" s="24"/>
      <c r="X98" s="24"/>
      <c r="Y98" s="24"/>
    </row>
    <row r="99" spans="1:25" x14ac:dyDescent="0.35">
      <c r="A99" s="24"/>
      <c r="B99" s="24"/>
      <c r="C99" s="24"/>
      <c r="D99" s="24"/>
      <c r="E99" s="24"/>
      <c r="F99" s="24"/>
      <c r="G99" s="24"/>
      <c r="H99" s="24"/>
      <c r="I99" s="24"/>
      <c r="J99" s="24"/>
      <c r="K99" s="24"/>
      <c r="L99" s="24"/>
      <c r="M99" s="24"/>
      <c r="N99" s="24"/>
      <c r="O99" s="24"/>
      <c r="P99" s="24"/>
      <c r="R99" s="24"/>
      <c r="S99" s="24"/>
      <c r="T99" s="24"/>
      <c r="U99" s="24"/>
      <c r="V99" s="24"/>
      <c r="W99" s="24"/>
      <c r="X99" s="24"/>
      <c r="Y99" s="24"/>
    </row>
    <row r="100" spans="1:25" x14ac:dyDescent="0.35">
      <c r="A100" s="24"/>
      <c r="B100" s="24"/>
      <c r="C100" s="24"/>
      <c r="D100" s="24"/>
      <c r="E100" s="24"/>
      <c r="F100" s="24"/>
      <c r="G100" s="24"/>
      <c r="H100" s="24"/>
      <c r="I100" s="24"/>
      <c r="J100" s="24"/>
      <c r="K100" s="24"/>
      <c r="L100" s="24"/>
      <c r="M100" s="24"/>
      <c r="N100" s="24"/>
      <c r="O100" s="24"/>
      <c r="P100" s="24"/>
      <c r="R100" s="24"/>
      <c r="S100" s="24"/>
      <c r="T100" s="24"/>
      <c r="U100" s="24"/>
      <c r="V100" s="24"/>
      <c r="W100" s="24"/>
      <c r="X100" s="24"/>
      <c r="Y100" s="24"/>
    </row>
    <row r="101" spans="1:25" x14ac:dyDescent="0.35">
      <c r="A101" s="24"/>
      <c r="B101" s="24"/>
      <c r="C101" s="24"/>
      <c r="D101" s="24"/>
      <c r="E101" s="24"/>
      <c r="F101" s="24"/>
      <c r="G101" s="24"/>
      <c r="H101" s="24"/>
      <c r="I101" s="24"/>
      <c r="J101" s="24"/>
      <c r="K101" s="24"/>
      <c r="L101" s="24"/>
      <c r="M101" s="24"/>
      <c r="N101" s="24"/>
      <c r="O101" s="24"/>
      <c r="P101" s="24"/>
      <c r="R101" s="24"/>
      <c r="S101" s="24"/>
      <c r="T101" s="24"/>
      <c r="U101" s="24"/>
      <c r="V101" s="24"/>
      <c r="W101" s="24"/>
      <c r="X101" s="24"/>
      <c r="Y101" s="24"/>
    </row>
    <row r="102" spans="1:25" x14ac:dyDescent="0.35">
      <c r="A102" s="24"/>
      <c r="B102" s="24"/>
      <c r="C102" s="24"/>
      <c r="D102" s="24"/>
      <c r="E102" s="24"/>
      <c r="F102" s="24"/>
      <c r="G102" s="24"/>
      <c r="H102" s="24"/>
      <c r="I102" s="24"/>
      <c r="J102" s="24"/>
      <c r="K102" s="24"/>
      <c r="L102" s="24"/>
      <c r="M102" s="24"/>
      <c r="N102" s="24"/>
      <c r="O102" s="24"/>
      <c r="P102" s="24"/>
      <c r="R102" s="24"/>
      <c r="S102" s="24"/>
      <c r="T102" s="24"/>
      <c r="U102" s="24"/>
      <c r="V102" s="24"/>
      <c r="W102" s="24"/>
      <c r="X102" s="24"/>
      <c r="Y102" s="24"/>
    </row>
    <row r="103" spans="1:25" x14ac:dyDescent="0.35">
      <c r="A103" s="24"/>
      <c r="B103" s="24"/>
      <c r="C103" s="24"/>
      <c r="D103" s="24"/>
      <c r="E103" s="24"/>
      <c r="F103" s="24"/>
      <c r="G103" s="24"/>
      <c r="H103" s="24"/>
      <c r="I103" s="24"/>
      <c r="J103" s="24"/>
      <c r="K103" s="24"/>
      <c r="L103" s="24"/>
      <c r="M103" s="24"/>
      <c r="N103" s="24"/>
      <c r="O103" s="24"/>
      <c r="P103" s="24"/>
      <c r="R103" s="24"/>
      <c r="S103" s="24"/>
      <c r="T103" s="24"/>
      <c r="U103" s="24"/>
      <c r="V103" s="24"/>
      <c r="W103" s="24"/>
      <c r="X103" s="24"/>
      <c r="Y103" s="24"/>
    </row>
    <row r="104" spans="1:25" x14ac:dyDescent="0.35">
      <c r="A104" s="24"/>
      <c r="B104" s="24"/>
      <c r="C104" s="24"/>
      <c r="D104" s="24"/>
      <c r="E104" s="24"/>
      <c r="F104" s="24"/>
      <c r="G104" s="24"/>
      <c r="H104" s="24"/>
      <c r="I104" s="24"/>
      <c r="J104" s="24"/>
      <c r="K104" s="24"/>
      <c r="L104" s="24"/>
      <c r="M104" s="24"/>
      <c r="N104" s="24"/>
      <c r="O104" s="24"/>
      <c r="P104" s="24"/>
      <c r="R104" s="24"/>
      <c r="S104" s="24"/>
      <c r="T104" s="24"/>
      <c r="U104" s="24"/>
      <c r="V104" s="24"/>
      <c r="W104" s="24"/>
      <c r="X104" s="24"/>
      <c r="Y104" s="24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1"/>
  <sheetViews>
    <sheetView zoomScale="70" zoomScaleNormal="70" workbookViewId="0">
      <selection activeCell="D35" sqref="D35"/>
    </sheetView>
  </sheetViews>
  <sheetFormatPr defaultColWidth="9.1796875" defaultRowHeight="14.5" x14ac:dyDescent="0.35"/>
  <cols>
    <col min="1" max="1" width="46.453125" style="2" bestFit="1" customWidth="1"/>
    <col min="2" max="11" width="14" style="2" customWidth="1"/>
    <col min="12" max="12" width="12.26953125" style="2" customWidth="1"/>
    <col min="13" max="15" width="14.1796875" style="17" customWidth="1"/>
    <col min="16" max="16" width="11.1796875" style="2" bestFit="1" customWidth="1"/>
    <col min="17" max="16384" width="9.1796875" style="2"/>
  </cols>
  <sheetData>
    <row r="1" spans="1:18" x14ac:dyDescent="0.35">
      <c r="A1" s="25" t="s">
        <v>80</v>
      </c>
      <c r="B1" s="24"/>
      <c r="C1" s="24"/>
      <c r="D1" s="24"/>
      <c r="E1" s="24" t="s">
        <v>102</v>
      </c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</row>
    <row r="2" spans="1:18" x14ac:dyDescent="0.35">
      <c r="A2" s="24" t="s">
        <v>31</v>
      </c>
      <c r="B2" s="39">
        <v>3.3527858038188293E-2</v>
      </c>
      <c r="C2" s="39"/>
      <c r="D2" s="39"/>
      <c r="E2" s="39">
        <v>3.3527858038188293E-2</v>
      </c>
      <c r="F2" s="24"/>
      <c r="G2" s="39">
        <v>2.9744598129268912E-2</v>
      </c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</row>
    <row r="3" spans="1:18" x14ac:dyDescent="0.35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</row>
    <row r="4" spans="1:18" x14ac:dyDescent="0.35">
      <c r="A4" s="24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</row>
    <row r="5" spans="1:18" x14ac:dyDescent="0.35">
      <c r="A5" s="14" t="s">
        <v>50</v>
      </c>
      <c r="B5" s="25" t="str">
        <f>IF(Depreciation!A14=RAB!A14,"valid","invalid")</f>
        <v>valid</v>
      </c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</row>
    <row r="6" spans="1:18" x14ac:dyDescent="0.35">
      <c r="A6" s="25" t="str">
        <f>Depreciation!A14</f>
        <v>Real $2019</v>
      </c>
      <c r="B6" s="25"/>
      <c r="C6" s="24">
        <v>2006</v>
      </c>
      <c r="D6" s="24">
        <v>2007</v>
      </c>
      <c r="E6" s="24">
        <v>2008</v>
      </c>
      <c r="F6" s="24">
        <v>2009</v>
      </c>
      <c r="G6" s="24">
        <v>2010</v>
      </c>
      <c r="H6" s="24">
        <v>2011</v>
      </c>
      <c r="I6" s="24">
        <v>2012</v>
      </c>
      <c r="J6" s="24">
        <v>2013</v>
      </c>
      <c r="K6" s="24">
        <v>2014</v>
      </c>
      <c r="L6" s="24">
        <v>2015</v>
      </c>
      <c r="M6" s="24">
        <v>2016</v>
      </c>
      <c r="N6" s="24">
        <v>2017</v>
      </c>
      <c r="O6" s="24">
        <v>2018</v>
      </c>
      <c r="P6" s="24">
        <v>2019</v>
      </c>
      <c r="Q6" s="24" t="s">
        <v>133</v>
      </c>
      <c r="R6" s="24"/>
    </row>
    <row r="7" spans="1:18" x14ac:dyDescent="0.35">
      <c r="A7" s="38" t="s">
        <v>37</v>
      </c>
      <c r="B7" s="38" t="s">
        <v>130</v>
      </c>
      <c r="C7" s="28">
        <f>RAB!C15*'Asset cost and Total cost'!$B$2-Depreciation!C15</f>
        <v>110382.55334039731</v>
      </c>
      <c r="D7" s="28">
        <f>RAB!D15*'Asset cost and Total cost'!$B$2-Depreciation!D15</f>
        <v>116621.48391123585</v>
      </c>
      <c r="E7" s="28">
        <f>RAB!E15*'Asset cost and Total cost'!$B$2-Depreciation!E15</f>
        <v>114482.49241471096</v>
      </c>
      <c r="F7" s="28">
        <f>RAB!F15*'Asset cost and Total cost'!$B$2-Depreciation!F15</f>
        <v>123081.3028147102</v>
      </c>
      <c r="G7" s="28">
        <f>RAB!G15*'Asset cost and Total cost'!$B$2-Depreciation!G15</f>
        <v>127481.23524364826</v>
      </c>
      <c r="H7" s="28">
        <f>RAB!H15*'Asset cost and Total cost'!$B$2-Depreciation!H15</f>
        <v>129485.43351015501</v>
      </c>
      <c r="I7" s="28">
        <f>RAB!I15*'Asset cost and Total cost'!$B$2-Depreciation!I15</f>
        <v>136420.80968866349</v>
      </c>
      <c r="J7" s="28">
        <f>RAB!J15*'Asset cost and Total cost'!$B$2-Depreciation!J15</f>
        <v>148932.69843960766</v>
      </c>
      <c r="K7" s="28">
        <f>RAB!K15*'Asset cost and Total cost'!$B$2-Depreciation!K15</f>
        <v>154635.90287131202</v>
      </c>
      <c r="L7" s="28">
        <f>RAB!L15*'Asset cost and Total cost'!$B$2-Depreciation!L15</f>
        <v>166930.79634362829</v>
      </c>
      <c r="M7" s="28">
        <f>RAB!M15*'Asset cost and Total cost'!$B$2-Depreciation!M15</f>
        <v>177176.76950860387</v>
      </c>
      <c r="N7" s="28">
        <f>RAB!N15*'Asset cost and Total cost'!$B$2-Depreciation!N15</f>
        <v>185507.64159910881</v>
      </c>
      <c r="O7" s="28">
        <f>RAB!O15*'Asset cost and Total cost'!$B$2-Depreciation!O15</f>
        <v>187142.62887246476</v>
      </c>
      <c r="P7" s="28">
        <f>RAB!P15*'Asset cost and Total cost'!$B$2-Depreciation!P15</f>
        <v>190652.25125328783</v>
      </c>
      <c r="Q7" s="28">
        <f>AVERAGE(L7:P7)</f>
        <v>181482.01751541873</v>
      </c>
      <c r="R7" s="24"/>
    </row>
    <row r="8" spans="1:18" x14ac:dyDescent="0.35">
      <c r="A8" s="38" t="s">
        <v>21</v>
      </c>
      <c r="B8" s="38" t="s">
        <v>130</v>
      </c>
      <c r="C8" s="28">
        <f>RAB!C16*'Asset cost and Total cost'!$B$2-Depreciation!C16</f>
        <v>318834.76489320002</v>
      </c>
      <c r="D8" s="28">
        <f>RAB!D16*'Asset cost and Total cost'!$B$2-Depreciation!D16</f>
        <v>328285.90632741229</v>
      </c>
      <c r="E8" s="28">
        <f>RAB!E16*'Asset cost and Total cost'!$B$2-Depreciation!E16</f>
        <v>360777.42332491407</v>
      </c>
      <c r="F8" s="28">
        <f>RAB!F16*'Asset cost and Total cost'!$B$2-Depreciation!F16</f>
        <v>406170.77376229345</v>
      </c>
      <c r="G8" s="28">
        <f>RAB!G16*'Asset cost and Total cost'!$B$2-Depreciation!G16</f>
        <v>429973.28009859915</v>
      </c>
      <c r="H8" s="28">
        <f>RAB!H16*'Asset cost and Total cost'!$B$2-Depreciation!H16</f>
        <v>456472.76167731325</v>
      </c>
      <c r="I8" s="28">
        <f>RAB!I16*'Asset cost and Total cost'!$B$2-Depreciation!I16</f>
        <v>475796.24968430249</v>
      </c>
      <c r="J8" s="28">
        <f>RAB!J16*'Asset cost and Total cost'!$B$2-Depreciation!J16</f>
        <v>463884.62811156421</v>
      </c>
      <c r="K8" s="28">
        <f>RAB!K16*'Asset cost and Total cost'!$B$2-Depreciation!K16</f>
        <v>494720.53892455937</v>
      </c>
      <c r="L8" s="28">
        <f>RAB!L16*'Asset cost and Total cost'!$B$2-Depreciation!L16</f>
        <v>526654.91992653883</v>
      </c>
      <c r="M8" s="28">
        <f>RAB!M16*'Asset cost and Total cost'!$B$2-Depreciation!M16</f>
        <v>534462.62701347587</v>
      </c>
      <c r="N8" s="28">
        <f>RAB!N16*'Asset cost and Total cost'!$B$2-Depreciation!N16</f>
        <v>524563.45703714038</v>
      </c>
      <c r="O8" s="28">
        <f>RAB!O16*'Asset cost and Total cost'!$B$2-Depreciation!O16</f>
        <v>498171.73197875614</v>
      </c>
      <c r="P8" s="28">
        <f>RAB!P16*'Asset cost and Total cost'!$B$2-Depreciation!P16</f>
        <v>515217.26097128389</v>
      </c>
      <c r="Q8" s="28">
        <f t="shared" ref="Q8:Q11" si="0">AVERAGE(L8:P8)</f>
        <v>519813.99938543903</v>
      </c>
      <c r="R8" s="24"/>
    </row>
    <row r="9" spans="1:18" x14ac:dyDescent="0.35">
      <c r="A9" s="38" t="s">
        <v>35</v>
      </c>
      <c r="B9" s="38" t="s">
        <v>130</v>
      </c>
      <c r="C9" s="28">
        <f>RAB!C17*'Asset cost and Total cost'!$B$2-Depreciation!C17</f>
        <v>208501.22760500311</v>
      </c>
      <c r="D9" s="28">
        <f>RAB!D17*'Asset cost and Total cost'!$B$2-Depreciation!D17</f>
        <v>209635.31010676577</v>
      </c>
      <c r="E9" s="28">
        <f>RAB!E17*'Asset cost and Total cost'!$B$2-Depreciation!E17</f>
        <v>224626.2782611596</v>
      </c>
      <c r="F9" s="28">
        <f>RAB!F17*'Asset cost and Total cost'!$B$2-Depreciation!F17</f>
        <v>225952.04514127132</v>
      </c>
      <c r="G9" s="28">
        <f>RAB!G17*'Asset cost and Total cost'!$B$2-Depreciation!G17</f>
        <v>231123.18702918512</v>
      </c>
      <c r="H9" s="28">
        <f>RAB!H17*'Asset cost and Total cost'!$B$2-Depreciation!H17</f>
        <v>233307.22051161533</v>
      </c>
      <c r="I9" s="28">
        <f>RAB!I17*'Asset cost and Total cost'!$B$2-Depreciation!I17</f>
        <v>233594.00010913846</v>
      </c>
      <c r="J9" s="28">
        <f>RAB!J17*'Asset cost and Total cost'!$B$2-Depreciation!J17</f>
        <v>238702.55820309959</v>
      </c>
      <c r="K9" s="28">
        <f>RAB!K17*'Asset cost and Total cost'!$B$2-Depreciation!K17</f>
        <v>235142.83880083499</v>
      </c>
      <c r="L9" s="28">
        <f>RAB!L17*'Asset cost and Total cost'!$B$2-Depreciation!L17</f>
        <v>261261.53267321948</v>
      </c>
      <c r="M9" s="28">
        <f>RAB!M17*'Asset cost and Total cost'!$B$2-Depreciation!M17</f>
        <v>267267.28617289534</v>
      </c>
      <c r="N9" s="28">
        <f>RAB!N17*'Asset cost and Total cost'!$B$2-Depreciation!N17</f>
        <v>274634.76903752558</v>
      </c>
      <c r="O9" s="28">
        <f>RAB!O17*'Asset cost and Total cost'!$B$2-Depreciation!O17</f>
        <v>281391.60997979686</v>
      </c>
      <c r="P9" s="28">
        <f>RAB!P17*'Asset cost and Total cost'!$B$2-Depreciation!P17</f>
        <v>279553.38305810123</v>
      </c>
      <c r="Q9" s="28">
        <f t="shared" si="0"/>
        <v>272821.7161843077</v>
      </c>
      <c r="R9" s="24"/>
    </row>
    <row r="10" spans="1:18" x14ac:dyDescent="0.35">
      <c r="A10" s="38" t="s">
        <v>29</v>
      </c>
      <c r="B10" s="38" t="s">
        <v>130</v>
      </c>
      <c r="C10" s="28">
        <f>RAB!C18*'Asset cost and Total cost'!$B$2-Depreciation!C18</f>
        <v>78289.191531631412</v>
      </c>
      <c r="D10" s="28">
        <f>RAB!D18*'Asset cost and Total cost'!$B$2-Depreciation!D18</f>
        <v>78269.446076475288</v>
      </c>
      <c r="E10" s="28">
        <f>RAB!E18*'Asset cost and Total cost'!$B$2-Depreciation!E18</f>
        <v>83717.683469009862</v>
      </c>
      <c r="F10" s="28">
        <f>RAB!F18*'Asset cost and Total cost'!$B$2-Depreciation!F18</f>
        <v>87581.616999029342</v>
      </c>
      <c r="G10" s="28">
        <f>RAB!G18*'Asset cost and Total cost'!$B$2-Depreciation!G18</f>
        <v>98404.341650954681</v>
      </c>
      <c r="H10" s="28">
        <f>RAB!H18*'Asset cost and Total cost'!$B$2-Depreciation!H18</f>
        <v>105517.34513229478</v>
      </c>
      <c r="I10" s="28">
        <f>RAB!I18*'Asset cost and Total cost'!$B$2-Depreciation!I18</f>
        <v>108392.73010019607</v>
      </c>
      <c r="J10" s="28">
        <f>RAB!J18*'Asset cost and Total cost'!$B$2-Depreciation!J18</f>
        <v>108195.22836207533</v>
      </c>
      <c r="K10" s="28">
        <f>RAB!K18*'Asset cost and Total cost'!$B$2-Depreciation!K18</f>
        <v>116838.27141003366</v>
      </c>
      <c r="L10" s="28">
        <f>RAB!L18*'Asset cost and Total cost'!$B$2-Depreciation!L18</f>
        <v>108695.94484044187</v>
      </c>
      <c r="M10" s="28">
        <f>RAB!M18*'Asset cost and Total cost'!$B$2-Depreciation!M18</f>
        <v>111020.83006316595</v>
      </c>
      <c r="N10" s="28">
        <f>RAB!N18*'Asset cost and Total cost'!$B$2-Depreciation!N18</f>
        <v>113342.16027360229</v>
      </c>
      <c r="O10" s="28">
        <f>RAB!O18*'Asset cost and Total cost'!$B$2-Depreciation!O18</f>
        <v>111285.99554726059</v>
      </c>
      <c r="P10" s="28">
        <f>RAB!P18*'Asset cost and Total cost'!$B$2-Depreciation!P18</f>
        <v>111410.10915199789</v>
      </c>
      <c r="Q10" s="28">
        <f t="shared" si="0"/>
        <v>111151.00797529375</v>
      </c>
      <c r="R10" s="24"/>
    </row>
    <row r="11" spans="1:18" x14ac:dyDescent="0.35">
      <c r="A11" s="38" t="s">
        <v>38</v>
      </c>
      <c r="B11" s="38" t="s">
        <v>130</v>
      </c>
      <c r="C11" s="28">
        <f>RAB!C19*'Asset cost and Total cost'!$B$2-Depreciation!C19</f>
        <v>315989.73842883529</v>
      </c>
      <c r="D11" s="28">
        <f>RAB!D19*'Asset cost and Total cost'!$B$2-Depreciation!D19</f>
        <v>324618.14307074668</v>
      </c>
      <c r="E11" s="28">
        <f>RAB!E19*'Asset cost and Total cost'!$B$2-Depreciation!E19</f>
        <v>336464.15805415076</v>
      </c>
      <c r="F11" s="28">
        <f>RAB!F19*'Asset cost and Total cost'!$B$2-Depreciation!F19</f>
        <v>363021.43414677086</v>
      </c>
      <c r="G11" s="28">
        <f>RAB!G19*'Asset cost and Total cost'!$B$2-Depreciation!G19</f>
        <v>398415.22096654639</v>
      </c>
      <c r="H11" s="28">
        <f>RAB!H19*'Asset cost and Total cost'!$B$2-Depreciation!H19</f>
        <v>401230.62343733018</v>
      </c>
      <c r="I11" s="28">
        <f>RAB!I19*'Asset cost and Total cost'!$B$2-Depreciation!I19</f>
        <v>404093.47738374944</v>
      </c>
      <c r="J11" s="28">
        <f>RAB!J19*'Asset cost and Total cost'!$B$2-Depreciation!J19</f>
        <v>423323.06818332861</v>
      </c>
      <c r="K11" s="28">
        <f>RAB!K19*'Asset cost and Total cost'!$B$2-Depreciation!K19</f>
        <v>453799.40088344325</v>
      </c>
      <c r="L11" s="28">
        <f>RAB!L19*'Asset cost and Total cost'!$B$2-Depreciation!L19</f>
        <v>482091.41555177059</v>
      </c>
      <c r="M11" s="28">
        <f>RAB!M19*'Asset cost and Total cost'!$B$2-Depreciation!M19</f>
        <v>497548.74774552905</v>
      </c>
      <c r="N11" s="28">
        <f>RAB!N19*'Asset cost and Total cost'!$B$2-Depreciation!N19</f>
        <v>509970.44852672785</v>
      </c>
      <c r="O11" s="28">
        <f>RAB!O19*'Asset cost and Total cost'!$B$2-Depreciation!O19</f>
        <v>484700.98078100849</v>
      </c>
      <c r="P11" s="28">
        <f>RAB!P19*'Asset cost and Total cost'!$B$2-Depreciation!P19</f>
        <v>474390.47612495103</v>
      </c>
      <c r="Q11" s="28">
        <f t="shared" si="0"/>
        <v>489740.41374599736</v>
      </c>
      <c r="R11" s="24"/>
    </row>
    <row r="12" spans="1:18" x14ac:dyDescent="0.35">
      <c r="A12" s="24"/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</row>
    <row r="13" spans="1:18" x14ac:dyDescent="0.35">
      <c r="A13" s="14" t="s">
        <v>41</v>
      </c>
      <c r="B13" s="14"/>
      <c r="C13" s="25" t="str">
        <f>IF(A6=A14,"valid","invalid")</f>
        <v>valid</v>
      </c>
      <c r="D13" s="40"/>
      <c r="E13" s="40"/>
      <c r="F13" s="40"/>
      <c r="G13" s="40"/>
      <c r="H13" s="40"/>
      <c r="I13" s="40"/>
      <c r="J13" s="40"/>
      <c r="K13" s="40"/>
      <c r="L13" s="24"/>
      <c r="M13" s="24"/>
      <c r="N13" s="24"/>
      <c r="O13" s="24"/>
      <c r="P13" s="24"/>
      <c r="Q13" s="24"/>
      <c r="R13" s="24"/>
    </row>
    <row r="14" spans="1:18" x14ac:dyDescent="0.35">
      <c r="A14" s="25" t="str">
        <f>Opex!A14</f>
        <v>Real $2019</v>
      </c>
      <c r="B14" s="25"/>
      <c r="C14" s="24">
        <v>2006</v>
      </c>
      <c r="D14" s="24">
        <v>2007</v>
      </c>
      <c r="E14" s="24">
        <v>2008</v>
      </c>
      <c r="F14" s="24">
        <v>2009</v>
      </c>
      <c r="G14" s="24">
        <v>2010</v>
      </c>
      <c r="H14" s="24">
        <v>2011</v>
      </c>
      <c r="I14" s="24">
        <v>2012</v>
      </c>
      <c r="J14" s="24">
        <v>2013</v>
      </c>
      <c r="K14" s="24">
        <v>2014</v>
      </c>
      <c r="L14" s="24">
        <v>2015</v>
      </c>
      <c r="M14" s="24">
        <v>2016</v>
      </c>
      <c r="N14" s="24">
        <v>2017</v>
      </c>
      <c r="O14" s="24">
        <v>2018</v>
      </c>
      <c r="P14" s="24">
        <v>2019</v>
      </c>
      <c r="Q14" s="24"/>
      <c r="R14" s="24"/>
    </row>
    <row r="15" spans="1:18" x14ac:dyDescent="0.35">
      <c r="A15" s="38" t="s">
        <v>37</v>
      </c>
      <c r="B15" s="69" t="s">
        <v>129</v>
      </c>
      <c r="C15" s="28">
        <f>(C7+Opex!C15)*1000</f>
        <v>177538665.51223502</v>
      </c>
      <c r="D15" s="28">
        <f>(D7+Opex!D15)*1000</f>
        <v>187643031.25534672</v>
      </c>
      <c r="E15" s="28">
        <f>(E7+Opex!E15)*1000</f>
        <v>178965844.86364475</v>
      </c>
      <c r="F15" s="28">
        <f>(F7+Opex!F15)*1000</f>
        <v>192063105.84501323</v>
      </c>
      <c r="G15" s="28">
        <f>(G7+Opex!G15)*1000</f>
        <v>198417453.695398</v>
      </c>
      <c r="H15" s="28">
        <f>(H7+Opex!H15)*1000</f>
        <v>206676290.06330258</v>
      </c>
      <c r="I15" s="28">
        <f>(I7+Opex!I15)*1000</f>
        <v>220932440.95118856</v>
      </c>
      <c r="J15" s="28">
        <f>(J7+Opex!J15)*1000</f>
        <v>229278163.14548999</v>
      </c>
      <c r="K15" s="28">
        <f>(K7+Opex!K15)*1000</f>
        <v>236862865.8980296</v>
      </c>
      <c r="L15" s="28">
        <f>(L7+Opex!L15)*1000</f>
        <v>253705650.55173337</v>
      </c>
      <c r="M15" s="28">
        <f>(M7+Opex!M15)*1000</f>
        <v>268408990.20786583</v>
      </c>
      <c r="N15" s="28">
        <f>(N7+Opex!N15)*1000</f>
        <v>280199690.27729064</v>
      </c>
      <c r="O15" s="28">
        <f>(O7+Opex!O15)*1000</f>
        <v>283676138.56381178</v>
      </c>
      <c r="P15" s="28">
        <f>(P7+Opex!P15)*1000</f>
        <v>285712664.52936149</v>
      </c>
      <c r="Q15" s="24"/>
      <c r="R15" s="24"/>
    </row>
    <row r="16" spans="1:18" x14ac:dyDescent="0.35">
      <c r="A16" s="38" t="s">
        <v>21</v>
      </c>
      <c r="B16" s="69" t="s">
        <v>129</v>
      </c>
      <c r="C16" s="28">
        <f>(C8+Opex!C16)*1000</f>
        <v>483540638.40155327</v>
      </c>
      <c r="D16" s="28">
        <f>(D8+Opex!D16)*1000</f>
        <v>500392061.06182337</v>
      </c>
      <c r="E16" s="28">
        <f>(E8+Opex!E16)*1000</f>
        <v>548721468.21829236</v>
      </c>
      <c r="F16" s="28">
        <f>(F8+Opex!F16)*1000</f>
        <v>585747561.64108133</v>
      </c>
      <c r="G16" s="28">
        <f>(G8+Opex!G16)*1000</f>
        <v>617152626.86424077</v>
      </c>
      <c r="H16" s="28">
        <f>(H8+Opex!H16)*1000</f>
        <v>637582873.13242161</v>
      </c>
      <c r="I16" s="28">
        <f>(I8+Opex!I16)*1000</f>
        <v>662535937.05905211</v>
      </c>
      <c r="J16" s="28">
        <f>(J8+Opex!J16)*1000</f>
        <v>654563811.79174066</v>
      </c>
      <c r="K16" s="28">
        <f>(K8+Opex!K16)*1000</f>
        <v>695431403.72166848</v>
      </c>
      <c r="L16" s="28">
        <f>(L8+Opex!L16)*1000</f>
        <v>756941293.8782506</v>
      </c>
      <c r="M16" s="28">
        <f>(M8+Opex!M16)*1000</f>
        <v>767785580.88801467</v>
      </c>
      <c r="N16" s="28">
        <f>(N8+Opex!N16)*1000</f>
        <v>763577507.16259491</v>
      </c>
      <c r="O16" s="28">
        <f>(O8+Opex!O16)*1000</f>
        <v>692647860.64366245</v>
      </c>
      <c r="P16" s="28">
        <f>(P8+Opex!P16)*1000</f>
        <v>718253541.25533497</v>
      </c>
      <c r="Q16" s="24"/>
      <c r="R16" s="24"/>
    </row>
    <row r="17" spans="1:18" x14ac:dyDescent="0.35">
      <c r="A17" s="38" t="s">
        <v>35</v>
      </c>
      <c r="B17" s="69" t="s">
        <v>129</v>
      </c>
      <c r="C17" s="28">
        <f>(C9+Opex!C17)*1000</f>
        <v>294556975.69119769</v>
      </c>
      <c r="D17" s="28">
        <f>(D9+Opex!D17)*1000</f>
        <v>292486572.49638122</v>
      </c>
      <c r="E17" s="28">
        <f>(E9+Opex!E17)*1000</f>
        <v>301306947.11619925</v>
      </c>
      <c r="F17" s="28">
        <f>(F9+Opex!F17)*1000</f>
        <v>323212185.96327776</v>
      </c>
      <c r="G17" s="28">
        <f>(G9+Opex!G17)*1000</f>
        <v>330306192.55157322</v>
      </c>
      <c r="H17" s="28">
        <f>(H9+Opex!H17)*1000</f>
        <v>323735648.77897286</v>
      </c>
      <c r="I17" s="28">
        <f>(I9+Opex!I17)*1000</f>
        <v>318289463.73038095</v>
      </c>
      <c r="J17" s="28">
        <f>(J9+Opex!J17)*1000</f>
        <v>325601223.76695031</v>
      </c>
      <c r="K17" s="28">
        <f>(K9+Opex!K17)*1000</f>
        <v>327582472.83212942</v>
      </c>
      <c r="L17" s="28">
        <f>(L9+Opex!L17)*1000</f>
        <v>353702757.35785562</v>
      </c>
      <c r="M17" s="28">
        <f>(M9+Opex!M17)*1000</f>
        <v>363444571.38662064</v>
      </c>
      <c r="N17" s="28">
        <f>(N9+Opex!N17)*1000</f>
        <v>367724595.45574093</v>
      </c>
      <c r="O17" s="28">
        <f>(O9+Opex!O17)*1000</f>
        <v>366722026.62333524</v>
      </c>
      <c r="P17" s="28">
        <f>(P9+Opex!P17)*1000</f>
        <v>368530634.72444224</v>
      </c>
      <c r="Q17" s="24"/>
      <c r="R17" s="24"/>
    </row>
    <row r="18" spans="1:18" x14ac:dyDescent="0.35">
      <c r="A18" s="38" t="s">
        <v>29</v>
      </c>
      <c r="B18" s="69" t="s">
        <v>129</v>
      </c>
      <c r="C18" s="28">
        <f>(C10+Opex!C18)*1000</f>
        <v>127412184.10442378</v>
      </c>
      <c r="D18" s="28">
        <f>(D10+Opex!D18)*1000</f>
        <v>128797156.33975475</v>
      </c>
      <c r="E18" s="28">
        <f>(E10+Opex!E18)*1000</f>
        <v>144144456.09751716</v>
      </c>
      <c r="F18" s="28">
        <f>(F10+Opex!F18)*1000</f>
        <v>146238271.58993843</v>
      </c>
      <c r="G18" s="28">
        <f>(G10+Opex!G18)*1000</f>
        <v>157280045.04013813</v>
      </c>
      <c r="H18" s="28">
        <f>(H10+Opex!H18)*1000</f>
        <v>161348001.10339904</v>
      </c>
      <c r="I18" s="28">
        <f>(I10+Opex!I18)*1000</f>
        <v>163026686.69338244</v>
      </c>
      <c r="J18" s="28">
        <f>(J10+Opex!J18)*1000</f>
        <v>159433257.23070279</v>
      </c>
      <c r="K18" s="28">
        <f>(K10+Opex!K18)*1000</f>
        <v>167396359.19629321</v>
      </c>
      <c r="L18" s="28">
        <f>(L10+Opex!L18)*1000</f>
        <v>146527130.62725237</v>
      </c>
      <c r="M18" s="28">
        <f>(M10+Opex!M18)*1000</f>
        <v>151330009.49453416</v>
      </c>
      <c r="N18" s="28">
        <f>(N10+Opex!N18)*1000</f>
        <v>147196704.26295015</v>
      </c>
      <c r="O18" s="28">
        <f>(O10+Opex!O18)*1000</f>
        <v>141320625.29317641</v>
      </c>
      <c r="P18" s="28">
        <f>(P10+Opex!P18)*1000</f>
        <v>143098103.67193204</v>
      </c>
      <c r="Q18" s="24"/>
      <c r="R18" s="24"/>
    </row>
    <row r="19" spans="1:18" x14ac:dyDescent="0.35">
      <c r="A19" s="38" t="s">
        <v>38</v>
      </c>
      <c r="B19" s="69" t="s">
        <v>129</v>
      </c>
      <c r="C19" s="28">
        <f>(C11+Opex!C19)*1000</f>
        <v>483398163.2498377</v>
      </c>
      <c r="D19" s="28">
        <f>(D11+Opex!D19)*1000</f>
        <v>489780475.63425708</v>
      </c>
      <c r="E19" s="28">
        <f>(E11+Opex!E19)*1000</f>
        <v>492584270.28759634</v>
      </c>
      <c r="F19" s="28">
        <f>(F11+Opex!F19)*1000</f>
        <v>519136888.69222546</v>
      </c>
      <c r="G19" s="28">
        <f>(G11+Opex!G19)*1000</f>
        <v>574920926.16272879</v>
      </c>
      <c r="H19" s="28">
        <f>(H11+Opex!H19)*1000</f>
        <v>566440881.43526626</v>
      </c>
      <c r="I19" s="28">
        <f>(I11+Opex!I19)*1000</f>
        <v>581199509.44787776</v>
      </c>
      <c r="J19" s="28">
        <f>(J11+Opex!J19)*1000</f>
        <v>586287872.10489714</v>
      </c>
      <c r="K19" s="28">
        <f>(K11+Opex!K19)*1000</f>
        <v>648543061.18878675</v>
      </c>
      <c r="L19" s="28">
        <f>(L11+Opex!L19)*1000</f>
        <v>665470061.59867489</v>
      </c>
      <c r="M19" s="28">
        <f>(M11+Opex!M19)*1000</f>
        <v>679282211.11183906</v>
      </c>
      <c r="N19" s="28">
        <f>(N11+Opex!N19)*1000</f>
        <v>689939642.61685586</v>
      </c>
      <c r="O19" s="28">
        <f>(O11+Opex!O19)*1000</f>
        <v>643873932.08910847</v>
      </c>
      <c r="P19" s="28">
        <f>(P11+Opex!P19)*1000</f>
        <v>631680919.66212845</v>
      </c>
      <c r="Q19" s="24"/>
      <c r="R19" s="24"/>
    </row>
    <row r="20" spans="1:18" x14ac:dyDescent="0.35">
      <c r="A20" s="24"/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</row>
    <row r="21" spans="1:18" x14ac:dyDescent="0.35">
      <c r="A21" s="22"/>
      <c r="B21" s="24"/>
      <c r="C21" s="36"/>
      <c r="D21" s="36"/>
      <c r="E21" s="36"/>
      <c r="F21" s="36"/>
      <c r="G21" s="36"/>
      <c r="H21" s="36"/>
      <c r="I21" s="36"/>
      <c r="J21" s="36"/>
      <c r="K21" s="36"/>
      <c r="L21" s="24"/>
      <c r="M21" s="24"/>
      <c r="N21" s="24"/>
      <c r="O21" s="24"/>
      <c r="P21" s="24"/>
      <c r="Q21" s="24"/>
      <c r="R21" s="24"/>
    </row>
  </sheetData>
  <pageMargins left="0.7" right="0.7" top="0.75" bottom="0.75" header="0.3" footer="0.3"/>
  <pageSetup paperSize="9" orientation="portrait" r:id="rId1"/>
  <extLst>
    <ext xmlns:x14="http://schemas.microsoft.com/office/spreadsheetml/2009/9/main" uri="{05C60535-1F16-4fd2-B633-F4F36F0B64E0}">
      <x14:sparklineGroups xmlns:xm="http://schemas.microsoft.com/office/excel/2006/main">
        <x14:sparklineGroup displayEmptyCellsAs="gap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'Asset cost and Total cost'!C19:L19</xm:f>
              <xm:sqref>Q19</xm:sqref>
            </x14:sparkline>
          </x14:sparklines>
        </x14:sparklineGroup>
        <x14:sparklineGroup displayEmptyCellsAs="gap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'Asset cost and Total cost'!C18:L18</xm:f>
              <xm:sqref>Q18</xm:sqref>
            </x14:sparkline>
          </x14:sparklines>
        </x14:sparklineGroup>
        <x14:sparklineGroup displayEmptyCellsAs="gap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'Asset cost and Total cost'!C17:L17</xm:f>
              <xm:sqref>Q17</xm:sqref>
            </x14:sparkline>
          </x14:sparklines>
        </x14:sparklineGroup>
        <x14:sparklineGroup displayEmptyCellsAs="gap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'Asset cost and Total cost'!C16:L16</xm:f>
              <xm:sqref>Q16</xm:sqref>
            </x14:sparkline>
          </x14:sparklines>
        </x14:sparklineGroup>
        <x14:sparklineGroup displayEmptyCellsAs="gap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'Asset cost and Total cost'!C15:L15</xm:f>
              <xm:sqref>Q15</xm:sqref>
            </x14:sparkline>
          </x14:sparklines>
        </x14:sparklineGroup>
      </x14:sparklineGroup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V22"/>
  <sheetViews>
    <sheetView zoomScale="75" zoomScaleNormal="75" workbookViewId="0">
      <selection activeCell="E16" sqref="E16"/>
    </sheetView>
  </sheetViews>
  <sheetFormatPr defaultColWidth="9.1796875" defaultRowHeight="14.5" x14ac:dyDescent="0.35"/>
  <cols>
    <col min="1" max="1" width="23.54296875" style="2" customWidth="1"/>
    <col min="2" max="12" width="12.26953125" style="2" customWidth="1"/>
    <col min="13" max="15" width="12.26953125" style="17" customWidth="1"/>
    <col min="16" max="16384" width="9.1796875" style="2"/>
  </cols>
  <sheetData>
    <row r="1" spans="1:74" x14ac:dyDescent="0.35">
      <c r="A1" s="25" t="s">
        <v>25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</row>
    <row r="2" spans="1:74" x14ac:dyDescent="0.35">
      <c r="A2" s="24"/>
      <c r="B2" s="25" t="str">
        <f>"Real $"&amp;Real_year&amp;""</f>
        <v>Real $2019</v>
      </c>
      <c r="C2" s="24">
        <v>2006</v>
      </c>
      <c r="D2" s="24">
        <v>2007</v>
      </c>
      <c r="E2" s="24">
        <v>2008</v>
      </c>
      <c r="F2" s="24">
        <v>2009</v>
      </c>
      <c r="G2" s="24">
        <v>2010</v>
      </c>
      <c r="H2" s="24">
        <v>2011</v>
      </c>
      <c r="I2" s="24">
        <v>2012</v>
      </c>
      <c r="J2" s="24">
        <v>2013</v>
      </c>
      <c r="K2" s="24">
        <v>2014</v>
      </c>
      <c r="L2" s="24">
        <v>2015</v>
      </c>
      <c r="M2" s="24">
        <v>2016</v>
      </c>
      <c r="N2" s="24">
        <v>2017</v>
      </c>
      <c r="O2" s="24">
        <v>2018</v>
      </c>
      <c r="P2" s="24">
        <v>2019</v>
      </c>
      <c r="Q2" s="24"/>
      <c r="R2" s="24"/>
      <c r="S2" s="24"/>
      <c r="T2" s="24"/>
      <c r="U2" s="24"/>
      <c r="V2" s="24"/>
    </row>
    <row r="3" spans="1:74" x14ac:dyDescent="0.35">
      <c r="A3" s="24" t="s">
        <v>55</v>
      </c>
      <c r="B3" s="24"/>
      <c r="C3" s="37">
        <f>CPI!F12</f>
        <v>1.3932853717026379</v>
      </c>
      <c r="D3" s="37">
        <f>CPI!G12</f>
        <v>1.3402537485582469</v>
      </c>
      <c r="E3" s="37">
        <f>CPI!H12</f>
        <v>1.3159682899207248</v>
      </c>
      <c r="F3" s="37">
        <f>CPI!I12</f>
        <v>1.2535059331175835</v>
      </c>
      <c r="G3" s="37">
        <f>CPI!J12</f>
        <v>1.2388059701492538</v>
      </c>
      <c r="H3" s="37">
        <f>CPI!K12</f>
        <v>1.2041450777202072</v>
      </c>
      <c r="I3" s="37">
        <f>CPI!L12</f>
        <v>1.1643286573146294</v>
      </c>
      <c r="J3" s="37">
        <f>CPI!M12</f>
        <v>1.1414538310412574</v>
      </c>
      <c r="K3" s="37">
        <f>CPI!N12</f>
        <v>1.1173076923076923</v>
      </c>
      <c r="L3" s="37">
        <f>CPI!O12</f>
        <v>1.0921052631578947</v>
      </c>
      <c r="M3" s="37">
        <f>CPI!P12</f>
        <v>1.075925925925926</v>
      </c>
      <c r="N3" s="37">
        <f>CPI!Q12</f>
        <v>1.0621572212065813</v>
      </c>
      <c r="O3" s="37">
        <f>CPI!R12</f>
        <v>1.0430879712746859</v>
      </c>
      <c r="P3" s="37">
        <f>CPI!S12</f>
        <v>1.0237885462555065</v>
      </c>
      <c r="Q3" s="24"/>
      <c r="R3" s="24"/>
      <c r="S3" s="24"/>
      <c r="T3" s="24"/>
      <c r="U3" s="24"/>
      <c r="V3" s="24"/>
    </row>
    <row r="4" spans="1:74" x14ac:dyDescent="0.35">
      <c r="A4" s="24" t="s">
        <v>54</v>
      </c>
      <c r="B4" s="24"/>
      <c r="C4" s="37">
        <f>CPI!F11</f>
        <v>1.3866348448687351</v>
      </c>
      <c r="D4" s="37">
        <f>CPI!G11</f>
        <v>1.3418013856812934</v>
      </c>
      <c r="E4" s="37">
        <f>CPI!H11</f>
        <v>1.3041526374859709</v>
      </c>
      <c r="F4" s="37">
        <f>CPI!I11</f>
        <v>1.2575757575757576</v>
      </c>
      <c r="G4" s="37">
        <f>CPI!J11</f>
        <v>1.232237539766702</v>
      </c>
      <c r="H4" s="37">
        <f>CPI!K11</f>
        <v>1.1991744066047472</v>
      </c>
      <c r="I4" s="37">
        <f>CPI!L11</f>
        <v>1.1643286573146294</v>
      </c>
      <c r="J4" s="37">
        <f>CPI!M11</f>
        <v>1.1392156862745098</v>
      </c>
      <c r="K4" s="37">
        <f>CPI!N11</f>
        <v>1.1087786259541985</v>
      </c>
      <c r="L4" s="37">
        <f>CPI!O11</f>
        <v>1.0900562851782365</v>
      </c>
      <c r="M4" s="37">
        <f>CPI!P11</f>
        <v>1.0719557195571956</v>
      </c>
      <c r="N4" s="37">
        <f>CPI!Q11</f>
        <v>1.0563636363636364</v>
      </c>
      <c r="O4" s="37">
        <f>CPI!R11</f>
        <v>1.0365744870651206</v>
      </c>
      <c r="P4" s="37">
        <f>CPI!S11</f>
        <v>1.0184049079754602</v>
      </c>
      <c r="Q4" s="24"/>
      <c r="R4" s="24"/>
      <c r="S4" s="24"/>
      <c r="T4" s="24"/>
      <c r="U4" s="24"/>
      <c r="V4" s="24"/>
    </row>
    <row r="5" spans="1:74" x14ac:dyDescent="0.35">
      <c r="A5" s="24"/>
      <c r="B5" s="22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24"/>
      <c r="Q5" s="24"/>
      <c r="R5" s="24"/>
      <c r="S5" s="24"/>
      <c r="T5" s="24"/>
      <c r="U5" s="24"/>
      <c r="V5" s="24"/>
    </row>
    <row r="6" spans="1:74" x14ac:dyDescent="0.35">
      <c r="A6" s="25" t="s">
        <v>49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</row>
    <row r="7" spans="1:74" x14ac:dyDescent="0.35">
      <c r="A7" s="25" t="s">
        <v>59</v>
      </c>
      <c r="B7" s="25"/>
      <c r="C7" s="24">
        <v>2006</v>
      </c>
      <c r="D7" s="24">
        <v>2007</v>
      </c>
      <c r="E7" s="24">
        <v>2008</v>
      </c>
      <c r="F7" s="24">
        <v>2009</v>
      </c>
      <c r="G7" s="24">
        <v>2010</v>
      </c>
      <c r="H7" s="24">
        <v>2011</v>
      </c>
      <c r="I7" s="24">
        <v>2012</v>
      </c>
      <c r="J7" s="24">
        <v>2013</v>
      </c>
      <c r="K7" s="24">
        <v>2014</v>
      </c>
      <c r="L7" s="24">
        <v>2015</v>
      </c>
      <c r="M7" s="24">
        <v>2016</v>
      </c>
      <c r="N7" s="24">
        <v>2017</v>
      </c>
      <c r="O7" s="24">
        <v>2018</v>
      </c>
      <c r="P7" s="24">
        <v>2019</v>
      </c>
      <c r="Q7" s="24"/>
      <c r="R7" s="24"/>
      <c r="S7" s="24"/>
      <c r="T7" s="24"/>
      <c r="U7" s="24"/>
      <c r="V7" s="24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</row>
    <row r="8" spans="1:74" x14ac:dyDescent="0.35">
      <c r="A8" s="38" t="s">
        <v>37</v>
      </c>
      <c r="B8" s="38" t="s">
        <v>60</v>
      </c>
      <c r="C8" s="28">
        <v>48431</v>
      </c>
      <c r="D8" s="28">
        <v>52930</v>
      </c>
      <c r="E8" s="28">
        <v>49444.635999999999</v>
      </c>
      <c r="F8" s="28">
        <v>54853</v>
      </c>
      <c r="G8" s="28">
        <v>57567</v>
      </c>
      <c r="H8" s="28">
        <v>64370</v>
      </c>
      <c r="I8" s="28">
        <v>72584</v>
      </c>
      <c r="J8" s="28">
        <v>70527</v>
      </c>
      <c r="K8" s="28">
        <v>74159.945999999996</v>
      </c>
      <c r="L8" s="28">
        <v>79605.847320000015</v>
      </c>
      <c r="M8" s="28">
        <v>85108.198999999993</v>
      </c>
      <c r="N8" s="28">
        <v>89639.633000000002</v>
      </c>
      <c r="O8" s="28">
        <v>93127.422000000006</v>
      </c>
      <c r="P8" s="28">
        <v>93342.453999999998</v>
      </c>
      <c r="Q8" s="24"/>
      <c r="R8" s="24"/>
      <c r="S8" s="24"/>
      <c r="T8" s="24"/>
      <c r="U8" s="24"/>
      <c r="V8" s="24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BO8" s="17"/>
      <c r="BP8" s="17"/>
      <c r="BQ8" s="17"/>
      <c r="BR8" s="17"/>
      <c r="BS8" s="17"/>
      <c r="BT8" s="17"/>
      <c r="BU8" s="17"/>
      <c r="BV8" s="17"/>
    </row>
    <row r="9" spans="1:74" x14ac:dyDescent="0.35">
      <c r="A9" s="38" t="s">
        <v>21</v>
      </c>
      <c r="B9" s="38" t="s">
        <v>60</v>
      </c>
      <c r="C9" s="28">
        <v>118781</v>
      </c>
      <c r="D9" s="28">
        <v>128265</v>
      </c>
      <c r="E9" s="28">
        <v>144112</v>
      </c>
      <c r="F9" s="28">
        <v>142796</v>
      </c>
      <c r="G9" s="28">
        <v>151902</v>
      </c>
      <c r="H9" s="28">
        <v>151029</v>
      </c>
      <c r="I9" s="28">
        <v>160384</v>
      </c>
      <c r="J9" s="28">
        <v>167377.59669000003</v>
      </c>
      <c r="K9" s="28">
        <v>181019.7816758781</v>
      </c>
      <c r="L9" s="28">
        <v>211260.9936596599</v>
      </c>
      <c r="M9" s="28">
        <v>217661</v>
      </c>
      <c r="N9" s="28">
        <v>226261.149</v>
      </c>
      <c r="O9" s="28">
        <v>187614.23428</v>
      </c>
      <c r="P9" s="28">
        <v>199366.94991747182</v>
      </c>
      <c r="Q9" s="24"/>
      <c r="R9" s="24"/>
      <c r="S9" s="24"/>
      <c r="T9" s="24"/>
      <c r="U9" s="24"/>
      <c r="V9" s="24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</row>
    <row r="10" spans="1:74" x14ac:dyDescent="0.35">
      <c r="A10" s="38" t="s">
        <v>35</v>
      </c>
      <c r="B10" s="38" t="s">
        <v>60</v>
      </c>
      <c r="C10" s="28">
        <v>61764.624702139656</v>
      </c>
      <c r="D10" s="28">
        <v>61817.594227019435</v>
      </c>
      <c r="E10" s="28">
        <v>58269.389500000005</v>
      </c>
      <c r="F10" s="28">
        <v>77590.490999999995</v>
      </c>
      <c r="G10" s="28">
        <v>80063.390000000014</v>
      </c>
      <c r="H10" s="28">
        <v>75097.619000000006</v>
      </c>
      <c r="I10" s="28">
        <v>72741.886999999988</v>
      </c>
      <c r="J10" s="28">
        <v>76129.812000000005</v>
      </c>
      <c r="K10" s="28">
        <v>82734.26797981601</v>
      </c>
      <c r="L10" s="28">
        <v>84644.97681966683</v>
      </c>
      <c r="M10" s="28">
        <v>89390.247875063069</v>
      </c>
      <c r="N10" s="28">
        <v>87642.229003035784</v>
      </c>
      <c r="O10" s="28">
        <v>81805.580155681397</v>
      </c>
      <c r="P10" s="28">
        <v>86909.794011443286</v>
      </c>
      <c r="Q10" s="24"/>
      <c r="R10" s="24"/>
      <c r="S10" s="24"/>
      <c r="T10" s="24"/>
      <c r="U10" s="24"/>
      <c r="V10" s="24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</row>
    <row r="11" spans="1:74" x14ac:dyDescent="0.35">
      <c r="A11" s="38" t="s">
        <v>29</v>
      </c>
      <c r="B11" s="38" t="s">
        <v>60</v>
      </c>
      <c r="C11" s="28">
        <v>35426.048000000003</v>
      </c>
      <c r="D11" s="28">
        <v>37656.624000000003</v>
      </c>
      <c r="E11" s="28">
        <v>46334.126000000004</v>
      </c>
      <c r="F11" s="28">
        <v>46642.640999999996</v>
      </c>
      <c r="G11" s="28">
        <v>47779.507999999994</v>
      </c>
      <c r="H11" s="28">
        <v>46557.578000000001</v>
      </c>
      <c r="I11" s="28">
        <v>46923.140000000007</v>
      </c>
      <c r="J11" s="28">
        <v>44976.582999999999</v>
      </c>
      <c r="K11" s="28">
        <v>45598</v>
      </c>
      <c r="L11" s="28">
        <v>34705.717769999996</v>
      </c>
      <c r="M11" s="28">
        <v>37603.399744925264</v>
      </c>
      <c r="N11" s="28">
        <v>32048.191384064245</v>
      </c>
      <c r="O11" s="28">
        <v>28974.888076739793</v>
      </c>
      <c r="P11" s="28">
        <v>31115.319920176305</v>
      </c>
      <c r="Q11" s="24"/>
      <c r="R11" s="24"/>
      <c r="S11" s="24"/>
      <c r="T11" s="24"/>
      <c r="U11" s="24"/>
      <c r="V11" s="24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</row>
    <row r="12" spans="1:74" x14ac:dyDescent="0.35">
      <c r="A12" s="38" t="s">
        <v>38</v>
      </c>
      <c r="B12" s="38" t="s">
        <v>60</v>
      </c>
      <c r="C12" s="28">
        <v>120730</v>
      </c>
      <c r="D12" s="28">
        <v>123090</v>
      </c>
      <c r="E12" s="28">
        <v>119710</v>
      </c>
      <c r="F12" s="28">
        <v>124140</v>
      </c>
      <c r="G12" s="28">
        <v>143240</v>
      </c>
      <c r="H12" s="28">
        <v>137770</v>
      </c>
      <c r="I12" s="28">
        <v>152110</v>
      </c>
      <c r="J12" s="28">
        <v>143050</v>
      </c>
      <c r="K12" s="28">
        <v>175638</v>
      </c>
      <c r="L12" s="28">
        <v>168228.603</v>
      </c>
      <c r="M12" s="28">
        <v>169534.48734000002</v>
      </c>
      <c r="N12" s="28">
        <v>170366.70697000079</v>
      </c>
      <c r="O12" s="28">
        <v>153556.69399000015</v>
      </c>
      <c r="P12" s="28">
        <v>154447.8451599995</v>
      </c>
      <c r="Q12" s="24"/>
      <c r="R12" s="24"/>
      <c r="S12" s="24"/>
      <c r="T12" s="24"/>
      <c r="U12" s="24"/>
      <c r="V12" s="24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</row>
    <row r="13" spans="1:74" x14ac:dyDescent="0.35">
      <c r="A13" s="24"/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</row>
    <row r="14" spans="1:74" x14ac:dyDescent="0.35">
      <c r="A14" s="25" t="str">
        <f>CONCATENATE(B2)</f>
        <v>Real $2019</v>
      </c>
      <c r="B14" s="25"/>
      <c r="C14" s="24">
        <v>2006</v>
      </c>
      <c r="D14" s="24">
        <v>2007</v>
      </c>
      <c r="E14" s="24">
        <v>2008</v>
      </c>
      <c r="F14" s="24">
        <v>2009</v>
      </c>
      <c r="G14" s="24">
        <v>2010</v>
      </c>
      <c r="H14" s="24">
        <v>2011</v>
      </c>
      <c r="I14" s="24">
        <v>2012</v>
      </c>
      <c r="J14" s="24">
        <v>2013</v>
      </c>
      <c r="K14" s="24">
        <v>2014</v>
      </c>
      <c r="L14" s="24">
        <v>2015</v>
      </c>
      <c r="M14" s="24">
        <v>2016</v>
      </c>
      <c r="N14" s="24">
        <v>2017</v>
      </c>
      <c r="O14" s="24">
        <v>2018</v>
      </c>
      <c r="P14" s="24">
        <v>2019</v>
      </c>
      <c r="Q14" s="24" t="s">
        <v>96</v>
      </c>
      <c r="R14" s="24"/>
      <c r="S14" s="24"/>
      <c r="T14" s="24"/>
      <c r="U14" s="24"/>
      <c r="V14" s="24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</row>
    <row r="15" spans="1:74" x14ac:dyDescent="0.35">
      <c r="A15" s="38" t="s">
        <v>37</v>
      </c>
      <c r="B15" s="38" t="s">
        <v>130</v>
      </c>
      <c r="C15" s="28">
        <f t="shared" ref="C15:N15" si="0">C8*C$4</f>
        <v>67156.112171837711</v>
      </c>
      <c r="D15" s="28">
        <f t="shared" si="0"/>
        <v>71021.547344110862</v>
      </c>
      <c r="E15" s="28">
        <f t="shared" si="0"/>
        <v>64483.352448933787</v>
      </c>
      <c r="F15" s="28">
        <f t="shared" si="0"/>
        <v>68981.803030303025</v>
      </c>
      <c r="G15" s="28">
        <f t="shared" si="0"/>
        <v>70936.218451749737</v>
      </c>
      <c r="H15" s="28">
        <f t="shared" si="0"/>
        <v>77190.856553147576</v>
      </c>
      <c r="I15" s="28">
        <f t="shared" si="0"/>
        <v>84511.631262525058</v>
      </c>
      <c r="J15" s="28">
        <f t="shared" si="0"/>
        <v>80345.464705882347</v>
      </c>
      <c r="K15" s="28">
        <f t="shared" si="0"/>
        <v>82226.963026717553</v>
      </c>
      <c r="L15" s="28">
        <f t="shared" si="0"/>
        <v>86774.854208105084</v>
      </c>
      <c r="M15" s="28">
        <f>M8*M$4</f>
        <v>91232.22069926199</v>
      </c>
      <c r="N15" s="28">
        <f t="shared" si="0"/>
        <v>94692.048678181818</v>
      </c>
      <c r="O15" s="28">
        <f t="shared" ref="O15" si="1">O8*O$4</f>
        <v>96533.509691347033</v>
      </c>
      <c r="P15" s="28">
        <f>P8*P$4</f>
        <v>95060.413276073625</v>
      </c>
      <c r="Q15" s="40">
        <f>AVERAGE(L15:P15)</f>
        <v>92858.609310593907</v>
      </c>
      <c r="R15" s="24"/>
      <c r="S15" s="24"/>
      <c r="T15" s="24"/>
      <c r="U15" s="24"/>
      <c r="V15" s="24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</row>
    <row r="16" spans="1:74" x14ac:dyDescent="0.35">
      <c r="A16" s="38" t="s">
        <v>21</v>
      </c>
      <c r="B16" s="38" t="s">
        <v>130</v>
      </c>
      <c r="C16" s="28">
        <f t="shared" ref="C16:N16" si="2">C9*C$4</f>
        <v>164705.87350835322</v>
      </c>
      <c r="D16" s="28">
        <f t="shared" si="2"/>
        <v>172106.1547344111</v>
      </c>
      <c r="E16" s="28">
        <f t="shared" si="2"/>
        <v>187944.04489337825</v>
      </c>
      <c r="F16" s="28">
        <f t="shared" si="2"/>
        <v>179576.78787878787</v>
      </c>
      <c r="G16" s="28">
        <f t="shared" si="2"/>
        <v>187179.34676564156</v>
      </c>
      <c r="H16" s="28">
        <f t="shared" si="2"/>
        <v>181110.11145510836</v>
      </c>
      <c r="I16" s="28">
        <f t="shared" si="2"/>
        <v>186739.68737474951</v>
      </c>
      <c r="J16" s="28">
        <f t="shared" si="2"/>
        <v>190679.1836801765</v>
      </c>
      <c r="K16" s="28">
        <f t="shared" si="2"/>
        <v>200710.86479710913</v>
      </c>
      <c r="L16" s="28">
        <f t="shared" si="2"/>
        <v>230286.37395171184</v>
      </c>
      <c r="M16" s="28">
        <f t="shared" ref="M16" si="3">M9*M$4</f>
        <v>233322.95387453874</v>
      </c>
      <c r="N16" s="28">
        <f t="shared" si="2"/>
        <v>239014.05012545455</v>
      </c>
      <c r="O16" s="28">
        <f t="shared" ref="O16:P16" si="4">O9*O$4</f>
        <v>194476.12866490637</v>
      </c>
      <c r="P16" s="28">
        <f t="shared" si="4"/>
        <v>203036.28028405108</v>
      </c>
      <c r="Q16" s="40">
        <f t="shared" ref="Q16:Q19" si="5">AVERAGE(L16:P16)</f>
        <v>220027.15738013253</v>
      </c>
      <c r="R16" s="24"/>
      <c r="S16" s="24"/>
      <c r="T16" s="24"/>
      <c r="U16" s="24"/>
      <c r="V16" s="24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</row>
    <row r="17" spans="1:40" x14ac:dyDescent="0.35">
      <c r="A17" s="38" t="s">
        <v>35</v>
      </c>
      <c r="B17" s="38" t="s">
        <v>130</v>
      </c>
      <c r="C17" s="28">
        <f t="shared" ref="C17:N17" si="6">C10*C$3</f>
        <v>86055.748086194581</v>
      </c>
      <c r="D17" s="28">
        <f t="shared" si="6"/>
        <v>82851.26238961544</v>
      </c>
      <c r="E17" s="28">
        <f t="shared" si="6"/>
        <v>76680.66885503965</v>
      </c>
      <c r="F17" s="28">
        <f t="shared" si="6"/>
        <v>97260.140822006462</v>
      </c>
      <c r="G17" s="28">
        <f t="shared" si="6"/>
        <v>99183.005522388077</v>
      </c>
      <c r="H17" s="28">
        <f t="shared" si="6"/>
        <v>90428.428267357522</v>
      </c>
      <c r="I17" s="28">
        <f t="shared" si="6"/>
        <v>84695.463621242481</v>
      </c>
      <c r="J17" s="28">
        <f t="shared" si="6"/>
        <v>86898.665563850693</v>
      </c>
      <c r="K17" s="28">
        <f t="shared" si="6"/>
        <v>92439.634031294423</v>
      </c>
      <c r="L17" s="28">
        <f t="shared" si="6"/>
        <v>92441.224684636138</v>
      </c>
      <c r="M17" s="28">
        <f t="shared" ref="M17" si="7">M10*M$3</f>
        <v>96177.285213725263</v>
      </c>
      <c r="N17" s="28">
        <f t="shared" si="6"/>
        <v>93089.826418215336</v>
      </c>
      <c r="O17" s="28">
        <f t="shared" ref="O17:P17" si="8">O10*O$3</f>
        <v>85330.41664353841</v>
      </c>
      <c r="P17" s="28">
        <f t="shared" si="8"/>
        <v>88977.25166634105</v>
      </c>
      <c r="Q17" s="40">
        <f t="shared" si="5"/>
        <v>91203.200925291239</v>
      </c>
      <c r="R17" s="24"/>
      <c r="S17" s="24"/>
      <c r="T17" s="24"/>
      <c r="U17" s="24"/>
      <c r="V17" s="24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</row>
    <row r="18" spans="1:40" x14ac:dyDescent="0.35">
      <c r="A18" s="38" t="s">
        <v>29</v>
      </c>
      <c r="B18" s="38" t="s">
        <v>130</v>
      </c>
      <c r="C18" s="28">
        <f t="shared" ref="C18:N18" si="9">C11*C$4</f>
        <v>49122.992572792369</v>
      </c>
      <c r="D18" s="28">
        <f t="shared" si="9"/>
        <v>50527.710263279456</v>
      </c>
      <c r="E18" s="28">
        <f t="shared" si="9"/>
        <v>60426.7726285073</v>
      </c>
      <c r="F18" s="28">
        <f t="shared" si="9"/>
        <v>58656.654590909086</v>
      </c>
      <c r="G18" s="28">
        <f t="shared" si="9"/>
        <v>58875.703389183451</v>
      </c>
      <c r="H18" s="28">
        <f t="shared" si="9"/>
        <v>55830.655971104236</v>
      </c>
      <c r="I18" s="28">
        <f t="shared" si="9"/>
        <v>54633.956593186391</v>
      </c>
      <c r="J18" s="28">
        <f t="shared" si="9"/>
        <v>51238.028868627451</v>
      </c>
      <c r="K18" s="28">
        <f t="shared" si="9"/>
        <v>50558.087786259544</v>
      </c>
      <c r="L18" s="28">
        <f t="shared" si="9"/>
        <v>37831.185786810507</v>
      </c>
      <c r="M18" s="28">
        <f t="shared" ref="M18" si="10">M11*M$4</f>
        <v>40309.179431368226</v>
      </c>
      <c r="N18" s="28">
        <f t="shared" si="9"/>
        <v>33854.543989347869</v>
      </c>
      <c r="O18" s="28">
        <f t="shared" ref="O18:P18" si="11">O11*O$4</f>
        <v>30034.62974591583</v>
      </c>
      <c r="P18" s="28">
        <f t="shared" si="11"/>
        <v>31687.994519934156</v>
      </c>
      <c r="Q18" s="40">
        <f t="shared" si="5"/>
        <v>34743.506694675314</v>
      </c>
      <c r="R18" s="24"/>
      <c r="S18" s="24"/>
      <c r="T18" s="24"/>
      <c r="U18" s="24"/>
      <c r="V18" s="24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</row>
    <row r="19" spans="1:40" x14ac:dyDescent="0.35">
      <c r="A19" s="38" t="s">
        <v>38</v>
      </c>
      <c r="B19" s="38" t="s">
        <v>130</v>
      </c>
      <c r="C19" s="28">
        <f t="shared" ref="C19:N19" si="12">C12*C$4</f>
        <v>167408.42482100238</v>
      </c>
      <c r="D19" s="28">
        <f t="shared" si="12"/>
        <v>165162.3325635104</v>
      </c>
      <c r="E19" s="28">
        <f t="shared" si="12"/>
        <v>156120.11223344557</v>
      </c>
      <c r="F19" s="28">
        <f t="shared" si="12"/>
        <v>156115.45454545456</v>
      </c>
      <c r="G19" s="28">
        <f t="shared" si="12"/>
        <v>176505.70519618239</v>
      </c>
      <c r="H19" s="28">
        <f t="shared" si="12"/>
        <v>165210.25799793602</v>
      </c>
      <c r="I19" s="28">
        <f t="shared" si="12"/>
        <v>177106.03206412829</v>
      </c>
      <c r="J19" s="28">
        <f t="shared" si="12"/>
        <v>162964.80392156861</v>
      </c>
      <c r="K19" s="28">
        <f t="shared" si="12"/>
        <v>194743.66030534351</v>
      </c>
      <c r="L19" s="28">
        <f t="shared" si="12"/>
        <v>183378.64604690432</v>
      </c>
      <c r="M19" s="28">
        <f t="shared" ref="M19" si="13">M12*M$4</f>
        <v>181733.46336631</v>
      </c>
      <c r="N19" s="28">
        <f t="shared" si="12"/>
        <v>179969.19409012812</v>
      </c>
      <c r="O19" s="28">
        <f t="shared" ref="O19:P19" si="14">O12*O$4</f>
        <v>159172.95130810008</v>
      </c>
      <c r="P19" s="28">
        <f t="shared" si="14"/>
        <v>157290.44353717743</v>
      </c>
      <c r="Q19" s="40">
        <f t="shared" si="5"/>
        <v>172308.93966972397</v>
      </c>
      <c r="R19" s="24"/>
      <c r="S19" s="24"/>
      <c r="T19" s="24"/>
      <c r="U19" s="24"/>
      <c r="V19" s="24"/>
    </row>
    <row r="20" spans="1:40" x14ac:dyDescent="0.35">
      <c r="A20" s="24"/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</row>
    <row r="21" spans="1:40" x14ac:dyDescent="0.35">
      <c r="A21" s="22"/>
      <c r="B21" s="24"/>
      <c r="C21" s="36"/>
      <c r="D21" s="36"/>
      <c r="E21" s="36"/>
      <c r="F21" s="36"/>
      <c r="G21" s="36"/>
      <c r="H21" s="36"/>
      <c r="I21" s="36"/>
      <c r="J21" s="36"/>
      <c r="K21" s="36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</row>
    <row r="22" spans="1:40" x14ac:dyDescent="0.35">
      <c r="A22" s="24"/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</row>
  </sheetData>
  <pageMargins left="0.7" right="0.7" top="0.75" bottom="0.75" header="0.3" footer="0.3"/>
  <pageSetup paperSize="9" orientation="portrait" r:id="rId1"/>
  <extLst>
    <ext xmlns:x14="http://schemas.microsoft.com/office/spreadsheetml/2009/9/main" uri="{05C60535-1F16-4fd2-B633-F4F36F0B64E0}">
      <x14:sparklineGroups xmlns:xm="http://schemas.microsoft.com/office/excel/2006/main">
        <x14:sparklineGroup displayEmptyCellsAs="gap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Opex!C8:P8</xm:f>
              <xm:sqref>Q8</xm:sqref>
            </x14:sparkline>
            <x14:sparkline>
              <xm:f>Opex!C9:P9</xm:f>
              <xm:sqref>Q9</xm:sqref>
            </x14:sparkline>
            <x14:sparkline>
              <xm:f>Opex!C10:P10</xm:f>
              <xm:sqref>Q10</xm:sqref>
            </x14:sparkline>
            <x14:sparkline>
              <xm:f>Opex!C11:P11</xm:f>
              <xm:sqref>Q11</xm:sqref>
            </x14:sparkline>
            <x14:sparkline>
              <xm:f>Opex!C12:P12</xm:f>
              <xm:sqref>Q12</xm:sqref>
            </x14:sparkline>
          </x14:sparklines>
        </x14:sparklineGroup>
      </x14:sparklineGroup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T26"/>
  <sheetViews>
    <sheetView topLeftCell="B4" zoomScale="85" zoomScaleNormal="85" workbookViewId="0">
      <selection activeCell="F25" sqref="F25"/>
    </sheetView>
  </sheetViews>
  <sheetFormatPr defaultColWidth="9.1796875" defaultRowHeight="14.5" x14ac:dyDescent="0.35"/>
  <cols>
    <col min="1" max="1" width="45.81640625" style="2" customWidth="1"/>
    <col min="2" max="2" width="11.7265625" style="2" customWidth="1"/>
    <col min="3" max="12" width="12" style="2" customWidth="1"/>
    <col min="13" max="15" width="14.1796875" style="17" customWidth="1"/>
    <col min="16" max="16" width="12.7265625" style="2" bestFit="1" customWidth="1"/>
    <col min="17" max="16384" width="9.1796875" style="2"/>
  </cols>
  <sheetData>
    <row r="1" spans="1:20" x14ac:dyDescent="0.35">
      <c r="A1" s="25" t="s">
        <v>27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</row>
    <row r="2" spans="1:20" x14ac:dyDescent="0.35">
      <c r="A2" s="25" t="s">
        <v>40</v>
      </c>
      <c r="B2" s="25" t="str">
        <f>"Real $"&amp;Real_year&amp;""</f>
        <v>Real $2019</v>
      </c>
      <c r="C2" s="24">
        <v>2006</v>
      </c>
      <c r="D2" s="24">
        <v>2007</v>
      </c>
      <c r="E2" s="24">
        <v>2008</v>
      </c>
      <c r="F2" s="24">
        <v>2009</v>
      </c>
      <c r="G2" s="24">
        <v>2010</v>
      </c>
      <c r="H2" s="24">
        <v>2011</v>
      </c>
      <c r="I2" s="24">
        <v>2012</v>
      </c>
      <c r="J2" s="24">
        <v>2013</v>
      </c>
      <c r="K2" s="24">
        <v>2014</v>
      </c>
      <c r="L2" s="24">
        <v>2015</v>
      </c>
      <c r="M2" s="24">
        <v>2016</v>
      </c>
      <c r="N2" s="24">
        <v>2017</v>
      </c>
      <c r="O2" s="24">
        <v>2018</v>
      </c>
      <c r="P2" s="24">
        <v>2019</v>
      </c>
    </row>
    <row r="3" spans="1:20" x14ac:dyDescent="0.35">
      <c r="A3" s="24" t="s">
        <v>55</v>
      </c>
      <c r="B3" s="24"/>
      <c r="C3" s="37">
        <f>CPI!F12</f>
        <v>1.3932853717026379</v>
      </c>
      <c r="D3" s="37">
        <f>CPI!G12</f>
        <v>1.3402537485582469</v>
      </c>
      <c r="E3" s="37">
        <f>CPI!H12</f>
        <v>1.3159682899207248</v>
      </c>
      <c r="F3" s="37">
        <f>CPI!I12</f>
        <v>1.2535059331175835</v>
      </c>
      <c r="G3" s="37">
        <f>CPI!J12</f>
        <v>1.2388059701492538</v>
      </c>
      <c r="H3" s="37">
        <f>CPI!K12</f>
        <v>1.2041450777202072</v>
      </c>
      <c r="I3" s="37">
        <f>CPI!L12</f>
        <v>1.1643286573146294</v>
      </c>
      <c r="J3" s="37">
        <f>CPI!M12</f>
        <v>1.1414538310412574</v>
      </c>
      <c r="K3" s="37">
        <f>CPI!N12</f>
        <v>1.1173076923076923</v>
      </c>
      <c r="L3" s="37">
        <f>CPI!O12</f>
        <v>1.0921052631578947</v>
      </c>
      <c r="M3" s="37">
        <f>CPI!P12</f>
        <v>1.075925925925926</v>
      </c>
      <c r="N3" s="37">
        <f>CPI!Q12</f>
        <v>1.0621572212065813</v>
      </c>
      <c r="O3" s="37">
        <f>CPI!R12</f>
        <v>1.0430879712746859</v>
      </c>
      <c r="P3" s="37">
        <f>CPI!S12</f>
        <v>1.0237885462555065</v>
      </c>
    </row>
    <row r="4" spans="1:20" x14ac:dyDescent="0.35">
      <c r="A4" s="24" t="s">
        <v>54</v>
      </c>
      <c r="B4" s="24"/>
      <c r="C4" s="37">
        <f>CPI!F11</f>
        <v>1.3866348448687351</v>
      </c>
      <c r="D4" s="37">
        <f>CPI!G11</f>
        <v>1.3418013856812934</v>
      </c>
      <c r="E4" s="37">
        <f>CPI!H11</f>
        <v>1.3041526374859709</v>
      </c>
      <c r="F4" s="37">
        <f>CPI!I11</f>
        <v>1.2575757575757576</v>
      </c>
      <c r="G4" s="37">
        <f>CPI!J11</f>
        <v>1.232237539766702</v>
      </c>
      <c r="H4" s="37">
        <f>CPI!K11</f>
        <v>1.1991744066047472</v>
      </c>
      <c r="I4" s="37">
        <f>CPI!L11</f>
        <v>1.1643286573146294</v>
      </c>
      <c r="J4" s="37">
        <f>CPI!M11</f>
        <v>1.1392156862745098</v>
      </c>
      <c r="K4" s="37">
        <f>CPI!N11</f>
        <v>1.1087786259541985</v>
      </c>
      <c r="L4" s="37">
        <f>CPI!O11</f>
        <v>1.0900562851782365</v>
      </c>
      <c r="M4" s="37">
        <f>CPI!P11</f>
        <v>1.0719557195571956</v>
      </c>
      <c r="N4" s="37">
        <f>CPI!Q11</f>
        <v>1.0563636363636364</v>
      </c>
      <c r="O4" s="37">
        <f>CPI!R11</f>
        <v>1.0365744870651206</v>
      </c>
      <c r="P4" s="37">
        <f>CPI!S11</f>
        <v>1.0184049079754602</v>
      </c>
    </row>
    <row r="5" spans="1:20" x14ac:dyDescent="0.35">
      <c r="A5" s="24"/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</row>
    <row r="6" spans="1:20" x14ac:dyDescent="0.35">
      <c r="A6" s="25" t="s">
        <v>30</v>
      </c>
      <c r="B6" s="26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T6" s="56"/>
    </row>
    <row r="7" spans="1:20" x14ac:dyDescent="0.35">
      <c r="A7" s="25" t="s">
        <v>59</v>
      </c>
      <c r="B7" s="26"/>
      <c r="C7" s="24">
        <v>2006</v>
      </c>
      <c r="D7" s="24">
        <v>2007</v>
      </c>
      <c r="E7" s="24">
        <v>2008</v>
      </c>
      <c r="F7" s="24">
        <v>2009</v>
      </c>
      <c r="G7" s="24">
        <v>2010</v>
      </c>
      <c r="H7" s="24">
        <v>2011</v>
      </c>
      <c r="I7" s="24">
        <v>2012</v>
      </c>
      <c r="J7" s="24">
        <v>2013</v>
      </c>
      <c r="K7" s="24">
        <v>2014</v>
      </c>
      <c r="L7" s="24">
        <v>2015</v>
      </c>
      <c r="M7" s="24">
        <v>2016</v>
      </c>
      <c r="N7" s="24">
        <v>2017</v>
      </c>
      <c r="O7" s="24">
        <v>2018</v>
      </c>
      <c r="P7" s="24">
        <v>2019</v>
      </c>
      <c r="T7" s="56"/>
    </row>
    <row r="8" spans="1:20" x14ac:dyDescent="0.35">
      <c r="A8" s="38" t="s">
        <v>37</v>
      </c>
      <c r="B8" s="38" t="s">
        <v>18</v>
      </c>
      <c r="C8" s="28">
        <v>1008498.0744489165</v>
      </c>
      <c r="D8" s="28">
        <v>1072410.1977797956</v>
      </c>
      <c r="E8" s="28">
        <v>1180457.0630350162</v>
      </c>
      <c r="F8" s="28">
        <v>1278429.4831257048</v>
      </c>
      <c r="G8" s="28">
        <v>1294892.6529556361</v>
      </c>
      <c r="H8" s="28">
        <v>1331479.0051210094</v>
      </c>
      <c r="I8" s="28">
        <v>1504540.6896702116</v>
      </c>
      <c r="J8" s="28">
        <v>1712893.4299247104</v>
      </c>
      <c r="K8" s="28">
        <v>1890087.8232150995</v>
      </c>
      <c r="L8" s="28">
        <v>2013147.9935692761</v>
      </c>
      <c r="M8" s="28">
        <v>2066967.4263843338</v>
      </c>
      <c r="N8" s="28">
        <v>2157003.2621017266</v>
      </c>
      <c r="O8" s="28">
        <v>2283322.8842957737</v>
      </c>
      <c r="P8" s="28">
        <v>2410576.8957586112</v>
      </c>
      <c r="Q8" s="24"/>
      <c r="T8" s="56"/>
    </row>
    <row r="9" spans="1:20" x14ac:dyDescent="0.35">
      <c r="A9" s="38" t="s">
        <v>21</v>
      </c>
      <c r="B9" s="38" t="s">
        <v>18</v>
      </c>
      <c r="C9" s="28">
        <v>2906163.8020416386</v>
      </c>
      <c r="D9" s="28">
        <v>3110944.766611123</v>
      </c>
      <c r="E9" s="28">
        <v>3568307.0443376545</v>
      </c>
      <c r="F9" s="28">
        <v>4186908.5814354168</v>
      </c>
      <c r="G9" s="28">
        <v>4681557.1948703378</v>
      </c>
      <c r="H9" s="28">
        <v>5093089.0531193521</v>
      </c>
      <c r="I9" s="28">
        <v>5477581.7371609155</v>
      </c>
      <c r="J9" s="28">
        <v>5819506.0639425004</v>
      </c>
      <c r="K9" s="28">
        <v>6301890.3431227049</v>
      </c>
      <c r="L9" s="28">
        <v>6604013.1766181048</v>
      </c>
      <c r="M9" s="28">
        <v>6605068.5105675301</v>
      </c>
      <c r="N9" s="28">
        <v>6644060.9068036843</v>
      </c>
      <c r="O9" s="28">
        <v>6541355.9075110834</v>
      </c>
      <c r="P9" s="28">
        <v>6556115.4742665607</v>
      </c>
      <c r="Q9" s="24"/>
      <c r="T9" s="56"/>
    </row>
    <row r="10" spans="1:20" x14ac:dyDescent="0.35">
      <c r="A10" s="38" t="s">
        <v>35</v>
      </c>
      <c r="B10" s="38" t="s">
        <v>18</v>
      </c>
      <c r="C10" s="28">
        <v>1889957.733</v>
      </c>
      <c r="D10" s="28">
        <v>1929607.6654999999</v>
      </c>
      <c r="E10" s="28">
        <v>2007291.2560000001</v>
      </c>
      <c r="F10" s="28">
        <v>2181178.4835000001</v>
      </c>
      <c r="G10" s="28">
        <v>2198049.1735</v>
      </c>
      <c r="H10" s="28">
        <v>2232904.4265000001</v>
      </c>
      <c r="I10" s="28">
        <v>2292941.9665000001</v>
      </c>
      <c r="J10" s="28">
        <v>2370849.6140000001</v>
      </c>
      <c r="K10" s="28">
        <v>2476349.311010506</v>
      </c>
      <c r="L10" s="28">
        <v>2790207.8150309501</v>
      </c>
      <c r="M10" s="28">
        <v>2857110.3028806783</v>
      </c>
      <c r="N10" s="28">
        <v>2903023.4716057549</v>
      </c>
      <c r="O10" s="28">
        <v>2948642.8739125249</v>
      </c>
      <c r="P10" s="28">
        <v>2944146.1043232437</v>
      </c>
      <c r="Q10" s="24"/>
      <c r="T10" s="56"/>
    </row>
    <row r="11" spans="1:20" x14ac:dyDescent="0.35">
      <c r="A11" s="38" t="s">
        <v>29</v>
      </c>
      <c r="B11" s="38" t="s">
        <v>18</v>
      </c>
      <c r="C11" s="28">
        <v>666396.5</v>
      </c>
      <c r="D11" s="28">
        <v>728278.5</v>
      </c>
      <c r="E11" s="28">
        <v>787887</v>
      </c>
      <c r="F11" s="28">
        <v>845035</v>
      </c>
      <c r="G11" s="28">
        <v>895293</v>
      </c>
      <c r="H11" s="28">
        <v>1006943.5</v>
      </c>
      <c r="I11" s="28">
        <v>1139787</v>
      </c>
      <c r="J11" s="28">
        <v>1204832</v>
      </c>
      <c r="K11" s="28">
        <v>1310583.1592409625</v>
      </c>
      <c r="L11" s="28">
        <v>1386261.7283497157</v>
      </c>
      <c r="M11" s="28">
        <v>1382762.1991195932</v>
      </c>
      <c r="N11" s="28">
        <v>1371712.8989775274</v>
      </c>
      <c r="O11" s="28">
        <v>1371065.4063185384</v>
      </c>
      <c r="P11" s="28">
        <v>1390069.5081462832</v>
      </c>
      <c r="Q11" s="24"/>
      <c r="T11" s="56"/>
    </row>
    <row r="12" spans="1:20" x14ac:dyDescent="0.35">
      <c r="A12" s="38" t="s">
        <v>38</v>
      </c>
      <c r="B12" s="38" t="s">
        <v>18</v>
      </c>
      <c r="C12" s="28">
        <v>3166374.415412093</v>
      </c>
      <c r="D12" s="28">
        <v>3313367.6045614304</v>
      </c>
      <c r="E12" s="28">
        <v>3566600.1045614304</v>
      </c>
      <c r="F12" s="28">
        <v>3976405.905427468</v>
      </c>
      <c r="G12" s="28">
        <v>4305989.6381644513</v>
      </c>
      <c r="H12" s="28">
        <v>4559614.3380024452</v>
      </c>
      <c r="I12" s="28">
        <v>4853368.9664179208</v>
      </c>
      <c r="J12" s="28">
        <v>5135315.116477563</v>
      </c>
      <c r="K12" s="28">
        <v>5576508.2256924072</v>
      </c>
      <c r="L12" s="28">
        <v>5908508.5172999017</v>
      </c>
      <c r="M12" s="28">
        <v>6033054.789736486</v>
      </c>
      <c r="N12" s="28">
        <v>6056226.9784158589</v>
      </c>
      <c r="O12" s="28">
        <v>6041537.9813804002</v>
      </c>
      <c r="P12" s="28">
        <v>6258956.0859821215</v>
      </c>
      <c r="Q12" s="24"/>
      <c r="T12" s="56"/>
    </row>
    <row r="13" spans="1:20" x14ac:dyDescent="0.35">
      <c r="A13" s="24"/>
      <c r="B13" s="24"/>
      <c r="C13" s="24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9"/>
      <c r="T13" s="56"/>
    </row>
    <row r="14" spans="1:20" x14ac:dyDescent="0.35">
      <c r="A14" s="25" t="str">
        <f>CONCATENATE(B2)</f>
        <v>Real $2019</v>
      </c>
      <c r="B14" s="24"/>
      <c r="C14" s="24">
        <v>2006</v>
      </c>
      <c r="D14" s="24">
        <v>2007</v>
      </c>
      <c r="E14" s="24">
        <v>2008</v>
      </c>
      <c r="F14" s="24">
        <v>2009</v>
      </c>
      <c r="G14" s="24">
        <v>2010</v>
      </c>
      <c r="H14" s="24">
        <v>2011</v>
      </c>
      <c r="I14" s="24">
        <v>2012</v>
      </c>
      <c r="J14" s="24">
        <v>2013</v>
      </c>
      <c r="K14" s="24">
        <v>2014</v>
      </c>
      <c r="L14" s="24">
        <v>2015</v>
      </c>
      <c r="M14" s="24">
        <v>2016</v>
      </c>
      <c r="N14" s="24">
        <v>2017</v>
      </c>
      <c r="O14" s="24">
        <v>2018</v>
      </c>
      <c r="P14" s="24">
        <v>2019</v>
      </c>
      <c r="Q14" s="24" t="s">
        <v>96</v>
      </c>
    </row>
    <row r="15" spans="1:20" x14ac:dyDescent="0.35">
      <c r="A15" s="38" t="s">
        <v>37</v>
      </c>
      <c r="B15" s="38" t="s">
        <v>130</v>
      </c>
      <c r="C15" s="28">
        <f>C8*C$4</f>
        <v>1398418.5710138914</v>
      </c>
      <c r="D15" s="28">
        <f t="shared" ref="D15:L15" si="0">D8*D$4</f>
        <v>1438961.4893996797</v>
      </c>
      <c r="E15" s="28">
        <f t="shared" si="0"/>
        <v>1539496.1921960593</v>
      </c>
      <c r="F15" s="28">
        <f t="shared" si="0"/>
        <v>1607721.9257489925</v>
      </c>
      <c r="G15" s="28">
        <f t="shared" si="0"/>
        <v>1595615.336940031</v>
      </c>
      <c r="H15" s="28">
        <f t="shared" si="0"/>
        <v>1596675.5458726655</v>
      </c>
      <c r="I15" s="28">
        <f t="shared" si="0"/>
        <v>1751779.841078944</v>
      </c>
      <c r="J15" s="28">
        <f t="shared" si="0"/>
        <v>1951355.0642867777</v>
      </c>
      <c r="K15" s="28">
        <f t="shared" si="0"/>
        <v>2095688.9795572001</v>
      </c>
      <c r="L15" s="28">
        <f t="shared" si="0"/>
        <v>2194444.6233841456</v>
      </c>
      <c r="M15" s="28">
        <f t="shared" ref="M15:O16" si="1">M8*M$4</f>
        <v>2215697.5548511031</v>
      </c>
      <c r="N15" s="28">
        <f t="shared" si="1"/>
        <v>2278579.8096020059</v>
      </c>
      <c r="O15" s="28">
        <f t="shared" si="1"/>
        <v>2366834.2475929433</v>
      </c>
      <c r="P15" s="28">
        <f t="shared" ref="P15" si="2">P8*P$4</f>
        <v>2454943.3416928188</v>
      </c>
      <c r="Q15" s="40">
        <f>AVERAGE(L15:P15)</f>
        <v>2302099.915424603</v>
      </c>
    </row>
    <row r="16" spans="1:20" x14ac:dyDescent="0.35">
      <c r="A16" s="38" t="s">
        <v>21</v>
      </c>
      <c r="B16" s="38" t="s">
        <v>130</v>
      </c>
      <c r="C16" s="28">
        <f>C9*C$4</f>
        <v>4029787.992807141</v>
      </c>
      <c r="D16" s="28">
        <f t="shared" ref="D16:L16" si="3">D9*D$4</f>
        <v>4174269.9986167727</v>
      </c>
      <c r="E16" s="28">
        <f t="shared" si="3"/>
        <v>4653617.0432327213</v>
      </c>
      <c r="F16" s="28">
        <f t="shared" si="3"/>
        <v>5265354.7311990848</v>
      </c>
      <c r="G16" s="28">
        <f t="shared" si="3"/>
        <v>5768790.5200841278</v>
      </c>
      <c r="H16" s="28">
        <f t="shared" si="3"/>
        <v>6107502.0430595325</v>
      </c>
      <c r="I16" s="28">
        <f t="shared" si="3"/>
        <v>6377705.3893597042</v>
      </c>
      <c r="J16" s="28">
        <f t="shared" si="3"/>
        <v>6629672.5944129266</v>
      </c>
      <c r="K16" s="28">
        <f t="shared" si="3"/>
        <v>6987401.3155616252</v>
      </c>
      <c r="L16" s="28">
        <f t="shared" si="3"/>
        <v>7198746.0705724563</v>
      </c>
      <c r="M16" s="28">
        <f t="shared" si="1"/>
        <v>7080340.9679699913</v>
      </c>
      <c r="N16" s="28">
        <f t="shared" si="1"/>
        <v>7018544.339732619</v>
      </c>
      <c r="O16" s="28">
        <f t="shared" si="1"/>
        <v>6780602.6445386978</v>
      </c>
      <c r="P16" s="28">
        <f t="shared" ref="P16" si="4">P9*P$4</f>
        <v>6676780.1762469281</v>
      </c>
      <c r="Q16" s="40">
        <f t="shared" ref="Q16:Q19" si="5">AVERAGE(L16:P16)</f>
        <v>6951002.839812139</v>
      </c>
    </row>
    <row r="17" spans="1:17" x14ac:dyDescent="0.35">
      <c r="A17" s="38" t="s">
        <v>35</v>
      </c>
      <c r="B17" s="38" t="s">
        <v>130</v>
      </c>
      <c r="C17" s="28">
        <f>C10*C$3</f>
        <v>2633250.4625251801</v>
      </c>
      <c r="D17" s="28">
        <f t="shared" ref="D17:L17" si="6">D10*D$3</f>
        <v>2586163.9069331028</v>
      </c>
      <c r="E17" s="28">
        <f t="shared" si="6"/>
        <v>2641531.6415311438</v>
      </c>
      <c r="F17" s="28">
        <f t="shared" si="6"/>
        <v>2734120.1702556633</v>
      </c>
      <c r="G17" s="28">
        <f t="shared" si="6"/>
        <v>2722956.4388134331</v>
      </c>
      <c r="H17" s="28">
        <f t="shared" si="6"/>
        <v>2688740.8741896371</v>
      </c>
      <c r="I17" s="28">
        <f t="shared" si="6"/>
        <v>2669738.0411553113</v>
      </c>
      <c r="J17" s="28">
        <f t="shared" si="6"/>
        <v>2706215.3747229865</v>
      </c>
      <c r="K17" s="28">
        <f t="shared" si="6"/>
        <v>2766844.1340328925</v>
      </c>
      <c r="L17" s="28">
        <f t="shared" si="6"/>
        <v>3047200.6400995902</v>
      </c>
      <c r="M17" s="28">
        <f>M10*M$3</f>
        <v>3074039.0480993968</v>
      </c>
      <c r="N17" s="28">
        <f>N10*N$3</f>
        <v>3083467.3436982515</v>
      </c>
      <c r="O17" s="28">
        <f>O10*O$3</f>
        <v>3075693.9133629752</v>
      </c>
      <c r="P17" s="28">
        <f>P10*P$3</f>
        <v>3014183.0601089066</v>
      </c>
      <c r="Q17" s="40">
        <f t="shared" si="5"/>
        <v>3058916.8010738245</v>
      </c>
    </row>
    <row r="18" spans="1:17" x14ac:dyDescent="0.35">
      <c r="A18" s="38" t="s">
        <v>29</v>
      </c>
      <c r="B18" s="38" t="s">
        <v>130</v>
      </c>
      <c r="C18" s="28">
        <f>C11*C$4</f>
        <v>924048.60739856807</v>
      </c>
      <c r="D18" s="28">
        <f t="shared" ref="D18:L18" si="7">D11*D$4</f>
        <v>977205.10046189383</v>
      </c>
      <c r="E18" s="28">
        <f t="shared" si="7"/>
        <v>1027524.9090909092</v>
      </c>
      <c r="F18" s="28">
        <f t="shared" si="7"/>
        <v>1062695.5303030303</v>
      </c>
      <c r="G18" s="28">
        <f t="shared" si="7"/>
        <v>1103213.64369035</v>
      </c>
      <c r="H18" s="28">
        <f t="shared" si="7"/>
        <v>1207500.8740970073</v>
      </c>
      <c r="I18" s="28">
        <f t="shared" si="7"/>
        <v>1327086.6673346695</v>
      </c>
      <c r="J18" s="28">
        <f t="shared" si="7"/>
        <v>1372563.5137254901</v>
      </c>
      <c r="K18" s="28">
        <f t="shared" si="7"/>
        <v>1453146.594501907</v>
      </c>
      <c r="L18" s="28">
        <f t="shared" si="7"/>
        <v>1511103.3098896528</v>
      </c>
      <c r="M18" s="28">
        <f t="shared" ref="M18:O19" si="8">M11*M$4</f>
        <v>1482259.8481337337</v>
      </c>
      <c r="N18" s="28">
        <f t="shared" si="8"/>
        <v>1449027.6260108063</v>
      </c>
      <c r="O18" s="28">
        <f t="shared" si="8"/>
        <v>1421211.42028737</v>
      </c>
      <c r="P18" s="28">
        <f t="shared" ref="P18" si="9">P11*P$4</f>
        <v>1415653.6095232088</v>
      </c>
      <c r="Q18" s="40">
        <f t="shared" si="5"/>
        <v>1455851.1627689542</v>
      </c>
    </row>
    <row r="19" spans="1:17" x14ac:dyDescent="0.35">
      <c r="A19" s="38" t="s">
        <v>38</v>
      </c>
      <c r="B19" s="38" t="s">
        <v>130</v>
      </c>
      <c r="C19" s="28">
        <f>C12*C$4</f>
        <v>4390605.0963112796</v>
      </c>
      <c r="D19" s="28">
        <f t="shared" ref="D19:L19" si="10">D12*D$4</f>
        <v>4445881.2430720348</v>
      </c>
      <c r="E19" s="28">
        <f t="shared" si="10"/>
        <v>4651390.9332215292</v>
      </c>
      <c r="F19" s="28">
        <f t="shared" si="10"/>
        <v>5000631.6689466638</v>
      </c>
      <c r="G19" s="28">
        <f t="shared" si="10"/>
        <v>5306002.0779926749</v>
      </c>
      <c r="H19" s="28">
        <f t="shared" si="10"/>
        <v>5467772.8181205792</v>
      </c>
      <c r="I19" s="28">
        <f t="shared" si="10"/>
        <v>5650916.5721218688</v>
      </c>
      <c r="J19" s="28">
        <f t="shared" si="10"/>
        <v>5850231.5346538508</v>
      </c>
      <c r="K19" s="28">
        <f t="shared" si="10"/>
        <v>6183113.1281055128</v>
      </c>
      <c r="L19" s="28">
        <f t="shared" si="10"/>
        <v>6440606.8453119006</v>
      </c>
      <c r="M19" s="28">
        <f t="shared" si="8"/>
        <v>6467167.5882599605</v>
      </c>
      <c r="N19" s="28">
        <f t="shared" si="8"/>
        <v>6397577.9535629349</v>
      </c>
      <c r="O19" s="28">
        <f t="shared" si="8"/>
        <v>6262504.1341338325</v>
      </c>
      <c r="P19" s="28">
        <f t="shared" ref="P19" si="11">P12*P$4</f>
        <v>6374151.5967670688</v>
      </c>
      <c r="Q19" s="40">
        <f t="shared" si="5"/>
        <v>6388401.6236071391</v>
      </c>
    </row>
    <row r="20" spans="1:17" x14ac:dyDescent="0.35">
      <c r="A20" s="24"/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</row>
    <row r="21" spans="1:17" x14ac:dyDescent="0.35">
      <c r="A21" s="22"/>
      <c r="B21" s="24"/>
      <c r="C21" s="24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24"/>
    </row>
    <row r="22" spans="1:17" x14ac:dyDescent="0.35">
      <c r="A22" s="24"/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</row>
    <row r="23" spans="1:17" x14ac:dyDescent="0.35">
      <c r="A23" s="24"/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</row>
    <row r="25" spans="1:17" x14ac:dyDescent="0.35"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</row>
    <row r="26" spans="1:17" x14ac:dyDescent="0.35"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</row>
  </sheetData>
  <pageMargins left="0.7" right="0.7" top="0.75" bottom="0.75" header="0.3" footer="0.3"/>
  <pageSetup paperSize="9" orientation="portrait" r:id="rId1"/>
  <extLst>
    <ext xmlns:x14="http://schemas.microsoft.com/office/spreadsheetml/2009/9/main" uri="{05C60535-1F16-4fd2-B633-F4F36F0B64E0}">
      <x14:sparklineGroups xmlns:xm="http://schemas.microsoft.com/office/excel/2006/main">
        <x14:sparklineGroup displayEmptyCellsAs="gap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RAB!C8:P8</xm:f>
              <xm:sqref>Q8</xm:sqref>
            </x14:sparkline>
            <x14:sparkline>
              <xm:f>RAB!C9:P9</xm:f>
              <xm:sqref>Q9</xm:sqref>
            </x14:sparkline>
            <x14:sparkline>
              <xm:f>RAB!C10:P10</xm:f>
              <xm:sqref>Q10</xm:sqref>
            </x14:sparkline>
            <x14:sparkline>
              <xm:f>RAB!C11:P11</xm:f>
              <xm:sqref>Q11</xm:sqref>
            </x14:sparkline>
            <x14:sparkline>
              <xm:f>RAB!C12:P12</xm:f>
              <xm:sqref>Q12</xm:sqref>
            </x14:sparkline>
          </x14:sparklines>
        </x14:sparklineGroup>
      </x14:sparklineGroup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3"/>
  <sheetViews>
    <sheetView zoomScale="70" zoomScaleNormal="70" workbookViewId="0">
      <selection activeCell="G10" sqref="A1:XFD1048576"/>
    </sheetView>
  </sheetViews>
  <sheetFormatPr defaultRowHeight="14.5" x14ac:dyDescent="0.35"/>
  <cols>
    <col min="1" max="1" width="45.1796875" customWidth="1"/>
    <col min="2" max="2" width="11.1796875" style="15" customWidth="1"/>
    <col min="3" max="9" width="12.26953125" style="15" customWidth="1"/>
    <col min="10" max="12" width="12.26953125" customWidth="1"/>
    <col min="13" max="15" width="12.26953125" style="17" customWidth="1"/>
    <col min="16" max="16" width="11.81640625" bestFit="1" customWidth="1"/>
  </cols>
  <sheetData>
    <row r="1" spans="1:17" s="2" customFormat="1" x14ac:dyDescent="0.35">
      <c r="A1" s="25" t="s">
        <v>23</v>
      </c>
      <c r="B1" s="46"/>
      <c r="C1" s="46"/>
      <c r="D1" s="46"/>
      <c r="E1" s="46"/>
      <c r="F1" s="46"/>
      <c r="G1" s="46"/>
      <c r="H1" s="46"/>
      <c r="I1" s="46"/>
      <c r="J1" s="46"/>
      <c r="K1" s="24"/>
      <c r="L1" s="24"/>
      <c r="M1" s="24"/>
      <c r="N1" s="24"/>
      <c r="O1" s="24"/>
      <c r="P1" s="24"/>
      <c r="Q1" s="24"/>
    </row>
    <row r="2" spans="1:17" s="2" customFormat="1" x14ac:dyDescent="0.35">
      <c r="A2" s="24"/>
      <c r="B2" s="25" t="str">
        <f>"Real $"&amp;Real_year&amp;""</f>
        <v>Real $2019</v>
      </c>
      <c r="C2" s="24">
        <v>2006</v>
      </c>
      <c r="D2" s="24">
        <v>2007</v>
      </c>
      <c r="E2" s="24">
        <v>2008</v>
      </c>
      <c r="F2" s="24">
        <v>2009</v>
      </c>
      <c r="G2" s="24">
        <v>2010</v>
      </c>
      <c r="H2" s="24">
        <v>2011</v>
      </c>
      <c r="I2" s="24">
        <v>2012</v>
      </c>
      <c r="J2" s="24">
        <v>2013</v>
      </c>
      <c r="K2" s="24">
        <v>2014</v>
      </c>
      <c r="L2" s="24">
        <v>2015</v>
      </c>
      <c r="M2" s="24">
        <v>2016</v>
      </c>
      <c r="N2" s="24">
        <v>2017</v>
      </c>
      <c r="O2" s="24">
        <v>2018</v>
      </c>
      <c r="P2" s="24">
        <v>2019</v>
      </c>
      <c r="Q2" s="24"/>
    </row>
    <row r="3" spans="1:17" s="2" customFormat="1" x14ac:dyDescent="0.35">
      <c r="A3" s="24" t="s">
        <v>55</v>
      </c>
      <c r="B3" s="24"/>
      <c r="C3" s="37">
        <f>CPI!F12</f>
        <v>1.3932853717026379</v>
      </c>
      <c r="D3" s="37">
        <f>CPI!G12</f>
        <v>1.3402537485582469</v>
      </c>
      <c r="E3" s="37">
        <f>CPI!H12</f>
        <v>1.3159682899207248</v>
      </c>
      <c r="F3" s="37">
        <f>CPI!I12</f>
        <v>1.2535059331175835</v>
      </c>
      <c r="G3" s="37">
        <f>CPI!J12</f>
        <v>1.2388059701492538</v>
      </c>
      <c r="H3" s="37">
        <f>CPI!K12</f>
        <v>1.2041450777202072</v>
      </c>
      <c r="I3" s="37">
        <f>CPI!L12</f>
        <v>1.1643286573146294</v>
      </c>
      <c r="J3" s="37">
        <f>CPI!M12</f>
        <v>1.1414538310412574</v>
      </c>
      <c r="K3" s="37">
        <f>CPI!N12</f>
        <v>1.1173076923076923</v>
      </c>
      <c r="L3" s="37">
        <f>CPI!O12</f>
        <v>1.0921052631578947</v>
      </c>
      <c r="M3" s="37">
        <f>CPI!P12</f>
        <v>1.075925925925926</v>
      </c>
      <c r="N3" s="37">
        <f>CPI!Q12</f>
        <v>1.0621572212065813</v>
      </c>
      <c r="O3" s="37">
        <f>CPI!R12</f>
        <v>1.0430879712746859</v>
      </c>
      <c r="P3" s="37">
        <f>CPI!S12</f>
        <v>1.0237885462555065</v>
      </c>
      <c r="Q3" s="24"/>
    </row>
    <row r="4" spans="1:17" s="2" customFormat="1" x14ac:dyDescent="0.35">
      <c r="A4" s="24" t="s">
        <v>54</v>
      </c>
      <c r="B4" s="24"/>
      <c r="C4" s="37">
        <f>CPI!F11</f>
        <v>1.3866348448687351</v>
      </c>
      <c r="D4" s="37">
        <f>CPI!G11</f>
        <v>1.3418013856812934</v>
      </c>
      <c r="E4" s="37">
        <f>CPI!H11</f>
        <v>1.3041526374859709</v>
      </c>
      <c r="F4" s="37">
        <f>CPI!I11</f>
        <v>1.2575757575757576</v>
      </c>
      <c r="G4" s="37">
        <f>CPI!J11</f>
        <v>1.232237539766702</v>
      </c>
      <c r="H4" s="37">
        <f>CPI!K11</f>
        <v>1.1991744066047472</v>
      </c>
      <c r="I4" s="37">
        <f>CPI!L11</f>
        <v>1.1643286573146294</v>
      </c>
      <c r="J4" s="37">
        <f>CPI!M11</f>
        <v>1.1392156862745098</v>
      </c>
      <c r="K4" s="37">
        <f>CPI!N11</f>
        <v>1.1087786259541985</v>
      </c>
      <c r="L4" s="37">
        <f>CPI!O11</f>
        <v>1.0900562851782365</v>
      </c>
      <c r="M4" s="37">
        <f>CPI!P11</f>
        <v>1.0719557195571956</v>
      </c>
      <c r="N4" s="37">
        <f>CPI!Q11</f>
        <v>1.0563636363636364</v>
      </c>
      <c r="O4" s="37">
        <f>CPI!R11</f>
        <v>1.0365744870651206</v>
      </c>
      <c r="P4" s="37">
        <f>CPI!S11</f>
        <v>1.0184049079754602</v>
      </c>
      <c r="Q4" s="24"/>
    </row>
    <row r="5" spans="1:17" s="2" customFormat="1" x14ac:dyDescent="0.35">
      <c r="A5" s="24"/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</row>
    <row r="6" spans="1:17" x14ac:dyDescent="0.35">
      <c r="A6" s="25" t="s">
        <v>58</v>
      </c>
      <c r="B6" s="46"/>
      <c r="C6" s="46"/>
      <c r="D6" s="46"/>
      <c r="E6" s="46"/>
      <c r="F6" s="46"/>
      <c r="G6" s="46"/>
      <c r="H6" s="46"/>
      <c r="I6" s="46"/>
      <c r="J6" s="46"/>
      <c r="K6" s="24"/>
      <c r="L6" s="24"/>
      <c r="M6" s="24"/>
      <c r="N6" s="24"/>
      <c r="O6" s="24"/>
      <c r="P6" s="24"/>
      <c r="Q6" s="24"/>
    </row>
    <row r="7" spans="1:17" x14ac:dyDescent="0.35">
      <c r="A7" s="25" t="s">
        <v>59</v>
      </c>
      <c r="B7" s="46"/>
      <c r="C7" s="24">
        <v>2006</v>
      </c>
      <c r="D7" s="24">
        <v>2007</v>
      </c>
      <c r="E7" s="24">
        <v>2008</v>
      </c>
      <c r="F7" s="24">
        <v>2009</v>
      </c>
      <c r="G7" s="24">
        <v>2010</v>
      </c>
      <c r="H7" s="24">
        <v>2011</v>
      </c>
      <c r="I7" s="24">
        <v>2012</v>
      </c>
      <c r="J7" s="24">
        <v>2013</v>
      </c>
      <c r="K7" s="24">
        <v>2014</v>
      </c>
      <c r="L7" s="24">
        <v>2015</v>
      </c>
      <c r="M7" s="24">
        <v>2016</v>
      </c>
      <c r="N7" s="24">
        <v>2017</v>
      </c>
      <c r="O7" s="24">
        <v>2018</v>
      </c>
      <c r="P7" s="24">
        <v>2019</v>
      </c>
      <c r="Q7" s="24"/>
    </row>
    <row r="8" spans="1:17" x14ac:dyDescent="0.35">
      <c r="A8" s="38" t="s">
        <v>37</v>
      </c>
      <c r="B8" s="38" t="s">
        <v>18</v>
      </c>
      <c r="C8" s="28">
        <v>-45791.849417636906</v>
      </c>
      <c r="D8" s="28">
        <v>-50958.501088076984</v>
      </c>
      <c r="E8" s="28">
        <v>-48204.850280116312</v>
      </c>
      <c r="F8" s="28">
        <v>-55008.877124563965</v>
      </c>
      <c r="G8" s="28">
        <v>-60040.104570401381</v>
      </c>
      <c r="H8" s="28">
        <v>-63337.177692221783</v>
      </c>
      <c r="I8" s="28">
        <v>-66722.89939335885</v>
      </c>
      <c r="J8" s="28">
        <v>-73303.01352783374</v>
      </c>
      <c r="K8" s="28">
        <v>-76094.486579693286</v>
      </c>
      <c r="L8" s="28">
        <v>-85643.071653748921</v>
      </c>
      <c r="M8" s="28">
        <v>-95982.674057186538</v>
      </c>
      <c r="N8" s="28">
        <v>-103289.94435068821</v>
      </c>
      <c r="O8" s="28">
        <v>-103984.56412373077</v>
      </c>
      <c r="P8" s="28">
        <v>-106385.24868914524</v>
      </c>
      <c r="Q8" s="24"/>
    </row>
    <row r="9" spans="1:17" x14ac:dyDescent="0.35">
      <c r="A9" s="38" t="s">
        <v>21</v>
      </c>
      <c r="B9" s="38" t="s">
        <v>18</v>
      </c>
      <c r="C9" s="28">
        <v>-132496.74622431587</v>
      </c>
      <c r="D9" s="28">
        <v>-140357.26629175912</v>
      </c>
      <c r="E9" s="28">
        <v>-156999.72982458232</v>
      </c>
      <c r="F9" s="28">
        <v>-182601.09296048834</v>
      </c>
      <c r="G9" s="28">
        <v>-191974.42283243482</v>
      </c>
      <c r="H9" s="28">
        <v>-209895.4904502311</v>
      </c>
      <c r="I9" s="28">
        <v>-224992.70041557745</v>
      </c>
      <c r="J9" s="28">
        <v>-212080.91622801078</v>
      </c>
      <c r="K9" s="28">
        <v>-234896.24841606364</v>
      </c>
      <c r="L9" s="28">
        <v>-261726.28652177399</v>
      </c>
      <c r="M9" s="28">
        <v>-277132.67885741114</v>
      </c>
      <c r="N9" s="28">
        <v>-273813.57027352898</v>
      </c>
      <c r="O9" s="28">
        <v>-261276.59177307546</v>
      </c>
      <c r="P9" s="28">
        <v>-286093.59674934688</v>
      </c>
      <c r="Q9" s="24"/>
    </row>
    <row r="10" spans="1:17" x14ac:dyDescent="0.35">
      <c r="A10" s="38" t="s">
        <v>35</v>
      </c>
      <c r="B10" s="38" t="s">
        <v>18</v>
      </c>
      <c r="C10" s="28">
        <v>-86280.945999999996</v>
      </c>
      <c r="D10" s="28">
        <v>-91719.03</v>
      </c>
      <c r="E10" s="28">
        <v>-103392.598</v>
      </c>
      <c r="F10" s="28">
        <v>-107125.821</v>
      </c>
      <c r="G10" s="28">
        <v>-112873.439</v>
      </c>
      <c r="H10" s="28">
        <v>-118888.912</v>
      </c>
      <c r="I10" s="28">
        <v>-123748.05100000001</v>
      </c>
      <c r="J10" s="28">
        <v>-129632.00900000001</v>
      </c>
      <c r="K10" s="28">
        <v>-127428.17617868638</v>
      </c>
      <c r="L10" s="28">
        <v>-145677.73598860696</v>
      </c>
      <c r="M10" s="28">
        <v>-152613.9833679182</v>
      </c>
      <c r="N10" s="28">
        <v>-161231.0402391114</v>
      </c>
      <c r="O10" s="28">
        <v>-170906.18048810546</v>
      </c>
      <c r="P10" s="28">
        <v>-174346.82383437318</v>
      </c>
      <c r="Q10" s="24"/>
    </row>
    <row r="11" spans="1:17" x14ac:dyDescent="0.35">
      <c r="A11" s="38" t="s">
        <v>29</v>
      </c>
      <c r="B11" s="38" t="s">
        <v>18</v>
      </c>
      <c r="C11" s="28">
        <v>-34117</v>
      </c>
      <c r="D11" s="28">
        <v>-33914</v>
      </c>
      <c r="E11" s="28">
        <v>-37777</v>
      </c>
      <c r="F11" s="28">
        <v>-41311</v>
      </c>
      <c r="G11" s="28">
        <v>-49841</v>
      </c>
      <c r="H11" s="28">
        <v>-54231</v>
      </c>
      <c r="I11" s="28">
        <v>-54880</v>
      </c>
      <c r="J11" s="28">
        <v>-54578</v>
      </c>
      <c r="K11" s="28">
        <v>-61434.606590000003</v>
      </c>
      <c r="L11" s="28">
        <v>-53237.514772859882</v>
      </c>
      <c r="M11" s="28">
        <v>-57207.430475358902</v>
      </c>
      <c r="N11" s="28">
        <v>-61304.04863066168</v>
      </c>
      <c r="O11" s="28">
        <v>-61390.494942420773</v>
      </c>
      <c r="P11" s="28">
        <v>-62790.62031208886</v>
      </c>
      <c r="Q11" s="24"/>
    </row>
    <row r="12" spans="1:17" x14ac:dyDescent="0.35">
      <c r="A12" s="38" t="s">
        <v>38</v>
      </c>
      <c r="B12" s="38" t="s">
        <v>18</v>
      </c>
      <c r="C12" s="28">
        <v>-121720.69285763716</v>
      </c>
      <c r="D12" s="28">
        <v>-130837</v>
      </c>
      <c r="E12" s="28">
        <v>-138414</v>
      </c>
      <c r="F12" s="28">
        <v>-155347.27373057668</v>
      </c>
      <c r="G12" s="28">
        <v>-178956.02871101134</v>
      </c>
      <c r="H12" s="28">
        <v>-181714.94605466677</v>
      </c>
      <c r="I12" s="28">
        <v>-184338.2857749275</v>
      </c>
      <c r="J12" s="28">
        <v>-199415.56154466461</v>
      </c>
      <c r="K12" s="28">
        <v>-222310.25735920473</v>
      </c>
      <c r="L12" s="28">
        <v>-244163.23008389489</v>
      </c>
      <c r="M12" s="28">
        <v>-261875.0623888979</v>
      </c>
      <c r="N12" s="28">
        <v>-279708.00294541242</v>
      </c>
      <c r="O12" s="28">
        <v>-265038.9669400985</v>
      </c>
      <c r="P12" s="28">
        <v>-255967.76314920798</v>
      </c>
      <c r="Q12" s="24"/>
    </row>
    <row r="13" spans="1:17" x14ac:dyDescent="0.35">
      <c r="A13" s="24"/>
      <c r="B13" s="46"/>
      <c r="C13" s="46"/>
      <c r="D13" s="46"/>
      <c r="E13" s="46"/>
      <c r="F13" s="46"/>
      <c r="G13" s="46"/>
      <c r="H13" s="46"/>
      <c r="I13" s="46"/>
      <c r="J13" s="24"/>
      <c r="K13" s="24"/>
      <c r="L13" s="24"/>
      <c r="M13" s="24"/>
      <c r="N13" s="24"/>
      <c r="O13" s="24"/>
      <c r="P13" s="24"/>
      <c r="Q13" s="24"/>
    </row>
    <row r="14" spans="1:17" x14ac:dyDescent="0.35">
      <c r="A14" s="25" t="str">
        <f>CONCATENATE(B2)</f>
        <v>Real $2019</v>
      </c>
      <c r="B14" s="47"/>
      <c r="C14" s="24">
        <v>2006</v>
      </c>
      <c r="D14" s="24">
        <v>2007</v>
      </c>
      <c r="E14" s="24">
        <v>2008</v>
      </c>
      <c r="F14" s="24">
        <v>2009</v>
      </c>
      <c r="G14" s="24">
        <v>2010</v>
      </c>
      <c r="H14" s="24">
        <v>2011</v>
      </c>
      <c r="I14" s="24">
        <v>2012</v>
      </c>
      <c r="J14" s="24">
        <v>2013</v>
      </c>
      <c r="K14" s="24">
        <v>2014</v>
      </c>
      <c r="L14" s="24">
        <v>2015</v>
      </c>
      <c r="M14" s="24">
        <v>2016</v>
      </c>
      <c r="N14" s="24">
        <v>2017</v>
      </c>
      <c r="O14" s="24">
        <v>2018</v>
      </c>
      <c r="P14" s="24">
        <v>2019</v>
      </c>
      <c r="Q14" s="24" t="s">
        <v>96</v>
      </c>
    </row>
    <row r="15" spans="1:17" x14ac:dyDescent="0.35">
      <c r="A15" s="38" t="s">
        <v>37</v>
      </c>
      <c r="B15" s="38" t="s">
        <v>130</v>
      </c>
      <c r="C15" s="28">
        <f>C8*C$4</f>
        <v>-63496.574013477431</v>
      </c>
      <c r="D15" s="28">
        <f t="shared" ref="D15:N15" si="0">D8*D$4</f>
        <v>-68376.187372223387</v>
      </c>
      <c r="E15" s="28">
        <f t="shared" si="0"/>
        <v>-62866.48263243003</v>
      </c>
      <c r="F15" s="28">
        <f t="shared" si="0"/>
        <v>-69177.830323315284</v>
      </c>
      <c r="G15" s="28">
        <f t="shared" si="0"/>
        <v>-73983.67074316692</v>
      </c>
      <c r="H15" s="28">
        <f t="shared" si="0"/>
        <v>-75952.322475089488</v>
      </c>
      <c r="I15" s="28">
        <f t="shared" si="0"/>
        <v>-77687.383862808609</v>
      </c>
      <c r="J15" s="28">
        <f t="shared" si="0"/>
        <v>-83507.942862100783</v>
      </c>
      <c r="K15" s="28">
        <f t="shared" si="0"/>
        <v>-84371.940272522523</v>
      </c>
      <c r="L15" s="28">
        <f t="shared" si="0"/>
        <v>-93355.768538139077</v>
      </c>
      <c r="M15" s="28">
        <f t="shared" si="0"/>
        <v>-102889.17643399516</v>
      </c>
      <c r="N15" s="28">
        <f t="shared" si="0"/>
        <v>-109111.74121409064</v>
      </c>
      <c r="O15" s="28">
        <f>O8*O$4</f>
        <v>-107787.74621924636</v>
      </c>
      <c r="P15" s="28">
        <f>P8*P$4</f>
        <v>-108343.25940121541</v>
      </c>
      <c r="Q15" s="40">
        <f>AVERAGE(L15:P15)</f>
        <v>-104297.53836133734</v>
      </c>
    </row>
    <row r="16" spans="1:17" x14ac:dyDescent="0.35">
      <c r="A16" s="38" t="s">
        <v>21</v>
      </c>
      <c r="B16" s="38" t="s">
        <v>130</v>
      </c>
      <c r="C16" s="28">
        <f>C9*C$4</f>
        <v>-183724.6051463664</v>
      </c>
      <c r="D16" s="28">
        <f t="shared" ref="D16:N16" si="1">D9*D$4</f>
        <v>-188331.57440072068</v>
      </c>
      <c r="E16" s="28">
        <f t="shared" si="1"/>
        <v>-204751.61173531387</v>
      </c>
      <c r="F16" s="28">
        <f t="shared" si="1"/>
        <v>-229634.70781394746</v>
      </c>
      <c r="G16" s="28">
        <f t="shared" si="1"/>
        <v>-236558.09048917209</v>
      </c>
      <c r="H16" s="28">
        <f t="shared" si="1"/>
        <v>-251701.30020966826</v>
      </c>
      <c r="I16" s="28">
        <f t="shared" si="1"/>
        <v>-261965.44878046194</v>
      </c>
      <c r="J16" s="28">
        <f t="shared" si="1"/>
        <v>-241605.90652642012</v>
      </c>
      <c r="K16" s="28">
        <f t="shared" si="1"/>
        <v>-260447.93956055911</v>
      </c>
      <c r="L16" s="28">
        <f t="shared" si="1"/>
        <v>-285296.38361941971</v>
      </c>
      <c r="M16" s="28">
        <f t="shared" si="1"/>
        <v>-297073.96017740935</v>
      </c>
      <c r="N16" s="28">
        <f t="shared" si="1"/>
        <v>-289246.69877985516</v>
      </c>
      <c r="O16" s="28">
        <f>O9*O$4</f>
        <v>-270832.64909929858</v>
      </c>
      <c r="P16" s="28">
        <f>P9*P$4</f>
        <v>-291359.12306988705</v>
      </c>
      <c r="Q16" s="40">
        <f t="shared" ref="Q16:Q19" si="2">AVERAGE(L16:P16)</f>
        <v>-286761.76294917392</v>
      </c>
    </row>
    <row r="17" spans="1:17" x14ac:dyDescent="0.35">
      <c r="A17" s="38" t="s">
        <v>35</v>
      </c>
      <c r="B17" s="38" t="s">
        <v>130</v>
      </c>
      <c r="C17" s="28">
        <f>C10*C$3</f>
        <v>-120213.97991846522</v>
      </c>
      <c r="D17" s="28">
        <f t="shared" ref="D17:N17" si="3">D10*D$3</f>
        <v>-122926.77377162629</v>
      </c>
      <c r="E17" s="28">
        <f t="shared" si="3"/>
        <v>-136061.38038052095</v>
      </c>
      <c r="F17" s="28">
        <f t="shared" si="3"/>
        <v>-134282.85221359221</v>
      </c>
      <c r="G17" s="28">
        <f t="shared" si="3"/>
        <v>-139828.29010447761</v>
      </c>
      <c r="H17" s="28">
        <f t="shared" si="3"/>
        <v>-143159.49818031088</v>
      </c>
      <c r="I17" s="28">
        <f t="shared" si="3"/>
        <v>-144083.40206613229</v>
      </c>
      <c r="J17" s="28">
        <f t="shared" si="3"/>
        <v>-147968.95329862478</v>
      </c>
      <c r="K17" s="28">
        <f t="shared" si="3"/>
        <v>-142376.48146118614</v>
      </c>
      <c r="L17" s="28">
        <f t="shared" si="3"/>
        <v>-159095.42219808392</v>
      </c>
      <c r="M17" s="28">
        <f t="shared" si="3"/>
        <v>-164201.34136437127</v>
      </c>
      <c r="N17" s="28">
        <f t="shared" si="3"/>
        <v>-171252.71367262106</v>
      </c>
      <c r="O17" s="28">
        <f>O10*O$3</f>
        <v>-178270.18108364323</v>
      </c>
      <c r="P17" s="28">
        <f>P10*P$3</f>
        <v>-178494.28131765782</v>
      </c>
      <c r="Q17" s="40">
        <f t="shared" si="2"/>
        <v>-170262.78792727547</v>
      </c>
    </row>
    <row r="18" spans="1:17" x14ac:dyDescent="0.35">
      <c r="A18" s="38" t="s">
        <v>29</v>
      </c>
      <c r="B18" s="38" t="s">
        <v>130</v>
      </c>
      <c r="C18" s="28">
        <f>C11*C$4</f>
        <v>-47307.821002386634</v>
      </c>
      <c r="D18" s="28">
        <f t="shared" ref="D18:N18" si="4">D11*D$4</f>
        <v>-45505.852193995386</v>
      </c>
      <c r="E18" s="28">
        <f t="shared" si="4"/>
        <v>-49266.974186307525</v>
      </c>
      <c r="F18" s="28">
        <f t="shared" si="4"/>
        <v>-51951.71212121212</v>
      </c>
      <c r="G18" s="28">
        <f t="shared" si="4"/>
        <v>-61415.951219512193</v>
      </c>
      <c r="H18" s="28">
        <f t="shared" si="4"/>
        <v>-65032.427244582046</v>
      </c>
      <c r="I18" s="28">
        <f t="shared" si="4"/>
        <v>-63898.35671342686</v>
      </c>
      <c r="J18" s="28">
        <f t="shared" si="4"/>
        <v>-62176.113725490191</v>
      </c>
      <c r="K18" s="28">
        <f t="shared" si="4"/>
        <v>-68117.378680896945</v>
      </c>
      <c r="L18" s="28">
        <f t="shared" si="4"/>
        <v>-58031.887585425131</v>
      </c>
      <c r="M18" s="28">
        <f t="shared" si="4"/>
        <v>-61323.832299231595</v>
      </c>
      <c r="N18" s="28">
        <f t="shared" si="4"/>
        <v>-64759.367735298976</v>
      </c>
      <c r="O18" s="28">
        <f>O11*O$4</f>
        <v>-63635.820805613694</v>
      </c>
      <c r="P18" s="28">
        <f>P11*P$4</f>
        <v>-63946.275900654917</v>
      </c>
      <c r="Q18" s="40">
        <f t="shared" si="2"/>
        <v>-62339.436865244861</v>
      </c>
    </row>
    <row r="19" spans="1:17" x14ac:dyDescent="0.35">
      <c r="A19" s="38" t="s">
        <v>38</v>
      </c>
      <c r="B19" s="38" t="s">
        <v>130</v>
      </c>
      <c r="C19" s="28">
        <f>C12*C$4</f>
        <v>-168782.15405796465</v>
      </c>
      <c r="D19" s="28">
        <f t="shared" ref="D19:N19" si="5">D12*D$4</f>
        <v>-175557.26789838338</v>
      </c>
      <c r="E19" s="28">
        <f t="shared" si="5"/>
        <v>-180512.98316498316</v>
      </c>
      <c r="F19" s="28">
        <f t="shared" si="5"/>
        <v>-195360.96544905854</v>
      </c>
      <c r="G19" s="28">
        <f t="shared" si="5"/>
        <v>-220516.3365452759</v>
      </c>
      <c r="H19" s="28">
        <f t="shared" si="5"/>
        <v>-217907.91260631866</v>
      </c>
      <c r="I19" s="28">
        <f t="shared" si="5"/>
        <v>-214630.3487680018</v>
      </c>
      <c r="J19" s="28">
        <f t="shared" si="5"/>
        <v>-227177.33579892182</v>
      </c>
      <c r="K19" s="28">
        <f t="shared" si="5"/>
        <v>-246492.86169026326</v>
      </c>
      <c r="L19" s="28">
        <f t="shared" si="5"/>
        <v>-266151.66356236947</v>
      </c>
      <c r="M19" s="28">
        <f t="shared" si="5"/>
        <v>-280718.47093717655</v>
      </c>
      <c r="N19" s="28">
        <f t="shared" si="5"/>
        <v>-295473.36311142659</v>
      </c>
      <c r="O19" s="28">
        <f>O12*O$4</f>
        <v>-274732.63120820204</v>
      </c>
      <c r="P19" s="28">
        <f>P12*P$4</f>
        <v>-260678.82627465355</v>
      </c>
      <c r="Q19" s="40">
        <f t="shared" si="2"/>
        <v>-275550.99101876561</v>
      </c>
    </row>
    <row r="20" spans="1:17" x14ac:dyDescent="0.35">
      <c r="A20" s="24"/>
      <c r="B20" s="46"/>
      <c r="C20" s="46"/>
      <c r="D20" s="46"/>
      <c r="E20" s="46"/>
      <c r="F20" s="46"/>
      <c r="G20" s="46"/>
      <c r="H20" s="46"/>
      <c r="I20" s="46"/>
      <c r="J20" s="24"/>
      <c r="K20" s="24"/>
      <c r="L20" s="24"/>
      <c r="M20" s="24"/>
      <c r="N20" s="24"/>
      <c r="O20" s="24"/>
      <c r="P20" s="24"/>
      <c r="Q20" s="24"/>
    </row>
    <row r="21" spans="1:17" x14ac:dyDescent="0.35">
      <c r="A21" s="24"/>
      <c r="B21" s="46"/>
      <c r="C21" s="4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24"/>
      <c r="Q21" s="24"/>
    </row>
    <row r="22" spans="1:17" x14ac:dyDescent="0.35">
      <c r="A22" s="24"/>
      <c r="B22" s="46"/>
      <c r="C22" s="46"/>
      <c r="D22" s="46"/>
      <c r="E22" s="46"/>
      <c r="F22" s="46"/>
      <c r="G22" s="46"/>
      <c r="H22" s="46"/>
      <c r="I22" s="46"/>
      <c r="J22" s="24"/>
      <c r="K22" s="24"/>
      <c r="L22" s="24"/>
      <c r="M22" s="24"/>
      <c r="N22" s="24"/>
      <c r="O22" s="24"/>
      <c r="P22" s="24"/>
      <c r="Q22" s="24"/>
    </row>
    <row r="23" spans="1:17" x14ac:dyDescent="0.35">
      <c r="A23" s="24"/>
      <c r="B23" s="46"/>
      <c r="C23" s="46"/>
      <c r="D23" s="46"/>
      <c r="E23" s="46"/>
      <c r="F23" s="46"/>
      <c r="G23" s="46"/>
      <c r="H23" s="46"/>
      <c r="I23" s="46"/>
      <c r="J23" s="24"/>
      <c r="K23" s="24"/>
      <c r="L23" s="24"/>
      <c r="M23" s="24"/>
      <c r="N23" s="24"/>
      <c r="O23" s="24"/>
      <c r="P23" s="24"/>
      <c r="Q23" s="24"/>
    </row>
  </sheetData>
  <pageMargins left="0.7" right="0.7" top="0.75" bottom="0.75" header="0.3" footer="0.3"/>
  <pageSetup paperSize="9" orientation="portrait" r:id="rId1"/>
  <extLst>
    <ext xmlns:x14="http://schemas.microsoft.com/office/spreadsheetml/2009/9/main" uri="{05C60535-1F16-4fd2-B633-F4F36F0B64E0}">
      <x14:sparklineGroups xmlns:xm="http://schemas.microsoft.com/office/excel/2006/main">
        <x14:sparklineGroup displayEmptyCellsAs="gap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Depreciation!C8:P8</xm:f>
              <xm:sqref>Q8</xm:sqref>
            </x14:sparkline>
            <x14:sparkline>
              <xm:f>Depreciation!C9:P9</xm:f>
              <xm:sqref>Q9</xm:sqref>
            </x14:sparkline>
            <x14:sparkline>
              <xm:f>Depreciation!C10:P10</xm:f>
              <xm:sqref>Q10</xm:sqref>
            </x14:sparkline>
            <x14:sparkline>
              <xm:f>Depreciation!C11:P11</xm:f>
              <xm:sqref>Q11</xm:sqref>
            </x14:sparkline>
            <x14:sparkline>
              <xm:f>Depreciation!C12:P12</xm:f>
              <xm:sqref>Q12</xm:sqref>
            </x14:sparkline>
          </x14:sparklines>
        </x14:sparklineGroup>
      </x14:sparklineGroup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X22"/>
  <sheetViews>
    <sheetView zoomScale="60" zoomScaleNormal="60" workbookViewId="0">
      <selection activeCell="L29" sqref="A1:XFD1048576"/>
    </sheetView>
  </sheetViews>
  <sheetFormatPr defaultRowHeight="14.5" x14ac:dyDescent="0.35"/>
  <cols>
    <col min="1" max="1" width="46.453125" customWidth="1"/>
    <col min="2" max="12" width="12.81640625" customWidth="1"/>
    <col min="14" max="14" width="11.1796875" bestFit="1" customWidth="1"/>
    <col min="15" max="15" width="11.1796875" style="17" customWidth="1"/>
  </cols>
  <sheetData>
    <row r="1" spans="1:24" x14ac:dyDescent="0.35">
      <c r="A1" s="25" t="s">
        <v>26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</row>
    <row r="2" spans="1:24" x14ac:dyDescent="0.35">
      <c r="A2" s="24"/>
      <c r="B2" s="25" t="str">
        <f>"Real $"&amp;Real_year&amp;""</f>
        <v>Real $2019</v>
      </c>
      <c r="C2" s="24">
        <v>2006</v>
      </c>
      <c r="D2" s="24">
        <v>2007</v>
      </c>
      <c r="E2" s="24">
        <v>2008</v>
      </c>
      <c r="F2" s="24">
        <v>2009</v>
      </c>
      <c r="G2" s="24">
        <v>2010</v>
      </c>
      <c r="H2" s="24">
        <v>2011</v>
      </c>
      <c r="I2" s="24">
        <v>2012</v>
      </c>
      <c r="J2" s="24">
        <v>2013</v>
      </c>
      <c r="K2" s="24">
        <v>2014</v>
      </c>
      <c r="L2" s="24">
        <v>2015</v>
      </c>
      <c r="M2" s="24">
        <v>2016</v>
      </c>
      <c r="N2" s="24">
        <v>2017</v>
      </c>
      <c r="O2" s="24">
        <v>2018</v>
      </c>
      <c r="P2" s="24">
        <v>2019</v>
      </c>
      <c r="Q2" s="2"/>
      <c r="R2" s="2"/>
      <c r="S2" s="2"/>
      <c r="T2" s="2"/>
      <c r="U2" s="2"/>
      <c r="V2" s="2"/>
      <c r="W2" s="2"/>
      <c r="X2" s="2"/>
    </row>
    <row r="3" spans="1:24" x14ac:dyDescent="0.35">
      <c r="A3" s="24" t="s">
        <v>55</v>
      </c>
      <c r="B3" s="24"/>
      <c r="C3" s="37">
        <f>CPI!F12</f>
        <v>1.3932853717026379</v>
      </c>
      <c r="D3" s="37">
        <f>CPI!G12</f>
        <v>1.3402537485582469</v>
      </c>
      <c r="E3" s="37">
        <f>CPI!H12</f>
        <v>1.3159682899207248</v>
      </c>
      <c r="F3" s="37">
        <f>CPI!I12</f>
        <v>1.2535059331175835</v>
      </c>
      <c r="G3" s="37">
        <f>CPI!J12</f>
        <v>1.2388059701492538</v>
      </c>
      <c r="H3" s="37">
        <f>CPI!K12</f>
        <v>1.2041450777202072</v>
      </c>
      <c r="I3" s="37">
        <f>CPI!L12</f>
        <v>1.1643286573146294</v>
      </c>
      <c r="J3" s="37">
        <f>CPI!M12</f>
        <v>1.1414538310412574</v>
      </c>
      <c r="K3" s="37">
        <f>CPI!N12</f>
        <v>1.1173076923076923</v>
      </c>
      <c r="L3" s="37">
        <f>CPI!O12</f>
        <v>1.0921052631578947</v>
      </c>
      <c r="M3" s="37">
        <f>CPI!P12</f>
        <v>1.075925925925926</v>
      </c>
      <c r="N3" s="37">
        <f>CPI!Q12</f>
        <v>1.0621572212065813</v>
      </c>
      <c r="O3" s="37">
        <f>CPI!R12</f>
        <v>1.0430879712746859</v>
      </c>
      <c r="P3" s="37">
        <f>CPI!S12</f>
        <v>1.0237885462555065</v>
      </c>
    </row>
    <row r="4" spans="1:24" x14ac:dyDescent="0.35">
      <c r="A4" s="24" t="s">
        <v>54</v>
      </c>
      <c r="B4" s="24"/>
      <c r="C4" s="37">
        <f>CPI!F11</f>
        <v>1.3866348448687351</v>
      </c>
      <c r="D4" s="37">
        <f>CPI!G11</f>
        <v>1.3418013856812934</v>
      </c>
      <c r="E4" s="37">
        <f>CPI!H11</f>
        <v>1.3041526374859709</v>
      </c>
      <c r="F4" s="37">
        <f>CPI!I11</f>
        <v>1.2575757575757576</v>
      </c>
      <c r="G4" s="37">
        <f>CPI!J11</f>
        <v>1.232237539766702</v>
      </c>
      <c r="H4" s="37">
        <f>CPI!K11</f>
        <v>1.1991744066047472</v>
      </c>
      <c r="I4" s="37">
        <f>CPI!L11</f>
        <v>1.1643286573146294</v>
      </c>
      <c r="J4" s="37">
        <f>CPI!M11</f>
        <v>1.1392156862745098</v>
      </c>
      <c r="K4" s="37">
        <f>CPI!N11</f>
        <v>1.1087786259541985</v>
      </c>
      <c r="L4" s="37">
        <f>CPI!O11</f>
        <v>1.0900562851782365</v>
      </c>
      <c r="M4" s="37">
        <f>CPI!P11</f>
        <v>1.0719557195571956</v>
      </c>
      <c r="N4" s="37">
        <f>CPI!Q11</f>
        <v>1.0563636363636364</v>
      </c>
      <c r="O4" s="37">
        <f>CPI!R11</f>
        <v>1.0365744870651206</v>
      </c>
      <c r="P4" s="37">
        <f>CPI!S11</f>
        <v>1.0184049079754602</v>
      </c>
    </row>
    <row r="5" spans="1:24" s="2" customFormat="1" x14ac:dyDescent="0.35">
      <c r="A5" s="24"/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</row>
    <row r="6" spans="1:24" s="2" customFormat="1" x14ac:dyDescent="0.35">
      <c r="A6" s="25" t="s">
        <v>20</v>
      </c>
      <c r="B6" s="25" t="s">
        <v>131</v>
      </c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</row>
    <row r="7" spans="1:24" x14ac:dyDescent="0.35">
      <c r="A7" s="25" t="s">
        <v>61</v>
      </c>
      <c r="B7" s="25"/>
      <c r="C7" s="24">
        <f t="shared" ref="C7:L7" si="0">C2</f>
        <v>2006</v>
      </c>
      <c r="D7" s="24">
        <f t="shared" si="0"/>
        <v>2007</v>
      </c>
      <c r="E7" s="24">
        <f t="shared" si="0"/>
        <v>2008</v>
      </c>
      <c r="F7" s="24">
        <f t="shared" si="0"/>
        <v>2009</v>
      </c>
      <c r="G7" s="24">
        <f t="shared" si="0"/>
        <v>2010</v>
      </c>
      <c r="H7" s="24">
        <f t="shared" si="0"/>
        <v>2011</v>
      </c>
      <c r="I7" s="24">
        <f t="shared" si="0"/>
        <v>2012</v>
      </c>
      <c r="J7" s="24">
        <f t="shared" si="0"/>
        <v>2013</v>
      </c>
      <c r="K7" s="24">
        <f t="shared" si="0"/>
        <v>2014</v>
      </c>
      <c r="L7" s="24">
        <f t="shared" si="0"/>
        <v>2015</v>
      </c>
      <c r="M7" s="24">
        <f t="shared" ref="M7" si="1">M2</f>
        <v>2016</v>
      </c>
      <c r="N7" s="24">
        <v>2017</v>
      </c>
      <c r="O7" s="24">
        <v>2018</v>
      </c>
      <c r="P7" s="24">
        <v>2019</v>
      </c>
    </row>
    <row r="8" spans="1:24" x14ac:dyDescent="0.35">
      <c r="A8" s="38" t="s">
        <v>37</v>
      </c>
      <c r="B8" s="38" t="s">
        <v>60</v>
      </c>
      <c r="C8" s="28">
        <v>89258.11425374214</v>
      </c>
      <c r="D8" s="28">
        <v>80842.987365847715</v>
      </c>
      <c r="E8" s="28">
        <v>162293.47653741398</v>
      </c>
      <c r="F8" s="28">
        <v>59106.056239456964</v>
      </c>
      <c r="G8" s="28">
        <v>20345.625267704796</v>
      </c>
      <c r="H8" s="28">
        <v>97061.100193905717</v>
      </c>
      <c r="I8" s="28">
        <v>315713.09947788186</v>
      </c>
      <c r="J8" s="28">
        <v>178283.85468255344</v>
      </c>
      <c r="K8" s="28">
        <v>232198.0008218725</v>
      </c>
      <c r="L8" s="28">
        <v>96869.77632107136</v>
      </c>
      <c r="M8" s="28">
        <v>142117.46961331938</v>
      </c>
      <c r="N8" s="28">
        <v>169671.86470311059</v>
      </c>
      <c r="O8" s="28">
        <v>204289.22000560572</v>
      </c>
      <c r="P8" s="28">
        <v>177293.90200828851</v>
      </c>
    </row>
    <row r="9" spans="1:24" x14ac:dyDescent="0.35">
      <c r="A9" s="38" t="s">
        <v>21</v>
      </c>
      <c r="B9" s="38" t="s">
        <v>60</v>
      </c>
      <c r="C9" s="28">
        <v>269318.53261280397</v>
      </c>
      <c r="D9" s="28">
        <v>256570.90166529323</v>
      </c>
      <c r="E9" s="28">
        <v>678189.56935022678</v>
      </c>
      <c r="F9" s="28">
        <v>671491.83669466269</v>
      </c>
      <c r="G9" s="28">
        <v>473251.6947943017</v>
      </c>
      <c r="H9" s="28">
        <v>463875.87787008594</v>
      </c>
      <c r="I9" s="28">
        <v>503875.60955456615</v>
      </c>
      <c r="J9" s="28">
        <v>504179.01052687335</v>
      </c>
      <c r="K9" s="28">
        <v>593347.80624161765</v>
      </c>
      <c r="L9" s="28">
        <v>245700.20910001502</v>
      </c>
      <c r="M9" s="28">
        <v>124656.92009012518</v>
      </c>
      <c r="N9" s="28">
        <v>165717.78678948872</v>
      </c>
      <c r="O9" s="28">
        <v>124148.14240923422</v>
      </c>
      <c r="P9" s="28">
        <v>214676.63614106682</v>
      </c>
    </row>
    <row r="10" spans="1:24" x14ac:dyDescent="0.35">
      <c r="A10" s="38" t="s">
        <v>35</v>
      </c>
      <c r="B10" s="38" t="s">
        <v>60</v>
      </c>
      <c r="C10" s="28">
        <v>60055.487000000001</v>
      </c>
      <c r="D10" s="28">
        <v>81707.709000000003</v>
      </c>
      <c r="E10" s="28">
        <v>109142.72199999999</v>
      </c>
      <c r="F10" s="28">
        <v>41643.434000000001</v>
      </c>
      <c r="G10" s="28">
        <v>86552.108999999997</v>
      </c>
      <c r="H10" s="28">
        <v>110822.41800000001</v>
      </c>
      <c r="I10" s="28">
        <v>124792.08900000001</v>
      </c>
      <c r="J10" s="28">
        <v>166090.78399999999</v>
      </c>
      <c r="K10" s="28">
        <v>176329.54932170166</v>
      </c>
      <c r="L10" s="28">
        <v>192954.250261384</v>
      </c>
      <c r="M10" s="28">
        <v>133160.81765741587</v>
      </c>
      <c r="N10" s="28">
        <v>125721.37942957168</v>
      </c>
      <c r="O10" s="28">
        <v>113724.56413357373</v>
      </c>
      <c r="P10" s="28">
        <v>119668.70306964719</v>
      </c>
    </row>
    <row r="11" spans="1:24" x14ac:dyDescent="0.35">
      <c r="A11" s="38" t="s">
        <v>29</v>
      </c>
      <c r="B11" s="38" t="s">
        <v>60</v>
      </c>
      <c r="C11" s="28">
        <v>67649</v>
      </c>
      <c r="D11" s="28">
        <v>97870</v>
      </c>
      <c r="E11" s="28">
        <v>59619</v>
      </c>
      <c r="F11" s="28">
        <v>82109</v>
      </c>
      <c r="G11" s="28">
        <v>49873</v>
      </c>
      <c r="H11" s="28">
        <v>222178</v>
      </c>
      <c r="I11" s="28">
        <v>105301</v>
      </c>
      <c r="J11" s="28">
        <v>87448</v>
      </c>
      <c r="K11" s="28">
        <v>174694.62803962029</v>
      </c>
      <c r="L11" s="28">
        <v>31333.159254127593</v>
      </c>
      <c r="M11" s="28">
        <v>24922.723995073349</v>
      </c>
      <c r="N11" s="28">
        <v>27737.785856726568</v>
      </c>
      <c r="O11" s="28">
        <v>47336.276340199896</v>
      </c>
      <c r="P11" s="28">
        <v>64485.204634988841</v>
      </c>
    </row>
    <row r="12" spans="1:24" x14ac:dyDescent="0.35">
      <c r="A12" s="38" t="s">
        <v>38</v>
      </c>
      <c r="B12" s="38" t="s">
        <v>60</v>
      </c>
      <c r="C12" s="28">
        <v>162036</v>
      </c>
      <c r="D12" s="28">
        <v>225936</v>
      </c>
      <c r="E12" s="28">
        <v>337001</v>
      </c>
      <c r="F12" s="28">
        <v>549433.30268145294</v>
      </c>
      <c r="G12" s="28">
        <v>240632.34056820587</v>
      </c>
      <c r="H12" s="28">
        <v>370580.90669528913</v>
      </c>
      <c r="I12" s="28">
        <v>377519.62609399756</v>
      </c>
      <c r="J12" s="28">
        <v>386404.8127500806</v>
      </c>
      <c r="K12" s="28">
        <v>599025.85733420495</v>
      </c>
      <c r="L12" s="28">
        <v>299576.62671298435</v>
      </c>
      <c r="M12" s="28">
        <v>262567.9137873014</v>
      </c>
      <c r="N12" s="28">
        <v>139468.48002247565</v>
      </c>
      <c r="O12" s="28">
        <v>239882.38990682526</v>
      </c>
      <c r="P12" s="28">
        <v>265754.53729379684</v>
      </c>
    </row>
    <row r="13" spans="1:24" x14ac:dyDescent="0.35">
      <c r="A13" s="24"/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</row>
    <row r="14" spans="1:24" x14ac:dyDescent="0.35">
      <c r="A14" s="25" t="str">
        <f>CONCATENATE(B2)</f>
        <v>Real $2019</v>
      </c>
      <c r="B14" s="25"/>
      <c r="C14" s="24">
        <f t="shared" ref="C14:L14" si="2">C2</f>
        <v>2006</v>
      </c>
      <c r="D14" s="24">
        <f t="shared" si="2"/>
        <v>2007</v>
      </c>
      <c r="E14" s="24">
        <f t="shared" si="2"/>
        <v>2008</v>
      </c>
      <c r="F14" s="24">
        <f t="shared" si="2"/>
        <v>2009</v>
      </c>
      <c r="G14" s="24">
        <f t="shared" si="2"/>
        <v>2010</v>
      </c>
      <c r="H14" s="24">
        <f t="shared" si="2"/>
        <v>2011</v>
      </c>
      <c r="I14" s="24">
        <f t="shared" si="2"/>
        <v>2012</v>
      </c>
      <c r="J14" s="24">
        <f t="shared" si="2"/>
        <v>2013</v>
      </c>
      <c r="K14" s="24">
        <f t="shared" si="2"/>
        <v>2014</v>
      </c>
      <c r="L14" s="24">
        <f t="shared" si="2"/>
        <v>2015</v>
      </c>
      <c r="M14" s="24">
        <f t="shared" ref="M14" si="3">M2</f>
        <v>2016</v>
      </c>
      <c r="N14" s="24">
        <v>2017</v>
      </c>
      <c r="O14" s="24">
        <v>2018</v>
      </c>
      <c r="P14" s="24">
        <v>2019</v>
      </c>
      <c r="Q14" s="24" t="s">
        <v>96</v>
      </c>
    </row>
    <row r="15" spans="1:24" x14ac:dyDescent="0.35">
      <c r="A15" s="38" t="s">
        <v>37</v>
      </c>
      <c r="B15" s="38" t="s">
        <v>130</v>
      </c>
      <c r="C15" s="28">
        <f t="shared" ref="C15:N15" si="4">C8*C$4</f>
        <v>123768.41141151357</v>
      </c>
      <c r="D15" s="28">
        <f t="shared" si="4"/>
        <v>108475.23247010975</v>
      </c>
      <c r="E15" s="28">
        <f t="shared" si="4"/>
        <v>211655.46547303599</v>
      </c>
      <c r="F15" s="28">
        <f t="shared" si="4"/>
        <v>74330.343452650428</v>
      </c>
      <c r="G15" s="28">
        <f t="shared" si="4"/>
        <v>25070.643224891806</v>
      </c>
      <c r="H15" s="28">
        <f t="shared" si="4"/>
        <v>116393.1872294308</v>
      </c>
      <c r="I15" s="28">
        <f t="shared" si="4"/>
        <v>367593.80921172223</v>
      </c>
      <c r="J15" s="28">
        <f t="shared" si="4"/>
        <v>203103.76386385009</v>
      </c>
      <c r="K15" s="28">
        <f t="shared" si="4"/>
        <v>257456.18030058764</v>
      </c>
      <c r="L15" s="28">
        <f t="shared" si="4"/>
        <v>105593.50852259374</v>
      </c>
      <c r="M15" s="28">
        <f t="shared" ref="M15" si="5">M8*M$4</f>
        <v>152343.63440099364</v>
      </c>
      <c r="N15" s="28">
        <f t="shared" si="4"/>
        <v>179235.18798637684</v>
      </c>
      <c r="O15" s="28">
        <f t="shared" ref="O15:P15" si="6">O8*O$4</f>
        <v>211760.99344024432</v>
      </c>
      <c r="P15" s="28">
        <f t="shared" si="6"/>
        <v>180556.97995936131</v>
      </c>
      <c r="Q15" s="40">
        <f>AVERAGE(L15:P15)</f>
        <v>165898.06086191395</v>
      </c>
    </row>
    <row r="16" spans="1:24" x14ac:dyDescent="0.35">
      <c r="A16" s="38" t="s">
        <v>21</v>
      </c>
      <c r="B16" s="38" t="s">
        <v>130</v>
      </c>
      <c r="C16" s="28">
        <f t="shared" ref="C16:N16" si="7">C9*C$4</f>
        <v>373446.46168983082</v>
      </c>
      <c r="D16" s="28">
        <f t="shared" si="7"/>
        <v>344267.19137998932</v>
      </c>
      <c r="E16" s="28">
        <f t="shared" si="7"/>
        <v>884462.71558357298</v>
      </c>
      <c r="F16" s="28">
        <f t="shared" si="7"/>
        <v>844451.85523722728</v>
      </c>
      <c r="G16" s="28">
        <f t="shared" si="7"/>
        <v>583158.50408375252</v>
      </c>
      <c r="H16" s="28">
        <f t="shared" si="7"/>
        <v>556268.08058311651</v>
      </c>
      <c r="I16" s="28">
        <f t="shared" si="7"/>
        <v>586676.8119262585</v>
      </c>
      <c r="J16" s="28">
        <f t="shared" si="7"/>
        <v>574368.63748257526</v>
      </c>
      <c r="K16" s="28">
        <f t="shared" si="7"/>
        <v>657891.36531751882</v>
      </c>
      <c r="L16" s="28">
        <f t="shared" si="7"/>
        <v>267827.05719907832</v>
      </c>
      <c r="M16" s="28">
        <f t="shared" ref="M16" si="8">M9*M$4</f>
        <v>133626.69847299397</v>
      </c>
      <c r="N16" s="28">
        <f t="shared" si="7"/>
        <v>175058.2438630781</v>
      </c>
      <c r="O16" s="28">
        <f t="shared" ref="O16:P16" si="9">O9*O$4</f>
        <v>128688.7970379395</v>
      </c>
      <c r="P16" s="28">
        <f t="shared" si="9"/>
        <v>218627.73987372452</v>
      </c>
      <c r="Q16" s="40">
        <f t="shared" ref="Q16:Q19" si="10">AVERAGE(L16:P16)</f>
        <v>184765.70728936288</v>
      </c>
    </row>
    <row r="17" spans="1:17" x14ac:dyDescent="0.35">
      <c r="A17" s="38" t="s">
        <v>35</v>
      </c>
      <c r="B17" s="38" t="s">
        <v>130</v>
      </c>
      <c r="C17" s="28">
        <f t="shared" ref="C17:N17" si="11">C10*C$3</f>
        <v>83674.431527577937</v>
      </c>
      <c r="D17" s="28">
        <f t="shared" si="11"/>
        <v>109509.06327335641</v>
      </c>
      <c r="E17" s="28">
        <f t="shared" si="11"/>
        <v>143628.36122763305</v>
      </c>
      <c r="F17" s="28">
        <f t="shared" si="11"/>
        <v>52200.291594390503</v>
      </c>
      <c r="G17" s="28">
        <f t="shared" si="11"/>
        <v>107221.26935820896</v>
      </c>
      <c r="H17" s="28">
        <f t="shared" si="11"/>
        <v>133446.2691357513</v>
      </c>
      <c r="I17" s="28">
        <f t="shared" si="11"/>
        <v>145299.00542885775</v>
      </c>
      <c r="J17" s="28">
        <f t="shared" si="11"/>
        <v>189584.96169744595</v>
      </c>
      <c r="K17" s="28">
        <f t="shared" si="11"/>
        <v>197014.3618382859</v>
      </c>
      <c r="L17" s="28">
        <f t="shared" si="11"/>
        <v>210726.35225914305</v>
      </c>
      <c r="M17" s="28">
        <f t="shared" ref="M17" si="12">M10*M$3</f>
        <v>143271.17603510857</v>
      </c>
      <c r="N17" s="28">
        <f t="shared" si="11"/>
        <v>133535.87102117212</v>
      </c>
      <c r="O17" s="28">
        <f t="shared" ref="O17:P17" si="13">O10*O$3</f>
        <v>118624.72488618732</v>
      </c>
      <c r="P17" s="28">
        <f t="shared" si="13"/>
        <v>122515.44754795598</v>
      </c>
      <c r="Q17" s="40">
        <f t="shared" si="10"/>
        <v>145734.71434991344</v>
      </c>
    </row>
    <row r="18" spans="1:17" x14ac:dyDescent="0.35">
      <c r="A18" s="38" t="s">
        <v>29</v>
      </c>
      <c r="B18" s="38" t="s">
        <v>130</v>
      </c>
      <c r="C18" s="28">
        <f t="shared" ref="C18:N18" si="14">C11*C$4</f>
        <v>93804.46062052506</v>
      </c>
      <c r="D18" s="28">
        <f t="shared" si="14"/>
        <v>131322.10161662818</v>
      </c>
      <c r="E18" s="28">
        <f t="shared" si="14"/>
        <v>77752.276094276094</v>
      </c>
      <c r="F18" s="28">
        <f t="shared" si="14"/>
        <v>103258.28787878787</v>
      </c>
      <c r="G18" s="28">
        <f t="shared" si="14"/>
        <v>61455.382820784733</v>
      </c>
      <c r="H18" s="28">
        <f t="shared" si="14"/>
        <v>266430.17131062952</v>
      </c>
      <c r="I18" s="28">
        <f t="shared" si="14"/>
        <v>122604.97194388779</v>
      </c>
      <c r="J18" s="28">
        <f t="shared" si="14"/>
        <v>99622.133333333331</v>
      </c>
      <c r="K18" s="28">
        <f t="shared" si="14"/>
        <v>193697.66963935</v>
      </c>
      <c r="L18" s="28">
        <f t="shared" si="14"/>
        <v>34154.907179452406</v>
      </c>
      <c r="M18" s="28">
        <f t="shared" ref="M18" si="15">M11*M$4</f>
        <v>26716.056533464238</v>
      </c>
      <c r="N18" s="28">
        <f t="shared" si="14"/>
        <v>29301.188332287522</v>
      </c>
      <c r="O18" s="28">
        <f t="shared" ref="O18:P18" si="16">O11*O$4</f>
        <v>49067.576366915513</v>
      </c>
      <c r="P18" s="28">
        <f t="shared" si="16"/>
        <v>65672.048892074527</v>
      </c>
      <c r="Q18" s="40">
        <f t="shared" si="10"/>
        <v>40982.355460838837</v>
      </c>
    </row>
    <row r="19" spans="1:17" x14ac:dyDescent="0.35">
      <c r="A19" s="38" t="s">
        <v>38</v>
      </c>
      <c r="B19" s="38" t="s">
        <v>130</v>
      </c>
      <c r="C19" s="28">
        <f t="shared" ref="C19:N19" si="17">C12*C$4</f>
        <v>224684.76372315036</v>
      </c>
      <c r="D19" s="28">
        <f t="shared" si="17"/>
        <v>303161.2378752887</v>
      </c>
      <c r="E19" s="28">
        <f t="shared" si="17"/>
        <v>439500.74298540968</v>
      </c>
      <c r="F19" s="28">
        <f t="shared" si="17"/>
        <v>690954.00185697875</v>
      </c>
      <c r="G19" s="28">
        <f t="shared" si="17"/>
        <v>296516.20333006914</v>
      </c>
      <c r="H19" s="28">
        <f t="shared" si="17"/>
        <v>444391.13888537249</v>
      </c>
      <c r="I19" s="28">
        <f t="shared" si="17"/>
        <v>439556.91935994511</v>
      </c>
      <c r="J19" s="28">
        <f t="shared" si="17"/>
        <v>440198.4239368565</v>
      </c>
      <c r="K19" s="28">
        <f t="shared" si="17"/>
        <v>664187.0670060555</v>
      </c>
      <c r="L19" s="28">
        <f t="shared" si="17"/>
        <v>326555.38484098297</v>
      </c>
      <c r="M19" s="28">
        <f t="shared" ref="M19" si="18">M12*M$4</f>
        <v>281461.17695649836</v>
      </c>
      <c r="N19" s="28">
        <f t="shared" si="17"/>
        <v>147329.43071465156</v>
      </c>
      <c r="O19" s="28">
        <f t="shared" ref="O19:P19" si="19">O12*O$4</f>
        <v>248655.96527362266</v>
      </c>
      <c r="P19" s="28">
        <f t="shared" si="19"/>
        <v>270645.72509675019</v>
      </c>
      <c r="Q19" s="40">
        <f t="shared" si="10"/>
        <v>254929.53657650115</v>
      </c>
    </row>
    <row r="20" spans="1:17" x14ac:dyDescent="0.35">
      <c r="A20" s="24"/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</row>
    <row r="21" spans="1:17" x14ac:dyDescent="0.35">
      <c r="A21" s="24"/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</row>
    <row r="22" spans="1:17" x14ac:dyDescent="0.35">
      <c r="A22" s="24"/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S304"/>
  <sheetViews>
    <sheetView topLeftCell="A270" zoomScale="70" zoomScaleNormal="70" workbookViewId="0">
      <selection activeCell="B295" sqref="B295"/>
    </sheetView>
  </sheetViews>
  <sheetFormatPr defaultRowHeight="14.5" x14ac:dyDescent="0.35"/>
  <cols>
    <col min="1" max="1" width="24.81640625" style="6" customWidth="1"/>
    <col min="2" max="2" width="23.81640625" style="6" bestFit="1" customWidth="1"/>
    <col min="4" max="4" width="32" customWidth="1"/>
    <col min="5" max="5" width="10.1796875" customWidth="1"/>
    <col min="15" max="15" width="9.1796875" style="17"/>
    <col min="17" max="17" width="9.1796875" style="24"/>
  </cols>
  <sheetData>
    <row r="1" spans="1:19" ht="34.5" customHeight="1" x14ac:dyDescent="0.35">
      <c r="A1" s="1"/>
      <c r="B1" s="7" t="s">
        <v>10</v>
      </c>
      <c r="D1" s="53" t="s">
        <v>81</v>
      </c>
    </row>
    <row r="2" spans="1:19" x14ac:dyDescent="0.35">
      <c r="A2" s="3" t="s">
        <v>1</v>
      </c>
      <c r="B2" s="8" t="s">
        <v>11</v>
      </c>
      <c r="D2" s="24"/>
      <c r="E2" s="24"/>
      <c r="F2" s="24">
        <v>2006</v>
      </c>
      <c r="G2" s="24">
        <v>2007</v>
      </c>
      <c r="H2" s="24">
        <v>2008</v>
      </c>
      <c r="I2" s="24">
        <v>2009</v>
      </c>
      <c r="J2" s="24">
        <v>2010</v>
      </c>
      <c r="K2" s="24">
        <v>2011</v>
      </c>
      <c r="L2" s="24">
        <v>2012</v>
      </c>
      <c r="M2" s="24">
        <v>2013</v>
      </c>
      <c r="N2" s="24">
        <v>2014</v>
      </c>
      <c r="O2" s="24">
        <v>2015</v>
      </c>
      <c r="P2" s="24">
        <v>2016</v>
      </c>
      <c r="Q2" s="24">
        <v>2017</v>
      </c>
      <c r="R2" s="24">
        <v>2018</v>
      </c>
      <c r="S2" s="24">
        <v>2019</v>
      </c>
    </row>
    <row r="3" spans="1:19" x14ac:dyDescent="0.35">
      <c r="A3" s="3" t="s">
        <v>2</v>
      </c>
      <c r="B3" s="8" t="s">
        <v>12</v>
      </c>
      <c r="D3" s="24" t="s">
        <v>0</v>
      </c>
      <c r="E3" s="24"/>
      <c r="F3" s="61">
        <f>B244</f>
        <v>86.6</v>
      </c>
      <c r="G3" s="61">
        <f>B248</f>
        <v>89.1</v>
      </c>
      <c r="H3" s="61">
        <f>B252</f>
        <v>92.4</v>
      </c>
      <c r="I3" s="61">
        <f>B256</f>
        <v>94.3</v>
      </c>
      <c r="J3" s="61">
        <f>B260</f>
        <v>96.9</v>
      </c>
      <c r="K3" s="61">
        <f>B264</f>
        <v>99.8</v>
      </c>
      <c r="L3" s="61">
        <f>B268</f>
        <v>102</v>
      </c>
      <c r="M3" s="61">
        <f>B272</f>
        <v>104.8</v>
      </c>
      <c r="N3" s="61">
        <f>B276</f>
        <v>106.6</v>
      </c>
      <c r="O3" s="62">
        <f>B280</f>
        <v>108.4</v>
      </c>
      <c r="P3" s="62">
        <f>B284</f>
        <v>110</v>
      </c>
      <c r="Q3" s="24">
        <f>B288</f>
        <v>112.1</v>
      </c>
      <c r="R3" s="63">
        <f>B292</f>
        <v>114.1</v>
      </c>
      <c r="S3" s="63">
        <f>B296</f>
        <v>116.2</v>
      </c>
    </row>
    <row r="4" spans="1:19" x14ac:dyDescent="0.35">
      <c r="A4" s="3" t="s">
        <v>3</v>
      </c>
      <c r="B4" s="8" t="s">
        <v>13</v>
      </c>
      <c r="D4" s="24" t="s">
        <v>17</v>
      </c>
      <c r="E4" s="24"/>
      <c r="F4" s="61">
        <f>B242</f>
        <v>85.9</v>
      </c>
      <c r="G4" s="61">
        <f>B246</f>
        <v>87.7</v>
      </c>
      <c r="H4" s="61">
        <f>B250</f>
        <v>91.6</v>
      </c>
      <c r="I4" s="61">
        <f>B254</f>
        <v>92.9</v>
      </c>
      <c r="J4" s="61">
        <f>B258</f>
        <v>95.8</v>
      </c>
      <c r="K4" s="61">
        <f>B262</f>
        <v>99.2</v>
      </c>
      <c r="L4" s="61">
        <f>B266</f>
        <v>100.4</v>
      </c>
      <c r="M4" s="61">
        <f>B270</f>
        <v>102.8</v>
      </c>
      <c r="N4" s="61">
        <f>B274</f>
        <v>105.9</v>
      </c>
      <c r="O4" s="62">
        <f>B278</f>
        <v>107.5</v>
      </c>
      <c r="P4" s="62">
        <f>B282</f>
        <v>108.6</v>
      </c>
      <c r="Q4" s="24">
        <f>B286</f>
        <v>110.7</v>
      </c>
      <c r="R4" s="63">
        <f>B290</f>
        <v>113</v>
      </c>
      <c r="S4" s="63">
        <f>B294</f>
        <v>114.8</v>
      </c>
    </row>
    <row r="5" spans="1:19" x14ac:dyDescent="0.35">
      <c r="A5" s="3" t="s">
        <v>4</v>
      </c>
      <c r="B5" s="8" t="s">
        <v>14</v>
      </c>
      <c r="D5" s="24" t="s">
        <v>16</v>
      </c>
      <c r="E5" s="24"/>
      <c r="F5" s="61">
        <f>B240</f>
        <v>83.8</v>
      </c>
      <c r="G5" s="61">
        <f>B244</f>
        <v>86.6</v>
      </c>
      <c r="H5" s="61">
        <f>B248</f>
        <v>89.1</v>
      </c>
      <c r="I5" s="61">
        <f>B252</f>
        <v>92.4</v>
      </c>
      <c r="J5" s="61">
        <f>B256</f>
        <v>94.3</v>
      </c>
      <c r="K5" s="61">
        <f>B260</f>
        <v>96.9</v>
      </c>
      <c r="L5" s="61">
        <f>B264</f>
        <v>99.8</v>
      </c>
      <c r="M5" s="61">
        <f>B268</f>
        <v>102</v>
      </c>
      <c r="N5" s="61">
        <f>B272</f>
        <v>104.8</v>
      </c>
      <c r="O5" s="61">
        <f>B276</f>
        <v>106.6</v>
      </c>
      <c r="P5" s="62">
        <f>B280</f>
        <v>108.4</v>
      </c>
      <c r="Q5" s="64">
        <f>B284</f>
        <v>110</v>
      </c>
      <c r="R5" s="63">
        <f>B288</f>
        <v>112.1</v>
      </c>
      <c r="S5" s="63">
        <f>B292</f>
        <v>114.1</v>
      </c>
    </row>
    <row r="6" spans="1:19" x14ac:dyDescent="0.35">
      <c r="A6" s="3" t="s">
        <v>5</v>
      </c>
      <c r="B6" s="6">
        <v>3</v>
      </c>
      <c r="D6" s="24" t="s">
        <v>56</v>
      </c>
      <c r="E6" s="24"/>
      <c r="F6" s="61">
        <f>B239</f>
        <v>83.4</v>
      </c>
      <c r="G6" s="61">
        <f>B243</f>
        <v>86.7</v>
      </c>
      <c r="H6" s="61">
        <f>B247</f>
        <v>88.3</v>
      </c>
      <c r="I6" s="61">
        <f>B251</f>
        <v>92.7</v>
      </c>
      <c r="J6" s="61">
        <f>B255</f>
        <v>93.8</v>
      </c>
      <c r="K6" s="61">
        <f>B259</f>
        <v>96.5</v>
      </c>
      <c r="L6" s="61">
        <f>B263</f>
        <v>99.8</v>
      </c>
      <c r="M6" s="61">
        <f>B267</f>
        <v>101.8</v>
      </c>
      <c r="N6" s="61">
        <f>B271</f>
        <v>104</v>
      </c>
      <c r="O6" s="61">
        <f>B275</f>
        <v>106.4</v>
      </c>
      <c r="P6" s="61">
        <f>B279</f>
        <v>108</v>
      </c>
      <c r="Q6" s="24">
        <f>B283</f>
        <v>109.4</v>
      </c>
      <c r="R6" s="63">
        <f>B287</f>
        <v>111.4</v>
      </c>
      <c r="S6" s="63">
        <f>B291</f>
        <v>113.5</v>
      </c>
    </row>
    <row r="7" spans="1:19" x14ac:dyDescent="0.35">
      <c r="A7" s="4" t="s">
        <v>6</v>
      </c>
      <c r="B7" s="9">
        <v>17777</v>
      </c>
      <c r="D7" s="65" t="str">
        <f>"Convert to real"</f>
        <v>Convert to real</v>
      </c>
      <c r="E7" s="66">
        <v>2019</v>
      </c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R7" s="24"/>
      <c r="S7" s="24"/>
    </row>
    <row r="8" spans="1:19" x14ac:dyDescent="0.35">
      <c r="A8" s="4" t="s">
        <v>7</v>
      </c>
      <c r="B8" s="9">
        <v>41699</v>
      </c>
      <c r="D8" s="24"/>
      <c r="E8" s="24">
        <f>MATCH(Real_year,F2:S2)</f>
        <v>14</v>
      </c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  <c r="R8" s="24"/>
      <c r="S8" s="24"/>
    </row>
    <row r="9" spans="1:19" x14ac:dyDescent="0.35">
      <c r="A9" s="3" t="s">
        <v>8</v>
      </c>
      <c r="B9" s="6">
        <v>263</v>
      </c>
      <c r="D9" s="25" t="str">
        <f>CONCATENATE(D7, " ",Real_year)</f>
        <v>Convert to real 2019</v>
      </c>
      <c r="E9" s="24">
        <f>INDEX(F2:S5,2,$E$8)</f>
        <v>116.2</v>
      </c>
      <c r="F9" s="62"/>
      <c r="G9" s="62"/>
      <c r="H9" s="62"/>
      <c r="I9" s="62"/>
      <c r="J9" s="62"/>
      <c r="K9" s="62"/>
      <c r="L9" s="62"/>
      <c r="M9" s="62"/>
      <c r="N9" s="62"/>
      <c r="O9" s="62"/>
      <c r="P9" s="62"/>
      <c r="R9" s="24"/>
      <c r="S9" s="24"/>
    </row>
    <row r="10" spans="1:19" x14ac:dyDescent="0.35">
      <c r="A10" s="3" t="s">
        <v>9</v>
      </c>
      <c r="B10" s="8" t="s">
        <v>15</v>
      </c>
      <c r="D10" s="24" t="s">
        <v>134</v>
      </c>
      <c r="E10" s="24"/>
      <c r="F10" s="67">
        <f t="shared" ref="F10:S10" si="0">$E$9/F4</f>
        <v>1.3527357392316646</v>
      </c>
      <c r="G10" s="67">
        <f t="shared" si="0"/>
        <v>1.3249714937286203</v>
      </c>
      <c r="H10" s="67">
        <f t="shared" si="0"/>
        <v>1.2685589519650655</v>
      </c>
      <c r="I10" s="67">
        <f t="shared" si="0"/>
        <v>1.2508073196986007</v>
      </c>
      <c r="J10" s="67">
        <f t="shared" si="0"/>
        <v>1.2129436325678498</v>
      </c>
      <c r="K10" s="67">
        <f t="shared" si="0"/>
        <v>1.1713709677419355</v>
      </c>
      <c r="L10" s="67">
        <f t="shared" si="0"/>
        <v>1.1573705179282867</v>
      </c>
      <c r="M10" s="67">
        <f t="shared" si="0"/>
        <v>1.1303501945525292</v>
      </c>
      <c r="N10" s="67">
        <f t="shared" si="0"/>
        <v>1.0972615675165249</v>
      </c>
      <c r="O10" s="67">
        <f t="shared" si="0"/>
        <v>1.0809302325581396</v>
      </c>
      <c r="P10" s="67">
        <f t="shared" si="0"/>
        <v>1.0699815837937385</v>
      </c>
      <c r="Q10" s="67">
        <f t="shared" si="0"/>
        <v>1.0496838301716351</v>
      </c>
      <c r="R10" s="67">
        <f t="shared" si="0"/>
        <v>1.0283185840707965</v>
      </c>
      <c r="S10" s="67">
        <f t="shared" si="0"/>
        <v>1.0121951219512195</v>
      </c>
    </row>
    <row r="11" spans="1:19" x14ac:dyDescent="0.35">
      <c r="A11" s="5">
        <v>17777</v>
      </c>
      <c r="B11" s="55">
        <v>3.7</v>
      </c>
      <c r="D11" s="24" t="s">
        <v>54</v>
      </c>
      <c r="E11" s="24"/>
      <c r="F11" s="67">
        <f t="shared" ref="F11:N11" si="1">currency_base/F5</f>
        <v>1.3866348448687351</v>
      </c>
      <c r="G11" s="67">
        <f t="shared" si="1"/>
        <v>1.3418013856812934</v>
      </c>
      <c r="H11" s="67">
        <f t="shared" si="1"/>
        <v>1.3041526374859709</v>
      </c>
      <c r="I11" s="67">
        <f t="shared" si="1"/>
        <v>1.2575757575757576</v>
      </c>
      <c r="J11" s="67">
        <f t="shared" si="1"/>
        <v>1.232237539766702</v>
      </c>
      <c r="K11" s="67">
        <f t="shared" si="1"/>
        <v>1.1991744066047472</v>
      </c>
      <c r="L11" s="67">
        <f t="shared" si="1"/>
        <v>1.1643286573146294</v>
      </c>
      <c r="M11" s="67">
        <f t="shared" si="1"/>
        <v>1.1392156862745098</v>
      </c>
      <c r="N11" s="67">
        <f t="shared" si="1"/>
        <v>1.1087786259541985</v>
      </c>
      <c r="O11" s="67">
        <f t="shared" ref="O11" si="2">currency_base/O5</f>
        <v>1.0900562851782365</v>
      </c>
      <c r="P11" s="67">
        <f t="shared" ref="P11:R12" si="3">currency_base/P5</f>
        <v>1.0719557195571956</v>
      </c>
      <c r="Q11" s="67">
        <f t="shared" si="3"/>
        <v>1.0563636363636364</v>
      </c>
      <c r="R11" s="67">
        <f t="shared" si="3"/>
        <v>1.0365744870651206</v>
      </c>
      <c r="S11" s="67">
        <f t="shared" ref="S11" si="4">currency_base/S5</f>
        <v>1.0184049079754602</v>
      </c>
    </row>
    <row r="12" spans="1:19" x14ac:dyDescent="0.35">
      <c r="A12" s="5">
        <v>17868</v>
      </c>
      <c r="B12" s="55">
        <v>3.8</v>
      </c>
      <c r="D12" s="24" t="s">
        <v>55</v>
      </c>
      <c r="E12" s="24"/>
      <c r="F12" s="67">
        <f t="shared" ref="F12:N12" si="5">currency_base/F6</f>
        <v>1.3932853717026379</v>
      </c>
      <c r="G12" s="67">
        <f t="shared" si="5"/>
        <v>1.3402537485582469</v>
      </c>
      <c r="H12" s="67">
        <f t="shared" si="5"/>
        <v>1.3159682899207248</v>
      </c>
      <c r="I12" s="67">
        <f t="shared" si="5"/>
        <v>1.2535059331175835</v>
      </c>
      <c r="J12" s="67">
        <f t="shared" si="5"/>
        <v>1.2388059701492538</v>
      </c>
      <c r="K12" s="67">
        <f t="shared" si="5"/>
        <v>1.2041450777202072</v>
      </c>
      <c r="L12" s="67">
        <f t="shared" si="5"/>
        <v>1.1643286573146294</v>
      </c>
      <c r="M12" s="67">
        <f t="shared" si="5"/>
        <v>1.1414538310412574</v>
      </c>
      <c r="N12" s="67">
        <f t="shared" si="5"/>
        <v>1.1173076923076923</v>
      </c>
      <c r="O12" s="67">
        <f t="shared" ref="O12" si="6">currency_base/O6</f>
        <v>1.0921052631578947</v>
      </c>
      <c r="P12" s="67">
        <f t="shared" ref="P12" si="7">currency_base/P6</f>
        <v>1.075925925925926</v>
      </c>
      <c r="Q12" s="67">
        <f t="shared" si="3"/>
        <v>1.0621572212065813</v>
      </c>
      <c r="R12" s="67">
        <f t="shared" si="3"/>
        <v>1.0430879712746859</v>
      </c>
      <c r="S12" s="67">
        <f t="shared" ref="S12" si="8">currency_base/S6</f>
        <v>1.0237885462555065</v>
      </c>
    </row>
    <row r="13" spans="1:19" x14ac:dyDescent="0.35">
      <c r="A13" s="5">
        <v>17958</v>
      </c>
      <c r="B13" s="55">
        <v>3.9</v>
      </c>
      <c r="D13" s="68" t="s">
        <v>90</v>
      </c>
    </row>
    <row r="14" spans="1:19" x14ac:dyDescent="0.35">
      <c r="A14" s="5">
        <v>18050</v>
      </c>
      <c r="B14" s="55">
        <v>4</v>
      </c>
    </row>
    <row r="15" spans="1:19" x14ac:dyDescent="0.35">
      <c r="A15" s="5">
        <v>18142</v>
      </c>
      <c r="B15" s="55">
        <v>4.0999999999999996</v>
      </c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R15" s="56"/>
    </row>
    <row r="16" spans="1:19" x14ac:dyDescent="0.35">
      <c r="A16" s="5">
        <v>18233</v>
      </c>
      <c r="B16" s="55">
        <v>4.0999999999999996</v>
      </c>
      <c r="F16" s="56"/>
      <c r="G16" s="56"/>
      <c r="H16" s="56"/>
      <c r="I16" s="56"/>
      <c r="J16" s="56"/>
      <c r="K16" s="56"/>
      <c r="L16" s="56"/>
      <c r="M16" s="56"/>
      <c r="N16" s="56"/>
      <c r="O16" s="56"/>
      <c r="P16" s="56"/>
      <c r="R16" s="56"/>
    </row>
    <row r="17" spans="1:16" x14ac:dyDescent="0.35">
      <c r="A17" s="5">
        <v>18323</v>
      </c>
      <c r="B17" s="55">
        <v>4.2</v>
      </c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</row>
    <row r="18" spans="1:16" x14ac:dyDescent="0.35">
      <c r="A18" s="5">
        <v>18415</v>
      </c>
      <c r="B18" s="55">
        <v>4.3</v>
      </c>
    </row>
    <row r="19" spans="1:16" x14ac:dyDescent="0.35">
      <c r="A19" s="5">
        <v>18507</v>
      </c>
      <c r="B19" s="55">
        <v>4.4000000000000004</v>
      </c>
    </row>
    <row r="20" spans="1:16" x14ac:dyDescent="0.35">
      <c r="A20" s="5">
        <v>18598</v>
      </c>
      <c r="B20" s="55">
        <v>4.5999999999999996</v>
      </c>
    </row>
    <row r="21" spans="1:16" x14ac:dyDescent="0.35">
      <c r="A21" s="5">
        <v>18688</v>
      </c>
      <c r="B21" s="55">
        <v>4.8</v>
      </c>
    </row>
    <row r="22" spans="1:16" x14ac:dyDescent="0.35">
      <c r="A22" s="5">
        <v>18780</v>
      </c>
      <c r="B22" s="55">
        <v>5.0999999999999996</v>
      </c>
    </row>
    <row r="23" spans="1:16" x14ac:dyDescent="0.35">
      <c r="A23" s="5">
        <v>18872</v>
      </c>
      <c r="B23" s="55">
        <v>5.3</v>
      </c>
    </row>
    <row r="24" spans="1:16" x14ac:dyDescent="0.35">
      <c r="A24" s="5">
        <v>18963</v>
      </c>
      <c r="B24" s="55">
        <v>5.7</v>
      </c>
    </row>
    <row r="25" spans="1:16" x14ac:dyDescent="0.35">
      <c r="A25" s="5">
        <v>19054</v>
      </c>
      <c r="B25" s="55">
        <v>5.9</v>
      </c>
    </row>
    <row r="26" spans="1:16" x14ac:dyDescent="0.35">
      <c r="A26" s="5">
        <v>19146</v>
      </c>
      <c r="B26" s="55">
        <v>6.1</v>
      </c>
    </row>
    <row r="27" spans="1:16" x14ac:dyDescent="0.35">
      <c r="A27" s="5">
        <v>19238</v>
      </c>
      <c r="B27" s="55">
        <v>6.2</v>
      </c>
    </row>
    <row r="28" spans="1:16" x14ac:dyDescent="0.35">
      <c r="A28" s="5">
        <v>19329</v>
      </c>
      <c r="B28" s="55">
        <v>6.3</v>
      </c>
    </row>
    <row r="29" spans="1:16" x14ac:dyDescent="0.35">
      <c r="A29" s="5">
        <v>19419</v>
      </c>
      <c r="B29" s="55">
        <v>6.3</v>
      </c>
    </row>
    <row r="30" spans="1:16" x14ac:dyDescent="0.35">
      <c r="A30" s="5">
        <v>19511</v>
      </c>
      <c r="B30" s="55">
        <v>6.4</v>
      </c>
    </row>
    <row r="31" spans="1:16" x14ac:dyDescent="0.35">
      <c r="A31" s="5">
        <v>19603</v>
      </c>
      <c r="B31" s="55">
        <v>6.5</v>
      </c>
    </row>
    <row r="32" spans="1:16" x14ac:dyDescent="0.35">
      <c r="A32" s="5">
        <v>19694</v>
      </c>
      <c r="B32" s="55">
        <v>6.4</v>
      </c>
    </row>
    <row r="33" spans="1:2" x14ac:dyDescent="0.35">
      <c r="A33" s="5">
        <v>19784</v>
      </c>
      <c r="B33" s="55">
        <v>6.5</v>
      </c>
    </row>
    <row r="34" spans="1:2" x14ac:dyDescent="0.35">
      <c r="A34" s="5">
        <v>19876</v>
      </c>
      <c r="B34" s="55">
        <v>6.5</v>
      </c>
    </row>
    <row r="35" spans="1:2" x14ac:dyDescent="0.35">
      <c r="A35" s="5">
        <v>19968</v>
      </c>
      <c r="B35" s="55">
        <v>6.5</v>
      </c>
    </row>
    <row r="36" spans="1:2" x14ac:dyDescent="0.35">
      <c r="A36" s="5">
        <v>20059</v>
      </c>
      <c r="B36" s="55">
        <v>6.5</v>
      </c>
    </row>
    <row r="37" spans="1:2" x14ac:dyDescent="0.35">
      <c r="A37" s="5">
        <v>20149</v>
      </c>
      <c r="B37" s="55">
        <v>6.5</v>
      </c>
    </row>
    <row r="38" spans="1:2" x14ac:dyDescent="0.35">
      <c r="A38" s="5">
        <v>20241</v>
      </c>
      <c r="B38" s="55">
        <v>6.6</v>
      </c>
    </row>
    <row r="39" spans="1:2" x14ac:dyDescent="0.35">
      <c r="A39" s="5">
        <v>20333</v>
      </c>
      <c r="B39" s="55">
        <v>6.6</v>
      </c>
    </row>
    <row r="40" spans="1:2" x14ac:dyDescent="0.35">
      <c r="A40" s="5">
        <v>20424</v>
      </c>
      <c r="B40" s="55">
        <v>6.7</v>
      </c>
    </row>
    <row r="41" spans="1:2" x14ac:dyDescent="0.35">
      <c r="A41" s="5">
        <v>20515</v>
      </c>
      <c r="B41" s="55">
        <v>6.7</v>
      </c>
    </row>
    <row r="42" spans="1:2" x14ac:dyDescent="0.35">
      <c r="A42" s="5">
        <v>20607</v>
      </c>
      <c r="B42" s="55">
        <v>7</v>
      </c>
    </row>
    <row r="43" spans="1:2" x14ac:dyDescent="0.35">
      <c r="A43" s="5">
        <v>20699</v>
      </c>
      <c r="B43" s="55">
        <v>7.1</v>
      </c>
    </row>
    <row r="44" spans="1:2" x14ac:dyDescent="0.35">
      <c r="A44" s="5">
        <v>20790</v>
      </c>
      <c r="B44" s="55">
        <v>7.1</v>
      </c>
    </row>
    <row r="45" spans="1:2" x14ac:dyDescent="0.35">
      <c r="A45" s="5">
        <v>20880</v>
      </c>
      <c r="B45" s="55">
        <v>7.1</v>
      </c>
    </row>
    <row r="46" spans="1:2" x14ac:dyDescent="0.35">
      <c r="A46" s="5">
        <v>20972</v>
      </c>
      <c r="B46" s="55">
        <v>7.2</v>
      </c>
    </row>
    <row r="47" spans="1:2" x14ac:dyDescent="0.35">
      <c r="A47" s="5">
        <v>21064</v>
      </c>
      <c r="B47" s="55">
        <v>7.2</v>
      </c>
    </row>
    <row r="48" spans="1:2" x14ac:dyDescent="0.35">
      <c r="A48" s="5">
        <v>21155</v>
      </c>
      <c r="B48" s="55">
        <v>7.2</v>
      </c>
    </row>
    <row r="49" spans="1:2" x14ac:dyDescent="0.35">
      <c r="A49" s="5">
        <v>21245</v>
      </c>
      <c r="B49" s="55">
        <v>7.2</v>
      </c>
    </row>
    <row r="50" spans="1:2" x14ac:dyDescent="0.35">
      <c r="A50" s="5">
        <v>21337</v>
      </c>
      <c r="B50" s="55">
        <v>7.2</v>
      </c>
    </row>
    <row r="51" spans="1:2" x14ac:dyDescent="0.35">
      <c r="A51" s="5">
        <v>21429</v>
      </c>
      <c r="B51" s="55">
        <v>7.2</v>
      </c>
    </row>
    <row r="52" spans="1:2" x14ac:dyDescent="0.35">
      <c r="A52" s="5">
        <v>21520</v>
      </c>
      <c r="B52" s="55">
        <v>7.3</v>
      </c>
    </row>
    <row r="53" spans="1:2" x14ac:dyDescent="0.35">
      <c r="A53" s="5">
        <v>21610</v>
      </c>
      <c r="B53" s="55">
        <v>7.3</v>
      </c>
    </row>
    <row r="54" spans="1:2" x14ac:dyDescent="0.35">
      <c r="A54" s="5">
        <v>21702</v>
      </c>
      <c r="B54" s="55">
        <v>7.3</v>
      </c>
    </row>
    <row r="55" spans="1:2" x14ac:dyDescent="0.35">
      <c r="A55" s="5">
        <v>21794</v>
      </c>
      <c r="B55" s="55">
        <v>7.4</v>
      </c>
    </row>
    <row r="56" spans="1:2" x14ac:dyDescent="0.35">
      <c r="A56" s="5">
        <v>21885</v>
      </c>
      <c r="B56" s="55">
        <v>7.5</v>
      </c>
    </row>
    <row r="57" spans="1:2" x14ac:dyDescent="0.35">
      <c r="A57" s="5">
        <v>21976</v>
      </c>
      <c r="B57" s="55">
        <v>7.5</v>
      </c>
    </row>
    <row r="58" spans="1:2" x14ac:dyDescent="0.35">
      <c r="A58" s="5">
        <v>22068</v>
      </c>
      <c r="B58" s="55">
        <v>7.6</v>
      </c>
    </row>
    <row r="59" spans="1:2" x14ac:dyDescent="0.35">
      <c r="A59" s="5">
        <v>22160</v>
      </c>
      <c r="B59" s="55">
        <v>7.7</v>
      </c>
    </row>
    <row r="60" spans="1:2" x14ac:dyDescent="0.35">
      <c r="A60" s="5">
        <v>22251</v>
      </c>
      <c r="B60" s="55">
        <v>7.8</v>
      </c>
    </row>
    <row r="61" spans="1:2" x14ac:dyDescent="0.35">
      <c r="A61" s="5">
        <v>22341</v>
      </c>
      <c r="B61" s="55">
        <v>7.8</v>
      </c>
    </row>
    <row r="62" spans="1:2" x14ac:dyDescent="0.35">
      <c r="A62" s="5">
        <v>22433</v>
      </c>
      <c r="B62" s="55">
        <v>7.9</v>
      </c>
    </row>
    <row r="63" spans="1:2" x14ac:dyDescent="0.35">
      <c r="A63" s="5">
        <v>22525</v>
      </c>
      <c r="B63" s="55">
        <v>7.8</v>
      </c>
    </row>
    <row r="64" spans="1:2" x14ac:dyDescent="0.35">
      <c r="A64" s="5">
        <v>22616</v>
      </c>
      <c r="B64" s="55">
        <v>7.8</v>
      </c>
    </row>
    <row r="65" spans="1:2" x14ac:dyDescent="0.35">
      <c r="A65" s="5">
        <v>22706</v>
      </c>
      <c r="B65" s="55">
        <v>7.8</v>
      </c>
    </row>
    <row r="66" spans="1:2" x14ac:dyDescent="0.35">
      <c r="A66" s="5">
        <v>22798</v>
      </c>
      <c r="B66" s="55">
        <v>7.8</v>
      </c>
    </row>
    <row r="67" spans="1:2" x14ac:dyDescent="0.35">
      <c r="A67" s="5">
        <v>22890</v>
      </c>
      <c r="B67" s="55">
        <v>7.8</v>
      </c>
    </row>
    <row r="68" spans="1:2" x14ac:dyDescent="0.35">
      <c r="A68" s="5">
        <v>22981</v>
      </c>
      <c r="B68" s="55">
        <v>7.8</v>
      </c>
    </row>
    <row r="69" spans="1:2" x14ac:dyDescent="0.35">
      <c r="A69" s="5">
        <v>23071</v>
      </c>
      <c r="B69" s="55">
        <v>7.8</v>
      </c>
    </row>
    <row r="70" spans="1:2" x14ac:dyDescent="0.35">
      <c r="A70" s="5">
        <v>23163</v>
      </c>
      <c r="B70" s="55">
        <v>7.8</v>
      </c>
    </row>
    <row r="71" spans="1:2" x14ac:dyDescent="0.35">
      <c r="A71" s="5">
        <v>23255</v>
      </c>
      <c r="B71" s="55">
        <v>7.9</v>
      </c>
    </row>
    <row r="72" spans="1:2" x14ac:dyDescent="0.35">
      <c r="A72" s="5">
        <v>23346</v>
      </c>
      <c r="B72" s="55">
        <v>7.9</v>
      </c>
    </row>
    <row r="73" spans="1:2" x14ac:dyDescent="0.35">
      <c r="A73" s="5">
        <v>23437</v>
      </c>
      <c r="B73" s="55">
        <v>8</v>
      </c>
    </row>
    <row r="74" spans="1:2" x14ac:dyDescent="0.35">
      <c r="A74" s="5">
        <v>23529</v>
      </c>
      <c r="B74" s="55">
        <v>8</v>
      </c>
    </row>
    <row r="75" spans="1:2" x14ac:dyDescent="0.35">
      <c r="A75" s="5">
        <v>23621</v>
      </c>
      <c r="B75" s="55">
        <v>8.1</v>
      </c>
    </row>
    <row r="76" spans="1:2" x14ac:dyDescent="0.35">
      <c r="A76" s="5">
        <v>23712</v>
      </c>
      <c r="B76" s="55">
        <v>8.1999999999999993</v>
      </c>
    </row>
    <row r="77" spans="1:2" x14ac:dyDescent="0.35">
      <c r="A77" s="5">
        <v>23802</v>
      </c>
      <c r="B77" s="55">
        <v>8.1999999999999993</v>
      </c>
    </row>
    <row r="78" spans="1:2" x14ac:dyDescent="0.35">
      <c r="A78" s="5">
        <v>23894</v>
      </c>
      <c r="B78" s="55">
        <v>8.3000000000000007</v>
      </c>
    </row>
    <row r="79" spans="1:2" x14ac:dyDescent="0.35">
      <c r="A79" s="5">
        <v>23986</v>
      </c>
      <c r="B79" s="55">
        <v>8.4</v>
      </c>
    </row>
    <row r="80" spans="1:2" x14ac:dyDescent="0.35">
      <c r="A80" s="5">
        <v>24077</v>
      </c>
      <c r="B80" s="55">
        <v>8.5</v>
      </c>
    </row>
    <row r="81" spans="1:2" x14ac:dyDescent="0.35">
      <c r="A81" s="5">
        <v>24167</v>
      </c>
      <c r="B81" s="55">
        <v>8.6</v>
      </c>
    </row>
    <row r="82" spans="1:2" x14ac:dyDescent="0.35">
      <c r="A82" s="5">
        <v>24259</v>
      </c>
      <c r="B82" s="55">
        <v>8.6</v>
      </c>
    </row>
    <row r="83" spans="1:2" x14ac:dyDescent="0.35">
      <c r="A83" s="5">
        <v>24351</v>
      </c>
      <c r="B83" s="55">
        <v>8.6</v>
      </c>
    </row>
    <row r="84" spans="1:2" x14ac:dyDescent="0.35">
      <c r="A84" s="5">
        <v>24442</v>
      </c>
      <c r="B84" s="55">
        <v>8.6999999999999993</v>
      </c>
    </row>
    <row r="85" spans="1:2" x14ac:dyDescent="0.35">
      <c r="A85" s="5">
        <v>24532</v>
      </c>
      <c r="B85" s="55">
        <v>8.8000000000000007</v>
      </c>
    </row>
    <row r="86" spans="1:2" x14ac:dyDescent="0.35">
      <c r="A86" s="5">
        <v>24624</v>
      </c>
      <c r="B86" s="55">
        <v>8.9</v>
      </c>
    </row>
    <row r="87" spans="1:2" x14ac:dyDescent="0.35">
      <c r="A87" s="5">
        <v>24716</v>
      </c>
      <c r="B87" s="55">
        <v>9</v>
      </c>
    </row>
    <row r="88" spans="1:2" x14ac:dyDescent="0.35">
      <c r="A88" s="5">
        <v>24807</v>
      </c>
      <c r="B88" s="55">
        <v>9</v>
      </c>
    </row>
    <row r="89" spans="1:2" x14ac:dyDescent="0.35">
      <c r="A89" s="5">
        <v>24898</v>
      </c>
      <c r="B89" s="55">
        <v>9.1</v>
      </c>
    </row>
    <row r="90" spans="1:2" x14ac:dyDescent="0.35">
      <c r="A90" s="5">
        <v>24990</v>
      </c>
      <c r="B90" s="55">
        <v>9.1</v>
      </c>
    </row>
    <row r="91" spans="1:2" x14ac:dyDescent="0.35">
      <c r="A91" s="5">
        <v>25082</v>
      </c>
      <c r="B91" s="55">
        <v>9.1999999999999993</v>
      </c>
    </row>
    <row r="92" spans="1:2" x14ac:dyDescent="0.35">
      <c r="A92" s="5">
        <v>25173</v>
      </c>
      <c r="B92" s="55">
        <v>9.1999999999999993</v>
      </c>
    </row>
    <row r="93" spans="1:2" x14ac:dyDescent="0.35">
      <c r="A93" s="5">
        <v>25263</v>
      </c>
      <c r="B93" s="55">
        <v>9.4</v>
      </c>
    </row>
    <row r="94" spans="1:2" x14ac:dyDescent="0.35">
      <c r="A94" s="5">
        <v>25355</v>
      </c>
      <c r="B94" s="55">
        <v>9.4</v>
      </c>
    </row>
    <row r="95" spans="1:2" x14ac:dyDescent="0.35">
      <c r="A95" s="5">
        <v>25447</v>
      </c>
      <c r="B95" s="55">
        <v>9.5</v>
      </c>
    </row>
    <row r="96" spans="1:2" x14ac:dyDescent="0.35">
      <c r="A96" s="5">
        <v>25538</v>
      </c>
      <c r="B96" s="55">
        <v>9.5</v>
      </c>
    </row>
    <row r="97" spans="1:2" x14ac:dyDescent="0.35">
      <c r="A97" s="5">
        <v>25628</v>
      </c>
      <c r="B97" s="55">
        <v>9.6</v>
      </c>
    </row>
    <row r="98" spans="1:2" x14ac:dyDescent="0.35">
      <c r="A98" s="5">
        <v>25720</v>
      </c>
      <c r="B98" s="55">
        <v>9.6999999999999993</v>
      </c>
    </row>
    <row r="99" spans="1:2" x14ac:dyDescent="0.35">
      <c r="A99" s="5">
        <v>25812</v>
      </c>
      <c r="B99" s="55">
        <v>9.8000000000000007</v>
      </c>
    </row>
    <row r="100" spans="1:2" x14ac:dyDescent="0.35">
      <c r="A100" s="5">
        <v>25903</v>
      </c>
      <c r="B100" s="55">
        <v>10</v>
      </c>
    </row>
    <row r="101" spans="1:2" x14ac:dyDescent="0.35">
      <c r="A101" s="5">
        <v>25993</v>
      </c>
      <c r="B101" s="55">
        <v>10.1</v>
      </c>
    </row>
    <row r="102" spans="1:2" x14ac:dyDescent="0.35">
      <c r="A102" s="5">
        <v>26085</v>
      </c>
      <c r="B102" s="55">
        <v>10.199999999999999</v>
      </c>
    </row>
    <row r="103" spans="1:2" x14ac:dyDescent="0.35">
      <c r="A103" s="5">
        <v>26177</v>
      </c>
      <c r="B103" s="55">
        <v>10.5</v>
      </c>
    </row>
    <row r="104" spans="1:2" x14ac:dyDescent="0.35">
      <c r="A104" s="5">
        <v>26268</v>
      </c>
      <c r="B104" s="55">
        <v>10.7</v>
      </c>
    </row>
    <row r="105" spans="1:2" x14ac:dyDescent="0.35">
      <c r="A105" s="5">
        <v>26359</v>
      </c>
      <c r="B105" s="55">
        <v>10.8</v>
      </c>
    </row>
    <row r="106" spans="1:2" x14ac:dyDescent="0.35">
      <c r="A106" s="5">
        <v>26451</v>
      </c>
      <c r="B106" s="55">
        <v>10.9</v>
      </c>
    </row>
    <row r="107" spans="1:2" x14ac:dyDescent="0.35">
      <c r="A107" s="5">
        <v>26543</v>
      </c>
      <c r="B107" s="55">
        <v>11.1</v>
      </c>
    </row>
    <row r="108" spans="1:2" x14ac:dyDescent="0.35">
      <c r="A108" s="5">
        <v>26634</v>
      </c>
      <c r="B108" s="55">
        <v>11.2</v>
      </c>
    </row>
    <row r="109" spans="1:2" x14ac:dyDescent="0.35">
      <c r="A109" s="5">
        <v>26724</v>
      </c>
      <c r="B109" s="55">
        <v>11.4</v>
      </c>
    </row>
    <row r="110" spans="1:2" x14ac:dyDescent="0.35">
      <c r="A110" s="5">
        <v>26816</v>
      </c>
      <c r="B110" s="55">
        <v>11.8</v>
      </c>
    </row>
    <row r="111" spans="1:2" x14ac:dyDescent="0.35">
      <c r="A111" s="5">
        <v>26908</v>
      </c>
      <c r="B111" s="55">
        <v>12.2</v>
      </c>
    </row>
    <row r="112" spans="1:2" x14ac:dyDescent="0.35">
      <c r="A112" s="5">
        <v>26999</v>
      </c>
      <c r="B112" s="55">
        <v>12.6</v>
      </c>
    </row>
    <row r="113" spans="1:2" x14ac:dyDescent="0.35">
      <c r="A113" s="5">
        <v>27089</v>
      </c>
      <c r="B113" s="55">
        <v>13</v>
      </c>
    </row>
    <row r="114" spans="1:2" x14ac:dyDescent="0.35">
      <c r="A114" s="5">
        <v>27181</v>
      </c>
      <c r="B114" s="55">
        <v>13.5</v>
      </c>
    </row>
    <row r="115" spans="1:2" x14ac:dyDescent="0.35">
      <c r="A115" s="5">
        <v>27273</v>
      </c>
      <c r="B115" s="55">
        <v>14.2</v>
      </c>
    </row>
    <row r="116" spans="1:2" x14ac:dyDescent="0.35">
      <c r="A116" s="5">
        <v>27364</v>
      </c>
      <c r="B116" s="55">
        <v>14.7</v>
      </c>
    </row>
    <row r="117" spans="1:2" x14ac:dyDescent="0.35">
      <c r="A117" s="5">
        <v>27454</v>
      </c>
      <c r="B117" s="55">
        <v>15.3</v>
      </c>
    </row>
    <row r="118" spans="1:2" x14ac:dyDescent="0.35">
      <c r="A118" s="5">
        <v>27546</v>
      </c>
      <c r="B118" s="55">
        <v>15.8</v>
      </c>
    </row>
    <row r="119" spans="1:2" x14ac:dyDescent="0.35">
      <c r="A119" s="5">
        <v>27638</v>
      </c>
      <c r="B119" s="55">
        <v>15.9</v>
      </c>
    </row>
    <row r="120" spans="1:2" x14ac:dyDescent="0.35">
      <c r="A120" s="5">
        <v>27729</v>
      </c>
      <c r="B120" s="55">
        <v>16.8</v>
      </c>
    </row>
    <row r="121" spans="1:2" x14ac:dyDescent="0.35">
      <c r="A121" s="5">
        <v>27820</v>
      </c>
      <c r="B121" s="55">
        <v>17.3</v>
      </c>
    </row>
    <row r="122" spans="1:2" x14ac:dyDescent="0.35">
      <c r="A122" s="5">
        <v>27912</v>
      </c>
      <c r="B122" s="55">
        <v>17.7</v>
      </c>
    </row>
    <row r="123" spans="1:2" x14ac:dyDescent="0.35">
      <c r="A123" s="5">
        <v>28004</v>
      </c>
      <c r="B123" s="55">
        <v>18.100000000000001</v>
      </c>
    </row>
    <row r="124" spans="1:2" x14ac:dyDescent="0.35">
      <c r="A124" s="5">
        <v>28095</v>
      </c>
      <c r="B124" s="55">
        <v>19.2</v>
      </c>
    </row>
    <row r="125" spans="1:2" x14ac:dyDescent="0.35">
      <c r="A125" s="5">
        <v>28185</v>
      </c>
      <c r="B125" s="55">
        <v>19.600000000000001</v>
      </c>
    </row>
    <row r="126" spans="1:2" x14ac:dyDescent="0.35">
      <c r="A126" s="5">
        <v>28277</v>
      </c>
      <c r="B126" s="55">
        <v>20.100000000000001</v>
      </c>
    </row>
    <row r="127" spans="1:2" x14ac:dyDescent="0.35">
      <c r="A127" s="5">
        <v>28369</v>
      </c>
      <c r="B127" s="55">
        <v>20.5</v>
      </c>
    </row>
    <row r="128" spans="1:2" x14ac:dyDescent="0.35">
      <c r="A128" s="5">
        <v>28460</v>
      </c>
      <c r="B128" s="55">
        <v>21</v>
      </c>
    </row>
    <row r="129" spans="1:2" x14ac:dyDescent="0.35">
      <c r="A129" s="5">
        <v>28550</v>
      </c>
      <c r="B129" s="55">
        <v>21.3</v>
      </c>
    </row>
    <row r="130" spans="1:2" x14ac:dyDescent="0.35">
      <c r="A130" s="5">
        <v>28642</v>
      </c>
      <c r="B130" s="55">
        <v>21.7</v>
      </c>
    </row>
    <row r="131" spans="1:2" x14ac:dyDescent="0.35">
      <c r="A131" s="5">
        <v>28734</v>
      </c>
      <c r="B131" s="55">
        <v>22.1</v>
      </c>
    </row>
    <row r="132" spans="1:2" x14ac:dyDescent="0.35">
      <c r="A132" s="5">
        <v>28825</v>
      </c>
      <c r="B132" s="55">
        <v>22.6</v>
      </c>
    </row>
    <row r="133" spans="1:2" x14ac:dyDescent="0.35">
      <c r="A133" s="5">
        <v>28915</v>
      </c>
      <c r="B133" s="55">
        <v>23</v>
      </c>
    </row>
    <row r="134" spans="1:2" x14ac:dyDescent="0.35">
      <c r="A134" s="5">
        <v>29007</v>
      </c>
      <c r="B134" s="55">
        <v>23.6</v>
      </c>
    </row>
    <row r="135" spans="1:2" x14ac:dyDescent="0.35">
      <c r="A135" s="5">
        <v>29099</v>
      </c>
      <c r="B135" s="55">
        <v>24.2</v>
      </c>
    </row>
    <row r="136" spans="1:2" x14ac:dyDescent="0.35">
      <c r="A136" s="5">
        <v>29190</v>
      </c>
      <c r="B136" s="55">
        <v>24.9</v>
      </c>
    </row>
    <row r="137" spans="1:2" x14ac:dyDescent="0.35">
      <c r="A137" s="5">
        <v>29281</v>
      </c>
      <c r="B137" s="55">
        <v>25.4</v>
      </c>
    </row>
    <row r="138" spans="1:2" x14ac:dyDescent="0.35">
      <c r="A138" s="5">
        <v>29373</v>
      </c>
      <c r="B138" s="55">
        <v>26.2</v>
      </c>
    </row>
    <row r="139" spans="1:2" x14ac:dyDescent="0.35">
      <c r="A139" s="5">
        <v>29465</v>
      </c>
      <c r="B139" s="55">
        <v>26.6</v>
      </c>
    </row>
    <row r="140" spans="1:2" x14ac:dyDescent="0.35">
      <c r="A140" s="5">
        <v>29556</v>
      </c>
      <c r="B140" s="55">
        <v>27.2</v>
      </c>
    </row>
    <row r="141" spans="1:2" x14ac:dyDescent="0.35">
      <c r="A141" s="5">
        <v>29646</v>
      </c>
      <c r="B141" s="55">
        <v>27.8</v>
      </c>
    </row>
    <row r="142" spans="1:2" x14ac:dyDescent="0.35">
      <c r="A142" s="5">
        <v>29738</v>
      </c>
      <c r="B142" s="55">
        <v>28.4</v>
      </c>
    </row>
    <row r="143" spans="1:2" x14ac:dyDescent="0.35">
      <c r="A143" s="5">
        <v>29830</v>
      </c>
      <c r="B143" s="55">
        <v>29</v>
      </c>
    </row>
    <row r="144" spans="1:2" x14ac:dyDescent="0.35">
      <c r="A144" s="5">
        <v>29921</v>
      </c>
      <c r="B144" s="55">
        <v>30.2</v>
      </c>
    </row>
    <row r="145" spans="1:2" x14ac:dyDescent="0.35">
      <c r="A145" s="5">
        <v>30011</v>
      </c>
      <c r="B145" s="55">
        <v>30.8</v>
      </c>
    </row>
    <row r="146" spans="1:2" x14ac:dyDescent="0.35">
      <c r="A146" s="5">
        <v>30103</v>
      </c>
      <c r="B146" s="55">
        <v>31.5</v>
      </c>
    </row>
    <row r="147" spans="1:2" x14ac:dyDescent="0.35">
      <c r="A147" s="5">
        <v>30195</v>
      </c>
      <c r="B147" s="55">
        <v>32.6</v>
      </c>
    </row>
    <row r="148" spans="1:2" x14ac:dyDescent="0.35">
      <c r="A148" s="5">
        <v>30286</v>
      </c>
      <c r="B148" s="55">
        <v>33.6</v>
      </c>
    </row>
    <row r="149" spans="1:2" x14ac:dyDescent="0.35">
      <c r="A149" s="5">
        <v>30376</v>
      </c>
      <c r="B149" s="55">
        <v>34.299999999999997</v>
      </c>
    </row>
    <row r="150" spans="1:2" x14ac:dyDescent="0.35">
      <c r="A150" s="5">
        <v>30468</v>
      </c>
      <c r="B150" s="55">
        <v>35</v>
      </c>
    </row>
    <row r="151" spans="1:2" x14ac:dyDescent="0.35">
      <c r="A151" s="5">
        <v>30560</v>
      </c>
      <c r="B151" s="55">
        <v>35.6</v>
      </c>
    </row>
    <row r="152" spans="1:2" x14ac:dyDescent="0.35">
      <c r="A152" s="5">
        <v>30651</v>
      </c>
      <c r="B152" s="55">
        <v>36.5</v>
      </c>
    </row>
    <row r="153" spans="1:2" x14ac:dyDescent="0.35">
      <c r="A153" s="5">
        <v>30742</v>
      </c>
      <c r="B153" s="55">
        <v>36.299999999999997</v>
      </c>
    </row>
    <row r="154" spans="1:2" x14ac:dyDescent="0.35">
      <c r="A154" s="5">
        <v>30834</v>
      </c>
      <c r="B154" s="55">
        <v>36.4</v>
      </c>
    </row>
    <row r="155" spans="1:2" x14ac:dyDescent="0.35">
      <c r="A155" s="5">
        <v>30926</v>
      </c>
      <c r="B155" s="55">
        <v>36.9</v>
      </c>
    </row>
    <row r="156" spans="1:2" x14ac:dyDescent="0.35">
      <c r="A156" s="5">
        <v>31017</v>
      </c>
      <c r="B156" s="55">
        <v>37.4</v>
      </c>
    </row>
    <row r="157" spans="1:2" x14ac:dyDescent="0.35">
      <c r="A157" s="5">
        <v>31107</v>
      </c>
      <c r="B157" s="55">
        <v>37.9</v>
      </c>
    </row>
    <row r="158" spans="1:2" x14ac:dyDescent="0.35">
      <c r="A158" s="5">
        <v>31199</v>
      </c>
      <c r="B158" s="55">
        <v>38.799999999999997</v>
      </c>
    </row>
    <row r="159" spans="1:2" x14ac:dyDescent="0.35">
      <c r="A159" s="5">
        <v>31291</v>
      </c>
      <c r="B159" s="55">
        <v>39.700000000000003</v>
      </c>
    </row>
    <row r="160" spans="1:2" x14ac:dyDescent="0.35">
      <c r="A160" s="5">
        <v>31382</v>
      </c>
      <c r="B160" s="55">
        <v>40.5</v>
      </c>
    </row>
    <row r="161" spans="1:2" x14ac:dyDescent="0.35">
      <c r="A161" s="5">
        <v>31472</v>
      </c>
      <c r="B161" s="55">
        <v>41.4</v>
      </c>
    </row>
    <row r="162" spans="1:2" x14ac:dyDescent="0.35">
      <c r="A162" s="5">
        <v>31564</v>
      </c>
      <c r="B162" s="55">
        <v>42.1</v>
      </c>
    </row>
    <row r="163" spans="1:2" x14ac:dyDescent="0.35">
      <c r="A163" s="5">
        <v>31656</v>
      </c>
      <c r="B163" s="55">
        <v>43.2</v>
      </c>
    </row>
    <row r="164" spans="1:2" x14ac:dyDescent="0.35">
      <c r="A164" s="5">
        <v>31747</v>
      </c>
      <c r="B164" s="55">
        <v>44.4</v>
      </c>
    </row>
    <row r="165" spans="1:2" x14ac:dyDescent="0.35">
      <c r="A165" s="5">
        <v>31837</v>
      </c>
      <c r="B165" s="55">
        <v>45.3</v>
      </c>
    </row>
    <row r="166" spans="1:2" x14ac:dyDescent="0.35">
      <c r="A166" s="5">
        <v>31929</v>
      </c>
      <c r="B166" s="55">
        <v>46</v>
      </c>
    </row>
    <row r="167" spans="1:2" x14ac:dyDescent="0.35">
      <c r="A167" s="5">
        <v>32021</v>
      </c>
      <c r="B167" s="55">
        <v>46.8</v>
      </c>
    </row>
    <row r="168" spans="1:2" x14ac:dyDescent="0.35">
      <c r="A168" s="5">
        <v>32112</v>
      </c>
      <c r="B168" s="55">
        <v>47.6</v>
      </c>
    </row>
    <row r="169" spans="1:2" x14ac:dyDescent="0.35">
      <c r="A169" s="5">
        <v>32203</v>
      </c>
      <c r="B169" s="55">
        <v>48.4</v>
      </c>
    </row>
    <row r="170" spans="1:2" x14ac:dyDescent="0.35">
      <c r="A170" s="5">
        <v>32295</v>
      </c>
      <c r="B170" s="55">
        <v>49.3</v>
      </c>
    </row>
    <row r="171" spans="1:2" x14ac:dyDescent="0.35">
      <c r="A171" s="5">
        <v>32387</v>
      </c>
      <c r="B171" s="55">
        <v>50.2</v>
      </c>
    </row>
    <row r="172" spans="1:2" x14ac:dyDescent="0.35">
      <c r="A172" s="5">
        <v>32478</v>
      </c>
      <c r="B172" s="55">
        <v>51.2</v>
      </c>
    </row>
    <row r="173" spans="1:2" x14ac:dyDescent="0.35">
      <c r="A173" s="5">
        <v>32568</v>
      </c>
      <c r="B173" s="55">
        <v>51.7</v>
      </c>
    </row>
    <row r="174" spans="1:2" x14ac:dyDescent="0.35">
      <c r="A174" s="5">
        <v>32660</v>
      </c>
      <c r="B174" s="55">
        <v>53</v>
      </c>
    </row>
    <row r="175" spans="1:2" x14ac:dyDescent="0.35">
      <c r="A175" s="5">
        <v>32752</v>
      </c>
      <c r="B175" s="55">
        <v>54.2</v>
      </c>
    </row>
    <row r="176" spans="1:2" x14ac:dyDescent="0.35">
      <c r="A176" s="5">
        <v>32843</v>
      </c>
      <c r="B176" s="55">
        <v>55.2</v>
      </c>
    </row>
    <row r="177" spans="1:2" x14ac:dyDescent="0.35">
      <c r="A177" s="5">
        <v>32933</v>
      </c>
      <c r="B177" s="55">
        <v>56.2</v>
      </c>
    </row>
    <row r="178" spans="1:2" x14ac:dyDescent="0.35">
      <c r="A178" s="5">
        <v>33025</v>
      </c>
      <c r="B178" s="55">
        <v>57.1</v>
      </c>
    </row>
    <row r="179" spans="1:2" x14ac:dyDescent="0.35">
      <c r="A179" s="5">
        <v>33117</v>
      </c>
      <c r="B179" s="55">
        <v>57.5</v>
      </c>
    </row>
    <row r="180" spans="1:2" x14ac:dyDescent="0.35">
      <c r="A180" s="5">
        <v>33208</v>
      </c>
      <c r="B180" s="55">
        <v>59</v>
      </c>
    </row>
    <row r="181" spans="1:2" x14ac:dyDescent="0.35">
      <c r="A181" s="5">
        <v>33298</v>
      </c>
      <c r="B181" s="55">
        <v>58.9</v>
      </c>
    </row>
    <row r="182" spans="1:2" x14ac:dyDescent="0.35">
      <c r="A182" s="5">
        <v>33390</v>
      </c>
      <c r="B182" s="55">
        <v>59</v>
      </c>
    </row>
    <row r="183" spans="1:2" x14ac:dyDescent="0.35">
      <c r="A183" s="5">
        <v>33482</v>
      </c>
      <c r="B183" s="55">
        <v>59.3</v>
      </c>
    </row>
    <row r="184" spans="1:2" x14ac:dyDescent="0.35">
      <c r="A184" s="5">
        <v>33573</v>
      </c>
      <c r="B184" s="55">
        <v>59.9</v>
      </c>
    </row>
    <row r="185" spans="1:2" x14ac:dyDescent="0.35">
      <c r="A185" s="5">
        <v>33664</v>
      </c>
      <c r="B185" s="55">
        <v>59.9</v>
      </c>
    </row>
    <row r="186" spans="1:2" x14ac:dyDescent="0.35">
      <c r="A186" s="5">
        <v>33756</v>
      </c>
      <c r="B186" s="55">
        <v>59.7</v>
      </c>
    </row>
    <row r="187" spans="1:2" x14ac:dyDescent="0.35">
      <c r="A187" s="5">
        <v>33848</v>
      </c>
      <c r="B187" s="55">
        <v>59.8</v>
      </c>
    </row>
    <row r="188" spans="1:2" x14ac:dyDescent="0.35">
      <c r="A188" s="5">
        <v>33939</v>
      </c>
      <c r="B188" s="55">
        <v>60.1</v>
      </c>
    </row>
    <row r="189" spans="1:2" x14ac:dyDescent="0.35">
      <c r="A189" s="5">
        <v>34029</v>
      </c>
      <c r="B189" s="55">
        <v>60.6</v>
      </c>
    </row>
    <row r="190" spans="1:2" x14ac:dyDescent="0.35">
      <c r="A190" s="5">
        <v>34121</v>
      </c>
      <c r="B190" s="55">
        <v>60.8</v>
      </c>
    </row>
    <row r="191" spans="1:2" x14ac:dyDescent="0.35">
      <c r="A191" s="5">
        <v>34213</v>
      </c>
      <c r="B191" s="55">
        <v>61.1</v>
      </c>
    </row>
    <row r="192" spans="1:2" x14ac:dyDescent="0.35">
      <c r="A192" s="5">
        <v>34304</v>
      </c>
      <c r="B192" s="55">
        <v>61.2</v>
      </c>
    </row>
    <row r="193" spans="1:2" x14ac:dyDescent="0.35">
      <c r="A193" s="5">
        <v>34394</v>
      </c>
      <c r="B193" s="55">
        <v>61.5</v>
      </c>
    </row>
    <row r="194" spans="1:2" x14ac:dyDescent="0.35">
      <c r="A194" s="5">
        <v>34486</v>
      </c>
      <c r="B194" s="55">
        <v>61.9</v>
      </c>
    </row>
    <row r="195" spans="1:2" x14ac:dyDescent="0.35">
      <c r="A195" s="5">
        <v>34578</v>
      </c>
      <c r="B195" s="55">
        <v>62.3</v>
      </c>
    </row>
    <row r="196" spans="1:2" x14ac:dyDescent="0.35">
      <c r="A196" s="5">
        <v>34669</v>
      </c>
      <c r="B196" s="55">
        <v>62.8</v>
      </c>
    </row>
    <row r="197" spans="1:2" x14ac:dyDescent="0.35">
      <c r="A197" s="5">
        <v>34759</v>
      </c>
      <c r="B197" s="55">
        <v>63.8</v>
      </c>
    </row>
    <row r="198" spans="1:2" x14ac:dyDescent="0.35">
      <c r="A198" s="5">
        <v>34851</v>
      </c>
      <c r="B198" s="55">
        <v>64.7</v>
      </c>
    </row>
    <row r="199" spans="1:2" x14ac:dyDescent="0.35">
      <c r="A199" s="5">
        <v>34943</v>
      </c>
      <c r="B199" s="55">
        <v>65.5</v>
      </c>
    </row>
    <row r="200" spans="1:2" x14ac:dyDescent="0.35">
      <c r="A200" s="5">
        <v>35034</v>
      </c>
      <c r="B200" s="55">
        <v>66</v>
      </c>
    </row>
    <row r="201" spans="1:2" x14ac:dyDescent="0.35">
      <c r="A201" s="5">
        <v>35125</v>
      </c>
      <c r="B201" s="55">
        <v>66.2</v>
      </c>
    </row>
    <row r="202" spans="1:2" x14ac:dyDescent="0.35">
      <c r="A202" s="5">
        <v>35217</v>
      </c>
      <c r="B202" s="55">
        <v>66.7</v>
      </c>
    </row>
    <row r="203" spans="1:2" x14ac:dyDescent="0.35">
      <c r="A203" s="5">
        <v>35309</v>
      </c>
      <c r="B203" s="55">
        <v>66.900000000000006</v>
      </c>
    </row>
    <row r="204" spans="1:2" x14ac:dyDescent="0.35">
      <c r="A204" s="5">
        <v>35400</v>
      </c>
      <c r="B204" s="55">
        <v>67</v>
      </c>
    </row>
    <row r="205" spans="1:2" x14ac:dyDescent="0.35">
      <c r="A205" s="5">
        <v>35490</v>
      </c>
      <c r="B205" s="55">
        <v>67.099999999999994</v>
      </c>
    </row>
    <row r="206" spans="1:2" x14ac:dyDescent="0.35">
      <c r="A206" s="5">
        <v>35582</v>
      </c>
      <c r="B206" s="55">
        <v>66.900000000000006</v>
      </c>
    </row>
    <row r="207" spans="1:2" x14ac:dyDescent="0.35">
      <c r="A207" s="5">
        <v>35674</v>
      </c>
      <c r="B207" s="55">
        <v>66.599999999999994</v>
      </c>
    </row>
    <row r="208" spans="1:2" x14ac:dyDescent="0.35">
      <c r="A208" s="5">
        <v>35765</v>
      </c>
      <c r="B208" s="55">
        <v>66.8</v>
      </c>
    </row>
    <row r="209" spans="1:2" x14ac:dyDescent="0.35">
      <c r="A209" s="5">
        <v>35855</v>
      </c>
      <c r="B209" s="55">
        <v>67</v>
      </c>
    </row>
    <row r="210" spans="1:2" x14ac:dyDescent="0.35">
      <c r="A210" s="5">
        <v>35947</v>
      </c>
      <c r="B210" s="55">
        <v>67.400000000000006</v>
      </c>
    </row>
    <row r="211" spans="1:2" x14ac:dyDescent="0.35">
      <c r="A211" s="5">
        <v>36039</v>
      </c>
      <c r="B211" s="55">
        <v>67.5</v>
      </c>
    </row>
    <row r="212" spans="1:2" x14ac:dyDescent="0.35">
      <c r="A212" s="5">
        <v>36130</v>
      </c>
      <c r="B212" s="55">
        <v>67.8</v>
      </c>
    </row>
    <row r="213" spans="1:2" x14ac:dyDescent="0.35">
      <c r="A213" s="5">
        <v>36220</v>
      </c>
      <c r="B213" s="55">
        <v>67.8</v>
      </c>
    </row>
    <row r="214" spans="1:2" x14ac:dyDescent="0.35">
      <c r="A214" s="5">
        <v>36312</v>
      </c>
      <c r="B214" s="55">
        <v>68.099999999999994</v>
      </c>
    </row>
    <row r="215" spans="1:2" x14ac:dyDescent="0.35">
      <c r="A215" s="5">
        <v>36404</v>
      </c>
      <c r="B215" s="55">
        <v>68.7</v>
      </c>
    </row>
    <row r="216" spans="1:2" x14ac:dyDescent="0.35">
      <c r="A216" s="5">
        <v>36495</v>
      </c>
      <c r="B216" s="55">
        <v>69.099999999999994</v>
      </c>
    </row>
    <row r="217" spans="1:2" x14ac:dyDescent="0.35">
      <c r="A217" s="5">
        <v>36586</v>
      </c>
      <c r="B217" s="55">
        <v>69.7</v>
      </c>
    </row>
    <row r="218" spans="1:2" x14ac:dyDescent="0.35">
      <c r="A218" s="5">
        <v>36678</v>
      </c>
      <c r="B218" s="55">
        <v>70.2</v>
      </c>
    </row>
    <row r="219" spans="1:2" x14ac:dyDescent="0.35">
      <c r="A219" s="5">
        <v>36770</v>
      </c>
      <c r="B219" s="55">
        <v>72.900000000000006</v>
      </c>
    </row>
    <row r="220" spans="1:2" x14ac:dyDescent="0.35">
      <c r="A220" s="5">
        <v>36861</v>
      </c>
      <c r="B220" s="55">
        <v>73.099999999999994</v>
      </c>
    </row>
    <row r="221" spans="1:2" x14ac:dyDescent="0.35">
      <c r="A221" s="5">
        <v>36951</v>
      </c>
      <c r="B221" s="55">
        <v>73.900000000000006</v>
      </c>
    </row>
    <row r="222" spans="1:2" x14ac:dyDescent="0.35">
      <c r="A222" s="5">
        <v>37043</v>
      </c>
      <c r="B222" s="55">
        <v>74.5</v>
      </c>
    </row>
    <row r="223" spans="1:2" x14ac:dyDescent="0.35">
      <c r="A223" s="5">
        <v>37135</v>
      </c>
      <c r="B223" s="55">
        <v>74.7</v>
      </c>
    </row>
    <row r="224" spans="1:2" x14ac:dyDescent="0.35">
      <c r="A224" s="5">
        <v>37226</v>
      </c>
      <c r="B224" s="55">
        <v>75.400000000000006</v>
      </c>
    </row>
    <row r="225" spans="1:2" x14ac:dyDescent="0.35">
      <c r="A225" s="5">
        <v>37316</v>
      </c>
      <c r="B225" s="55">
        <v>76.099999999999994</v>
      </c>
    </row>
    <row r="226" spans="1:2" x14ac:dyDescent="0.35">
      <c r="A226" s="5">
        <v>37408</v>
      </c>
      <c r="B226" s="55">
        <v>76.599999999999994</v>
      </c>
    </row>
    <row r="227" spans="1:2" x14ac:dyDescent="0.35">
      <c r="A227" s="5">
        <v>37500</v>
      </c>
      <c r="B227" s="55">
        <v>77.099999999999994</v>
      </c>
    </row>
    <row r="228" spans="1:2" x14ac:dyDescent="0.35">
      <c r="A228" s="5">
        <v>37591</v>
      </c>
      <c r="B228" s="55">
        <v>77.599999999999994</v>
      </c>
    </row>
    <row r="229" spans="1:2" x14ac:dyDescent="0.35">
      <c r="A229" s="5">
        <v>37681</v>
      </c>
      <c r="B229" s="55">
        <v>78.599999999999994</v>
      </c>
    </row>
    <row r="230" spans="1:2" x14ac:dyDescent="0.35">
      <c r="A230" s="5">
        <v>37773</v>
      </c>
      <c r="B230" s="55">
        <v>78.599999999999994</v>
      </c>
    </row>
    <row r="231" spans="1:2" x14ac:dyDescent="0.35">
      <c r="A231" s="5">
        <v>37865</v>
      </c>
      <c r="B231" s="55">
        <v>79.099999999999994</v>
      </c>
    </row>
    <row r="232" spans="1:2" x14ac:dyDescent="0.35">
      <c r="A232" s="5">
        <v>37956</v>
      </c>
      <c r="B232" s="55">
        <v>79.5</v>
      </c>
    </row>
    <row r="233" spans="1:2" x14ac:dyDescent="0.35">
      <c r="A233" s="5">
        <v>38047</v>
      </c>
      <c r="B233" s="55">
        <v>80.2</v>
      </c>
    </row>
    <row r="234" spans="1:2" x14ac:dyDescent="0.35">
      <c r="A234" s="5">
        <v>38139</v>
      </c>
      <c r="B234" s="55">
        <v>80.599999999999994</v>
      </c>
    </row>
    <row r="235" spans="1:2" x14ac:dyDescent="0.35">
      <c r="A235" s="5">
        <v>38231</v>
      </c>
      <c r="B235" s="55">
        <v>80.900000000000006</v>
      </c>
    </row>
    <row r="236" spans="1:2" x14ac:dyDescent="0.35">
      <c r="A236" s="5">
        <v>38322</v>
      </c>
      <c r="B236" s="55">
        <v>81.5</v>
      </c>
    </row>
    <row r="237" spans="1:2" x14ac:dyDescent="0.35">
      <c r="A237" s="5">
        <v>38412</v>
      </c>
      <c r="B237" s="55">
        <v>82.1</v>
      </c>
    </row>
    <row r="238" spans="1:2" x14ac:dyDescent="0.35">
      <c r="A238" s="5">
        <v>38504</v>
      </c>
      <c r="B238" s="55">
        <v>82.6</v>
      </c>
    </row>
    <row r="239" spans="1:2" x14ac:dyDescent="0.35">
      <c r="A239" s="5">
        <v>38596</v>
      </c>
      <c r="B239" s="55">
        <v>83.4</v>
      </c>
    </row>
    <row r="240" spans="1:2" x14ac:dyDescent="0.35">
      <c r="A240" s="5">
        <v>38687</v>
      </c>
      <c r="B240" s="55">
        <v>83.8</v>
      </c>
    </row>
    <row r="241" spans="1:2" x14ac:dyDescent="0.35">
      <c r="A241" s="5">
        <v>38777</v>
      </c>
      <c r="B241" s="55">
        <v>84.5</v>
      </c>
    </row>
    <row r="242" spans="1:2" x14ac:dyDescent="0.35">
      <c r="A242" s="5">
        <v>38869</v>
      </c>
      <c r="B242" s="55">
        <v>85.9</v>
      </c>
    </row>
    <row r="243" spans="1:2" x14ac:dyDescent="0.35">
      <c r="A243" s="5">
        <v>38961</v>
      </c>
      <c r="B243" s="55">
        <v>86.7</v>
      </c>
    </row>
    <row r="244" spans="1:2" x14ac:dyDescent="0.35">
      <c r="A244" s="5">
        <v>39052</v>
      </c>
      <c r="B244" s="55">
        <v>86.6</v>
      </c>
    </row>
    <row r="245" spans="1:2" x14ac:dyDescent="0.35">
      <c r="A245" s="5">
        <v>39142</v>
      </c>
      <c r="B245" s="55">
        <v>86.6</v>
      </c>
    </row>
    <row r="246" spans="1:2" x14ac:dyDescent="0.35">
      <c r="A246" s="5">
        <v>39234</v>
      </c>
      <c r="B246" s="55">
        <v>87.7</v>
      </c>
    </row>
    <row r="247" spans="1:2" x14ac:dyDescent="0.35">
      <c r="A247" s="5">
        <v>39326</v>
      </c>
      <c r="B247" s="55">
        <v>88.3</v>
      </c>
    </row>
    <row r="248" spans="1:2" x14ac:dyDescent="0.35">
      <c r="A248" s="5">
        <v>39417</v>
      </c>
      <c r="B248" s="55">
        <v>89.1</v>
      </c>
    </row>
    <row r="249" spans="1:2" x14ac:dyDescent="0.35">
      <c r="A249" s="5">
        <v>39508</v>
      </c>
      <c r="B249" s="55">
        <v>90.3</v>
      </c>
    </row>
    <row r="250" spans="1:2" x14ac:dyDescent="0.35">
      <c r="A250" s="5">
        <v>39600</v>
      </c>
      <c r="B250" s="55">
        <v>91.6</v>
      </c>
    </row>
    <row r="251" spans="1:2" x14ac:dyDescent="0.35">
      <c r="A251" s="5">
        <v>39692</v>
      </c>
      <c r="B251" s="55">
        <v>92.7</v>
      </c>
    </row>
    <row r="252" spans="1:2" x14ac:dyDescent="0.35">
      <c r="A252" s="5">
        <v>39783</v>
      </c>
      <c r="B252" s="55">
        <v>92.4</v>
      </c>
    </row>
    <row r="253" spans="1:2" x14ac:dyDescent="0.35">
      <c r="A253" s="5">
        <v>39873</v>
      </c>
      <c r="B253" s="55">
        <v>92.5</v>
      </c>
    </row>
    <row r="254" spans="1:2" x14ac:dyDescent="0.35">
      <c r="A254" s="5">
        <v>39965</v>
      </c>
      <c r="B254" s="55">
        <v>92.9</v>
      </c>
    </row>
    <row r="255" spans="1:2" x14ac:dyDescent="0.35">
      <c r="A255" s="5">
        <v>40057</v>
      </c>
      <c r="B255" s="55">
        <v>93.8</v>
      </c>
    </row>
    <row r="256" spans="1:2" x14ac:dyDescent="0.35">
      <c r="A256" s="5">
        <v>40148</v>
      </c>
      <c r="B256" s="55">
        <v>94.3</v>
      </c>
    </row>
    <row r="257" spans="1:2" x14ac:dyDescent="0.35">
      <c r="A257" s="5">
        <v>40238</v>
      </c>
      <c r="B257" s="55">
        <v>95.2</v>
      </c>
    </row>
    <row r="258" spans="1:2" x14ac:dyDescent="0.35">
      <c r="A258" s="5">
        <v>40330</v>
      </c>
      <c r="B258" s="55">
        <v>95.8</v>
      </c>
    </row>
    <row r="259" spans="1:2" x14ac:dyDescent="0.35">
      <c r="A259" s="5">
        <v>40422</v>
      </c>
      <c r="B259" s="55">
        <v>96.5</v>
      </c>
    </row>
    <row r="260" spans="1:2" x14ac:dyDescent="0.35">
      <c r="A260" s="5">
        <v>40513</v>
      </c>
      <c r="B260" s="55">
        <v>96.9</v>
      </c>
    </row>
    <row r="261" spans="1:2" x14ac:dyDescent="0.35">
      <c r="A261" s="5">
        <v>40603</v>
      </c>
      <c r="B261" s="55">
        <v>98.3</v>
      </c>
    </row>
    <row r="262" spans="1:2" x14ac:dyDescent="0.35">
      <c r="A262" s="5">
        <v>40695</v>
      </c>
      <c r="B262" s="55">
        <v>99.2</v>
      </c>
    </row>
    <row r="263" spans="1:2" x14ac:dyDescent="0.35">
      <c r="A263" s="5">
        <v>40787</v>
      </c>
      <c r="B263" s="55">
        <v>99.8</v>
      </c>
    </row>
    <row r="264" spans="1:2" x14ac:dyDescent="0.35">
      <c r="A264" s="5">
        <v>40878</v>
      </c>
      <c r="B264" s="55">
        <v>99.8</v>
      </c>
    </row>
    <row r="265" spans="1:2" x14ac:dyDescent="0.35">
      <c r="A265" s="5">
        <v>40969</v>
      </c>
      <c r="B265" s="55">
        <v>99.9</v>
      </c>
    </row>
    <row r="266" spans="1:2" x14ac:dyDescent="0.35">
      <c r="A266" s="5">
        <v>41061</v>
      </c>
      <c r="B266" s="55">
        <v>100.4</v>
      </c>
    </row>
    <row r="267" spans="1:2" x14ac:dyDescent="0.35">
      <c r="A267" s="5">
        <v>41153</v>
      </c>
      <c r="B267" s="55">
        <v>101.8</v>
      </c>
    </row>
    <row r="268" spans="1:2" x14ac:dyDescent="0.35">
      <c r="A268" s="5">
        <v>41244</v>
      </c>
      <c r="B268" s="55">
        <v>102</v>
      </c>
    </row>
    <row r="269" spans="1:2" x14ac:dyDescent="0.35">
      <c r="A269" s="5">
        <v>41334</v>
      </c>
      <c r="B269" s="55">
        <v>102.4</v>
      </c>
    </row>
    <row r="270" spans="1:2" x14ac:dyDescent="0.35">
      <c r="A270" s="5">
        <v>41426</v>
      </c>
      <c r="B270" s="55">
        <v>102.8</v>
      </c>
    </row>
    <row r="271" spans="1:2" x14ac:dyDescent="0.35">
      <c r="A271" s="5">
        <v>41518</v>
      </c>
      <c r="B271" s="55">
        <v>104</v>
      </c>
    </row>
    <row r="272" spans="1:2" x14ac:dyDescent="0.35">
      <c r="A272" s="5">
        <v>41609</v>
      </c>
      <c r="B272" s="55">
        <v>104.8</v>
      </c>
    </row>
    <row r="273" spans="1:2" x14ac:dyDescent="0.35">
      <c r="A273" s="5">
        <v>41699</v>
      </c>
      <c r="B273" s="55">
        <v>105.4</v>
      </c>
    </row>
    <row r="274" spans="1:2" x14ac:dyDescent="0.35">
      <c r="A274" s="5">
        <v>41791</v>
      </c>
      <c r="B274" s="55">
        <v>105.9</v>
      </c>
    </row>
    <row r="275" spans="1:2" x14ac:dyDescent="0.35">
      <c r="A275" s="5">
        <v>41883</v>
      </c>
      <c r="B275" s="55">
        <v>106.4</v>
      </c>
    </row>
    <row r="276" spans="1:2" x14ac:dyDescent="0.35">
      <c r="A276" s="5">
        <v>41974</v>
      </c>
      <c r="B276" s="55">
        <v>106.6</v>
      </c>
    </row>
    <row r="277" spans="1:2" x14ac:dyDescent="0.35">
      <c r="A277" s="5">
        <v>42064</v>
      </c>
      <c r="B277" s="55">
        <v>106.8</v>
      </c>
    </row>
    <row r="278" spans="1:2" x14ac:dyDescent="0.35">
      <c r="A278" s="5">
        <v>42156</v>
      </c>
      <c r="B278" s="55">
        <v>107.5</v>
      </c>
    </row>
    <row r="279" spans="1:2" x14ac:dyDescent="0.35">
      <c r="A279" s="5">
        <v>42248</v>
      </c>
      <c r="B279" s="55">
        <v>108</v>
      </c>
    </row>
    <row r="280" spans="1:2" x14ac:dyDescent="0.35">
      <c r="A280" s="5">
        <v>42339</v>
      </c>
      <c r="B280" s="55">
        <v>108.4</v>
      </c>
    </row>
    <row r="281" spans="1:2" x14ac:dyDescent="0.35">
      <c r="A281" s="5">
        <v>42430</v>
      </c>
      <c r="B281" s="55">
        <v>108.2</v>
      </c>
    </row>
    <row r="282" spans="1:2" x14ac:dyDescent="0.35">
      <c r="A282" s="5">
        <v>42522</v>
      </c>
      <c r="B282" s="55">
        <v>108.6</v>
      </c>
    </row>
    <row r="283" spans="1:2" x14ac:dyDescent="0.35">
      <c r="A283" s="5">
        <v>42614</v>
      </c>
      <c r="B283" s="55">
        <v>109.4</v>
      </c>
    </row>
    <row r="284" spans="1:2" x14ac:dyDescent="0.35">
      <c r="A284" s="5">
        <v>42705</v>
      </c>
      <c r="B284" s="55">
        <v>110</v>
      </c>
    </row>
    <row r="285" spans="1:2" x14ac:dyDescent="0.35">
      <c r="A285" s="5">
        <v>42795</v>
      </c>
      <c r="B285" s="55">
        <v>110.5</v>
      </c>
    </row>
    <row r="286" spans="1:2" x14ac:dyDescent="0.35">
      <c r="A286" s="5">
        <v>42887</v>
      </c>
      <c r="B286" s="55">
        <v>110.7</v>
      </c>
    </row>
    <row r="287" spans="1:2" x14ac:dyDescent="0.35">
      <c r="A287" s="5">
        <v>42979</v>
      </c>
      <c r="B287" s="55">
        <v>111.4</v>
      </c>
    </row>
    <row r="288" spans="1:2" x14ac:dyDescent="0.35">
      <c r="A288" s="5">
        <v>43070</v>
      </c>
      <c r="B288" s="55">
        <v>112.1</v>
      </c>
    </row>
    <row r="289" spans="1:17" x14ac:dyDescent="0.35">
      <c r="A289" s="5">
        <v>43160</v>
      </c>
      <c r="B289" s="55">
        <v>112.6</v>
      </c>
    </row>
    <row r="290" spans="1:17" x14ac:dyDescent="0.35">
      <c r="A290" s="57">
        <v>43252</v>
      </c>
      <c r="B290" s="55">
        <v>113</v>
      </c>
    </row>
    <row r="291" spans="1:17" x14ac:dyDescent="0.35">
      <c r="A291" s="57">
        <v>43344</v>
      </c>
      <c r="B291" s="55">
        <v>113.5</v>
      </c>
    </row>
    <row r="292" spans="1:17" x14ac:dyDescent="0.35">
      <c r="A292" s="57">
        <v>43435</v>
      </c>
      <c r="B292" s="55">
        <v>114.1</v>
      </c>
    </row>
    <row r="293" spans="1:17" x14ac:dyDescent="0.35">
      <c r="A293" s="57">
        <v>43525</v>
      </c>
      <c r="B293" s="55">
        <v>114.1</v>
      </c>
    </row>
    <row r="294" spans="1:17" x14ac:dyDescent="0.35">
      <c r="A294" s="57">
        <v>43617</v>
      </c>
      <c r="B294" s="55">
        <v>114.8</v>
      </c>
    </row>
    <row r="295" spans="1:17" x14ac:dyDescent="0.35">
      <c r="A295" s="59">
        <v>43709</v>
      </c>
      <c r="B295" s="75">
        <v>115.4</v>
      </c>
    </row>
    <row r="296" spans="1:17" x14ac:dyDescent="0.35">
      <c r="A296" s="59">
        <v>43800</v>
      </c>
      <c r="B296" s="60">
        <v>116.2</v>
      </c>
    </row>
    <row r="297" spans="1:17" x14ac:dyDescent="0.35">
      <c r="A297" s="59">
        <v>43891</v>
      </c>
      <c r="B297" s="60">
        <v>116.6</v>
      </c>
    </row>
    <row r="298" spans="1:17" x14ac:dyDescent="0.35">
      <c r="A298" s="59">
        <v>43983</v>
      </c>
      <c r="B298" s="60">
        <v>114.4</v>
      </c>
    </row>
    <row r="299" spans="1:17" x14ac:dyDescent="0.35">
      <c r="A299"/>
      <c r="B299"/>
      <c r="M299" s="17"/>
      <c r="O299" s="24"/>
      <c r="Q299"/>
    </row>
    <row r="300" spans="1:17" x14ac:dyDescent="0.35">
      <c r="A300"/>
      <c r="B300"/>
      <c r="M300" s="17"/>
      <c r="O300" s="24"/>
      <c r="Q300"/>
    </row>
    <row r="301" spans="1:17" x14ac:dyDescent="0.35">
      <c r="A301"/>
      <c r="B301"/>
      <c r="M301" s="17"/>
      <c r="O301" s="24"/>
      <c r="Q301"/>
    </row>
    <row r="302" spans="1:17" x14ac:dyDescent="0.35">
      <c r="A302"/>
      <c r="B302"/>
      <c r="M302" s="17"/>
      <c r="O302" s="24"/>
      <c r="Q302"/>
    </row>
    <row r="303" spans="1:17" x14ac:dyDescent="0.35">
      <c r="A303"/>
      <c r="B303"/>
      <c r="M303" s="17"/>
      <c r="O303" s="24"/>
      <c r="Q303"/>
    </row>
    <row r="304" spans="1:17" x14ac:dyDescent="0.35">
      <c r="A304"/>
      <c r="B304"/>
      <c r="M304" s="17"/>
      <c r="O304" s="24"/>
      <c r="Q304"/>
    </row>
  </sheetData>
  <dataValidations count="1">
    <dataValidation type="list" allowBlank="1" showInputMessage="1" showErrorMessage="1" sqref="E7">
      <formula1>$F$2:$S$2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4</vt:i4>
      </vt:variant>
    </vt:vector>
  </HeadingPairs>
  <TitlesOfParts>
    <vt:vector size="16" baseType="lpstr">
      <vt:lpstr>Readme</vt:lpstr>
      <vt:lpstr>TNSP Charts-updated</vt:lpstr>
      <vt:lpstr>TNSP Analysis</vt:lpstr>
      <vt:lpstr>Asset cost and Total cost</vt:lpstr>
      <vt:lpstr>Opex</vt:lpstr>
      <vt:lpstr>RAB</vt:lpstr>
      <vt:lpstr>Depreciation</vt:lpstr>
      <vt:lpstr>Capex</vt:lpstr>
      <vt:lpstr>CPI</vt:lpstr>
      <vt:lpstr>Physical data</vt:lpstr>
      <vt:lpstr>Network characteristics charts</vt:lpstr>
      <vt:lpstr>Network size table</vt:lpstr>
      <vt:lpstr>Readme!_GoBack</vt:lpstr>
      <vt:lpstr>'Physical data'!_Ref390772024</vt:lpstr>
      <vt:lpstr>currency_base</vt:lpstr>
      <vt:lpstr>Real_year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2015-11-26T04:54:25Z</dcterms:created>
  <dcterms:modified xsi:type="dcterms:W3CDTF">2020-11-23T01:48:12Z</dcterms:modified>
</cp:coreProperties>
</file>