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ktop\CRG\Key documents\"/>
    </mc:Choice>
  </mc:AlternateContent>
  <bookViews>
    <workbookView xWindow="3120" yWindow="8130" windowWidth="16245" windowHeight="1680" activeTab="2"/>
  </bookViews>
  <sheets>
    <sheet name="Gearing" sheetId="1" r:id="rId1"/>
    <sheet name="Sources" sheetId="2" r:id="rId2"/>
    <sheet name="Summary" sheetId="3" r:id="rId3"/>
  </sheets>
  <definedNames>
    <definedName name="_xlnm._FilterDatabase" localSheetId="2" hidden="1">Summary!#REF!</definedName>
  </definedNames>
  <calcPr calcId="162913" iterate="1"/>
</workbook>
</file>

<file path=xl/calcChain.xml><?xml version="1.0" encoding="utf-8"?>
<calcChain xmlns="http://schemas.openxmlformats.org/spreadsheetml/2006/main">
  <c r="G28" i="3" l="1"/>
  <c r="E28" i="3"/>
  <c r="D28" i="3"/>
  <c r="F29" i="3"/>
  <c r="D29" i="3"/>
  <c r="C29" i="3"/>
  <c r="G46" i="3"/>
  <c r="F46" i="3"/>
  <c r="D46" i="3"/>
  <c r="C46" i="3"/>
  <c r="G45" i="3"/>
  <c r="F45" i="3"/>
  <c r="D45" i="3"/>
  <c r="C45" i="3"/>
  <c r="E46" i="3"/>
  <c r="J46" i="3"/>
  <c r="E45" i="3"/>
  <c r="E29" i="3"/>
  <c r="G29" i="3"/>
  <c r="C28" i="3"/>
  <c r="F28" i="3"/>
  <c r="J28" i="3" l="1"/>
  <c r="J29" i="3"/>
  <c r="J45" i="3"/>
  <c r="F12" i="1"/>
  <c r="F13" i="1" s="1"/>
  <c r="N7" i="1"/>
  <c r="N12" i="1" s="1"/>
  <c r="L7" i="1"/>
  <c r="L12" i="1" s="1"/>
  <c r="C96" i="1"/>
  <c r="C92" i="1"/>
  <c r="C95" i="1" s="1"/>
  <c r="D92" i="1"/>
  <c r="D95" i="1" s="1"/>
  <c r="G92" i="1" l="1"/>
  <c r="H41" i="1" l="1"/>
  <c r="N79" i="1"/>
  <c r="M79" i="1"/>
  <c r="L79" i="1"/>
  <c r="K79" i="1"/>
  <c r="J79" i="1"/>
  <c r="I79" i="1"/>
  <c r="H79" i="1"/>
  <c r="G79" i="1"/>
  <c r="F79" i="1"/>
  <c r="E79" i="1"/>
  <c r="D79" i="1"/>
  <c r="D96" i="1" s="1"/>
  <c r="E85" i="1" l="1"/>
  <c r="K47" i="1" l="1"/>
  <c r="F28" i="1" l="1"/>
  <c r="H28" i="1"/>
  <c r="N32" i="1"/>
  <c r="F9" i="1"/>
  <c r="G30" i="1"/>
  <c r="G32" i="1" s="1"/>
  <c r="F96" i="1" l="1"/>
  <c r="G96" i="1"/>
  <c r="H96" i="1"/>
  <c r="I96" i="1"/>
  <c r="J96" i="1"/>
  <c r="K96" i="1"/>
  <c r="L96" i="1"/>
  <c r="M96" i="1"/>
  <c r="N96" i="1"/>
  <c r="E96" i="1"/>
  <c r="E94" i="1"/>
  <c r="F85" i="1"/>
  <c r="F94" i="1" s="1"/>
  <c r="G85" i="1"/>
  <c r="G94" i="1" s="1"/>
  <c r="H85" i="1"/>
  <c r="H94" i="1" s="1"/>
  <c r="I85" i="1"/>
  <c r="I94" i="1" s="1"/>
  <c r="J85" i="1"/>
  <c r="J94" i="1" s="1"/>
  <c r="K85" i="1"/>
  <c r="K94" i="1" s="1"/>
  <c r="L85" i="1"/>
  <c r="L94" i="1" s="1"/>
  <c r="M85" i="1"/>
  <c r="M94" i="1" s="1"/>
  <c r="N85" i="1"/>
  <c r="N94" i="1" s="1"/>
  <c r="F92" i="1"/>
  <c r="F95" i="1" s="1"/>
  <c r="G95" i="1"/>
  <c r="H92" i="1"/>
  <c r="H95" i="1" s="1"/>
  <c r="I92" i="1"/>
  <c r="I95" i="1" s="1"/>
  <c r="J92" i="1"/>
  <c r="J95" i="1" s="1"/>
  <c r="K92" i="1"/>
  <c r="K95" i="1" s="1"/>
  <c r="L92" i="1"/>
  <c r="L95" i="1" s="1"/>
  <c r="M92" i="1"/>
  <c r="M95" i="1" s="1"/>
  <c r="N92" i="1"/>
  <c r="N95" i="1" s="1"/>
  <c r="E92" i="1"/>
  <c r="E95" i="1" s="1"/>
  <c r="I97" i="1" l="1"/>
  <c r="I98" i="1" s="1"/>
  <c r="N97" i="1"/>
  <c r="N98" i="1" s="1"/>
  <c r="M97" i="1"/>
  <c r="M98" i="1" s="1"/>
  <c r="K97" i="1"/>
  <c r="K98" i="1" s="1"/>
  <c r="G97" i="1"/>
  <c r="G98" i="1" s="1"/>
  <c r="E97" i="1"/>
  <c r="L97" i="1"/>
  <c r="L98" i="1" s="1"/>
  <c r="J97" i="1"/>
  <c r="J98" i="1" s="1"/>
  <c r="H97" i="1"/>
  <c r="H98" i="1" s="1"/>
  <c r="F97" i="1"/>
  <c r="F98" i="1" s="1"/>
  <c r="E98" i="1" l="1"/>
  <c r="N56" i="1"/>
  <c r="M56" i="1"/>
  <c r="L56" i="1"/>
  <c r="K56" i="1"/>
  <c r="J56" i="1"/>
  <c r="I56" i="1"/>
  <c r="H56" i="1"/>
  <c r="G56" i="1"/>
  <c r="F56" i="1"/>
  <c r="E56" i="1"/>
  <c r="D56" i="1"/>
  <c r="C56" i="1"/>
  <c r="N41" i="1"/>
  <c r="N26" i="1" l="1"/>
  <c r="M41" i="1"/>
  <c r="L41" i="1"/>
  <c r="K41" i="1"/>
  <c r="J41" i="1"/>
  <c r="I41" i="1"/>
  <c r="G41" i="1"/>
  <c r="F41" i="1"/>
  <c r="N28" i="1" l="1"/>
  <c r="N35" i="1"/>
  <c r="E41" i="1"/>
  <c r="D41" i="1"/>
  <c r="M30" i="1"/>
  <c r="M32" i="1" s="1"/>
  <c r="L30" i="1"/>
  <c r="L32" i="1" s="1"/>
  <c r="M26" i="1"/>
  <c r="L26" i="1"/>
  <c r="K30" i="1"/>
  <c r="K32" i="1" s="1"/>
  <c r="J30" i="1"/>
  <c r="J32" i="1" s="1"/>
  <c r="K26" i="1"/>
  <c r="K28" i="1" s="1"/>
  <c r="J26" i="1"/>
  <c r="I30" i="1"/>
  <c r="I32" i="1" s="1"/>
  <c r="H30" i="1"/>
  <c r="H32" i="1" s="1"/>
  <c r="I26" i="1"/>
  <c r="I28" i="1" s="1"/>
  <c r="J28" i="1" l="1"/>
  <c r="J35" i="1"/>
  <c r="L28" i="1"/>
  <c r="L35" i="1"/>
  <c r="K35" i="1"/>
  <c r="M28" i="1"/>
  <c r="M35" i="1"/>
  <c r="N15" i="1"/>
  <c r="N17" i="1" s="1"/>
  <c r="L15" i="1"/>
  <c r="L17" i="1" s="1"/>
  <c r="M15" i="1"/>
  <c r="M17" i="1" s="1"/>
  <c r="M7" i="1"/>
  <c r="M12" i="1" s="1"/>
  <c r="N13" i="1" l="1"/>
  <c r="N19" i="1" s="1"/>
  <c r="N20" i="1"/>
  <c r="L13" i="1"/>
  <c r="L19" i="1" s="1"/>
  <c r="L20" i="1"/>
  <c r="M13" i="1"/>
  <c r="M19" i="1" s="1"/>
  <c r="M20" i="1"/>
  <c r="N9" i="1"/>
  <c r="M9" i="1"/>
  <c r="L9" i="1"/>
  <c r="K7" i="1"/>
  <c r="K12" i="1" s="1"/>
  <c r="J7" i="1"/>
  <c r="J12" i="1" s="1"/>
  <c r="K15" i="1"/>
  <c r="K17" i="1" s="1"/>
  <c r="J15" i="1"/>
  <c r="J17" i="1" s="1"/>
  <c r="I15" i="1"/>
  <c r="I17" i="1" s="1"/>
  <c r="H15" i="1"/>
  <c r="H17" i="1" s="1"/>
  <c r="I7" i="1"/>
  <c r="I12" i="1" s="1"/>
  <c r="H7" i="1"/>
  <c r="H12" i="1" s="1"/>
  <c r="G26" i="1"/>
  <c r="G28" i="1" s="1"/>
  <c r="F30" i="1"/>
  <c r="F32" i="1" s="1"/>
  <c r="F35" i="1" s="1"/>
  <c r="E30" i="1"/>
  <c r="E32" i="1" s="1"/>
  <c r="E26" i="1"/>
  <c r="D30" i="1"/>
  <c r="D32" i="1" s="1"/>
  <c r="C30" i="1"/>
  <c r="C32" i="1" s="1"/>
  <c r="D26" i="1"/>
  <c r="D28" i="1" s="1"/>
  <c r="C26" i="1"/>
  <c r="D9" i="1"/>
  <c r="E9" i="1"/>
  <c r="I13" i="1" l="1"/>
  <c r="I19" i="1" s="1"/>
  <c r="I20" i="1"/>
  <c r="J20" i="1"/>
  <c r="J13" i="1"/>
  <c r="J19" i="1" s="1"/>
  <c r="K13" i="1"/>
  <c r="K19" i="1" s="1"/>
  <c r="K20" i="1"/>
  <c r="H13" i="1"/>
  <c r="H19" i="1" s="1"/>
  <c r="H20" i="1"/>
  <c r="K9" i="1"/>
  <c r="C35" i="1"/>
  <c r="C28" i="1"/>
  <c r="C34" i="1" s="1"/>
  <c r="E28" i="1"/>
  <c r="E35" i="1"/>
  <c r="H9" i="1"/>
  <c r="J9" i="1"/>
  <c r="D35" i="1"/>
  <c r="I9" i="1"/>
  <c r="N77" i="1"/>
  <c r="M77" i="1"/>
  <c r="L77" i="1"/>
  <c r="K77" i="1"/>
  <c r="J77" i="1"/>
  <c r="I77" i="1"/>
  <c r="I104" i="1" s="1"/>
  <c r="H77" i="1"/>
  <c r="G77" i="1"/>
  <c r="F77" i="1"/>
  <c r="E77" i="1"/>
  <c r="E104" i="1" s="1"/>
  <c r="D77" i="1"/>
  <c r="C77" i="1"/>
  <c r="N73" i="1"/>
  <c r="M73" i="1"/>
  <c r="L73" i="1"/>
  <c r="K73" i="1"/>
  <c r="J73" i="1"/>
  <c r="I73" i="1"/>
  <c r="H73" i="1"/>
  <c r="G73" i="1"/>
  <c r="F73" i="1"/>
  <c r="E73" i="1"/>
  <c r="D73" i="1"/>
  <c r="C73" i="1"/>
  <c r="N62" i="1"/>
  <c r="N65" i="1" s="1"/>
  <c r="M62" i="1"/>
  <c r="M65" i="1" s="1"/>
  <c r="L62" i="1"/>
  <c r="L65" i="1" s="1"/>
  <c r="K62" i="1"/>
  <c r="K65" i="1" s="1"/>
  <c r="J62" i="1"/>
  <c r="J65" i="1" s="1"/>
  <c r="I62" i="1"/>
  <c r="I65" i="1" s="1"/>
  <c r="H62" i="1"/>
  <c r="H65" i="1" s="1"/>
  <c r="G62" i="1"/>
  <c r="G65" i="1" s="1"/>
  <c r="F62" i="1"/>
  <c r="F65" i="1" s="1"/>
  <c r="E62" i="1"/>
  <c r="E65" i="1" s="1"/>
  <c r="D62" i="1"/>
  <c r="D65" i="1" s="1"/>
  <c r="C62" i="1"/>
  <c r="C65" i="1" s="1"/>
  <c r="N58" i="1"/>
  <c r="N64" i="1" s="1"/>
  <c r="M58" i="1"/>
  <c r="L58" i="1"/>
  <c r="K58" i="1"/>
  <c r="J58" i="1"/>
  <c r="J64" i="1" s="1"/>
  <c r="I58" i="1"/>
  <c r="H58" i="1"/>
  <c r="G58" i="1"/>
  <c r="F58" i="1"/>
  <c r="E58" i="1"/>
  <c r="D58" i="1"/>
  <c r="C58" i="1"/>
  <c r="N47" i="1"/>
  <c r="N50" i="1" s="1"/>
  <c r="M47" i="1"/>
  <c r="M50" i="1" s="1"/>
  <c r="L47" i="1"/>
  <c r="L50" i="1" s="1"/>
  <c r="K50" i="1"/>
  <c r="J47" i="1"/>
  <c r="J50" i="1" s="1"/>
  <c r="I47" i="1"/>
  <c r="I50" i="1" s="1"/>
  <c r="H47" i="1"/>
  <c r="H50" i="1" s="1"/>
  <c r="G47" i="1"/>
  <c r="G50" i="1" s="1"/>
  <c r="F47" i="1"/>
  <c r="F50" i="1" s="1"/>
  <c r="E47" i="1"/>
  <c r="E50" i="1" s="1"/>
  <c r="D47" i="1"/>
  <c r="D50" i="1" s="1"/>
  <c r="C47" i="1"/>
  <c r="C50" i="1" s="1"/>
  <c r="N43" i="1"/>
  <c r="M43" i="1"/>
  <c r="L43" i="1"/>
  <c r="K43" i="1"/>
  <c r="J43" i="1"/>
  <c r="I43" i="1"/>
  <c r="H43" i="1"/>
  <c r="G43" i="1"/>
  <c r="F43" i="1"/>
  <c r="E43" i="1"/>
  <c r="E49" i="1" s="1"/>
  <c r="D43" i="1"/>
  <c r="C43" i="1"/>
  <c r="C49" i="1" s="1"/>
  <c r="I35" i="1"/>
  <c r="H35" i="1"/>
  <c r="G35" i="1"/>
  <c r="E17" i="1"/>
  <c r="E20" i="1" s="1"/>
  <c r="D17" i="1"/>
  <c r="D20" i="1" s="1"/>
  <c r="C17" i="1"/>
  <c r="C20" i="1" s="1"/>
  <c r="G15" i="1"/>
  <c r="G17" i="1" s="1"/>
  <c r="F15" i="1"/>
  <c r="F17" i="1" s="1"/>
  <c r="C9" i="1"/>
  <c r="G7" i="1"/>
  <c r="G12" i="1" s="1"/>
  <c r="G13" i="1" l="1"/>
  <c r="G19" i="1" s="1"/>
  <c r="G20" i="1"/>
  <c r="F20" i="1"/>
  <c r="F19" i="1"/>
  <c r="G9" i="1"/>
  <c r="D8" i="3"/>
  <c r="E8" i="3"/>
  <c r="D9" i="3"/>
  <c r="E9" i="3"/>
  <c r="E7" i="3"/>
  <c r="D7" i="3"/>
  <c r="D19" i="1"/>
  <c r="F104" i="1"/>
  <c r="F103" i="1"/>
  <c r="H104" i="1"/>
  <c r="H103" i="1"/>
  <c r="J104" i="1"/>
  <c r="J103" i="1"/>
  <c r="L104" i="1"/>
  <c r="L103" i="1"/>
  <c r="N104" i="1"/>
  <c r="N103" i="1"/>
  <c r="C19" i="1"/>
  <c r="E19" i="1"/>
  <c r="E103" i="1"/>
  <c r="G104" i="1"/>
  <c r="G103" i="1"/>
  <c r="I103" i="1"/>
  <c r="K104" i="1"/>
  <c r="K103" i="1"/>
  <c r="M104" i="1"/>
  <c r="M103" i="1"/>
  <c r="D6" i="3"/>
  <c r="R50" i="1"/>
  <c r="R65" i="1"/>
  <c r="I64" i="1"/>
  <c r="K34" i="1"/>
  <c r="F64" i="1"/>
  <c r="M64" i="1"/>
  <c r="L64" i="1"/>
  <c r="K64" i="1"/>
  <c r="H64" i="1"/>
  <c r="G64" i="1"/>
  <c r="E64" i="1"/>
  <c r="D64" i="1"/>
  <c r="C64" i="1"/>
  <c r="N49" i="1"/>
  <c r="N34" i="1"/>
  <c r="G49" i="1"/>
  <c r="M49" i="1"/>
  <c r="L49" i="1"/>
  <c r="K49" i="1"/>
  <c r="J49" i="1"/>
  <c r="H49" i="1"/>
  <c r="I49" i="1"/>
  <c r="F49" i="1"/>
  <c r="D49" i="1"/>
  <c r="M34" i="1"/>
  <c r="L34" i="1"/>
  <c r="J34" i="1"/>
  <c r="I34" i="1"/>
  <c r="H34" i="1"/>
  <c r="G34" i="1"/>
  <c r="F34" i="1"/>
  <c r="E34" i="1"/>
  <c r="R35" i="1"/>
  <c r="D34" i="1"/>
  <c r="F7" i="3" l="1"/>
  <c r="G7" i="3"/>
  <c r="G8" i="3"/>
  <c r="F8" i="3"/>
  <c r="G9" i="3"/>
  <c r="F9" i="3"/>
  <c r="E6" i="3"/>
  <c r="G6" i="3"/>
  <c r="F6" i="3"/>
  <c r="R20" i="1"/>
  <c r="D10" i="3"/>
  <c r="D11" i="3" s="1"/>
  <c r="E10" i="3"/>
  <c r="F10" i="3"/>
  <c r="G10" i="3"/>
  <c r="G11" i="3" l="1"/>
  <c r="E11" i="3"/>
  <c r="F11" i="3"/>
</calcChain>
</file>

<file path=xl/comments1.xml><?xml version="1.0" encoding="utf-8"?>
<comments xmlns="http://schemas.openxmlformats.org/spreadsheetml/2006/main">
  <authors>
    <author>Machado, Anthony</author>
    <author>Rutherford, Jesse</author>
    <author>er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Annual Report 2014
- ENVESTRA (P.38)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Annual Report 2014
- ENVESTRA (P.38)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Envestra (P.41)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Envestra (P.41)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Envestra (P.44)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Envestra (P.44)</t>
        </r>
      </text>
    </comment>
    <comment ref="L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Envestra (P.32)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Envestra (P.32)</t>
        </r>
      </text>
    </comment>
    <comment ref="N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2007
Envestra (P.34)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Annual Report 2014
- ENVESTRA (P.38)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Annual Report 2014
- ENVESTRA (P.38)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Envestra (P.41)</t>
        </r>
      </text>
    </comment>
    <comment ref="I8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Envestra (P.41)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Envestra (P.44)</t>
        </r>
      </text>
    </comment>
    <comment ref="K8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Envestra (P.44)</t>
        </r>
      </text>
    </comment>
    <comment ref="L8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Envestra (P.32)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Envestra (P.32)</t>
        </r>
      </text>
    </comment>
    <comment ref="N8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2006
Envestra (P.34)</t>
        </r>
      </text>
    </comment>
    <comment ref="L1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2009 Annual report Envestra page 42</t>
        </r>
      </text>
    </comment>
    <comment ref="M11" authorId="2" shapeId="0">
      <text>
        <r>
          <rPr>
            <b/>
            <sz val="9"/>
            <color indexed="81"/>
            <rFont val="Tahoma"/>
            <family val="2"/>
          </rPr>
          <t xml:space="preserve">Bhuiyan, Siam:
2008 annual report page 32. 
</t>
        </r>
      </text>
    </comment>
    <comment ref="N11" authorId="2" shapeId="0">
      <text>
        <r>
          <rPr>
            <b/>
            <sz val="9"/>
            <color indexed="81"/>
            <rFont val="Tahoma"/>
            <family val="2"/>
          </rPr>
          <t xml:space="preserve">Bhuiyan, Siam:
</t>
        </r>
        <r>
          <rPr>
            <sz val="9"/>
            <color indexed="81"/>
            <rFont val="Tahoma"/>
            <family val="2"/>
          </rPr>
          <t>2007 Annual report page 34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Annual Report 2014
- ENVESTRA (P.69)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Annual Report 2014
- ENVESTRA (P.69)</t>
        </r>
      </text>
    </comment>
    <comment ref="H1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Envestra (P.69)</t>
        </r>
      </text>
    </comment>
    <comment ref="I1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Envestra (P.69)</t>
        </r>
      </text>
    </comment>
    <comment ref="J1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Envestra (P.72)</t>
        </r>
      </text>
    </comment>
    <comment ref="K1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Envestra (P.72)</t>
        </r>
      </text>
    </comment>
    <comment ref="L1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Envestra (P.70)</t>
        </r>
      </text>
    </comment>
    <comment ref="M1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Envestra (P.61)</t>
        </r>
      </text>
    </comment>
    <comment ref="N1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2007
Envestra (P.61)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Annual Report 2014
- ENVESTRA (P.69)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Annual Report 2014
- ENVESTRA (P.69)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Envestra (P.73)</t>
        </r>
      </text>
    </comment>
    <comment ref="I1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Envestra (P.69)</t>
        </r>
      </text>
    </comment>
    <comment ref="J1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Envestra (P.70)</t>
        </r>
      </text>
    </comment>
    <comment ref="K1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Envestra (P.72)</t>
        </r>
      </text>
    </comment>
    <comment ref="L1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Envestra (P.70)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Envestra (P.62)</t>
        </r>
      </text>
    </comment>
    <comment ref="N1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2007
Envestra (P.31)</t>
        </r>
      </text>
    </comment>
    <comment ref="C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APA Group (P.51)
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APA Group (P.51)</t>
        </r>
      </text>
    </comment>
    <comment ref="E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APA Group (P.51)</t>
        </r>
      </text>
    </comment>
    <comment ref="F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APA Group (P.37)</t>
        </r>
      </text>
    </comment>
    <comment ref="G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APA Group (P.39)</t>
        </r>
      </text>
    </comment>
    <comment ref="H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APA Group (P.30)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APA Group (P.30)</t>
        </r>
      </text>
    </comment>
    <comment ref="J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APA Group (P.36)</t>
        </r>
      </text>
    </comment>
    <comment ref="K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APA Group (P.36)</t>
        </r>
      </text>
    </comment>
    <comment ref="L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APA Group (P.43)</t>
        </r>
      </text>
    </comment>
    <comment ref="M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APA Group (P.43)</t>
        </r>
      </text>
    </comment>
    <comment ref="N2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2006
APA Group (P.45)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APA Group (P.51)
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APA Group (P.51)</t>
        </r>
      </text>
    </comment>
    <comment ref="E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APA Group (P.51)</t>
        </r>
      </text>
    </comment>
    <comment ref="F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APA Group (P.37)</t>
        </r>
      </text>
    </comment>
    <comment ref="G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APA Group (P.39)</t>
        </r>
      </text>
    </comment>
    <comment ref="H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APA Group (P.30)</t>
        </r>
      </text>
    </comment>
    <comment ref="I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APA Group (P.30)</t>
        </r>
      </text>
    </comment>
    <comment ref="J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APA Group (P.36)</t>
        </r>
      </text>
    </comment>
    <comment ref="K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APA Group (P.36)</t>
        </r>
      </text>
    </comment>
    <comment ref="L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APA Group (P.43)</t>
        </r>
      </text>
    </comment>
    <comment ref="M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APA Group (P.43)</t>
        </r>
      </text>
    </comment>
    <comment ref="N2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2006
APA Group (P.45)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APA Group (P.88)</t>
        </r>
      </text>
    </comment>
    <comment ref="D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APA Group (P.88)</t>
        </r>
      </text>
    </comment>
    <comment ref="E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APA Group (P.83)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APA Group (P.67)</t>
        </r>
      </text>
    </comment>
    <comment ref="G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APA Group (P.67)</t>
        </r>
      </text>
    </comment>
    <comment ref="H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APA Group (P.59)</t>
        </r>
      </text>
    </comment>
    <comment ref="I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APA Group (P.59)</t>
        </r>
      </text>
    </comment>
    <comment ref="J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APA Group (P.74)</t>
        </r>
      </text>
    </comment>
    <comment ref="K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APA Group (P.74)</t>
        </r>
      </text>
    </comment>
    <comment ref="L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APA Group (P.79)</t>
        </r>
      </text>
    </comment>
    <comment ref="M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APA Group (P.79)</t>
        </r>
      </text>
    </comment>
    <comment ref="N3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2006
APA Group (P.68)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2017 APA Annual report. Page 58 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APA annnual report 2016. page 37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APA annnual report 2016. page 37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APA annnual report 2016. page 37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APA annnual report 2016. page 37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APA annnual report 2016. page 37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Machado, Anthony:</t>
        </r>
        <r>
          <rPr>
            <sz val="9"/>
            <color indexed="81"/>
            <rFont val="Tahoma"/>
            <family val="2"/>
          </rPr>
          <t xml:space="preserve">
APA annnual report 2015. page 25</t>
        </r>
      </text>
    </comment>
    <comment ref="J31" authorId="2" shapeId="0">
      <text>
        <r>
          <rPr>
            <sz val="10"/>
            <rFont val="Arial"/>
          </rPr>
          <t>Machado, Anthony: APA annnual report 2014. page 27</t>
        </r>
      </text>
    </comment>
    <comment ref="K31" authorId="2" shapeId="0">
      <text>
        <r>
          <rPr>
            <b/>
            <sz val="9"/>
            <color indexed="81"/>
            <rFont val="Tahoma"/>
            <family val="2"/>
          </rPr>
          <t>Machado, Anthony: APA annnual report 2013. page 27</t>
        </r>
      </text>
    </comment>
    <comment ref="L31" authorId="2" shapeId="0">
      <text>
        <r>
          <rPr>
            <b/>
            <sz val="9"/>
            <color indexed="81"/>
            <rFont val="Tahoma"/>
            <family val="2"/>
          </rPr>
          <t>Bhuiyan, Siam:</t>
        </r>
        <r>
          <rPr>
            <sz val="9"/>
            <color indexed="81"/>
            <rFont val="Tahoma"/>
            <charset val="1"/>
          </rPr>
          <t xml:space="preserve">
https://www.apa.com.au/investors/security-price/
</t>
        </r>
      </text>
    </comment>
    <comment ref="M31" authorId="2" shapeId="0">
      <text>
        <r>
          <rPr>
            <b/>
            <sz val="9"/>
            <color indexed="81"/>
            <rFont val="Tahoma"/>
            <family val="2"/>
          </rPr>
          <t xml:space="preserve">Bhuiyan, Siam:
</t>
        </r>
        <r>
          <rPr>
            <sz val="9"/>
            <color indexed="81"/>
            <rFont val="Tahoma"/>
            <family val="2"/>
          </rPr>
          <t>https://www.apa.com.au/investors/security-price/</t>
        </r>
      </text>
    </comment>
    <comment ref="N31" authorId="2" shapeId="0">
      <text>
        <r>
          <rPr>
            <b/>
            <sz val="9"/>
            <color indexed="81"/>
            <rFont val="Tahoma"/>
            <family val="2"/>
          </rPr>
          <t xml:space="preserve">Bhuiyan, Siam:
</t>
        </r>
        <r>
          <rPr>
            <sz val="9"/>
            <color indexed="81"/>
            <rFont val="Tahoma"/>
            <family val="2"/>
          </rPr>
          <t>https://www.apa.com.au/investors/security-price/</t>
        </r>
      </text>
    </comment>
    <comment ref="D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P.32)</t>
        </r>
      </text>
    </comment>
    <comment ref="E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P.32)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DUET Group (Financial Report P.37)</t>
        </r>
      </text>
    </comment>
    <comment ref="G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DUET Group (Financial Report P.45)</t>
        </r>
      </text>
    </comment>
    <comment ref="H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DUET Group (Financial Report P.45)</t>
        </r>
      </text>
    </comment>
    <comment ref="I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DUET Group (Financial Report P.39)</t>
        </r>
      </text>
    </comment>
    <comment ref="J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DUET Group (Financial Report P.44)</t>
        </r>
      </text>
    </comment>
    <comment ref="K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DUET Group (Financial Report P.47)</t>
        </r>
      </text>
    </comment>
    <comment ref="L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DUET Group (Financial Report P.47)</t>
        </r>
      </text>
    </comment>
    <comment ref="M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DUET Group (Financial Report P.51-52)</t>
        </r>
      </text>
    </comment>
    <comment ref="N4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Financial report - DUET Group 30 June 2007 (P.16-17)</t>
        </r>
      </text>
    </comment>
    <comment ref="D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P.32)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P.32)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DUET Group (Financial Report P.37)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DUET Group (Financial Report P.45)</t>
        </r>
      </text>
    </comment>
    <comment ref="H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DUET Group (Financial Report P.45)</t>
        </r>
      </text>
    </comment>
    <comment ref="I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DUET Group (Financial Report P.39)</t>
        </r>
      </text>
    </comment>
    <comment ref="J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DUET Group (Financial Report P.47)</t>
        </r>
      </text>
    </comment>
    <comment ref="K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DUET Group (Financial Report P.47)</t>
        </r>
      </text>
    </comment>
    <comment ref="L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DUET Group (Financial Report P.47)</t>
        </r>
      </text>
    </comment>
    <comment ref="M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DUET Group (Financial Report P.51)</t>
        </r>
      </text>
    </comment>
    <comment ref="N4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Financial report - DUET Group 30 June 2007 (P.16-17)</t>
        </r>
      </text>
    </comment>
    <comment ref="D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P.33)</t>
        </r>
      </text>
    </comment>
    <comment ref="E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P.33)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DUET Group (Financial Report P.87)</t>
        </r>
      </text>
    </comment>
    <comment ref="G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DUET Group (Financial Report P.108)</t>
        </r>
      </text>
    </comment>
    <comment ref="H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DUET Group (Financial Report P.13)</t>
        </r>
      </text>
    </comment>
    <comment ref="I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DUET Group (Financial Report P.34)</t>
        </r>
      </text>
    </comment>
    <comment ref="J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DUET Group (Financial Report P.39)</t>
        </r>
      </text>
    </comment>
    <comment ref="K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DUET Group (Financial Report P.42)</t>
        </r>
      </text>
    </comment>
    <comment ref="L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DUET Group (Financial Report P.46)</t>
        </r>
      </text>
    </comment>
    <comment ref="M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DUET Group (Financial Report P.46)</t>
        </r>
      </text>
    </comment>
    <comment ref="N4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Financial report - DUET Group 30 June 2007 (P.16-17)</t>
        </r>
      </text>
    </comment>
    <comment ref="D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P.27)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P.27)</t>
        </r>
      </text>
    </comment>
    <comment ref="F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P.27)</t>
        </r>
      </text>
    </comment>
    <comment ref="G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P.27)</t>
        </r>
      </text>
    </comment>
    <comment ref="H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DUET Group (Financial Report P.27)</t>
        </r>
      </text>
    </comment>
    <comment ref="I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InvestSMART - Research - Shares.
DUET Group (30 June 2011.)</t>
        </r>
      </text>
    </comment>
    <comment ref="J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InvestSMART - Research - Shares.
DUET Group (30 June 2010.)</t>
        </r>
      </text>
    </comment>
    <comment ref="K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InvestSMART - Research - Shares.
DUET Group (30 June 2009.)</t>
        </r>
      </text>
    </comment>
    <comment ref="L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InvestSMART - Research - Shares.
DUET Group (30 June 2008.)</t>
        </r>
      </text>
    </comment>
    <comment ref="M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InvestSMART - Research - Shares.
DUET Group (29 June 2007.)</t>
        </r>
      </text>
    </comment>
    <comment ref="N4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InvestSMART - Research - Shares.
DUET Group (30 June 2006.)</t>
        </r>
      </text>
    </comment>
    <comment ref="C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(P.67)
</t>
        </r>
      </text>
    </comment>
    <comment ref="D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(P.67)</t>
        </r>
      </text>
    </comment>
    <comment ref="E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Ausnet Services (P.65)</t>
        </r>
      </text>
    </comment>
    <comment ref="F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Ausnet Services (P.59)</t>
        </r>
      </text>
    </comment>
    <comment ref="G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Ausnet Services (P.70)</t>
        </r>
      </text>
    </comment>
    <comment ref="H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Ausnet Services (P.67)</t>
        </r>
      </text>
    </comment>
    <comment ref="I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Ausnet Services (P.68)</t>
        </r>
      </text>
    </comment>
    <comment ref="J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Ausnet Services (P.58)</t>
        </r>
      </text>
    </comment>
    <comment ref="K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Ausnet Services (P.58)</t>
        </r>
      </text>
    </comment>
    <comment ref="L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Ausnet Services (P.53)</t>
        </r>
      </text>
    </comment>
    <comment ref="M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Ausnet Services (P.42)</t>
        </r>
      </text>
    </comment>
    <comment ref="N5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2007
Ausnet Services (P.53)</t>
        </r>
      </text>
    </comment>
    <comment ref="C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(P.67)</t>
        </r>
      </text>
    </comment>
    <comment ref="D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(P.67)</t>
        </r>
      </text>
    </comment>
    <comment ref="E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Ausnet Services (P.65)</t>
        </r>
      </text>
    </comment>
    <comment ref="F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Ausnet Services (P.59)</t>
        </r>
      </text>
    </comment>
    <comment ref="G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Ausnet Services (P.70)</t>
        </r>
      </text>
    </comment>
    <comment ref="H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Ausnet Services (P.67)</t>
        </r>
      </text>
    </comment>
    <comment ref="I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Ausnet Services (P.68)</t>
        </r>
      </text>
    </comment>
    <comment ref="J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Ausnet Services (P.58)</t>
        </r>
      </text>
    </comment>
    <comment ref="K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Ausnet Services (P.58)</t>
        </r>
      </text>
    </comment>
    <comment ref="L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Ausnet Services (P.53)</t>
        </r>
      </text>
    </comment>
    <comment ref="M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Ausnet Services (P.53)</t>
        </r>
      </text>
    </comment>
    <comment ref="N57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2007
Ausnet Services (P.53)</t>
        </r>
      </text>
    </comment>
    <comment ref="C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(P.106)</t>
        </r>
      </text>
    </comment>
    <comment ref="D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(P.106)</t>
        </r>
      </text>
    </comment>
    <comment ref="E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Ausnet Services (P.104)</t>
        </r>
      </text>
    </comment>
    <comment ref="F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Ausnet Services (P.87)</t>
        </r>
      </text>
    </comment>
    <comment ref="G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Ausnet Services (P.103)</t>
        </r>
      </text>
    </comment>
    <comment ref="H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Ausnet Services (P.102)</t>
        </r>
      </text>
    </comment>
    <comment ref="I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Ausnet Services (P.106)</t>
        </r>
      </text>
    </comment>
    <comment ref="J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Ausnet Services (P.97)</t>
        </r>
      </text>
    </comment>
    <comment ref="K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Ausnet Services (P.53)</t>
        </r>
      </text>
    </comment>
    <comment ref="L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Ausnet Services (P.99)</t>
        </r>
      </text>
    </comment>
    <comment ref="M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Ausnet Services (P.93)</t>
        </r>
      </text>
    </comment>
    <comment ref="N60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2007
Ausnet Services (P.80)</t>
        </r>
      </text>
    </comment>
    <comment ref="C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(P.42)</t>
        </r>
      </text>
    </comment>
    <comment ref="D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(P.42)</t>
        </r>
      </text>
    </comment>
    <comment ref="E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(P.42)</t>
        </r>
      </text>
    </comment>
    <comment ref="F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(P.42)</t>
        </r>
      </text>
    </comment>
    <comment ref="G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2017
Ausnet Services (P.42)</t>
        </r>
      </text>
    </comment>
    <comment ref="H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Ausnet Services (P.43)</t>
        </r>
      </text>
    </comment>
    <comment ref="I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Ausnet Services (P.43)</t>
        </r>
      </text>
    </comment>
    <comment ref="J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Ausnet Services (P.48)</t>
        </r>
      </text>
    </comment>
    <comment ref="K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Ausnet Services (P.48)</t>
        </r>
      </text>
    </comment>
    <comment ref="L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Ausnet Services (P.40)</t>
        </r>
      </text>
    </comment>
    <comment ref="M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Ausnet Services (P.40)</t>
        </r>
      </text>
    </comment>
    <comment ref="N6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Ausnet Services (P.38)</t>
        </r>
      </text>
    </comment>
    <comment ref="D71" authorId="2" shapeId="0">
      <text>
        <r>
          <rPr>
            <b/>
            <sz val="9"/>
            <color indexed="81"/>
            <rFont val="Tahoma"/>
            <family val="2"/>
          </rPr>
          <t>Bhuiyan, Siam: 
Annual Report 2016
Spark Infrastructure (P.41)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1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(P.41)</t>
        </r>
      </text>
    </comment>
    <comment ref="F71" authorId="2" shapeId="0">
      <text>
        <r>
          <rPr>
            <sz val="9"/>
            <color indexed="81"/>
            <rFont val="Tahoma"/>
            <family val="2"/>
          </rPr>
          <t xml:space="preserve">Bhuiyan, Siam:
Annual Report 2015
Spark Infrastructure (P.39)
</t>
        </r>
      </text>
    </comment>
    <comment ref="G71" authorId="2" shapeId="0">
      <text>
        <r>
          <rPr>
            <b/>
            <sz val="9"/>
            <color indexed="81"/>
            <rFont val="Tahoma"/>
            <family val="2"/>
          </rPr>
          <t>Bhuiyan, Siam:
Annual Report 2014
Spark Infrastructure (P.39)</t>
        </r>
      </text>
    </comment>
    <comment ref="H71" authorId="1" shapeId="0">
      <text>
        <r>
          <rPr>
            <b/>
            <sz val="9"/>
            <color indexed="81"/>
            <rFont val="Tahoma"/>
            <family val="2"/>
          </rPr>
          <t>Bhuiyan, Siam:</t>
        </r>
        <r>
          <rPr>
            <sz val="9"/>
            <color indexed="81"/>
            <rFont val="Tahoma"/>
            <family val="2"/>
          </rPr>
          <t xml:space="preserve">
Annual Report 2013
Spark Infrastructure (P.39)</t>
        </r>
      </text>
    </comment>
    <comment ref="I71" authorId="1" shapeId="0">
      <text>
        <r>
          <rPr>
            <b/>
            <sz val="9"/>
            <color indexed="81"/>
            <rFont val="Tahoma"/>
            <family val="2"/>
          </rPr>
          <t>Bhuiyan, Siam:
Annual Report 2012
Spark Infrastructure (P.38)</t>
        </r>
      </text>
    </comment>
    <comment ref="J71" authorId="1" shapeId="0">
      <text>
        <r>
          <rPr>
            <b/>
            <sz val="9"/>
            <color indexed="81"/>
            <rFont val="Tahoma"/>
            <family val="2"/>
          </rPr>
          <t>Bhuiyan, Siam:
Annual Report 2011
Spark Infrastructure (P.33)</t>
        </r>
      </text>
    </comment>
    <comment ref="K71" authorId="1" shapeId="0">
      <text>
        <r>
          <rPr>
            <b/>
            <sz val="9"/>
            <color indexed="81"/>
            <rFont val="Tahoma"/>
            <family val="2"/>
          </rPr>
          <t>Bhuiyan, Siam:
Annual Report 2010
Spark Infrastructure (P.20)</t>
        </r>
      </text>
    </comment>
    <comment ref="L71" authorId="1" shapeId="0">
      <text>
        <r>
          <rPr>
            <b/>
            <sz val="9"/>
            <color indexed="81"/>
            <rFont val="Tahoma"/>
            <family val="2"/>
          </rPr>
          <t>Bhuiyan, Siam:
Annual Report 2009
Spark Infrastructure (P.20)</t>
        </r>
      </text>
    </comment>
    <comment ref="M71" authorId="1" shapeId="0">
      <text>
        <r>
          <rPr>
            <b/>
            <sz val="9"/>
            <color indexed="81"/>
            <rFont val="Tahoma"/>
            <family val="2"/>
          </rPr>
          <t>Bhuiyan, Siam:
Annual Report 2008
Spark Infrastructure (P.20)
1,724.49=1,231.515+224.221 +68.963. This number differs by 68,963  from Bloomberg as they have ommitted it. This number represents "Loan notes interest payable to Stapled Security Holders"</t>
        </r>
      </text>
    </comment>
    <comment ref="N71" authorId="1" shapeId="0">
      <text>
        <r>
          <rPr>
            <b/>
            <sz val="9"/>
            <color indexed="81"/>
            <rFont val="Tahoma"/>
            <family val="2"/>
          </rPr>
          <t>Bhuiyan, Siam:
Annual Report 2007
Spark Infrastructure (P.20). 
1724.09=1231.515+423.552+69.025
This number differs by 69.025 from Bloomberg as they have ommitted it. This number represents "Loan notes interest payable to Stapled Security Holders"</t>
        </r>
      </text>
    </comment>
    <comment ref="D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(P.41)</t>
        </r>
      </text>
    </comment>
    <comment ref="E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(P.41)</t>
        </r>
      </text>
    </comment>
    <comment ref="F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Spark Infrastructure (P.35)</t>
        </r>
      </text>
    </comment>
    <comment ref="G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Spark Infrastructure (P.35)</t>
        </r>
      </text>
    </comment>
    <comment ref="H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Spark Infrastructure (P.38)</t>
        </r>
      </text>
    </comment>
    <comment ref="I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Spark Infrastructure (P.38)</t>
        </r>
      </text>
    </comment>
    <comment ref="J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Spark Infrastructure (P.20)</t>
        </r>
      </text>
    </comment>
    <comment ref="K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Spark Infrastructure (P.20)</t>
        </r>
      </text>
    </comment>
    <comment ref="L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Spark Infrastructure (P.20)</t>
        </r>
      </text>
    </comment>
    <comment ref="M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Spark Infrastructure (P.20)</t>
        </r>
      </text>
    </comment>
    <comment ref="N72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2006
Spark Infrastructure (P.43)</t>
        </r>
      </text>
    </comment>
    <comment ref="D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(P.57)</t>
        </r>
      </text>
    </comment>
    <comment ref="E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(P.57)</t>
        </r>
      </text>
    </comment>
    <comment ref="F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Spark Infrastructure (P.54)</t>
        </r>
      </text>
    </comment>
    <comment ref="G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Spark Infrastructure (P.53)</t>
        </r>
      </text>
    </comment>
    <comment ref="H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Spark Infrastructure (P.62)</t>
        </r>
      </text>
    </comment>
    <comment ref="I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Spark Infrastructure (P.60)</t>
        </r>
      </text>
    </comment>
    <comment ref="J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Spark Infrastructure (P.52)</t>
        </r>
      </text>
    </comment>
    <comment ref="K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Spark Infrastructure (P.37)</t>
        </r>
      </text>
    </comment>
    <comment ref="L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Spark Infrastructure (P.32)</t>
        </r>
      </text>
    </comment>
    <comment ref="M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Spark Infrastructure (P.31)</t>
        </r>
      </text>
    </comment>
    <comment ref="N75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2007
Spark Infrastructure (P.32)</t>
        </r>
      </text>
    </comment>
    <comment ref="D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(P.22)</t>
        </r>
      </text>
    </comment>
    <comment ref="E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(P.22)</t>
        </r>
      </text>
    </comment>
    <comment ref="F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(P.22)</t>
        </r>
      </text>
    </comment>
    <comment ref="G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(P.22)</t>
        </r>
      </text>
    </comment>
    <comment ref="H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(P.22)</t>
        </r>
      </text>
    </comment>
    <comment ref="I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Spark Infrastructure (P.34)</t>
        </r>
      </text>
    </comment>
    <comment ref="J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Spark Infrastructure (P.18)  </t>
        </r>
      </text>
    </comment>
    <comment ref="K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Spark Infrastructure (P.35)</t>
        </r>
      </text>
    </comment>
    <comment ref="L76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Spark Infrastructure (P.34)</t>
        </r>
      </text>
    </comment>
    <comment ref="M76" authorId="1" shapeId="0">
      <text>
        <r>
          <rPr>
            <b/>
            <sz val="9"/>
            <color indexed="81"/>
            <rFont val="Tahoma"/>
            <family val="2"/>
          </rPr>
          <t>Bhuiyan, Siam:
Annual Report 2011
Spark Infrastructure (P.29)</t>
        </r>
      </text>
    </comment>
    <comment ref="N76" authorId="1" shapeId="0">
      <text>
        <r>
          <rPr>
            <b/>
            <sz val="9"/>
            <color indexed="81"/>
            <rFont val="Tahoma"/>
            <family val="2"/>
          </rPr>
          <t>Bhuiyan, Siam:
Annual Report 2010
Spark Infrastructure (P16)</t>
        </r>
      </text>
    </comment>
    <comment ref="D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(P.41 &amp; P.57)</t>
        </r>
      </text>
    </comment>
    <comment ref="E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2016
Spark Infrastructure (P.41 &amp; P.57)</t>
        </r>
      </text>
    </comment>
    <comment ref="F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2015
Spark Infrastructure (P.36)</t>
        </r>
      </text>
    </comment>
    <comment ref="G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2014
Spark Infrastructure 
P.35</t>
        </r>
      </text>
    </comment>
    <comment ref="H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2013
Spark Infrastructure (P.39)</t>
        </r>
      </text>
    </comment>
    <comment ref="I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2012
Spark Infrastructure (P.38)</t>
        </r>
      </text>
    </comment>
    <comment ref="J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2011
Spark Infrastructure (P.33)</t>
        </r>
      </text>
    </comment>
    <comment ref="K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2010
Spark Infrastructure (P.20)</t>
        </r>
      </text>
    </comment>
    <comment ref="L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2009
Spark Infrastructure (P.20)</t>
        </r>
      </text>
    </comment>
    <comment ref="M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2008
Spark Infrastructure (P.20)</t>
        </r>
      </text>
    </comment>
    <comment ref="N79" authorId="1" shapeId="0">
      <text>
        <r>
          <rPr>
            <b/>
            <sz val="9"/>
            <color indexed="81"/>
            <rFont val="Tahoma"/>
            <family val="2"/>
          </rPr>
          <t>Rutherford, Jesse:</t>
        </r>
        <r>
          <rPr>
            <sz val="9"/>
            <color indexed="81"/>
            <rFont val="Tahoma"/>
            <family val="2"/>
          </rPr>
          <t xml:space="preserve">
Annual Report 2007
Spark Infrastructure (P.20)</t>
        </r>
      </text>
    </comment>
    <comment ref="E83" authorId="2" shapeId="0">
      <text>
        <r>
          <rPr>
            <b/>
            <sz val="9"/>
            <color indexed="81"/>
            <rFont val="Tahoma"/>
            <family val="2"/>
          </rPr>
          <t xml:space="preserve">Bhuiyan, Siam: </t>
        </r>
        <r>
          <rPr>
            <sz val="9"/>
            <color indexed="81"/>
            <rFont val="Tahoma"/>
            <family val="2"/>
          </rPr>
          <t xml:space="preserve">
2015 annual report, SA power networks, page 3. </t>
        </r>
      </text>
    </comment>
    <comment ref="F83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 xml:space="preserve">2015 annual report, SA power networks, page 3. </t>
        </r>
      </text>
    </comment>
    <comment ref="G83" authorId="2" shapeId="0">
      <text>
        <r>
          <rPr>
            <sz val="9"/>
            <color indexed="81"/>
            <rFont val="Tahoma"/>
            <charset val="1"/>
          </rPr>
          <t xml:space="preserve">Bhuiyan, Siam: 
2013 annual report SA POWER NETWORKS. Page 3
</t>
        </r>
      </text>
    </comment>
    <comment ref="H83" authorId="2" shapeId="0">
      <text>
        <r>
          <rPr>
            <sz val="9"/>
            <color indexed="81"/>
            <rFont val="Tahoma"/>
            <charset val="1"/>
          </rPr>
          <t xml:space="preserve">Bhuiyan, Siam: 
2012 annual report SA POWER NETWORKS. Page 4
</t>
        </r>
      </text>
    </comment>
    <comment ref="I83" authorId="2" shapeId="0">
      <text>
        <r>
          <rPr>
            <b/>
            <sz val="9"/>
            <color indexed="81"/>
            <rFont val="Tahoma"/>
            <charset val="1"/>
          </rPr>
          <t xml:space="preserve">Bhuiyan, Siam: 
2011 annual report SA POWER NETWORKS. Page 5
</t>
        </r>
      </text>
    </comment>
    <comment ref="J83" authorId="2" shapeId="0">
      <text>
        <r>
          <rPr>
            <b/>
            <sz val="9"/>
            <color indexed="81"/>
            <rFont val="Tahoma"/>
            <family val="2"/>
          </rPr>
          <t xml:space="preserve">Bhuiyan, Siam: 
2010 annual report SA POWER NETWORKS. Page 5
</t>
        </r>
      </text>
    </comment>
    <comment ref="K83" authorId="2" shapeId="0">
      <text>
        <r>
          <rPr>
            <b/>
            <sz val="9"/>
            <color indexed="81"/>
            <rFont val="Tahoma"/>
            <family val="2"/>
          </rPr>
          <t>Bhuiyan, Siam: 
2009 annual report SA POWER NETWORKS. Page 7</t>
        </r>
      </text>
    </comment>
    <comment ref="L83" authorId="2" shapeId="0">
      <text>
        <r>
          <rPr>
            <b/>
            <sz val="9"/>
            <color indexed="81"/>
            <rFont val="Tahoma"/>
            <family val="2"/>
          </rPr>
          <t>Bhuiyan, Siam: 
2008 annual report SA POWER NETWORKS. Page 3</t>
        </r>
      </text>
    </comment>
    <comment ref="M83" authorId="2" shapeId="0">
      <text>
        <r>
          <rPr>
            <b/>
            <sz val="9"/>
            <color indexed="81"/>
            <rFont val="Tahoma"/>
            <family val="2"/>
          </rPr>
          <t>Bhuiyan, Siam: 
2007 annual report SA POWER NETWORKS. Page 4</t>
        </r>
      </text>
    </comment>
    <comment ref="N83" authorId="2" shapeId="0">
      <text>
        <r>
          <rPr>
            <b/>
            <sz val="9"/>
            <color indexed="81"/>
            <rFont val="Tahoma"/>
            <family val="2"/>
          </rPr>
          <t>Bhuiyan, Siam: 
2007 annual report SA POWER NETWORKS. Page 4</t>
        </r>
      </text>
    </comment>
    <comment ref="E84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 xml:space="preserve">2015 annual report, SA power networks, page 3. </t>
        </r>
      </text>
    </comment>
    <comment ref="F84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 xml:space="preserve">2015 annual report, SA power networks, page 3. </t>
        </r>
      </text>
    </comment>
    <comment ref="G84" authorId="2" shapeId="0">
      <text>
        <r>
          <rPr>
            <b/>
            <sz val="9"/>
            <color indexed="81"/>
            <rFont val="Tahoma"/>
            <charset val="1"/>
          </rPr>
          <t xml:space="preserve">Bhuiyan, Siam: 
2013 annual report SA POWER NETWORKS. Page 3
</t>
        </r>
      </text>
    </comment>
    <comment ref="H84" authorId="2" shapeId="0">
      <text>
        <r>
          <rPr>
            <b/>
            <sz val="9"/>
            <color indexed="81"/>
            <rFont val="Tahoma"/>
            <charset val="1"/>
          </rPr>
          <t>2012 annual report SA POWER NETWORKS. Page 4</t>
        </r>
      </text>
    </comment>
    <comment ref="I84" authorId="2" shapeId="0">
      <text>
        <r>
          <rPr>
            <sz val="9"/>
            <color indexed="81"/>
            <rFont val="Tahoma"/>
            <family val="2"/>
          </rPr>
          <t xml:space="preserve">Bhuiyan, Siam: 
2011 annual report SA POWER NETWORKS. Page 5
</t>
        </r>
      </text>
    </comment>
    <comment ref="J84" authorId="2" shapeId="0">
      <text>
        <r>
          <rPr>
            <b/>
            <sz val="9"/>
            <color indexed="81"/>
            <rFont val="Tahoma"/>
            <family val="2"/>
          </rPr>
          <t>Bhuiyan, Siam: 
2010 annual report SA POWER NETWORKS. Page 5</t>
        </r>
      </text>
    </comment>
    <comment ref="K84" authorId="2" shapeId="0">
      <text>
        <r>
          <rPr>
            <b/>
            <sz val="9"/>
            <color indexed="81"/>
            <rFont val="Tahoma"/>
            <family val="2"/>
          </rPr>
          <t>Bhuiyan, Siam: 
2009 annual report SA POWER NETWORKS. Page 7</t>
        </r>
      </text>
    </comment>
    <comment ref="L84" authorId="2" shapeId="0">
      <text>
        <r>
          <rPr>
            <b/>
            <sz val="9"/>
            <color indexed="81"/>
            <rFont val="Tahoma"/>
            <family val="2"/>
          </rPr>
          <t>Bhuiyan, Siam: 
2008 annual report SA POWER NETWORKS. Page 3</t>
        </r>
      </text>
    </comment>
    <comment ref="M84" authorId="2" shapeId="0">
      <text>
        <r>
          <rPr>
            <b/>
            <sz val="9"/>
            <color indexed="81"/>
            <rFont val="Tahoma"/>
            <family val="2"/>
          </rPr>
          <t>Bhuiyan, Siam: 
2007 annual report SA POWER NETWORKS. Page 4</t>
        </r>
      </text>
    </comment>
    <comment ref="N84" authorId="2" shapeId="0">
      <text>
        <r>
          <rPr>
            <b/>
            <sz val="9"/>
            <color indexed="81"/>
            <rFont val="Tahoma"/>
            <family val="2"/>
          </rPr>
          <t>Bhuiyan, Siam: 
2007 annual report SA POWER NETWORKS. Page 4</t>
        </r>
      </text>
    </comment>
    <comment ref="D89" authorId="2" shapeId="0">
      <text>
        <r>
          <rPr>
            <b/>
            <sz val="9"/>
            <color indexed="81"/>
            <rFont val="Tahoma"/>
            <charset val="1"/>
          </rPr>
          <t xml:space="preserve">Bhuiyan, Siam: 
</t>
        </r>
        <r>
          <rPr>
            <sz val="9"/>
            <color indexed="81"/>
            <rFont val="Tahoma"/>
            <family val="2"/>
          </rPr>
          <t>2016 VPN Annual report page 5</t>
        </r>
      </text>
    </comment>
    <comment ref="E89" authorId="2" shapeId="0">
      <text>
        <r>
          <rPr>
            <b/>
            <sz val="9"/>
            <color indexed="81"/>
            <rFont val="Tahoma"/>
            <charset val="1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2016 page 5.</t>
        </r>
      </text>
    </comment>
    <comment ref="F89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2014 page 5.</t>
        </r>
      </text>
    </comment>
    <comment ref="G89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2014 page 5.</t>
        </r>
      </text>
    </comment>
    <comment ref="H89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2012 page 5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I89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2012 page 5.</t>
        </r>
      </text>
    </comment>
    <comment ref="J89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2010 page 5.</t>
        </r>
      </text>
    </comment>
    <comment ref="K89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2010 page 5.</t>
        </r>
      </text>
    </comment>
    <comment ref="M89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2008 page 5.</t>
        </r>
      </text>
    </comment>
    <comment ref="D90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2016 VPN Annual report page 5</t>
        </r>
      </text>
    </comment>
    <comment ref="E90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2016 page 5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F90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2015 page 5.</t>
        </r>
      </text>
    </comment>
    <comment ref="G90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2014 page 5.</t>
        </r>
      </text>
    </comment>
    <comment ref="H90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2012 page 5.</t>
        </r>
      </text>
    </comment>
    <comment ref="I90" authorId="2" shapeId="0">
      <text>
        <r>
          <rPr>
            <b/>
            <sz val="9"/>
            <color indexed="81"/>
            <rFont val="Tahoma"/>
            <family val="2"/>
          </rPr>
          <t xml:space="preserve">Bhuiyan, Siam: </t>
        </r>
        <r>
          <rPr>
            <sz val="9"/>
            <color indexed="81"/>
            <rFont val="Tahoma"/>
            <family val="2"/>
          </rPr>
          <t xml:space="preserve">
Victoria Power Networks Annual report 2011 page 5.
</t>
        </r>
      </text>
    </comment>
    <comment ref="J90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2010 page 5.</t>
        </r>
      </text>
    </comment>
    <comment ref="K90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2010 page 5.</t>
        </r>
      </text>
    </comment>
    <comment ref="L90" authorId="2" shapeId="0">
      <text>
        <r>
          <rPr>
            <b/>
            <sz val="9"/>
            <color indexed="81"/>
            <rFont val="Tahoma"/>
            <charset val="1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2008 page 5.</t>
        </r>
      </text>
    </comment>
    <comment ref="M90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2008 page 5.</t>
        </r>
      </text>
    </comment>
    <comment ref="D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2016 VPN Annual report page 21</t>
        </r>
      </text>
    </comment>
    <comment ref="E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2016 page 21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F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 xml:space="preserve">Victoria Power Networks Annual report 2015 page 21
</t>
        </r>
      </text>
    </comment>
    <comment ref="G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2014 page 19.</t>
        </r>
      </text>
    </comment>
    <comment ref="H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2012 page 36.</t>
        </r>
      </text>
    </comment>
    <comment ref="I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2011 page 36</t>
        </r>
      </text>
    </comment>
    <comment ref="J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2010 page 29.</t>
        </r>
      </text>
    </comment>
    <comment ref="K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2010 page 29.</t>
        </r>
      </text>
    </comment>
    <comment ref="L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2008 page 31</t>
        </r>
      </text>
    </comment>
    <comment ref="M91" authorId="2" shapeId="0">
      <text>
        <r>
          <rPr>
            <b/>
            <sz val="9"/>
            <color indexed="81"/>
            <rFont val="Tahoma"/>
            <family val="2"/>
          </rPr>
          <t xml:space="preserve">Bhuiyan, Siam: 
</t>
        </r>
        <r>
          <rPr>
            <sz val="9"/>
            <color indexed="81"/>
            <rFont val="Tahoma"/>
            <family val="2"/>
          </rPr>
          <t>Victoria Power Networks Annual report 2008 page 31</t>
        </r>
      </text>
    </comment>
  </commentList>
</comments>
</file>

<file path=xl/sharedStrings.xml><?xml version="1.0" encoding="utf-8"?>
<sst xmlns="http://schemas.openxmlformats.org/spreadsheetml/2006/main" count="257" uniqueCount="130">
  <si>
    <t>(AUD Mn)</t>
  </si>
  <si>
    <t xml:space="preserve">Envestra </t>
  </si>
  <si>
    <t>Company Name</t>
  </si>
  <si>
    <t>Short Term + Long Term Debt</t>
  </si>
  <si>
    <t>Cash &amp; Cash equivalents</t>
  </si>
  <si>
    <t>Net Debt</t>
  </si>
  <si>
    <t>Shares outstanding</t>
  </si>
  <si>
    <t>Share price</t>
  </si>
  <si>
    <t>Market value of equity</t>
  </si>
  <si>
    <t>Gearing (Net debt)</t>
  </si>
  <si>
    <t>Gearing (Gross debt)</t>
  </si>
  <si>
    <t>APA Group</t>
  </si>
  <si>
    <t>DUET</t>
  </si>
  <si>
    <t>AUSNET</t>
  </si>
  <si>
    <t>SPARK</t>
  </si>
  <si>
    <t>ESTA data requied to undo equity method in spark</t>
  </si>
  <si>
    <t>Current Liabilities - Borrowings</t>
  </si>
  <si>
    <t>Non-Current Liabilities - Borrowings</t>
  </si>
  <si>
    <t>Loan Notes</t>
  </si>
  <si>
    <t>CitiPower/ Powercor data required to undo equity method in Spark</t>
  </si>
  <si>
    <t>Subordinated Loans from Related Parties</t>
  </si>
  <si>
    <t>49% of ETSA</t>
  </si>
  <si>
    <t>49% of CIIT - related party debt</t>
  </si>
  <si>
    <t>Loan Note</t>
  </si>
  <si>
    <t>New Debt</t>
  </si>
  <si>
    <r>
      <t>New Debt (</t>
    </r>
    <r>
      <rPr>
        <b/>
        <sz val="9"/>
        <rFont val="Arial"/>
        <family val="2"/>
      </rPr>
      <t>Less</t>
    </r>
    <r>
      <rPr>
        <sz val="9"/>
        <rFont val="Arial"/>
        <family val="2"/>
      </rPr>
      <t>: Cash)</t>
    </r>
  </si>
  <si>
    <t>APA</t>
  </si>
  <si>
    <t>Source</t>
  </si>
  <si>
    <t>http://annualreport2016.apa.com.au/files/APA-Group-2016-Annual-Reportand-Sustainabilty-Report.pdf</t>
  </si>
  <si>
    <t>https://www.apa.com.au/globalassets/documents/annual-reports/apa-2015-annual-report.pdf</t>
  </si>
  <si>
    <t>https://www.apa.com.au/globalassets/documents/annual-reports/2013-annual-reports/apa-annual-report-2013.pdf</t>
  </si>
  <si>
    <t>https://www.apa.com.au/globalassets/documents/annual-reports/2012-annual-reports/apa_annual_report_2012_complete.pdf</t>
  </si>
  <si>
    <t>https://www.apa.com.au/globalassets/documents/annual-reports/2011-annual-reports/2011-annual-report.pdf</t>
  </si>
  <si>
    <t>https://www.apa.com.au/globalassets/documents/annual-reports/2010-annual-reports/apa-annual-report-final.pdf</t>
  </si>
  <si>
    <t>https://www.apa.com.au/globalassets/documents/annual-reports/older-annual-reports/apa_ar09_webversion.pdf</t>
  </si>
  <si>
    <t>https://www.apa.com.au/globalassets/documents/annual-reports/older-annual-reports/2008-annual-report.pdf</t>
  </si>
  <si>
    <t>https://www.apa.com.au/globalassets/documents/annual-reports/older-annual-reports/apa-annual-report-07.pdf</t>
  </si>
  <si>
    <t>https://www.apa.com.au/globalassets/documents/annual-reports/older-annual-reports/2006-annual-report.pdf</t>
  </si>
  <si>
    <t>Envestra</t>
  </si>
  <si>
    <t>https://www.australiangasnetworks.com.au/-/media/files/agn/our-business/about-us/annual-reports/2014-annual-report.pdf?la=en</t>
  </si>
  <si>
    <t>https://www.australiangasnetworks.com.au/-/media/files/agn/our-business/about-us/annual-reports/2013-annual-report.pdf?la=en</t>
  </si>
  <si>
    <t>https://www.australiangasnetworks.com.au/-/media/files/agn/our-business/about-us/annual-reports/2012-annual-report.pdf?la=en</t>
  </si>
  <si>
    <t>https://www.australiangasnetworks.com.au/-/media/files/agn/our-business/about-us/annual-reports/2011-annual-report.pdf?la=en</t>
  </si>
  <si>
    <t>https://www.australiangasnetworks.com.au/-/media/files/agn/our-business/about-us/annual-reports/2010-annual-report.pdf?la=en</t>
  </si>
  <si>
    <t>https://www.australiangasnetworks.com.au/-/media/files/agn/our-business/about-us/annual-reports/2009-annual-report.pdf?la=en</t>
  </si>
  <si>
    <t>https://www.australiangasnetworks.com.au/-/media/files/agn/our-business/about-us/annual-reports/2008-annual-report.pdf?la=en</t>
  </si>
  <si>
    <t>https://www.australiangasnetworks.com.au/-/media/files/agn/our-business/about-us/annual-reports/2007-annual-report.pdf?la=en</t>
  </si>
  <si>
    <t>https://www.australiangasnetworks.com.au/-/media/files/agn/our-business/about-us/annual-reports/2006-annual-report.pdf?la=en</t>
  </si>
  <si>
    <t>Duet</t>
  </si>
  <si>
    <t>http://duet.net.au/getattachment/ASX-releases/2015/DUET-Group-2015-Annual-Report/DUET-Group-2015-Annual-Report/DUET-Group-2015-Annual-Report.PDF</t>
  </si>
  <si>
    <t>http://duet.net.au/getattachment/ASX-releases/2016/Annual-Report-Correction/asx-2016-10-19-Annual-Report-Correction/asx-2016-10-19-Annual-Report-Correction.pdf</t>
  </si>
  <si>
    <t>http://duet.net.au/getattachment/ASX-releases/2014/DUET-Group-2014-Annual-Report/1-asx-2014-09-26-annual-report/1-asx-2014-09-26-annual-report.pdf</t>
  </si>
  <si>
    <t>http://duet.net.au/getattachment/ASX-releases/2013/DUET-Group-2013-Annual-Report/DUET-Group-2013-Annual-Report/DUET-Group-2013-Annual-Report.PDF</t>
  </si>
  <si>
    <t>http://duet.net.au/getattachment/ASX-releases/Archive/Tabs/2012/DUET-Group-2012-Annual-Report/2012-09-27-annual-report-2012/2012-09-27-annual-report-2012.pdf</t>
  </si>
  <si>
    <t>http://duet.net.au/getattachment/ASX-releases/Archive/Tabs/2011/Annual-Report-2011/2011-09-26-duet-group-annual-report/2011-09-26-duet-group-annual-report.pdf</t>
  </si>
  <si>
    <t>http://duet.net.au/getattachment/ASX-releases/Archive/Tabs/2010/2010-Annual-Report/duet-annual-report-2010/duet-annual-report-2010.pdf</t>
  </si>
  <si>
    <t>http://duet.net.au/getattachment/ASX-releases/Archive/Tabs/2009/FY09-Financial-Report/pr_210809_2/pr_210809_2.pdf</t>
  </si>
  <si>
    <t>http://duet.net.au/getattachment/ASX-releases/Archive/Tabs/2008/Full-Year-Financial-Report/3-DUET-Financial-Report-for-the-year-ended-30-June/3-DUET-Financial-Report-for-the-year-ended-30-June-2008.PDF</t>
  </si>
  <si>
    <t>http://www.annualreports.com/HostedData/AnnualReportArchive/D/ASX_DUE_2007.pdf</t>
  </si>
  <si>
    <t>https://www.ausnetservices.com.au/-/media/Files/AusNet/Investor-Centre/Reports/AusNet-Services-2016-Financial-Report.ashx?la=en</t>
  </si>
  <si>
    <t>https://www.ausnetservices.com.au/-/media/Files/AusNet/Investor-Centre/Reports/2015-Statutory-Annual-Report.ashx?la=en</t>
  </si>
  <si>
    <t>https://www.ausnetservices.com.au/-/media/Files/AusNet/Investor-Centre/Reports/2014-Statutory-Annual-Report.ashx?la=en</t>
  </si>
  <si>
    <t>https://www.ausnetservices.com.au/-/media/Files/AusNet/Investor-Centre/Reports/2013-Statutory-Annual-Report.ashx?la=en</t>
  </si>
  <si>
    <t>https://www.ausnetservices.com.au/-/media/Files/AusNet/Investor-Centre/Reports/2012-Statutory-Annual-Report.ashx?la=en</t>
  </si>
  <si>
    <t>https://www.ausnetservices.com.au/-/media/Files/AusNet/Investor-Centre/Reports/2011-Statutory-Annual-Report.ashx?la=en</t>
  </si>
  <si>
    <t>https://www.ausnetservices.com.au/-/media/Files/AusNet/Investor-Centre/Reports/2010-Statutory-Annual-Report.ashx?la=en</t>
  </si>
  <si>
    <t>https://www.ausnetservices.com.au/-/media/Files/AusNet/Investor-Centre/Reports/2009-Statutory-Annual-Report.ashx?la=en</t>
  </si>
  <si>
    <t>https://www.ausnetservices.com.au/-/media/Files/AusNet/Investor-Centre/Reports/2008-Statutory-Annual-Report.ashx?la=en</t>
  </si>
  <si>
    <t>https://www.ausnetservices.com.au/-/media/Files/AusNet/Investor-Centre/Reports/2007-Annual-Report.ashx?la=en</t>
  </si>
  <si>
    <t>https://www.ausnetservices.com.au/-/media/Files/AusNet/Investor-Centre/Reports/2006-Annual-Report.ashx?la=en</t>
  </si>
  <si>
    <t>https://www.sparkinfrastructure.com/system/files_force/documents/016_2016-annual-report-19-april-2017.pdf?download=1%20%20&amp;download=1%20%20_</t>
  </si>
  <si>
    <t>https://www.sparkinfrastructure.com/system/files_force/documents/fy_2015_annual_report.pdf?download=1%20%20&amp;download=1%20%20_</t>
  </si>
  <si>
    <t>https://www.sparkinfrastructure.com/system/files_force/documents/fy_2014_annual_report.pdf?download=1%20%20&amp;download=1%20%20_</t>
  </si>
  <si>
    <t>https://www.sparkinfrastructure.com/system/files_force/documents/fy_2013_annual_report.pdf?download=1%20%20&amp;download=1%20%20_</t>
  </si>
  <si>
    <t>https://www.sparkinfrastructure.com/system/files_force/documents/fy_2012_annual_report.pdf?download=1%20%20&amp;download=1%20%20_</t>
  </si>
  <si>
    <t>https://www.sparkinfrastructure.com/system/files_force/documents/fy_2011_annual_report.pdf?download=1%20%20&amp;download=1%20%20_</t>
  </si>
  <si>
    <t>https://www.sparkinfrastructure.com/system/files_force/documents/fy_2010_annual_report.pdf?download=1%20%20&amp;download=1%20%20_</t>
  </si>
  <si>
    <t>https://www.sparkinfrastructure.com/system/files_force/documents/fy_2009_annual_report.pdf?download=1%20%20&amp;download=1%20%20_</t>
  </si>
  <si>
    <t>https://www.sparkinfrastructure.com/system/files_force/documents/fy_2008_annual_report.pdf?download=1%20%20&amp;download=1%20%20_</t>
  </si>
  <si>
    <t>https://www.sparkinfrastructure.com/system/files_force/documents/fy_2007_annual_report.pdf?download=1%20%20&amp;download=1%20%20_</t>
  </si>
  <si>
    <t>https://www.sparkinfrastructure.com/system/files_force/documents/fy_2006_annual_report.pdf?download=1%20%20&amp;download=1%20%20_</t>
  </si>
  <si>
    <t>SA Power Networks</t>
  </si>
  <si>
    <t>https://www.sapowernetworks.com.au/public/download.jsp?id=14234</t>
  </si>
  <si>
    <t>https://www.sapowernetworks.com.au/public/download.jsp?id=5527</t>
  </si>
  <si>
    <t>https://www.sapowernetworks.com.au/public/download.jsp?id=9259</t>
  </si>
  <si>
    <t>https://www.sapowernetworks.com.au/public/download.jsp?id=11748</t>
  </si>
  <si>
    <t>https://www.sapowernetworks.com.au/public/download.jsp?id=20887</t>
  </si>
  <si>
    <t>https://www.sapowernetworks.com.au/public/download.jsp?id=25556</t>
  </si>
  <si>
    <t>https://www.apa.com.au/globalassets/documents/annual-reports/2014-annual-reports/apa-annual-report-2014-.pdf</t>
  </si>
  <si>
    <t>Link</t>
  </si>
  <si>
    <t>Annual report 2016</t>
  </si>
  <si>
    <t>Annual report 2015</t>
  </si>
  <si>
    <t>Annual report 2014</t>
  </si>
  <si>
    <t>Annual report 2013</t>
  </si>
  <si>
    <t>Annual report 2012</t>
  </si>
  <si>
    <t>Annual report 2011</t>
  </si>
  <si>
    <t>Annual report 2010</t>
  </si>
  <si>
    <t>Annual report 2009</t>
  </si>
  <si>
    <t>Annual report 2008</t>
  </si>
  <si>
    <t>Annual report 2007</t>
  </si>
  <si>
    <t>Annual report 2006</t>
  </si>
  <si>
    <t>https://www.sapowernetworks.com.au/public/download.jsp?id=46005</t>
  </si>
  <si>
    <t>Spark links don’t work, need to copy and paste into browser</t>
  </si>
  <si>
    <t>Annual report 2017</t>
  </si>
  <si>
    <t>https://www.apa.com.au/globalassets/documents/annual-reports/2017-annual-reports/20170823-apa-fy17-results.pdf</t>
  </si>
  <si>
    <t>Company name</t>
  </si>
  <si>
    <t>APA group</t>
  </si>
  <si>
    <t>Ausnet</t>
  </si>
  <si>
    <t>Spark</t>
  </si>
  <si>
    <t>Average</t>
  </si>
  <si>
    <t>Ticker</t>
  </si>
  <si>
    <t>5 year Avg</t>
  </si>
  <si>
    <t>Gross debt</t>
  </si>
  <si>
    <t>10 year Avg</t>
  </si>
  <si>
    <t>Net debt</t>
  </si>
  <si>
    <t>(Gross debt)</t>
  </si>
  <si>
    <t>(Net debt)</t>
  </si>
  <si>
    <t>APA AU</t>
  </si>
  <si>
    <t>DUE AU</t>
  </si>
  <si>
    <t>AST AU</t>
  </si>
  <si>
    <t>SKI AU</t>
  </si>
  <si>
    <t>ENV AU</t>
  </si>
  <si>
    <t>Victorian Power Networks</t>
  </si>
  <si>
    <t>All years reports</t>
  </si>
  <si>
    <t xml:space="preserve">  </t>
  </si>
  <si>
    <t>Loan notes</t>
  </si>
  <si>
    <t>New debt</t>
  </si>
  <si>
    <r>
      <t>New debt (</t>
    </r>
    <r>
      <rPr>
        <b/>
        <sz val="9"/>
        <rFont val="Arial"/>
        <family val="2"/>
      </rPr>
      <t xml:space="preserve">Less: </t>
    </r>
    <r>
      <rPr>
        <sz val="9"/>
        <rFont val="Arial"/>
        <family val="2"/>
      </rPr>
      <t>cash)</t>
    </r>
  </si>
  <si>
    <t>5 year average</t>
  </si>
  <si>
    <t>10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</si>
</sst>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_-* #,##0_-;\-* #,##0_-;_-* &quot;-&quot;??_-;_-@_-"/>
  </numFmts>
  <fonts count="14" x14ac:knownFonts="1">
    <font>
      <sz val="10"/>
      <name val="Arial"/>
    </font>
    <font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Arial"/>
      <family val="2"/>
    </font>
    <font>
      <u/>
      <sz val="10"/>
      <color theme="10"/>
      <name val="Arial"/>
    </font>
    <font>
      <sz val="10"/>
      <color rgb="FFFF0000"/>
      <name val="Arial"/>
      <family val="2"/>
    </font>
    <font>
      <sz val="10"/>
      <color theme="1"/>
      <name val="Verdana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3" fontId="4" fillId="0" borderId="5" xfId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2" fillId="0" borderId="5" xfId="2" applyNumberFormat="1" applyFont="1" applyFill="1" applyBorder="1" applyAlignment="1">
      <alignment horizontal="center"/>
    </xf>
    <xf numFmtId="43" fontId="2" fillId="0" borderId="6" xfId="1" applyFont="1" applyFill="1" applyBorder="1" applyAlignment="1">
      <alignment horizontal="center"/>
    </xf>
    <xf numFmtId="165" fontId="2" fillId="0" borderId="6" xfId="2" applyNumberFormat="1" applyFont="1" applyFill="1" applyBorder="1" applyAlignment="1">
      <alignment horizontal="center"/>
    </xf>
    <xf numFmtId="166" fontId="4" fillId="0" borderId="5" xfId="1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165" fontId="2" fillId="0" borderId="0" xfId="0" applyNumberFormat="1" applyFont="1"/>
    <xf numFmtId="9" fontId="2" fillId="0" borderId="0" xfId="2" applyFont="1"/>
    <xf numFmtId="164" fontId="4" fillId="0" borderId="5" xfId="1" applyNumberFormat="1" applyFont="1" applyFill="1" applyBorder="1" applyAlignment="1">
      <alignment horizontal="center"/>
    </xf>
    <xf numFmtId="10" fontId="2" fillId="0" borderId="6" xfId="2" applyNumberFormat="1" applyFont="1" applyFill="1" applyBorder="1" applyAlignment="1">
      <alignment horizontal="center"/>
    </xf>
    <xf numFmtId="43" fontId="2" fillId="0" borderId="5" xfId="1" applyNumberFormat="1" applyFont="1" applyFill="1" applyBorder="1" applyAlignment="1">
      <alignment horizontal="center"/>
    </xf>
    <xf numFmtId="43" fontId="4" fillId="0" borderId="5" xfId="1" applyNumberFormat="1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0" fontId="3" fillId="0" borderId="0" xfId="0" applyFont="1"/>
    <xf numFmtId="0" fontId="0" fillId="0" borderId="0" xfId="0"/>
    <xf numFmtId="0" fontId="3" fillId="0" borderId="0" xfId="0" applyFont="1"/>
    <xf numFmtId="165" fontId="9" fillId="4" borderId="6" xfId="2" applyNumberFormat="1" applyFont="1" applyFill="1" applyBorder="1" applyAlignment="1">
      <alignment horizontal="center"/>
    </xf>
    <xf numFmtId="0" fontId="10" fillId="0" borderId="0" xfId="4"/>
    <xf numFmtId="0" fontId="0" fillId="3" borderId="0" xfId="0" applyFill="1"/>
    <xf numFmtId="43" fontId="2" fillId="4" borderId="4" xfId="1" applyFont="1" applyFill="1" applyBorder="1" applyAlignment="1">
      <alignment horizontal="center"/>
    </xf>
    <xf numFmtId="43" fontId="4" fillId="5" borderId="5" xfId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/>
    </xf>
    <xf numFmtId="9" fontId="2" fillId="0" borderId="4" xfId="2" applyFont="1" applyFill="1" applyBorder="1" applyAlignment="1">
      <alignment horizontal="center"/>
    </xf>
    <xf numFmtId="9" fontId="2" fillId="0" borderId="5" xfId="2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3" fillId="0" borderId="0" xfId="0" applyFont="1" applyAlignment="1"/>
    <xf numFmtId="10" fontId="4" fillId="5" borderId="5" xfId="1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0" fontId="11" fillId="0" borderId="0" xfId="0" applyFont="1"/>
    <xf numFmtId="0" fontId="2" fillId="4" borderId="0" xfId="0" applyFont="1" applyFill="1"/>
    <xf numFmtId="43" fontId="2" fillId="4" borderId="5" xfId="1" applyFont="1" applyFill="1" applyBorder="1" applyAlignment="1">
      <alignment horizontal="center"/>
    </xf>
    <xf numFmtId="43" fontId="9" fillId="4" borderId="5" xfId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3" fontId="9" fillId="4" borderId="4" xfId="1" applyFont="1" applyFill="1" applyBorder="1" applyAlignment="1">
      <alignment horizontal="center"/>
    </xf>
    <xf numFmtId="43" fontId="4" fillId="4" borderId="4" xfId="1" applyFont="1" applyFill="1" applyBorder="1" applyAlignment="1">
      <alignment horizontal="center"/>
    </xf>
    <xf numFmtId="43" fontId="4" fillId="4" borderId="5" xfId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6" fontId="4" fillId="4" borderId="5" xfId="1" applyNumberFormat="1" applyFont="1" applyFill="1" applyBorder="1" applyAlignment="1">
      <alignment horizontal="center"/>
    </xf>
    <xf numFmtId="43" fontId="2" fillId="4" borderId="5" xfId="1" applyNumberFormat="1" applyFont="1" applyFill="1" applyBorder="1" applyAlignment="1">
      <alignment horizontal="center"/>
    </xf>
    <xf numFmtId="43" fontId="2" fillId="0" borderId="4" xfId="0" applyNumberFormat="1" applyFont="1" applyFill="1" applyBorder="1" applyAlignment="1">
      <alignment horizontal="center"/>
    </xf>
    <xf numFmtId="43" fontId="9" fillId="0" borderId="4" xfId="1" applyFont="1" applyFill="1" applyBorder="1" applyAlignment="1">
      <alignment horizontal="center"/>
    </xf>
    <xf numFmtId="43" fontId="9" fillId="0" borderId="5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9" fontId="0" fillId="0" borderId="0" xfId="2" applyFont="1"/>
    <xf numFmtId="9" fontId="2" fillId="4" borderId="4" xfId="2" applyFont="1" applyFill="1" applyBorder="1" applyAlignment="1">
      <alignment horizontal="center"/>
    </xf>
    <xf numFmtId="10" fontId="0" fillId="0" borderId="0" xfId="0" applyNumberFormat="1"/>
    <xf numFmtId="9" fontId="4" fillId="5" borderId="5" xfId="2" applyFont="1" applyFill="1" applyBorder="1" applyAlignment="1">
      <alignment horizontal="center"/>
    </xf>
    <xf numFmtId="9" fontId="4" fillId="5" borderId="5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8">
    <cellStyle name="Comma" xfId="1" builtinId="3"/>
    <cellStyle name="Comma 2" xfId="6"/>
    <cellStyle name="Hyperlink" xfId="4" builtinId="8"/>
    <cellStyle name="Hyperlink 2" xfId="7"/>
    <cellStyle name="Normal" xfId="0" builtinId="0"/>
    <cellStyle name="Normal 2" xfId="5"/>
    <cellStyle name="Normal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ustraliangasnetworks.com.au/-/media/files/agn/our-business/about-us/annual-reports/2013-annual-report.pdf?la=en" TargetMode="External"/><Relationship Id="rId18" Type="http://schemas.openxmlformats.org/officeDocument/2006/relationships/hyperlink" Target="https://www.australiangasnetworks.com.au/-/media/files/agn/our-business/about-us/annual-reports/2008-annual-report.pdf?la=en" TargetMode="External"/><Relationship Id="rId26" Type="http://schemas.openxmlformats.org/officeDocument/2006/relationships/hyperlink" Target="http://duet.net.au/getattachment/ASX-releases/Archive/Tabs/2011/Annual-Report-2011/2011-09-26-duet-group-annual-report/2011-09-26-duet-group-annual-report.pdf" TargetMode="External"/><Relationship Id="rId39" Type="http://schemas.openxmlformats.org/officeDocument/2006/relationships/hyperlink" Target="https://www.ausnetservices.com.au/-/media/Files/AusNet/Investor-Centre/Reports/2008-Statutory-Annual-Report.ashx?la=en" TargetMode="External"/><Relationship Id="rId21" Type="http://schemas.openxmlformats.org/officeDocument/2006/relationships/hyperlink" Target="http://duet.net.au/getattachment/ASX-releases/2016/Annual-Report-Correction/asx-2016-10-19-Annual-Report-Correction/asx-2016-10-19-Annual-Report-Correction.pdf" TargetMode="External"/><Relationship Id="rId34" Type="http://schemas.openxmlformats.org/officeDocument/2006/relationships/hyperlink" Target="https://www.ausnetservices.com.au/-/media/Files/AusNet/Investor-Centre/Reports/2013-Statutory-Annual-Report.ashx?la=en" TargetMode="External"/><Relationship Id="rId42" Type="http://schemas.openxmlformats.org/officeDocument/2006/relationships/hyperlink" Target="https://www.sparkinfrastructure.com/system/files_force/documents/016_2016-annual-report-19-april-2017.pdf?download=1%20%20&amp;download=1%20%20_" TargetMode="External"/><Relationship Id="rId47" Type="http://schemas.openxmlformats.org/officeDocument/2006/relationships/hyperlink" Target="https://www.sparkinfrastructure.com/system/files_force/documents/fy_2011_annual_report.pdf?download=1%20%20&amp;download=1%20%20_" TargetMode="External"/><Relationship Id="rId50" Type="http://schemas.openxmlformats.org/officeDocument/2006/relationships/hyperlink" Target="https://www.sparkinfrastructure.com/system/files_force/documents/fy_2008_annual_report.pdf?download=1%20%20&amp;download=1%20%20_" TargetMode="External"/><Relationship Id="rId55" Type="http://schemas.openxmlformats.org/officeDocument/2006/relationships/hyperlink" Target="https://www.sapowernetworks.com.au/public/download.jsp?id=20887" TargetMode="External"/><Relationship Id="rId7" Type="http://schemas.openxmlformats.org/officeDocument/2006/relationships/hyperlink" Target="https://www.apa.com.au/globalassets/documents/annual-reports/2010-annual-reports/apa-annual-report-final.pdf" TargetMode="External"/><Relationship Id="rId2" Type="http://schemas.openxmlformats.org/officeDocument/2006/relationships/hyperlink" Target="https://www.apa.com.au/globalassets/documents/annual-reports/apa-2015-annual-report.pdf" TargetMode="External"/><Relationship Id="rId16" Type="http://schemas.openxmlformats.org/officeDocument/2006/relationships/hyperlink" Target="https://www.australiangasnetworks.com.au/-/media/files/agn/our-business/about-us/annual-reports/2010-annual-report.pdf?la=en" TargetMode="External"/><Relationship Id="rId20" Type="http://schemas.openxmlformats.org/officeDocument/2006/relationships/hyperlink" Target="https://www.australiangasnetworks.com.au/-/media/files/agn/our-business/about-us/annual-reports/2006-annual-report.pdf?la=en" TargetMode="External"/><Relationship Id="rId29" Type="http://schemas.openxmlformats.org/officeDocument/2006/relationships/hyperlink" Target="http://duet.net.au/getattachment/ASX-releases/Archive/Tabs/2008/Full-Year-Financial-Report/3-DUET-Financial-Report-for-the-year-ended-30-June/3-DUET-Financial-Report-for-the-year-ended-30-June-2008.PDF" TargetMode="External"/><Relationship Id="rId41" Type="http://schemas.openxmlformats.org/officeDocument/2006/relationships/hyperlink" Target="https://www.ausnetservices.com.au/-/media/Files/AusNet/Investor-Centre/Reports/2006-Annual-Report.ashx?la=en" TargetMode="External"/><Relationship Id="rId54" Type="http://schemas.openxmlformats.org/officeDocument/2006/relationships/hyperlink" Target="https://www.sapowernetworks.com.au/public/download.jsp?id=25556" TargetMode="External"/><Relationship Id="rId1" Type="http://schemas.openxmlformats.org/officeDocument/2006/relationships/hyperlink" Target="http://annualreport2016.apa.com.au/files/APA-Group-2016-Annual-Reportand-Sustainabilty-Report.pdf" TargetMode="External"/><Relationship Id="rId6" Type="http://schemas.openxmlformats.org/officeDocument/2006/relationships/hyperlink" Target="https://www.apa.com.au/globalassets/documents/annual-reports/older-annual-reports/apa_ar09_webversion.pdf" TargetMode="External"/><Relationship Id="rId11" Type="http://schemas.openxmlformats.org/officeDocument/2006/relationships/hyperlink" Target="https://www.apa.com.au/globalassets/documents/annual-reports/2014-annual-reports/apa-annual-report-2014-.pdf" TargetMode="External"/><Relationship Id="rId24" Type="http://schemas.openxmlformats.org/officeDocument/2006/relationships/hyperlink" Target="http://duet.net.au/getattachment/ASX-releases/2013/DUET-Group-2013-Annual-Report/DUET-Group-2013-Annual-Report/DUET-Group-2013-Annual-Report.PDF" TargetMode="External"/><Relationship Id="rId32" Type="http://schemas.openxmlformats.org/officeDocument/2006/relationships/hyperlink" Target="https://www.ausnetservices.com.au/-/media/Files/AusNet/Investor-Centre/Reports/2015-Statutory-Annual-Report.ashx?la=en" TargetMode="External"/><Relationship Id="rId37" Type="http://schemas.openxmlformats.org/officeDocument/2006/relationships/hyperlink" Target="https://www.ausnetservices.com.au/-/media/Files/AusNet/Investor-Centre/Reports/2010-Statutory-Annual-Report.ashx?la=en" TargetMode="External"/><Relationship Id="rId40" Type="http://schemas.openxmlformats.org/officeDocument/2006/relationships/hyperlink" Target="https://www.ausnetservices.com.au/-/media/Files/AusNet/Investor-Centre/Reports/2007-Annual-Report.ashx?la=en" TargetMode="External"/><Relationship Id="rId45" Type="http://schemas.openxmlformats.org/officeDocument/2006/relationships/hyperlink" Target="https://www.sparkinfrastructure.com/system/files_force/documents/fy_2013_annual_report.pdf?download=1%20%20&amp;download=1%20%20_" TargetMode="External"/><Relationship Id="rId53" Type="http://schemas.openxmlformats.org/officeDocument/2006/relationships/hyperlink" Target="https://www.sapowernetworks.com.au/public/download.jsp?id=46005" TargetMode="External"/><Relationship Id="rId58" Type="http://schemas.openxmlformats.org/officeDocument/2006/relationships/hyperlink" Target="https://www.sapowernetworks.com.au/public/download.jsp?id=9259" TargetMode="External"/><Relationship Id="rId5" Type="http://schemas.openxmlformats.org/officeDocument/2006/relationships/hyperlink" Target="https://www.apa.com.au/globalassets/documents/annual-reports/older-annual-reports/2008-annual-report.pdf" TargetMode="External"/><Relationship Id="rId15" Type="http://schemas.openxmlformats.org/officeDocument/2006/relationships/hyperlink" Target="https://www.australiangasnetworks.com.au/-/media/files/agn/our-business/about-us/annual-reports/2011-annual-report.pdf?la=en" TargetMode="External"/><Relationship Id="rId23" Type="http://schemas.openxmlformats.org/officeDocument/2006/relationships/hyperlink" Target="http://duet.net.au/getattachment/ASX-releases/2014/DUET-Group-2014-Annual-Report/1-asx-2014-09-26-annual-report/1-asx-2014-09-26-annual-report.pdf" TargetMode="External"/><Relationship Id="rId28" Type="http://schemas.openxmlformats.org/officeDocument/2006/relationships/hyperlink" Target="http://duet.net.au/getattachment/ASX-releases/Archive/Tabs/2009/FY09-Financial-Report/pr_210809_2/pr_210809_2.pdf" TargetMode="External"/><Relationship Id="rId36" Type="http://schemas.openxmlformats.org/officeDocument/2006/relationships/hyperlink" Target="https://www.ausnetservices.com.au/-/media/Files/AusNet/Investor-Centre/Reports/2011-Statutory-Annual-Report.ashx?la=en" TargetMode="External"/><Relationship Id="rId49" Type="http://schemas.openxmlformats.org/officeDocument/2006/relationships/hyperlink" Target="https://www.sparkinfrastructure.com/system/files_force/documents/fy_2009_annual_report.pdf?download=1%20%20&amp;download=1%20%20_" TargetMode="External"/><Relationship Id="rId57" Type="http://schemas.openxmlformats.org/officeDocument/2006/relationships/hyperlink" Target="https://www.sapowernetworks.com.au/public/download.jsp?id=11748" TargetMode="External"/><Relationship Id="rId61" Type="http://schemas.openxmlformats.org/officeDocument/2006/relationships/printerSettings" Target="../printerSettings/printerSettings2.bin"/><Relationship Id="rId10" Type="http://schemas.openxmlformats.org/officeDocument/2006/relationships/hyperlink" Target="https://www.apa.com.au/globalassets/documents/annual-reports/2013-annual-reports/apa-annual-report-2013.pdf" TargetMode="External"/><Relationship Id="rId19" Type="http://schemas.openxmlformats.org/officeDocument/2006/relationships/hyperlink" Target="https://www.australiangasnetworks.com.au/-/media/files/agn/our-business/about-us/annual-reports/2007-annual-report.pdf?la=en" TargetMode="External"/><Relationship Id="rId31" Type="http://schemas.openxmlformats.org/officeDocument/2006/relationships/hyperlink" Target="https://www.ausnetservices.com.au/-/media/Files/AusNet/Investor-Centre/Reports/AusNet-Services-2016-Financial-Report.ashx?la=en" TargetMode="External"/><Relationship Id="rId44" Type="http://schemas.openxmlformats.org/officeDocument/2006/relationships/hyperlink" Target="https://www.sparkinfrastructure.com/system/files_force/documents/fy_2014_annual_report.pdf?download=1%20%20&amp;download=1%20%20_" TargetMode="External"/><Relationship Id="rId52" Type="http://schemas.openxmlformats.org/officeDocument/2006/relationships/hyperlink" Target="https://www.sparkinfrastructure.com/system/files_force/documents/fy_2006_annual_report.pdf?download=1%20%20&amp;download=1%20%20_" TargetMode="External"/><Relationship Id="rId60" Type="http://schemas.openxmlformats.org/officeDocument/2006/relationships/hyperlink" Target="https://www.apa.com.au/globalassets/documents/annual-reports/2017-annual-reports/20170823-apa-fy17-results.pdf" TargetMode="External"/><Relationship Id="rId4" Type="http://schemas.openxmlformats.org/officeDocument/2006/relationships/hyperlink" Target="https://www.apa.com.au/globalassets/documents/annual-reports/older-annual-reports/apa-annual-report-07.pdf" TargetMode="External"/><Relationship Id="rId9" Type="http://schemas.openxmlformats.org/officeDocument/2006/relationships/hyperlink" Target="https://www.apa.com.au/globalassets/documents/annual-reports/2012-annual-reports/apa_annual_report_2012_complete.pdf" TargetMode="External"/><Relationship Id="rId14" Type="http://schemas.openxmlformats.org/officeDocument/2006/relationships/hyperlink" Target="https://www.australiangasnetworks.com.au/-/media/files/agn/our-business/about-us/annual-reports/2012-annual-report.pdf?la=en" TargetMode="External"/><Relationship Id="rId22" Type="http://schemas.openxmlformats.org/officeDocument/2006/relationships/hyperlink" Target="http://duet.net.au/getattachment/ASX-releases/2015/DUET-Group-2015-Annual-Report/DUET-Group-2015-Annual-Report/DUET-Group-2015-Annual-Report.PDF" TargetMode="External"/><Relationship Id="rId27" Type="http://schemas.openxmlformats.org/officeDocument/2006/relationships/hyperlink" Target="http://duet.net.au/getattachment/ASX-releases/Archive/Tabs/2010/2010-Annual-Report/duet-annual-report-2010/duet-annual-report-2010.pdf" TargetMode="External"/><Relationship Id="rId30" Type="http://schemas.openxmlformats.org/officeDocument/2006/relationships/hyperlink" Target="http://www.annualreports.com/HostedData/AnnualReportArchive/D/ASX_DUE_2007.pdf" TargetMode="External"/><Relationship Id="rId35" Type="http://schemas.openxmlformats.org/officeDocument/2006/relationships/hyperlink" Target="https://www.ausnetservices.com.au/-/media/Files/AusNet/Investor-Centre/Reports/2012-Statutory-Annual-Report.ashx?la=en" TargetMode="External"/><Relationship Id="rId43" Type="http://schemas.openxmlformats.org/officeDocument/2006/relationships/hyperlink" Target="https://www.sparkinfrastructure.com/system/files_force/documents/fy_2015_annual_report.pdf?download=1%20%20&amp;download=1%20%20_" TargetMode="External"/><Relationship Id="rId48" Type="http://schemas.openxmlformats.org/officeDocument/2006/relationships/hyperlink" Target="https://www.sparkinfrastructure.com/system/files_force/documents/fy_2010_annual_report.pdf?download=1%20%20&amp;download=1%20%20_" TargetMode="External"/><Relationship Id="rId56" Type="http://schemas.openxmlformats.org/officeDocument/2006/relationships/hyperlink" Target="https://www.sapowernetworks.com.au/public/download.jsp?id=14234" TargetMode="External"/><Relationship Id="rId8" Type="http://schemas.openxmlformats.org/officeDocument/2006/relationships/hyperlink" Target="https://www.apa.com.au/globalassets/documents/annual-reports/2011-annual-reports/2011-annual-report.pdf" TargetMode="External"/><Relationship Id="rId51" Type="http://schemas.openxmlformats.org/officeDocument/2006/relationships/hyperlink" Target="https://www.sparkinfrastructure.com/system/files_force/documents/fy_2007_annual_report.pdf?download=1%20%20&amp;download=1%20%20_" TargetMode="External"/><Relationship Id="rId3" Type="http://schemas.openxmlformats.org/officeDocument/2006/relationships/hyperlink" Target="https://www.apa.com.au/globalassets/documents/annual-reports/older-annual-reports/2006-annual-report.pdf" TargetMode="External"/><Relationship Id="rId12" Type="http://schemas.openxmlformats.org/officeDocument/2006/relationships/hyperlink" Target="https://www.australiangasnetworks.com.au/-/media/files/agn/our-business/about-us/annual-reports/2014-annual-report.pdf?la=en" TargetMode="External"/><Relationship Id="rId17" Type="http://schemas.openxmlformats.org/officeDocument/2006/relationships/hyperlink" Target="https://www.australiangasnetworks.com.au/-/media/files/agn/our-business/about-us/annual-reports/2009-annual-report.pdf?la=en" TargetMode="External"/><Relationship Id="rId25" Type="http://schemas.openxmlformats.org/officeDocument/2006/relationships/hyperlink" Target="http://duet.net.au/getattachment/ASX-releases/Archive/Tabs/2012/DUET-Group-2012-Annual-Report/2012-09-27-annual-report-2012/2012-09-27-annual-report-2012.pdf" TargetMode="External"/><Relationship Id="rId33" Type="http://schemas.openxmlformats.org/officeDocument/2006/relationships/hyperlink" Target="https://www.ausnetservices.com.au/-/media/Files/AusNet/Investor-Centre/Reports/2014-Statutory-Annual-Report.ashx?la=en" TargetMode="External"/><Relationship Id="rId38" Type="http://schemas.openxmlformats.org/officeDocument/2006/relationships/hyperlink" Target="https://www.ausnetservices.com.au/-/media/Files/AusNet/Investor-Centre/Reports/2009-Statutory-Annual-Report.ashx?la=en" TargetMode="External"/><Relationship Id="rId46" Type="http://schemas.openxmlformats.org/officeDocument/2006/relationships/hyperlink" Target="https://www.sparkinfrastructure.com/system/files_force/documents/fy_2012_annual_report.pdf?download=1%20%20&amp;download=1%20%20_" TargetMode="External"/><Relationship Id="rId59" Type="http://schemas.openxmlformats.org/officeDocument/2006/relationships/hyperlink" Target="https://www.sapowernetworks.com.au/public/download.jsp?id=552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U112"/>
  <sheetViews>
    <sheetView showGridLines="0" topLeftCell="A58" zoomScale="90" zoomScaleNormal="90" workbookViewId="0">
      <selection activeCell="E104" sqref="E104:M104"/>
    </sheetView>
  </sheetViews>
  <sheetFormatPr defaultRowHeight="12" x14ac:dyDescent="0.2"/>
  <cols>
    <col min="1" max="1" width="9.140625" style="19"/>
    <col min="2" max="2" width="63.5703125" style="17" bestFit="1" customWidth="1"/>
    <col min="3" max="3" width="13.28515625" style="18" customWidth="1"/>
    <col min="4" max="4" width="13.42578125" style="18" customWidth="1"/>
    <col min="5" max="5" width="12.5703125" style="18" customWidth="1"/>
    <col min="6" max="6" width="11.28515625" style="18" customWidth="1"/>
    <col min="7" max="7" width="10.7109375" style="18" customWidth="1"/>
    <col min="8" max="11" width="11.42578125" style="18" bestFit="1" customWidth="1"/>
    <col min="12" max="12" width="10.42578125" style="18" bestFit="1" customWidth="1"/>
    <col min="13" max="13" width="10" style="18" bestFit="1" customWidth="1"/>
    <col min="14" max="14" width="10.42578125" style="18" bestFit="1" customWidth="1"/>
    <col min="15" max="16384" width="9.140625" style="19"/>
  </cols>
  <sheetData>
    <row r="3" spans="2:14" x14ac:dyDescent="0.2">
      <c r="B3" s="17" t="s">
        <v>0</v>
      </c>
    </row>
    <row r="4" spans="2:14" x14ac:dyDescent="0.2">
      <c r="B4" s="68" t="s">
        <v>1</v>
      </c>
      <c r="C4" s="68">
        <v>2017</v>
      </c>
      <c r="D4" s="68">
        <v>2016</v>
      </c>
      <c r="E4" s="68">
        <v>2015</v>
      </c>
      <c r="F4" s="68">
        <v>2014</v>
      </c>
      <c r="G4" s="68">
        <v>2013</v>
      </c>
      <c r="H4" s="68">
        <v>2012</v>
      </c>
      <c r="I4" s="68">
        <v>2011</v>
      </c>
      <c r="J4" s="68">
        <v>2010</v>
      </c>
      <c r="K4" s="68">
        <v>2009</v>
      </c>
      <c r="L4" s="68">
        <v>2008</v>
      </c>
      <c r="M4" s="68">
        <v>2007</v>
      </c>
      <c r="N4" s="68">
        <v>2006</v>
      </c>
    </row>
    <row r="5" spans="2:14" x14ac:dyDescent="0.2">
      <c r="B5" s="69" t="s">
        <v>2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2:14" x14ac:dyDescent="0.2">
      <c r="B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2:14" x14ac:dyDescent="0.2">
      <c r="B7" s="2" t="s">
        <v>3</v>
      </c>
      <c r="C7" s="7"/>
      <c r="D7" s="7"/>
      <c r="E7" s="7"/>
      <c r="F7" s="8">
        <v>2143.4</v>
      </c>
      <c r="G7" s="7">
        <f>2019.5+3</f>
        <v>2022.5</v>
      </c>
      <c r="H7" s="7">
        <f>(108+2016.9)</f>
        <v>2124.9</v>
      </c>
      <c r="I7" s="7">
        <f>(272.2+1686.8)</f>
        <v>1959</v>
      </c>
      <c r="J7" s="7">
        <f>(227.5+1713.8)</f>
        <v>1941.3</v>
      </c>
      <c r="K7" s="7">
        <f>(329.7+1581)</f>
        <v>1910.7</v>
      </c>
      <c r="L7" s="59">
        <f>(1796+167.4)</f>
        <v>1963.4</v>
      </c>
      <c r="M7" s="7">
        <f>(182.3+1766.6)</f>
        <v>1948.8999999999999</v>
      </c>
      <c r="N7" s="59">
        <f>(74.314+1921.945)</f>
        <v>1996.259</v>
      </c>
    </row>
    <row r="8" spans="2:14" x14ac:dyDescent="0.2">
      <c r="B8" s="2" t="s">
        <v>4</v>
      </c>
      <c r="C8" s="7"/>
      <c r="D8" s="7"/>
      <c r="E8" s="7"/>
      <c r="F8" s="7">
        <v>3.5</v>
      </c>
      <c r="G8" s="7">
        <v>1</v>
      </c>
      <c r="H8" s="7">
        <v>1</v>
      </c>
      <c r="I8" s="7">
        <v>7.3</v>
      </c>
      <c r="J8" s="7">
        <v>6.4</v>
      </c>
      <c r="K8" s="7">
        <v>6.2</v>
      </c>
      <c r="L8" s="7">
        <v>10.8</v>
      </c>
      <c r="M8" s="7">
        <v>11.4</v>
      </c>
      <c r="N8" s="7">
        <v>26.436</v>
      </c>
    </row>
    <row r="9" spans="2:14" x14ac:dyDescent="0.2">
      <c r="B9" s="3" t="s">
        <v>5</v>
      </c>
      <c r="C9" s="9">
        <f>C7-C8</f>
        <v>0</v>
      </c>
      <c r="D9" s="9">
        <f t="shared" ref="D9:E9" si="0">D7-D8</f>
        <v>0</v>
      </c>
      <c r="E9" s="9">
        <f t="shared" si="0"/>
        <v>0</v>
      </c>
      <c r="F9" s="9">
        <f>F7-F8</f>
        <v>2139.9</v>
      </c>
      <c r="G9" s="9">
        <f t="shared" ref="G9:N9" si="1">G7-G8</f>
        <v>2021.5</v>
      </c>
      <c r="H9" s="9">
        <f t="shared" si="1"/>
        <v>2123.9</v>
      </c>
      <c r="I9" s="9">
        <f t="shared" si="1"/>
        <v>1951.7</v>
      </c>
      <c r="J9" s="9">
        <f t="shared" si="1"/>
        <v>1934.8999999999999</v>
      </c>
      <c r="K9" s="9">
        <f t="shared" si="1"/>
        <v>1904.5</v>
      </c>
      <c r="L9" s="9">
        <f t="shared" si="1"/>
        <v>1952.6000000000001</v>
      </c>
      <c r="M9" s="9">
        <f t="shared" si="1"/>
        <v>1937.4999999999998</v>
      </c>
      <c r="N9" s="9">
        <f t="shared" si="1"/>
        <v>1969.8230000000001</v>
      </c>
    </row>
    <row r="10" spans="2:14" ht="15" customHeight="1" x14ac:dyDescent="0.2">
      <c r="B10" s="2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2:14" ht="15" customHeight="1" x14ac:dyDescent="0.2">
      <c r="B11" s="2" t="s">
        <v>125</v>
      </c>
      <c r="C11" s="10"/>
      <c r="D11" s="10"/>
      <c r="E11" s="10"/>
      <c r="F11" s="10"/>
      <c r="G11" s="10"/>
      <c r="H11" s="10"/>
      <c r="I11" s="10"/>
      <c r="J11" s="10"/>
      <c r="K11" s="10"/>
      <c r="L11" s="8">
        <v>42.6</v>
      </c>
      <c r="M11" s="60">
        <v>99</v>
      </c>
      <c r="N11" s="8">
        <v>142.68799999999999</v>
      </c>
    </row>
    <row r="12" spans="2:14" ht="15" customHeight="1" x14ac:dyDescent="0.2">
      <c r="B12" s="2" t="s">
        <v>126</v>
      </c>
      <c r="C12" s="10"/>
      <c r="D12" s="10"/>
      <c r="E12" s="10"/>
      <c r="F12" s="58">
        <f>F7-F11</f>
        <v>2143.4</v>
      </c>
      <c r="G12" s="58">
        <f t="shared" ref="G12:N12" si="2">G7-G11</f>
        <v>2022.5</v>
      </c>
      <c r="H12" s="58">
        <f t="shared" si="2"/>
        <v>2124.9</v>
      </c>
      <c r="I12" s="58">
        <f t="shared" si="2"/>
        <v>1959</v>
      </c>
      <c r="J12" s="58">
        <f t="shared" si="2"/>
        <v>1941.3</v>
      </c>
      <c r="K12" s="58">
        <f t="shared" si="2"/>
        <v>1910.7</v>
      </c>
      <c r="L12" s="58">
        <f>L7-L11</f>
        <v>1920.8000000000002</v>
      </c>
      <c r="M12" s="58">
        <f t="shared" si="2"/>
        <v>1849.8999999999999</v>
      </c>
      <c r="N12" s="58">
        <f t="shared" si="2"/>
        <v>1853.5709999999999</v>
      </c>
    </row>
    <row r="13" spans="2:14" ht="15" customHeight="1" x14ac:dyDescent="0.2">
      <c r="B13" s="2" t="s">
        <v>127</v>
      </c>
      <c r="C13" s="10"/>
      <c r="D13" s="10"/>
      <c r="E13" s="10"/>
      <c r="F13" s="58">
        <f>F12-F8</f>
        <v>2139.9</v>
      </c>
      <c r="G13" s="58">
        <f t="shared" ref="G13:N13" si="3">G12-G8</f>
        <v>2021.5</v>
      </c>
      <c r="H13" s="58">
        <f t="shared" si="3"/>
        <v>2123.9</v>
      </c>
      <c r="I13" s="58">
        <f t="shared" si="3"/>
        <v>1951.7</v>
      </c>
      <c r="J13" s="58">
        <f t="shared" si="3"/>
        <v>1934.8999999999999</v>
      </c>
      <c r="K13" s="58">
        <f t="shared" si="3"/>
        <v>1904.5</v>
      </c>
      <c r="L13" s="58">
        <f t="shared" si="3"/>
        <v>1910.0000000000002</v>
      </c>
      <c r="M13" s="58">
        <f t="shared" si="3"/>
        <v>1838.4999999999998</v>
      </c>
      <c r="N13" s="58">
        <f t="shared" si="3"/>
        <v>1827.135</v>
      </c>
    </row>
    <row r="14" spans="2:14" ht="15" customHeight="1" x14ac:dyDescent="0.2">
      <c r="B14" s="2"/>
      <c r="C14" s="10"/>
      <c r="D14" s="10"/>
      <c r="E14" s="10"/>
      <c r="F14" s="58"/>
      <c r="G14" s="58"/>
      <c r="H14" s="58"/>
      <c r="I14" s="58"/>
      <c r="J14" s="58"/>
      <c r="K14" s="58"/>
      <c r="L14" s="58"/>
      <c r="M14" s="58"/>
      <c r="N14" s="58"/>
    </row>
    <row r="15" spans="2:14" ht="24.75" customHeight="1" x14ac:dyDescent="0.2">
      <c r="B15" s="2" t="s">
        <v>6</v>
      </c>
      <c r="C15" s="8"/>
      <c r="D15" s="8"/>
      <c r="E15" s="8"/>
      <c r="F15" s="8">
        <f>1796808474/1000000</f>
        <v>1796.8084739999999</v>
      </c>
      <c r="G15" s="8">
        <f>1796808474/1000000</f>
        <v>1796.8084739999999</v>
      </c>
      <c r="H15" s="8">
        <f>1572392111/1000000</f>
        <v>1572.3921110000001</v>
      </c>
      <c r="I15" s="8">
        <f>1468560201/1000000</f>
        <v>1468.560201</v>
      </c>
      <c r="J15" s="8">
        <f>1386827962/1000000</f>
        <v>1386.8279620000001</v>
      </c>
      <c r="K15" s="8">
        <f>1307029746/1000000</f>
        <v>1307.0297459999999</v>
      </c>
      <c r="L15" s="8">
        <f>891377475/1000000</f>
        <v>891.377475</v>
      </c>
      <c r="M15" s="8">
        <f>852278514/1000000</f>
        <v>852.27851399999997</v>
      </c>
      <c r="N15" s="8">
        <f>814300491/1000000</f>
        <v>814.30049099999997</v>
      </c>
    </row>
    <row r="16" spans="2:14" x14ac:dyDescent="0.2">
      <c r="B16" s="2" t="s">
        <v>7</v>
      </c>
      <c r="C16" s="8"/>
      <c r="D16" s="8"/>
      <c r="E16" s="8"/>
      <c r="F16" s="8">
        <v>1.36</v>
      </c>
      <c r="G16" s="8">
        <v>0.99</v>
      </c>
      <c r="H16" s="8">
        <v>0.79</v>
      </c>
      <c r="I16" s="8">
        <v>0.69</v>
      </c>
      <c r="J16" s="8">
        <v>0.49</v>
      </c>
      <c r="K16" s="8">
        <v>0.48499999999999999</v>
      </c>
      <c r="L16" s="8">
        <v>0.64</v>
      </c>
      <c r="M16" s="8">
        <v>1.1499999999999999</v>
      </c>
      <c r="N16" s="8">
        <v>1.1499999999999999</v>
      </c>
    </row>
    <row r="17" spans="2:18" x14ac:dyDescent="0.2">
      <c r="B17" s="3" t="s">
        <v>8</v>
      </c>
      <c r="C17" s="11">
        <f>C15*C16</f>
        <v>0</v>
      </c>
      <c r="D17" s="11">
        <f t="shared" ref="D17:E17" si="4">D15*D16</f>
        <v>0</v>
      </c>
      <c r="E17" s="11">
        <f t="shared" si="4"/>
        <v>0</v>
      </c>
      <c r="F17" s="23">
        <f>F15*F16</f>
        <v>2443.6595246400002</v>
      </c>
      <c r="G17" s="23">
        <f t="shared" ref="G17:N17" si="5">G15*G16</f>
        <v>1778.8403892599999</v>
      </c>
      <c r="H17" s="23">
        <f t="shared" si="5"/>
        <v>1242.1897676900001</v>
      </c>
      <c r="I17" s="23">
        <f t="shared" si="5"/>
        <v>1013.3065386899999</v>
      </c>
      <c r="J17" s="23">
        <f t="shared" si="5"/>
        <v>679.54570137999997</v>
      </c>
      <c r="K17" s="23">
        <f t="shared" si="5"/>
        <v>633.9094268099999</v>
      </c>
      <c r="L17" s="23">
        <f t="shared" si="5"/>
        <v>570.481584</v>
      </c>
      <c r="M17" s="23">
        <f t="shared" si="5"/>
        <v>980.12029109999992</v>
      </c>
      <c r="N17" s="23">
        <f t="shared" si="5"/>
        <v>936.44556464999994</v>
      </c>
    </row>
    <row r="18" spans="2:18" x14ac:dyDescent="0.2"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8" x14ac:dyDescent="0.2">
      <c r="B19" s="2" t="s">
        <v>9</v>
      </c>
      <c r="C19" s="8">
        <f>IFERROR(C9/(C9+C17),0)</f>
        <v>0</v>
      </c>
      <c r="D19" s="8">
        <f>IFERROR(D9/(D9+D17),0)</f>
        <v>0</v>
      </c>
      <c r="E19" s="8">
        <f>IFERROR(E9/(E9+E17),0)</f>
        <v>0</v>
      </c>
      <c r="F19" s="13">
        <f>F13/(F13+F17)</f>
        <v>0.46686423258964238</v>
      </c>
      <c r="G19" s="13">
        <f t="shared" ref="G19:N19" si="6">G13/(G13+G17)</f>
        <v>0.53192603633950408</v>
      </c>
      <c r="H19" s="13">
        <f t="shared" si="6"/>
        <v>0.63096950663248041</v>
      </c>
      <c r="I19" s="13">
        <f t="shared" si="6"/>
        <v>0.65824475411184102</v>
      </c>
      <c r="J19" s="13">
        <f t="shared" si="6"/>
        <v>0.7400803921759358</v>
      </c>
      <c r="K19" s="13">
        <f t="shared" si="6"/>
        <v>0.75027297798581338</v>
      </c>
      <c r="L19" s="13">
        <f t="shared" si="6"/>
        <v>0.77001176397365267</v>
      </c>
      <c r="M19" s="13">
        <f t="shared" si="6"/>
        <v>0.65226948298257781</v>
      </c>
      <c r="N19" s="13">
        <f t="shared" si="6"/>
        <v>0.66114772385201004</v>
      </c>
    </row>
    <row r="20" spans="2:18" x14ac:dyDescent="0.2">
      <c r="B20" s="4" t="s">
        <v>10</v>
      </c>
      <c r="C20" s="14">
        <f>IFERROR(C7/(C7+C17),0)</f>
        <v>0</v>
      </c>
      <c r="D20" s="14">
        <f>IFERROR(D7/(D7+D17),0)</f>
        <v>0</v>
      </c>
      <c r="E20" s="14">
        <f>IFERROR(E7/(E7+E17),0)</f>
        <v>0</v>
      </c>
      <c r="F20" s="15">
        <f>F12/(F12+F17)</f>
        <v>0.46727102373240237</v>
      </c>
      <c r="G20" s="15">
        <f t="shared" ref="G20:N20" si="7">G12/(G12+G17)</f>
        <v>0.53204917026483822</v>
      </c>
      <c r="H20" s="15">
        <f t="shared" si="7"/>
        <v>0.63107910587658389</v>
      </c>
      <c r="I20" s="15">
        <f t="shared" si="7"/>
        <v>0.65908410673664919</v>
      </c>
      <c r="J20" s="15">
        <f t="shared" si="7"/>
        <v>0.74071510542486851</v>
      </c>
      <c r="K20" s="15">
        <f t="shared" si="7"/>
        <v>0.75088144367810183</v>
      </c>
      <c r="L20" s="15">
        <f t="shared" si="7"/>
        <v>0.7710087901488698</v>
      </c>
      <c r="M20" s="15">
        <f t="shared" si="7"/>
        <v>0.65367022484526527</v>
      </c>
      <c r="N20" s="15">
        <f t="shared" si="7"/>
        <v>0.6643584211954402</v>
      </c>
      <c r="R20" s="22">
        <f>AVERAGE(C20:Q20)</f>
        <v>0.48917644932525167</v>
      </c>
    </row>
    <row r="21" spans="2:18" x14ac:dyDescent="0.2">
      <c r="F21" s="29"/>
      <c r="G21" s="19"/>
      <c r="H21" s="19"/>
      <c r="I21" s="19"/>
      <c r="J21" s="19"/>
      <c r="K21" s="19"/>
      <c r="L21" s="19"/>
      <c r="M21" s="19"/>
      <c r="N21" s="19"/>
    </row>
    <row r="22" spans="2:18" x14ac:dyDescent="0.2">
      <c r="B22" s="5" t="s">
        <v>0</v>
      </c>
      <c r="F22" s="27"/>
      <c r="G22" s="27"/>
      <c r="H22" s="27"/>
      <c r="I22" s="27"/>
      <c r="J22" s="27"/>
      <c r="K22" s="27"/>
      <c r="L22" s="19"/>
      <c r="M22" s="19"/>
      <c r="N22" s="19"/>
    </row>
    <row r="23" spans="2:18" x14ac:dyDescent="0.2">
      <c r="B23" s="68" t="s">
        <v>11</v>
      </c>
      <c r="C23" s="68">
        <v>2017</v>
      </c>
      <c r="D23" s="68">
        <v>2016</v>
      </c>
      <c r="E23" s="68">
        <v>2015</v>
      </c>
      <c r="F23" s="68">
        <v>2014</v>
      </c>
      <c r="G23" s="68">
        <v>2013</v>
      </c>
      <c r="H23" s="68">
        <v>2012</v>
      </c>
      <c r="I23" s="68">
        <v>2011</v>
      </c>
      <c r="J23" s="68">
        <v>2010</v>
      </c>
      <c r="K23" s="68">
        <v>2009</v>
      </c>
      <c r="L23" s="68">
        <v>2008</v>
      </c>
      <c r="M23" s="68">
        <v>2007</v>
      </c>
      <c r="N23" s="68">
        <v>2006</v>
      </c>
    </row>
    <row r="24" spans="2:18" x14ac:dyDescent="0.2">
      <c r="B24" s="69" t="s">
        <v>2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8" x14ac:dyDescent="0.2">
      <c r="B25" s="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8" x14ac:dyDescent="0.2">
      <c r="B26" s="2" t="s">
        <v>3</v>
      </c>
      <c r="C26" s="7">
        <f>(126.858+9573.907)</f>
        <v>9700.7649999999994</v>
      </c>
      <c r="D26" s="7">
        <f>(409.829+9314.373)</f>
        <v>9724.2019999999993</v>
      </c>
      <c r="E26" s="7">
        <f>(164.353+9141.497)</f>
        <v>9305.8499999999985</v>
      </c>
      <c r="F26" s="8">
        <v>4708.2830000000004</v>
      </c>
      <c r="G26" s="7">
        <f>(80.91+4233.242)</f>
        <v>4314.152</v>
      </c>
      <c r="H26" s="7">
        <v>2905.9459999999999</v>
      </c>
      <c r="I26" s="7">
        <f>(900+1990.446)</f>
        <v>2890.4459999999999</v>
      </c>
      <c r="J26" s="7">
        <f>(103.883+2891.891)</f>
        <v>2995.7739999999999</v>
      </c>
      <c r="K26" s="7">
        <f>(900.219+2057.875)</f>
        <v>2958.0940000000001</v>
      </c>
      <c r="L26" s="7">
        <f>(450.15+2660.973)</f>
        <v>3111.123</v>
      </c>
      <c r="M26" s="7">
        <f>(4.494+2593.158)</f>
        <v>2597.652</v>
      </c>
      <c r="N26" s="7">
        <f>(158.542+1055.708)</f>
        <v>1214.25</v>
      </c>
    </row>
    <row r="27" spans="2:18" x14ac:dyDescent="0.2">
      <c r="B27" s="2" t="s">
        <v>4</v>
      </c>
      <c r="C27" s="7">
        <v>394.50099999999998</v>
      </c>
      <c r="D27" s="7">
        <v>84.506</v>
      </c>
      <c r="E27" s="7">
        <v>411.92099999999999</v>
      </c>
      <c r="F27" s="7">
        <v>7.0090000000000003</v>
      </c>
      <c r="G27" s="7">
        <v>80.954999999999998</v>
      </c>
      <c r="H27" s="7">
        <v>329.93400000000003</v>
      </c>
      <c r="I27" s="7">
        <v>95.367999999999995</v>
      </c>
      <c r="J27" s="7">
        <v>80.94</v>
      </c>
      <c r="K27" s="7">
        <v>108.815</v>
      </c>
      <c r="L27" s="7">
        <v>105.455</v>
      </c>
      <c r="M27" s="7">
        <v>60.078000000000003</v>
      </c>
      <c r="N27" s="7">
        <v>13.004</v>
      </c>
    </row>
    <row r="28" spans="2:18" x14ac:dyDescent="0.2">
      <c r="B28" s="3" t="s">
        <v>5</v>
      </c>
      <c r="C28" s="9">
        <f>C26-C27</f>
        <v>9306.2639999999992</v>
      </c>
      <c r="D28" s="9">
        <f t="shared" ref="D28:N28" si="8">D26-D27</f>
        <v>9639.6959999999999</v>
      </c>
      <c r="E28" s="9">
        <f t="shared" si="8"/>
        <v>8893.9289999999983</v>
      </c>
      <c r="F28" s="9">
        <f t="shared" si="8"/>
        <v>4701.2740000000003</v>
      </c>
      <c r="G28" s="9">
        <f t="shared" si="8"/>
        <v>4233.1970000000001</v>
      </c>
      <c r="H28" s="9">
        <f t="shared" si="8"/>
        <v>2576.0119999999997</v>
      </c>
      <c r="I28" s="9">
        <f t="shared" si="8"/>
        <v>2795.078</v>
      </c>
      <c r="J28" s="9">
        <f t="shared" si="8"/>
        <v>2914.8339999999998</v>
      </c>
      <c r="K28" s="9">
        <f t="shared" si="8"/>
        <v>2849.279</v>
      </c>
      <c r="L28" s="9">
        <f t="shared" si="8"/>
        <v>3005.6680000000001</v>
      </c>
      <c r="M28" s="9">
        <f t="shared" si="8"/>
        <v>2537.5740000000001</v>
      </c>
      <c r="N28" s="9">
        <f t="shared" si="8"/>
        <v>1201.2460000000001</v>
      </c>
    </row>
    <row r="29" spans="2:18" x14ac:dyDescent="0.2">
      <c r="B29" s="2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8" x14ac:dyDescent="0.2">
      <c r="B30" s="2" t="s">
        <v>6</v>
      </c>
      <c r="C30" s="8">
        <f>1114307369/1000000</f>
        <v>1114.3073690000001</v>
      </c>
      <c r="D30" s="8">
        <f>1114307369/1000000</f>
        <v>1114.3073690000001</v>
      </c>
      <c r="E30" s="8">
        <f>1114307369/1000000</f>
        <v>1114.3073690000001</v>
      </c>
      <c r="F30" s="8">
        <f>835750807/1000000</f>
        <v>835.75080700000001</v>
      </c>
      <c r="G30" s="8">
        <f>835750807/1000000</f>
        <v>835.75080700000001</v>
      </c>
      <c r="H30" s="8">
        <f>644485583/1000000</f>
        <v>644.48558300000002</v>
      </c>
      <c r="I30" s="8">
        <f>634116029/1000000</f>
        <v>634.11602900000003</v>
      </c>
      <c r="J30" s="8">
        <f>542318629/1000000</f>
        <v>542.31862899999999</v>
      </c>
      <c r="K30" s="8">
        <f>498663596/1000000</f>
        <v>498.66359599999998</v>
      </c>
      <c r="L30" s="8">
        <f>468241154/1000000</f>
        <v>468.24115399999999</v>
      </c>
      <c r="M30" s="8">
        <f>431701196/1000000</f>
        <v>431.70119599999998</v>
      </c>
      <c r="N30" s="8">
        <v>280.18099999999998</v>
      </c>
    </row>
    <row r="31" spans="2:18" x14ac:dyDescent="0.2">
      <c r="B31" s="2" t="s">
        <v>7</v>
      </c>
      <c r="C31" s="49">
        <v>9.17</v>
      </c>
      <c r="D31" s="49">
        <v>9.24</v>
      </c>
      <c r="E31" s="49">
        <v>8.24</v>
      </c>
      <c r="F31" s="49">
        <v>6.89</v>
      </c>
      <c r="G31" s="49">
        <v>5.99</v>
      </c>
      <c r="H31" s="49">
        <v>4.99</v>
      </c>
      <c r="I31" s="49">
        <v>4.07</v>
      </c>
      <c r="J31" s="49">
        <v>3.6</v>
      </c>
      <c r="K31" s="49">
        <v>2.75</v>
      </c>
      <c r="L31" s="50">
        <v>2.512</v>
      </c>
      <c r="M31" s="50">
        <v>4.2</v>
      </c>
      <c r="N31" s="50">
        <v>4.1100000000000003</v>
      </c>
    </row>
    <row r="32" spans="2:18" x14ac:dyDescent="0.2">
      <c r="B32" s="3" t="s">
        <v>8</v>
      </c>
      <c r="C32" s="11">
        <f>C30*C31</f>
        <v>10218.19857373</v>
      </c>
      <c r="D32" s="11">
        <f t="shared" ref="D32:N32" si="9">D30*D31</f>
        <v>10296.200089560001</v>
      </c>
      <c r="E32" s="11">
        <f t="shared" si="9"/>
        <v>9181.8927205600012</v>
      </c>
      <c r="F32" s="11">
        <f t="shared" si="9"/>
        <v>5758.32306023</v>
      </c>
      <c r="G32" s="11">
        <f t="shared" si="9"/>
        <v>5006.1473339300001</v>
      </c>
      <c r="H32" s="11">
        <f t="shared" si="9"/>
        <v>3215.9830591700002</v>
      </c>
      <c r="I32" s="11">
        <f t="shared" si="9"/>
        <v>2580.8522380300001</v>
      </c>
      <c r="J32" s="11">
        <f t="shared" si="9"/>
        <v>1952.3470643999999</v>
      </c>
      <c r="K32" s="11">
        <f t="shared" si="9"/>
        <v>1371.324889</v>
      </c>
      <c r="L32" s="11">
        <f t="shared" si="9"/>
        <v>1176.221778848</v>
      </c>
      <c r="M32" s="11">
        <f t="shared" si="9"/>
        <v>1813.1450232</v>
      </c>
      <c r="N32" s="11">
        <f t="shared" si="9"/>
        <v>1151.5439100000001</v>
      </c>
    </row>
    <row r="33" spans="2:18" x14ac:dyDescent="0.2">
      <c r="B33" s="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8" x14ac:dyDescent="0.2">
      <c r="B34" s="2" t="s">
        <v>9</v>
      </c>
      <c r="C34" s="13">
        <f t="shared" ref="C34:N34" si="10">IFERROR(C28/(C28+C32),0)</f>
        <v>0.47664635914340087</v>
      </c>
      <c r="D34" s="13">
        <f t="shared" si="10"/>
        <v>0.48353462300839839</v>
      </c>
      <c r="E34" s="13">
        <f t="shared" si="10"/>
        <v>0.49203456072394025</v>
      </c>
      <c r="F34" s="13">
        <f t="shared" si="10"/>
        <v>0.44946989572623386</v>
      </c>
      <c r="G34" s="13">
        <f t="shared" si="10"/>
        <v>0.45817071504243739</v>
      </c>
      <c r="H34" s="13">
        <f t="shared" si="10"/>
        <v>0.4447538324331971</v>
      </c>
      <c r="I34" s="13">
        <f t="shared" si="10"/>
        <v>0.51992452956834712</v>
      </c>
      <c r="J34" s="13">
        <f t="shared" si="10"/>
        <v>0.59887519314207494</v>
      </c>
      <c r="K34" s="13">
        <f t="shared" si="10"/>
        <v>0.67508799094507965</v>
      </c>
      <c r="L34" s="13">
        <f t="shared" si="10"/>
        <v>0.71873439017993013</v>
      </c>
      <c r="M34" s="13">
        <f t="shared" si="10"/>
        <v>0.58325393721555185</v>
      </c>
      <c r="N34" s="13">
        <f t="shared" si="10"/>
        <v>0.51056237316148634</v>
      </c>
    </row>
    <row r="35" spans="2:18" x14ac:dyDescent="0.2">
      <c r="B35" s="4" t="s">
        <v>10</v>
      </c>
      <c r="C35" s="24">
        <f t="shared" ref="C35:N35" si="11">IFERROR(C26/(C26+C32),0)</f>
        <v>0.48701153371221551</v>
      </c>
      <c r="D35" s="24">
        <f t="shared" si="11"/>
        <v>0.48571462034076029</v>
      </c>
      <c r="E35" s="24">
        <f t="shared" si="11"/>
        <v>0.50335241790503027</v>
      </c>
      <c r="F35" s="24">
        <f t="shared" si="11"/>
        <v>0.4498385601699561</v>
      </c>
      <c r="G35" s="24">
        <f t="shared" si="11"/>
        <v>0.46287697910029391</v>
      </c>
      <c r="H35" s="24">
        <f t="shared" si="11"/>
        <v>0.47467815649500239</v>
      </c>
      <c r="I35" s="24">
        <f t="shared" si="11"/>
        <v>0.52829253209211569</v>
      </c>
      <c r="J35" s="24">
        <f t="shared" si="11"/>
        <v>0.6054366821284034</v>
      </c>
      <c r="K35" s="24">
        <f t="shared" si="11"/>
        <v>0.68325428327478244</v>
      </c>
      <c r="L35" s="24">
        <f t="shared" si="11"/>
        <v>0.72565262662079444</v>
      </c>
      <c r="M35" s="24">
        <f t="shared" si="11"/>
        <v>0.58893029680051412</v>
      </c>
      <c r="N35" s="24">
        <f t="shared" si="11"/>
        <v>0.51325265267928588</v>
      </c>
      <c r="R35" s="21">
        <f>AVERAGE(C35:Q35)</f>
        <v>0.54235761177659625</v>
      </c>
    </row>
    <row r="36" spans="2:18" x14ac:dyDescent="0.2">
      <c r="D36" s="30"/>
      <c r="E36" s="30"/>
      <c r="F36" s="30"/>
      <c r="G36" s="30"/>
      <c r="H36" s="30"/>
      <c r="I36" s="30"/>
      <c r="J36" s="30"/>
      <c r="K36" s="30"/>
      <c r="L36" s="19"/>
      <c r="M36" s="19"/>
      <c r="N36" s="19"/>
    </row>
    <row r="37" spans="2:18" x14ac:dyDescent="0.2">
      <c r="B37" s="5" t="s">
        <v>0</v>
      </c>
      <c r="C37" s="27"/>
      <c r="D37" s="28"/>
      <c r="E37" s="28"/>
      <c r="F37" s="28"/>
      <c r="G37" s="28"/>
      <c r="H37" s="28"/>
      <c r="I37" s="28"/>
      <c r="J37" s="28"/>
      <c r="K37" s="28"/>
      <c r="L37" s="19"/>
      <c r="M37" s="19"/>
      <c r="N37" s="19"/>
    </row>
    <row r="38" spans="2:18" x14ac:dyDescent="0.2">
      <c r="B38" s="68" t="s">
        <v>12</v>
      </c>
      <c r="C38" s="68">
        <v>2017</v>
      </c>
      <c r="D38" s="68">
        <v>2016</v>
      </c>
      <c r="E38" s="68">
        <v>2015</v>
      </c>
      <c r="F38" s="68">
        <v>2014</v>
      </c>
      <c r="G38" s="68">
        <v>2013</v>
      </c>
      <c r="H38" s="68">
        <v>2012</v>
      </c>
      <c r="I38" s="68">
        <v>2011</v>
      </c>
      <c r="J38" s="68">
        <v>2010</v>
      </c>
      <c r="K38" s="68">
        <v>2009</v>
      </c>
      <c r="L38" s="68">
        <v>2008</v>
      </c>
      <c r="M38" s="68">
        <v>2007</v>
      </c>
      <c r="N38" s="68">
        <v>2006</v>
      </c>
    </row>
    <row r="39" spans="2:18" x14ac:dyDescent="0.2">
      <c r="B39" s="69" t="s">
        <v>2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8" x14ac:dyDescent="0.2">
      <c r="B40" s="1"/>
      <c r="C40" s="6"/>
      <c r="D40" s="6"/>
      <c r="E40" s="51"/>
      <c r="F40" s="51"/>
      <c r="G40" s="51"/>
      <c r="H40" s="51"/>
      <c r="I40" s="51"/>
      <c r="J40" s="51"/>
      <c r="K40" s="51"/>
      <c r="L40" s="6"/>
      <c r="M40" s="6"/>
      <c r="N40" s="6"/>
    </row>
    <row r="41" spans="2:18" x14ac:dyDescent="0.2">
      <c r="B41" s="2" t="s">
        <v>3</v>
      </c>
      <c r="C41" s="7"/>
      <c r="D41" s="7">
        <f>(798.255+5465.095)</f>
        <v>6263.35</v>
      </c>
      <c r="E41" s="37">
        <f>(1090.303+4640.484)</f>
        <v>5730.7870000000003</v>
      </c>
      <c r="F41" s="50">
        <f>(648.46+5019.202)</f>
        <v>5667.6620000000003</v>
      </c>
      <c r="G41" s="37">
        <f>(62.624+5609.273)</f>
        <v>5671.8969999999999</v>
      </c>
      <c r="H41" s="37">
        <f>(325.278+4799.841)</f>
        <v>5125.1190000000006</v>
      </c>
      <c r="I41" s="37">
        <f>(1468.204+4277.725)</f>
        <v>5745.9290000000001</v>
      </c>
      <c r="J41" s="37">
        <f>(1414.508+4237.512)</f>
        <v>5652.0199999999995</v>
      </c>
      <c r="K41" s="37">
        <f>(147.984+5161.459)</f>
        <v>5309.4430000000002</v>
      </c>
      <c r="L41" s="7">
        <f>(591.272+4278.335)</f>
        <v>4869.607</v>
      </c>
      <c r="M41" s="7">
        <f>(3.6+4523.805)</f>
        <v>4527.4050000000007</v>
      </c>
      <c r="N41" s="7">
        <f>(27.5+4274.769)</f>
        <v>4302.2690000000002</v>
      </c>
    </row>
    <row r="42" spans="2:18" x14ac:dyDescent="0.2">
      <c r="B42" s="2" t="s">
        <v>4</v>
      </c>
      <c r="C42" s="7"/>
      <c r="D42" s="7">
        <v>505.185</v>
      </c>
      <c r="E42" s="37">
        <v>320.65699999999998</v>
      </c>
      <c r="F42" s="52">
        <v>423.43400000000003</v>
      </c>
      <c r="G42" s="37">
        <v>402.18099999999998</v>
      </c>
      <c r="H42" s="37">
        <v>243.595</v>
      </c>
      <c r="I42" s="37">
        <v>543.48199999999997</v>
      </c>
      <c r="J42" s="37">
        <v>464.68200000000002</v>
      </c>
      <c r="K42" s="37">
        <v>588.68700000000001</v>
      </c>
      <c r="L42" s="7">
        <v>305.11799999999999</v>
      </c>
      <c r="M42" s="7">
        <v>298.738</v>
      </c>
      <c r="N42" s="7">
        <v>295.99900000000002</v>
      </c>
    </row>
    <row r="43" spans="2:18" x14ac:dyDescent="0.2">
      <c r="B43" s="3" t="s">
        <v>5</v>
      </c>
      <c r="C43" s="9">
        <f>C41-C42</f>
        <v>0</v>
      </c>
      <c r="D43" s="9">
        <f t="shared" ref="D43:N43" si="12">D41-D42</f>
        <v>5758.165</v>
      </c>
      <c r="E43" s="53">
        <f t="shared" si="12"/>
        <v>5410.13</v>
      </c>
      <c r="F43" s="53">
        <f t="shared" si="12"/>
        <v>5244.2280000000001</v>
      </c>
      <c r="G43" s="53">
        <f t="shared" si="12"/>
        <v>5269.7160000000003</v>
      </c>
      <c r="H43" s="53">
        <f t="shared" si="12"/>
        <v>4881.5240000000003</v>
      </c>
      <c r="I43" s="53">
        <f t="shared" si="12"/>
        <v>5202.4470000000001</v>
      </c>
      <c r="J43" s="53">
        <f t="shared" si="12"/>
        <v>5187.3379999999997</v>
      </c>
      <c r="K43" s="53">
        <f t="shared" si="12"/>
        <v>4720.7560000000003</v>
      </c>
      <c r="L43" s="9">
        <f t="shared" si="12"/>
        <v>4564.4889999999996</v>
      </c>
      <c r="M43" s="9">
        <f t="shared" si="12"/>
        <v>4228.6670000000004</v>
      </c>
      <c r="N43" s="9">
        <f t="shared" si="12"/>
        <v>4006.2700000000004</v>
      </c>
    </row>
    <row r="44" spans="2:18" x14ac:dyDescent="0.2">
      <c r="B44" s="2"/>
      <c r="C44" s="7"/>
      <c r="D44" s="7"/>
      <c r="E44" s="37"/>
      <c r="F44" s="37"/>
      <c r="G44" s="37"/>
      <c r="H44" s="37"/>
      <c r="I44" s="37"/>
      <c r="J44" s="37"/>
      <c r="K44" s="37"/>
      <c r="L44" s="7"/>
      <c r="M44" s="7"/>
      <c r="N44" s="7"/>
    </row>
    <row r="45" spans="2:18" x14ac:dyDescent="0.2">
      <c r="B45" s="2" t="s">
        <v>6</v>
      </c>
      <c r="C45" s="8"/>
      <c r="D45" s="8">
        <v>2433.0459999999998</v>
      </c>
      <c r="E45" s="49">
        <v>1493.6790000000001</v>
      </c>
      <c r="F45" s="49">
        <v>1317.809</v>
      </c>
      <c r="G45" s="49">
        <v>1169.3140000000001</v>
      </c>
      <c r="H45" s="49">
        <v>1109.8309999999999</v>
      </c>
      <c r="I45" s="49">
        <v>909.69299999999998</v>
      </c>
      <c r="J45" s="49">
        <v>870.56</v>
      </c>
      <c r="K45" s="49">
        <v>847.08600000000001</v>
      </c>
      <c r="L45" s="8">
        <v>609.45899999999995</v>
      </c>
      <c r="M45" s="8">
        <v>568.32799999999997</v>
      </c>
      <c r="N45" s="8">
        <v>426.56900000000002</v>
      </c>
    </row>
    <row r="46" spans="2:18" x14ac:dyDescent="0.2">
      <c r="B46" s="2" t="s">
        <v>7</v>
      </c>
      <c r="C46" s="8"/>
      <c r="D46" s="8">
        <v>2.5</v>
      </c>
      <c r="E46" s="49">
        <v>2.31</v>
      </c>
      <c r="F46" s="49">
        <v>2.42</v>
      </c>
      <c r="G46" s="49">
        <v>2.0099999999999998</v>
      </c>
      <c r="H46" s="49">
        <v>1.84</v>
      </c>
      <c r="I46" s="49">
        <v>1.7</v>
      </c>
      <c r="J46" s="49">
        <v>1.62</v>
      </c>
      <c r="K46" s="49">
        <v>1.54</v>
      </c>
      <c r="L46" s="8">
        <v>2.58</v>
      </c>
      <c r="M46" s="8">
        <v>3.85</v>
      </c>
      <c r="N46" s="8">
        <v>2.75</v>
      </c>
    </row>
    <row r="47" spans="2:18" x14ac:dyDescent="0.2">
      <c r="B47" s="3" t="s">
        <v>8</v>
      </c>
      <c r="C47" s="11">
        <f>C45*C46</f>
        <v>0</v>
      </c>
      <c r="D47" s="11">
        <f t="shared" ref="D47:N47" si="13">D45*D46</f>
        <v>6082.6149999999998</v>
      </c>
      <c r="E47" s="54">
        <f t="shared" si="13"/>
        <v>3450.3984900000005</v>
      </c>
      <c r="F47" s="54">
        <f t="shared" si="13"/>
        <v>3189.0977800000001</v>
      </c>
      <c r="G47" s="54">
        <f t="shared" si="13"/>
        <v>2350.32114</v>
      </c>
      <c r="H47" s="54">
        <f t="shared" si="13"/>
        <v>2042.0890399999998</v>
      </c>
      <c r="I47" s="54">
        <f t="shared" si="13"/>
        <v>1546.4781</v>
      </c>
      <c r="J47" s="54">
        <f t="shared" si="13"/>
        <v>1410.3072</v>
      </c>
      <c r="K47" s="54">
        <f>K45*K46</f>
        <v>1304.51244</v>
      </c>
      <c r="L47" s="11">
        <f t="shared" si="13"/>
        <v>1572.4042199999999</v>
      </c>
      <c r="M47" s="11">
        <f t="shared" si="13"/>
        <v>2188.0628000000002</v>
      </c>
      <c r="N47" s="11">
        <f t="shared" si="13"/>
        <v>1173.06475</v>
      </c>
    </row>
    <row r="48" spans="2:18" x14ac:dyDescent="0.2">
      <c r="B48" s="2"/>
      <c r="C48" s="12"/>
      <c r="D48" s="12"/>
      <c r="E48" s="55"/>
      <c r="F48" s="55"/>
      <c r="G48" s="55"/>
      <c r="H48" s="55"/>
      <c r="I48" s="55"/>
      <c r="J48" s="55"/>
      <c r="K48" s="55"/>
      <c r="L48" s="12"/>
      <c r="M48" s="12"/>
      <c r="N48" s="12"/>
    </row>
    <row r="49" spans="2:18" x14ac:dyDescent="0.2">
      <c r="B49" s="2" t="s">
        <v>9</v>
      </c>
      <c r="C49" s="8">
        <f>IFERROR(C43/(C43+C47),0)</f>
        <v>0</v>
      </c>
      <c r="D49" s="13">
        <f t="shared" ref="D49:N49" si="14">IFERROR(D43/(D43+D47),0)</f>
        <v>0.48629946675810215</v>
      </c>
      <c r="E49" s="13">
        <f t="shared" si="14"/>
        <v>0.61058773256085985</v>
      </c>
      <c r="F49" s="13">
        <f t="shared" si="14"/>
        <v>0.62184577434882404</v>
      </c>
      <c r="G49" s="13">
        <f t="shared" si="14"/>
        <v>0.6915604088512356</v>
      </c>
      <c r="H49" s="13">
        <f t="shared" si="14"/>
        <v>0.70505442343438651</v>
      </c>
      <c r="I49" s="13">
        <f t="shared" si="14"/>
        <v>0.77085564336756385</v>
      </c>
      <c r="J49" s="13">
        <f t="shared" si="14"/>
        <v>0.78624082422619512</v>
      </c>
      <c r="K49" s="13">
        <f t="shared" si="14"/>
        <v>0.7834930587756519</v>
      </c>
      <c r="L49" s="13">
        <f t="shared" si="14"/>
        <v>0.74377846189737018</v>
      </c>
      <c r="M49" s="13">
        <f t="shared" si="14"/>
        <v>0.65900655502121963</v>
      </c>
      <c r="N49" s="13">
        <f t="shared" si="14"/>
        <v>0.77351053627109168</v>
      </c>
    </row>
    <row r="50" spans="2:18" x14ac:dyDescent="0.2">
      <c r="B50" s="4" t="s">
        <v>10</v>
      </c>
      <c r="C50" s="14">
        <f>IFERROR(C41/(C41+C47),0)</f>
        <v>0</v>
      </c>
      <c r="D50" s="15">
        <f t="shared" ref="D50:N50" si="15">IFERROR(D41/(D41+D47),0)</f>
        <v>0.50731959794151371</v>
      </c>
      <c r="E50" s="15">
        <f t="shared" si="15"/>
        <v>0.62418812976187898</v>
      </c>
      <c r="F50" s="15">
        <f t="shared" si="15"/>
        <v>0.63992499974973915</v>
      </c>
      <c r="G50" s="15">
        <f t="shared" si="15"/>
        <v>0.70702353152416275</v>
      </c>
      <c r="H50" s="15">
        <f t="shared" si="15"/>
        <v>0.71507886633077278</v>
      </c>
      <c r="I50" s="15">
        <f t="shared" si="15"/>
        <v>0.78793310921986237</v>
      </c>
      <c r="J50" s="15">
        <f t="shared" si="15"/>
        <v>0.80030559898159348</v>
      </c>
      <c r="K50" s="15">
        <f t="shared" si="15"/>
        <v>0.80276364849533977</v>
      </c>
      <c r="L50" s="15">
        <f t="shared" si="15"/>
        <v>0.75591408237255442</v>
      </c>
      <c r="M50" s="15">
        <f t="shared" si="15"/>
        <v>0.67417566948947327</v>
      </c>
      <c r="N50" s="15">
        <f t="shared" si="15"/>
        <v>0.78575465833475455</v>
      </c>
      <c r="R50" s="21">
        <f>AVERAGE(D50:Q50)</f>
        <v>0.70912562656378608</v>
      </c>
    </row>
    <row r="52" spans="2:18" x14ac:dyDescent="0.2">
      <c r="B52" s="17" t="s">
        <v>0</v>
      </c>
    </row>
    <row r="53" spans="2:18" x14ac:dyDescent="0.2">
      <c r="B53" s="68" t="s">
        <v>13</v>
      </c>
      <c r="C53" s="68">
        <v>2017</v>
      </c>
      <c r="D53" s="68">
        <v>2016</v>
      </c>
      <c r="E53" s="68">
        <v>2015</v>
      </c>
      <c r="F53" s="68">
        <v>2014</v>
      </c>
      <c r="G53" s="68">
        <v>2013</v>
      </c>
      <c r="H53" s="68">
        <v>2012</v>
      </c>
      <c r="I53" s="68">
        <v>2011</v>
      </c>
      <c r="J53" s="68">
        <v>2010</v>
      </c>
      <c r="K53" s="68">
        <v>2009</v>
      </c>
      <c r="L53" s="68">
        <v>2008</v>
      </c>
      <c r="M53" s="68">
        <v>2007</v>
      </c>
      <c r="N53" s="68">
        <v>2006</v>
      </c>
    </row>
    <row r="54" spans="2:18" x14ac:dyDescent="0.2">
      <c r="B54" s="69" t="s">
        <v>2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</row>
    <row r="55" spans="2:18" x14ac:dyDescent="0.2">
      <c r="B55" s="1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2:18" x14ac:dyDescent="0.2">
      <c r="B56" s="2" t="s">
        <v>3</v>
      </c>
      <c r="C56" s="7">
        <f>(398.4+6266.9)</f>
        <v>6665.2999999999993</v>
      </c>
      <c r="D56" s="37">
        <f>(843.5+6054.2)</f>
        <v>6897.7</v>
      </c>
      <c r="E56" s="37">
        <f>(776.7+6439.4)</f>
        <v>7216.0999999999995</v>
      </c>
      <c r="F56" s="49">
        <f>(673.6+5395.6)</f>
        <v>6069.2000000000007</v>
      </c>
      <c r="G56" s="37">
        <f>(843+4434.2)</f>
        <v>5277.2</v>
      </c>
      <c r="H56" s="37">
        <f>(975.6+3562.9)</f>
        <v>4538.5</v>
      </c>
      <c r="I56" s="37">
        <f>(683.6+3690.6)</f>
        <v>4374.2</v>
      </c>
      <c r="J56" s="37">
        <f>(749+3683)</f>
        <v>4432</v>
      </c>
      <c r="K56" s="37">
        <f>(225.1+4267.1)</f>
        <v>4492.2000000000007</v>
      </c>
      <c r="L56" s="37">
        <f>(331.1+3340.1)</f>
        <v>3671.2</v>
      </c>
      <c r="M56" s="37">
        <f>(619.933+2940.265)</f>
        <v>3560.1979999999999</v>
      </c>
      <c r="N56" s="37">
        <f>(644.444+2851.962)</f>
        <v>3496.4059999999999</v>
      </c>
    </row>
    <row r="57" spans="2:18" x14ac:dyDescent="0.2">
      <c r="B57" s="2" t="s">
        <v>4</v>
      </c>
      <c r="C57" s="7">
        <v>328.8</v>
      </c>
      <c r="D57" s="37">
        <v>441.4</v>
      </c>
      <c r="E57" s="37">
        <v>883.1</v>
      </c>
      <c r="F57" s="37">
        <v>409.8</v>
      </c>
      <c r="G57" s="37">
        <v>541</v>
      </c>
      <c r="H57" s="37">
        <v>19.100000000000001</v>
      </c>
      <c r="I57" s="37">
        <v>49.9</v>
      </c>
      <c r="J57" s="37">
        <v>545.1</v>
      </c>
      <c r="K57" s="37">
        <v>7.2</v>
      </c>
      <c r="L57" s="37">
        <v>12</v>
      </c>
      <c r="M57" s="37">
        <v>9.0980000000000008</v>
      </c>
      <c r="N57" s="37">
        <v>8.7080000000000002</v>
      </c>
    </row>
    <row r="58" spans="2:18" x14ac:dyDescent="0.2">
      <c r="B58" s="3" t="s">
        <v>5</v>
      </c>
      <c r="C58" s="9">
        <f>C56-C57</f>
        <v>6336.4999999999991</v>
      </c>
      <c r="D58" s="53">
        <f t="shared" ref="D58:N58" si="16">D56-D57</f>
        <v>6456.3</v>
      </c>
      <c r="E58" s="53">
        <f t="shared" si="16"/>
        <v>6332.9999999999991</v>
      </c>
      <c r="F58" s="53">
        <f t="shared" si="16"/>
        <v>5659.4000000000005</v>
      </c>
      <c r="G58" s="53">
        <f t="shared" si="16"/>
        <v>4736.2</v>
      </c>
      <c r="H58" s="53">
        <f t="shared" si="16"/>
        <v>4519.3999999999996</v>
      </c>
      <c r="I58" s="53">
        <f t="shared" si="16"/>
        <v>4324.3</v>
      </c>
      <c r="J58" s="53">
        <f t="shared" si="16"/>
        <v>3886.9</v>
      </c>
      <c r="K58" s="53">
        <f t="shared" si="16"/>
        <v>4485.0000000000009</v>
      </c>
      <c r="L58" s="53">
        <f t="shared" si="16"/>
        <v>3659.2</v>
      </c>
      <c r="M58" s="53">
        <f t="shared" si="16"/>
        <v>3551.1</v>
      </c>
      <c r="N58" s="53">
        <f t="shared" si="16"/>
        <v>3487.6979999999999</v>
      </c>
    </row>
    <row r="59" spans="2:18" x14ac:dyDescent="0.2">
      <c r="B59" s="2"/>
      <c r="C59" s="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2:18" x14ac:dyDescent="0.2">
      <c r="B60" s="2" t="s">
        <v>6</v>
      </c>
      <c r="C60" s="8">
        <v>3603.1550120000002</v>
      </c>
      <c r="D60" s="49">
        <v>3537.6351500000001</v>
      </c>
      <c r="E60" s="49">
        <v>3466.9130089999999</v>
      </c>
      <c r="F60" s="49">
        <v>3386.6070800000002</v>
      </c>
      <c r="G60" s="49">
        <v>3367.5431130000002</v>
      </c>
      <c r="H60" s="49">
        <v>2896.2196819999999</v>
      </c>
      <c r="I60" s="49">
        <v>2795.1154390000002</v>
      </c>
      <c r="J60" s="49">
        <v>2705.1401510000001</v>
      </c>
      <c r="K60" s="50">
        <v>2120.423315</v>
      </c>
      <c r="L60" s="49">
        <v>2092.68001</v>
      </c>
      <c r="M60" s="49">
        <v>2092.68001</v>
      </c>
      <c r="N60" s="49">
        <v>2092.68001</v>
      </c>
    </row>
    <row r="61" spans="2:18" x14ac:dyDescent="0.2">
      <c r="B61" s="2" t="s">
        <v>7</v>
      </c>
      <c r="C61" s="8">
        <v>1.6850000000000001</v>
      </c>
      <c r="D61" s="49">
        <v>1.49</v>
      </c>
      <c r="E61" s="49">
        <v>1.46</v>
      </c>
      <c r="F61" s="49">
        <v>1.31</v>
      </c>
      <c r="G61" s="49">
        <v>1.1950000000000001</v>
      </c>
      <c r="H61" s="49">
        <v>1.075</v>
      </c>
      <c r="I61" s="49">
        <v>0.87</v>
      </c>
      <c r="J61" s="49">
        <v>0.91</v>
      </c>
      <c r="K61" s="49">
        <v>0.91</v>
      </c>
      <c r="L61" s="49">
        <v>1.21</v>
      </c>
      <c r="M61" s="49">
        <v>1.42</v>
      </c>
      <c r="N61" s="49">
        <v>1.3</v>
      </c>
    </row>
    <row r="62" spans="2:18" x14ac:dyDescent="0.2">
      <c r="B62" s="3" t="s">
        <v>8</v>
      </c>
      <c r="C62" s="11">
        <f>C60*C61</f>
        <v>6071.3161952200007</v>
      </c>
      <c r="D62" s="11">
        <f t="shared" ref="D62:N62" si="17">D60*D61</f>
        <v>5271.0763735</v>
      </c>
      <c r="E62" s="11">
        <f t="shared" si="17"/>
        <v>5061.69299314</v>
      </c>
      <c r="F62" s="11">
        <f t="shared" si="17"/>
        <v>4436.4552748000006</v>
      </c>
      <c r="G62" s="11">
        <f t="shared" si="17"/>
        <v>4024.2140200350004</v>
      </c>
      <c r="H62" s="11">
        <f t="shared" si="17"/>
        <v>3113.4361581499998</v>
      </c>
      <c r="I62" s="11">
        <f t="shared" si="17"/>
        <v>2431.7504319300001</v>
      </c>
      <c r="J62" s="11">
        <f t="shared" si="17"/>
        <v>2461.6775374100002</v>
      </c>
      <c r="K62" s="11">
        <f t="shared" si="17"/>
        <v>1929.5852166500001</v>
      </c>
      <c r="L62" s="11">
        <f t="shared" si="17"/>
        <v>2532.1428120999999</v>
      </c>
      <c r="M62" s="11">
        <f t="shared" si="17"/>
        <v>2971.6056141999998</v>
      </c>
      <c r="N62" s="11">
        <f t="shared" si="17"/>
        <v>2720.4840130000002</v>
      </c>
    </row>
    <row r="63" spans="2:18" x14ac:dyDescent="0.2">
      <c r="B63" s="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2:18" x14ac:dyDescent="0.2">
      <c r="B64" s="2" t="s">
        <v>9</v>
      </c>
      <c r="C64" s="13">
        <f>IFERROR(C58/(C58+C62),0)</f>
        <v>0.51068615945818729</v>
      </c>
      <c r="D64" s="13">
        <f t="shared" ref="D64:N64" si="18">IFERROR(D58/(D58+D62),0)</f>
        <v>0.55053234366973225</v>
      </c>
      <c r="E64" s="13">
        <f t="shared" si="18"/>
        <v>0.55578504869000722</v>
      </c>
      <c r="F64" s="13">
        <f t="shared" si="18"/>
        <v>0.56056667275394489</v>
      </c>
      <c r="G64" s="13">
        <f t="shared" si="18"/>
        <v>0.5406365485887249</v>
      </c>
      <c r="H64" s="13">
        <f t="shared" si="18"/>
        <v>0.59209970007994828</v>
      </c>
      <c r="I64" s="13">
        <f t="shared" si="18"/>
        <v>0.64006330970573855</v>
      </c>
      <c r="J64" s="13">
        <f t="shared" si="18"/>
        <v>0.61224738566959691</v>
      </c>
      <c r="K64" s="13">
        <f t="shared" si="18"/>
        <v>0.69918784278654877</v>
      </c>
      <c r="L64" s="13">
        <f t="shared" si="18"/>
        <v>0.59101880012986396</v>
      </c>
      <c r="M64" s="13">
        <f t="shared" si="18"/>
        <v>0.54442131993037013</v>
      </c>
      <c r="N64" s="13">
        <f t="shared" si="18"/>
        <v>0.56179055200004169</v>
      </c>
    </row>
    <row r="65" spans="2:21" x14ac:dyDescent="0.2">
      <c r="B65" s="4" t="s">
        <v>10</v>
      </c>
      <c r="C65" s="15">
        <f>IFERROR(C56/(C56+C62),0)</f>
        <v>0.52331795963997563</v>
      </c>
      <c r="D65" s="15">
        <f t="shared" ref="D65:N65" si="19">IFERROR(D56/(D56+D62),0)</f>
        <v>0.56683595690205568</v>
      </c>
      <c r="E65" s="15">
        <f t="shared" si="19"/>
        <v>0.5877359232259306</v>
      </c>
      <c r="F65" s="15">
        <f t="shared" si="19"/>
        <v>0.57770789553301249</v>
      </c>
      <c r="G65" s="15">
        <f t="shared" si="19"/>
        <v>0.5673545966917557</v>
      </c>
      <c r="H65" s="15">
        <f t="shared" si="19"/>
        <v>0.59311786013348922</v>
      </c>
      <c r="I65" s="15">
        <f t="shared" si="19"/>
        <v>0.6427023005454926</v>
      </c>
      <c r="J65" s="15">
        <f t="shared" si="19"/>
        <v>0.64290793643143507</v>
      </c>
      <c r="K65" s="15">
        <f t="shared" si="19"/>
        <v>0.69952510843136073</v>
      </c>
      <c r="L65" s="15">
        <f t="shared" si="19"/>
        <v>0.59180995008676607</v>
      </c>
      <c r="M65" s="15">
        <f t="shared" si="19"/>
        <v>0.54505588506369151</v>
      </c>
      <c r="N65" s="15">
        <f t="shared" si="19"/>
        <v>0.56240435212602169</v>
      </c>
      <c r="R65" s="21">
        <f>AVERAGE(C65:Q65)</f>
        <v>0.59170631040091548</v>
      </c>
    </row>
    <row r="67" spans="2:21" x14ac:dyDescent="0.2">
      <c r="B67" s="17" t="s">
        <v>0</v>
      </c>
    </row>
    <row r="68" spans="2:21" x14ac:dyDescent="0.2">
      <c r="B68" s="68" t="s">
        <v>14</v>
      </c>
      <c r="C68" s="68">
        <v>2017</v>
      </c>
      <c r="D68" s="68">
        <v>2016</v>
      </c>
      <c r="E68" s="68">
        <v>2015</v>
      </c>
      <c r="F68" s="68">
        <v>2014</v>
      </c>
      <c r="G68" s="68">
        <v>2013</v>
      </c>
      <c r="H68" s="68">
        <v>2012</v>
      </c>
      <c r="I68" s="68">
        <v>2011</v>
      </c>
      <c r="J68" s="68">
        <v>2010</v>
      </c>
      <c r="K68" s="68">
        <v>2009</v>
      </c>
      <c r="L68" s="68">
        <v>2008</v>
      </c>
      <c r="M68" s="68">
        <v>2007</v>
      </c>
      <c r="N68" s="68">
        <v>2006</v>
      </c>
    </row>
    <row r="69" spans="2:21" x14ac:dyDescent="0.2">
      <c r="B69" s="69" t="s">
        <v>2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</row>
    <row r="70" spans="2:21" x14ac:dyDescent="0.2">
      <c r="B70" s="1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2:21" x14ac:dyDescent="0.2">
      <c r="B71" s="2" t="s">
        <v>3</v>
      </c>
      <c r="C71" s="7"/>
      <c r="D71" s="7">
        <v>1121.4349999999999</v>
      </c>
      <c r="E71" s="7">
        <v>1324.837</v>
      </c>
      <c r="F71" s="7">
        <v>977.25699999999995</v>
      </c>
      <c r="G71" s="7">
        <v>883.92600000000004</v>
      </c>
      <c r="H71" s="7">
        <v>937.95399999999995</v>
      </c>
      <c r="I71" s="7">
        <v>966.75199999999995</v>
      </c>
      <c r="J71" s="7">
        <v>1049.2280000000001</v>
      </c>
      <c r="K71" s="7">
        <v>1752.2570000000001</v>
      </c>
      <c r="L71" s="37">
        <v>1724.1130000000001</v>
      </c>
      <c r="M71" s="52">
        <v>1724.4880000000001</v>
      </c>
      <c r="N71" s="52">
        <v>1724.0920000000001</v>
      </c>
      <c r="O71" s="20"/>
      <c r="P71" s="20"/>
      <c r="Q71" s="20"/>
      <c r="R71" s="20"/>
      <c r="S71" s="20"/>
      <c r="T71" s="20"/>
      <c r="U71" s="20"/>
    </row>
    <row r="72" spans="2:21" x14ac:dyDescent="0.2">
      <c r="B72" s="2" t="s">
        <v>4</v>
      </c>
      <c r="C72" s="7"/>
      <c r="D72" s="7">
        <v>100.985</v>
      </c>
      <c r="E72" s="7">
        <v>18.283999999999999</v>
      </c>
      <c r="F72" s="7">
        <v>124.435</v>
      </c>
      <c r="G72" s="7">
        <v>33.034999999999997</v>
      </c>
      <c r="H72" s="7">
        <v>41.966000000000001</v>
      </c>
      <c r="I72" s="7">
        <v>32.901000000000003</v>
      </c>
      <c r="J72" s="7">
        <v>89.275000000000006</v>
      </c>
      <c r="K72" s="7">
        <v>114.349</v>
      </c>
      <c r="L72" s="37">
        <v>53.343000000000004</v>
      </c>
      <c r="M72" s="37">
        <v>61.853000000000002</v>
      </c>
      <c r="N72" s="37">
        <v>49.271000000000001</v>
      </c>
      <c r="P72" s="20"/>
      <c r="S72" s="20"/>
      <c r="T72" s="20"/>
      <c r="U72" s="20"/>
    </row>
    <row r="73" spans="2:21" x14ac:dyDescent="0.2">
      <c r="B73" s="3" t="s">
        <v>5</v>
      </c>
      <c r="C73" s="9">
        <f>C71-C72</f>
        <v>0</v>
      </c>
      <c r="D73" s="9">
        <f t="shared" ref="D73:N73" si="20">D71-D72</f>
        <v>1020.4499999999999</v>
      </c>
      <c r="E73" s="9">
        <f t="shared" si="20"/>
        <v>1306.5529999999999</v>
      </c>
      <c r="F73" s="9">
        <f t="shared" si="20"/>
        <v>852.82199999999989</v>
      </c>
      <c r="G73" s="9">
        <f t="shared" si="20"/>
        <v>850.89100000000008</v>
      </c>
      <c r="H73" s="9">
        <f t="shared" si="20"/>
        <v>895.98799999999994</v>
      </c>
      <c r="I73" s="9">
        <f t="shared" si="20"/>
        <v>933.851</v>
      </c>
      <c r="J73" s="9">
        <f t="shared" si="20"/>
        <v>959.95300000000009</v>
      </c>
      <c r="K73" s="9">
        <f t="shared" si="20"/>
        <v>1637.9080000000001</v>
      </c>
      <c r="L73" s="9">
        <f t="shared" si="20"/>
        <v>1670.77</v>
      </c>
      <c r="M73" s="9">
        <f t="shared" si="20"/>
        <v>1662.635</v>
      </c>
      <c r="N73" s="9">
        <f t="shared" si="20"/>
        <v>1674.8210000000001</v>
      </c>
      <c r="O73" s="20"/>
      <c r="P73" s="20"/>
      <c r="Q73" s="20"/>
      <c r="R73" s="20"/>
      <c r="S73" s="20"/>
      <c r="T73" s="20"/>
      <c r="U73" s="20"/>
    </row>
    <row r="74" spans="2:21" x14ac:dyDescent="0.2">
      <c r="B74" s="2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20"/>
      <c r="P74" s="20"/>
      <c r="Q74" s="20"/>
      <c r="R74" s="20"/>
      <c r="S74" s="20"/>
      <c r="T74" s="20"/>
      <c r="U74" s="20"/>
    </row>
    <row r="75" spans="2:21" x14ac:dyDescent="0.2">
      <c r="B75" s="2" t="s">
        <v>6</v>
      </c>
      <c r="C75" s="8"/>
      <c r="D75" s="8">
        <v>1682.011</v>
      </c>
      <c r="E75" s="8">
        <v>1682.011</v>
      </c>
      <c r="F75" s="8">
        <v>1466.36</v>
      </c>
      <c r="G75" s="8">
        <v>1326.7339999999999</v>
      </c>
      <c r="H75" s="8">
        <v>1326.7339999999999</v>
      </c>
      <c r="I75" s="8">
        <v>1326.7339999999999</v>
      </c>
      <c r="J75" s="8">
        <v>1326.7339999999999</v>
      </c>
      <c r="K75" s="8">
        <v>1031.9110000000001</v>
      </c>
      <c r="L75" s="8">
        <v>1008.651</v>
      </c>
      <c r="M75" s="8">
        <v>1008.651</v>
      </c>
      <c r="N75" s="8">
        <v>1008.651</v>
      </c>
    </row>
    <row r="76" spans="2:21" x14ac:dyDescent="0.2">
      <c r="B76" s="2" t="s">
        <v>7</v>
      </c>
      <c r="C76" s="49"/>
      <c r="D76" s="49">
        <v>2.38</v>
      </c>
      <c r="E76" s="49">
        <v>1.92</v>
      </c>
      <c r="F76" s="49">
        <v>2.13</v>
      </c>
      <c r="G76" s="49">
        <v>1.62</v>
      </c>
      <c r="H76" s="49">
        <v>1.67</v>
      </c>
      <c r="I76" s="49">
        <v>1.38</v>
      </c>
      <c r="J76" s="49">
        <v>1.1299999999999999</v>
      </c>
      <c r="K76" s="49">
        <v>1.38</v>
      </c>
      <c r="L76" s="49">
        <v>1.3</v>
      </c>
      <c r="M76" s="49">
        <v>1.98</v>
      </c>
      <c r="N76" s="49">
        <v>1.73</v>
      </c>
      <c r="P76" s="48"/>
    </row>
    <row r="77" spans="2:21" x14ac:dyDescent="0.2">
      <c r="B77" s="3" t="s">
        <v>8</v>
      </c>
      <c r="C77" s="54">
        <f>C75*C76</f>
        <v>0</v>
      </c>
      <c r="D77" s="54">
        <f t="shared" ref="D77:N77" si="21">D75*D76</f>
        <v>4003.1861799999997</v>
      </c>
      <c r="E77" s="54">
        <f t="shared" si="21"/>
        <v>3229.4611199999999</v>
      </c>
      <c r="F77" s="54">
        <f t="shared" si="21"/>
        <v>3123.3467999999998</v>
      </c>
      <c r="G77" s="56">
        <f t="shared" si="21"/>
        <v>2149.30908</v>
      </c>
      <c r="H77" s="54">
        <f t="shared" si="21"/>
        <v>2215.6457799999998</v>
      </c>
      <c r="I77" s="54">
        <f t="shared" si="21"/>
        <v>1830.8929199999998</v>
      </c>
      <c r="J77" s="54">
        <f t="shared" si="21"/>
        <v>1499.2094199999997</v>
      </c>
      <c r="K77" s="54">
        <f t="shared" si="21"/>
        <v>1424.03718</v>
      </c>
      <c r="L77" s="54">
        <f t="shared" si="21"/>
        <v>1311.2463</v>
      </c>
      <c r="M77" s="54">
        <f t="shared" si="21"/>
        <v>1997.12898</v>
      </c>
      <c r="N77" s="54">
        <f t="shared" si="21"/>
        <v>1744.96623</v>
      </c>
    </row>
    <row r="78" spans="2:21" x14ac:dyDescent="0.2">
      <c r="B78" s="3"/>
      <c r="C78" s="54"/>
      <c r="D78" s="54"/>
      <c r="E78" s="54"/>
      <c r="F78" s="54"/>
      <c r="G78" s="56"/>
      <c r="H78" s="54"/>
      <c r="I78" s="54"/>
      <c r="J78" s="54"/>
      <c r="K78" s="54"/>
      <c r="L78" s="54"/>
      <c r="M78" s="54"/>
      <c r="N78" s="54"/>
    </row>
    <row r="79" spans="2:21" x14ac:dyDescent="0.2">
      <c r="B79" s="3" t="s">
        <v>18</v>
      </c>
      <c r="C79" s="54"/>
      <c r="D79" s="50">
        <f>1061.724</f>
        <v>1061.7239999999999</v>
      </c>
      <c r="E79" s="50">
        <f>1061.704</f>
        <v>1061.704</v>
      </c>
      <c r="F79" s="50">
        <f>925.841</f>
        <v>925.84100000000001</v>
      </c>
      <c r="G79" s="50">
        <f>836.827</f>
        <v>836.827</v>
      </c>
      <c r="H79" s="50">
        <f>836.807</f>
        <v>836.80700000000002</v>
      </c>
      <c r="I79" s="50">
        <f>836.786</f>
        <v>836.78599999999994</v>
      </c>
      <c r="J79" s="50">
        <f>836.766</f>
        <v>836.76599999999996</v>
      </c>
      <c r="K79" s="50">
        <f>1256.792</f>
        <v>1256.7919999999999</v>
      </c>
      <c r="L79" s="50">
        <f>1231.515</f>
        <v>1231.5150000000001</v>
      </c>
      <c r="M79" s="50">
        <f>1231.515</f>
        <v>1231.5150000000001</v>
      </c>
      <c r="N79" s="50">
        <f>1231.515</f>
        <v>1231.5150000000001</v>
      </c>
    </row>
    <row r="80" spans="2:21" x14ac:dyDescent="0.2">
      <c r="B80" s="3"/>
      <c r="C80" s="54"/>
      <c r="D80" s="54"/>
      <c r="E80" s="54"/>
      <c r="F80" s="54"/>
      <c r="G80" s="56"/>
      <c r="H80" s="54"/>
      <c r="I80" s="54"/>
      <c r="J80" s="54"/>
      <c r="K80" s="54"/>
      <c r="L80" s="54"/>
      <c r="M80" s="54"/>
      <c r="N80" s="54"/>
    </row>
    <row r="81" spans="2:14" x14ac:dyDescent="0.2">
      <c r="B81" s="3"/>
      <c r="C81" s="54"/>
      <c r="D81" s="54"/>
      <c r="E81" s="54"/>
      <c r="F81" s="54"/>
      <c r="G81" s="56"/>
      <c r="H81" s="54"/>
      <c r="I81" s="54"/>
      <c r="J81" s="54"/>
      <c r="K81" s="54"/>
      <c r="L81" s="54"/>
      <c r="M81" s="54"/>
      <c r="N81" s="54"/>
    </row>
    <row r="82" spans="2:14" x14ac:dyDescent="0.2">
      <c r="B82" s="3" t="s">
        <v>15</v>
      </c>
      <c r="C82" s="54"/>
      <c r="D82" s="54"/>
      <c r="E82" s="54"/>
      <c r="F82" s="54"/>
      <c r="G82" s="56"/>
      <c r="H82" s="54"/>
      <c r="I82" s="54"/>
      <c r="J82" s="54"/>
      <c r="K82" s="54"/>
      <c r="L82" s="54"/>
      <c r="M82" s="54"/>
      <c r="N82" s="54"/>
    </row>
    <row r="83" spans="2:14" x14ac:dyDescent="0.2">
      <c r="B83" s="2" t="s">
        <v>16</v>
      </c>
      <c r="C83" s="54"/>
      <c r="D83" s="54"/>
      <c r="E83" s="57">
        <v>769.51599999999996</v>
      </c>
      <c r="F83" s="57">
        <v>304.65800000000002</v>
      </c>
      <c r="G83" s="57">
        <v>185.08799999999999</v>
      </c>
      <c r="H83" s="57">
        <v>1.534</v>
      </c>
      <c r="I83" s="57">
        <v>36.307000000000002</v>
      </c>
      <c r="J83" s="57">
        <v>112.313</v>
      </c>
      <c r="K83" s="57">
        <v>707.09500000000003</v>
      </c>
      <c r="L83" s="57">
        <v>4.2809999999999997</v>
      </c>
      <c r="M83" s="57">
        <v>106.16</v>
      </c>
      <c r="N83" s="57">
        <v>149.92500000000001</v>
      </c>
    </row>
    <row r="84" spans="2:14" x14ac:dyDescent="0.2">
      <c r="B84" s="2" t="s">
        <v>17</v>
      </c>
      <c r="C84" s="54"/>
      <c r="D84" s="54"/>
      <c r="E84" s="57">
        <v>3160.4380000000001</v>
      </c>
      <c r="F84" s="57">
        <v>3465.6179999999999</v>
      </c>
      <c r="G84" s="57">
        <v>3197.404</v>
      </c>
      <c r="H84" s="57">
        <v>3256.1950000000002</v>
      </c>
      <c r="I84" s="57">
        <v>2968.8679999999999</v>
      </c>
      <c r="J84" s="57">
        <v>2688.2040000000002</v>
      </c>
      <c r="K84" s="57">
        <v>2624.02</v>
      </c>
      <c r="L84" s="57">
        <v>3019.3249999999998</v>
      </c>
      <c r="M84" s="57">
        <v>2797.3560000000002</v>
      </c>
      <c r="N84" s="57">
        <v>2719.0030000000002</v>
      </c>
    </row>
    <row r="85" spans="2:14" x14ac:dyDescent="0.2">
      <c r="B85" s="3"/>
      <c r="C85" s="54"/>
      <c r="D85" s="54"/>
      <c r="E85" s="54">
        <f t="shared" ref="E85:N85" si="22">SUM(E83:E84)</f>
        <v>3929.9540000000002</v>
      </c>
      <c r="F85" s="54">
        <f t="shared" si="22"/>
        <v>3770.2759999999998</v>
      </c>
      <c r="G85" s="56">
        <f t="shared" si="22"/>
        <v>3382.4920000000002</v>
      </c>
      <c r="H85" s="54">
        <f t="shared" si="22"/>
        <v>3257.7290000000003</v>
      </c>
      <c r="I85" s="54">
        <f t="shared" si="22"/>
        <v>3005.1749999999997</v>
      </c>
      <c r="J85" s="54">
        <f t="shared" si="22"/>
        <v>2800.5170000000003</v>
      </c>
      <c r="K85" s="54">
        <f t="shared" si="22"/>
        <v>3331.1149999999998</v>
      </c>
      <c r="L85" s="54">
        <f t="shared" si="22"/>
        <v>3023.6059999999998</v>
      </c>
      <c r="M85" s="54">
        <f t="shared" si="22"/>
        <v>2903.5160000000001</v>
      </c>
      <c r="N85" s="54">
        <f t="shared" si="22"/>
        <v>2868.9280000000003</v>
      </c>
    </row>
    <row r="86" spans="2:14" x14ac:dyDescent="0.2">
      <c r="B86" s="3"/>
      <c r="C86" s="54"/>
      <c r="D86" s="54"/>
      <c r="E86" s="54"/>
      <c r="F86" s="54"/>
      <c r="G86" s="56"/>
      <c r="H86" s="54"/>
      <c r="I86" s="54"/>
      <c r="J86" s="54"/>
      <c r="K86" s="54"/>
      <c r="L86" s="54"/>
      <c r="M86" s="54"/>
      <c r="N86" s="54"/>
    </row>
    <row r="87" spans="2:14" x14ac:dyDescent="0.2">
      <c r="B87" s="3"/>
      <c r="C87" s="54"/>
      <c r="D87" s="54"/>
      <c r="E87" s="54"/>
      <c r="F87" s="54"/>
      <c r="G87" s="56"/>
      <c r="H87" s="54"/>
      <c r="I87" s="54"/>
      <c r="J87" s="54"/>
      <c r="K87" s="54"/>
      <c r="L87" s="54"/>
      <c r="M87" s="54"/>
      <c r="N87" s="54"/>
    </row>
    <row r="88" spans="2:14" x14ac:dyDescent="0.2">
      <c r="B88" s="3" t="s">
        <v>19</v>
      </c>
      <c r="C88" s="11"/>
      <c r="D88" s="11"/>
      <c r="E88" s="11"/>
      <c r="F88" s="11"/>
      <c r="G88" s="16"/>
      <c r="H88" s="11"/>
      <c r="I88" s="11"/>
      <c r="J88" s="11"/>
      <c r="K88" s="11"/>
      <c r="L88" s="11"/>
      <c r="M88" s="11"/>
      <c r="N88" s="11"/>
    </row>
    <row r="89" spans="2:14" x14ac:dyDescent="0.2">
      <c r="B89" s="2" t="s">
        <v>16</v>
      </c>
      <c r="C89" s="25">
        <v>1230.0830000000001</v>
      </c>
      <c r="D89" s="25">
        <v>1399.4</v>
      </c>
      <c r="E89" s="25">
        <v>1343.5619999999999</v>
      </c>
      <c r="F89" s="25">
        <v>510.84699999999998</v>
      </c>
      <c r="G89" s="25">
        <v>604.78200000000004</v>
      </c>
      <c r="H89" s="25">
        <v>361.7</v>
      </c>
      <c r="I89" s="25">
        <v>7.5</v>
      </c>
      <c r="J89" s="25">
        <v>367</v>
      </c>
      <c r="K89" s="25">
        <v>175</v>
      </c>
      <c r="L89" s="25">
        <v>0</v>
      </c>
      <c r="M89" s="25">
        <v>457.05599999999998</v>
      </c>
      <c r="N89" s="25">
        <v>679.38499999999999</v>
      </c>
    </row>
    <row r="90" spans="2:14" x14ac:dyDescent="0.2">
      <c r="B90" s="2" t="s">
        <v>17</v>
      </c>
      <c r="C90" s="25">
        <v>4425.6310000000003</v>
      </c>
      <c r="D90" s="25">
        <v>4583.2209999999995</v>
      </c>
      <c r="E90" s="25">
        <v>4842.5739999999996</v>
      </c>
      <c r="F90" s="25">
        <v>5486.8540000000003</v>
      </c>
      <c r="G90" s="25">
        <v>5095.7960000000003</v>
      </c>
      <c r="H90" s="25">
        <v>4872.1809999999996</v>
      </c>
      <c r="I90" s="25">
        <v>4966.38</v>
      </c>
      <c r="J90" s="25">
        <v>4194.0789999999997</v>
      </c>
      <c r="K90" s="25">
        <v>4366.54</v>
      </c>
      <c r="L90" s="25">
        <v>4388.8599999999997</v>
      </c>
      <c r="M90" s="25">
        <v>3610.8809999999999</v>
      </c>
      <c r="N90" s="25">
        <v>3324.89</v>
      </c>
    </row>
    <row r="91" spans="2:14" x14ac:dyDescent="0.2">
      <c r="B91" s="2" t="s">
        <v>20</v>
      </c>
      <c r="C91" s="25">
        <v>1222.1199999999999</v>
      </c>
      <c r="D91" s="25">
        <v>1389.037</v>
      </c>
      <c r="E91" s="25">
        <v>1521.636</v>
      </c>
      <c r="F91" s="25">
        <v>1521.6759999999999</v>
      </c>
      <c r="G91" s="25">
        <v>1521.6759999999999</v>
      </c>
      <c r="H91" s="25">
        <v>1521.6759999999999</v>
      </c>
      <c r="I91" s="25">
        <v>1521.6690000000001</v>
      </c>
      <c r="J91" s="25">
        <v>1521.6690000000001</v>
      </c>
      <c r="K91" s="25">
        <v>1522.3340000000001</v>
      </c>
      <c r="L91" s="25">
        <v>1617.7840000000001</v>
      </c>
      <c r="M91" s="25">
        <v>1720.3969999999999</v>
      </c>
      <c r="N91" s="25">
        <v>1798.973</v>
      </c>
    </row>
    <row r="92" spans="2:14" x14ac:dyDescent="0.2">
      <c r="B92" s="3"/>
      <c r="C92" s="26">
        <f>C89+C90-C91</f>
        <v>4433.5940000000001</v>
      </c>
      <c r="D92" s="26">
        <f t="shared" ref="D92:N92" si="23">D89+D90-D91</f>
        <v>4593.5839999999989</v>
      </c>
      <c r="E92" s="26">
        <f>E89+E90-E91</f>
        <v>4664.5</v>
      </c>
      <c r="F92" s="26">
        <f t="shared" si="23"/>
        <v>4476.0249999999996</v>
      </c>
      <c r="G92" s="26">
        <f>G89+G90-G91</f>
        <v>4178.902</v>
      </c>
      <c r="H92" s="26">
        <f t="shared" si="23"/>
        <v>3712.2049999999995</v>
      </c>
      <c r="I92" s="26">
        <f t="shared" si="23"/>
        <v>3452.2110000000002</v>
      </c>
      <c r="J92" s="26">
        <f t="shared" si="23"/>
        <v>3039.41</v>
      </c>
      <c r="K92" s="26">
        <f t="shared" si="23"/>
        <v>3019.2060000000001</v>
      </c>
      <c r="L92" s="26">
        <f t="shared" si="23"/>
        <v>2771.0759999999996</v>
      </c>
      <c r="M92" s="26">
        <f t="shared" si="23"/>
        <v>2347.54</v>
      </c>
      <c r="N92" s="26">
        <f t="shared" si="23"/>
        <v>2205.3019999999997</v>
      </c>
    </row>
    <row r="93" spans="2:14" x14ac:dyDescent="0.2">
      <c r="B93" s="3"/>
      <c r="C93" s="11"/>
      <c r="D93" s="11"/>
      <c r="E93" s="11"/>
      <c r="F93" s="11"/>
      <c r="G93" s="16"/>
      <c r="H93" s="11"/>
      <c r="I93" s="11"/>
      <c r="J93" s="11"/>
      <c r="K93" s="11"/>
      <c r="L93" s="11"/>
      <c r="M93" s="11"/>
      <c r="N93" s="11"/>
    </row>
    <row r="94" spans="2:14" x14ac:dyDescent="0.2">
      <c r="B94" s="2" t="s">
        <v>21</v>
      </c>
      <c r="C94" s="8"/>
      <c r="D94" s="8"/>
      <c r="E94" s="8">
        <f>E85*0.49</f>
        <v>1925.6774600000001</v>
      </c>
      <c r="F94" s="8">
        <f t="shared" ref="F94:N94" si="24">F85*0.49</f>
        <v>1847.4352399999998</v>
      </c>
      <c r="G94" s="8">
        <f t="shared" si="24"/>
        <v>1657.4210800000001</v>
      </c>
      <c r="H94" s="8">
        <f t="shared" si="24"/>
        <v>1596.2872100000002</v>
      </c>
      <c r="I94" s="8">
        <f t="shared" si="24"/>
        <v>1472.5357499999998</v>
      </c>
      <c r="J94" s="8">
        <f t="shared" si="24"/>
        <v>1372.25333</v>
      </c>
      <c r="K94" s="8">
        <f t="shared" si="24"/>
        <v>1632.2463499999999</v>
      </c>
      <c r="L94" s="8">
        <f t="shared" si="24"/>
        <v>1481.5669399999999</v>
      </c>
      <c r="M94" s="8">
        <f t="shared" si="24"/>
        <v>1422.7228399999999</v>
      </c>
      <c r="N94" s="8">
        <f t="shared" si="24"/>
        <v>1405.7747200000001</v>
      </c>
    </row>
    <row r="95" spans="2:14" x14ac:dyDescent="0.2">
      <c r="B95" s="2" t="s">
        <v>22</v>
      </c>
      <c r="C95" s="8">
        <f t="shared" ref="C95:N95" si="25">C92*0.49</f>
        <v>2172.4610600000001</v>
      </c>
      <c r="D95" s="8">
        <f t="shared" si="25"/>
        <v>2250.8561599999994</v>
      </c>
      <c r="E95" s="8">
        <f t="shared" si="25"/>
        <v>2285.605</v>
      </c>
      <c r="F95" s="8">
        <f t="shared" si="25"/>
        <v>2193.25225</v>
      </c>
      <c r="G95" s="8">
        <f t="shared" si="25"/>
        <v>2047.6619800000001</v>
      </c>
      <c r="H95" s="8">
        <f t="shared" si="25"/>
        <v>1818.9804499999998</v>
      </c>
      <c r="I95" s="8">
        <f t="shared" si="25"/>
        <v>1691.58339</v>
      </c>
      <c r="J95" s="8">
        <f t="shared" si="25"/>
        <v>1489.3108999999999</v>
      </c>
      <c r="K95" s="8">
        <f t="shared" si="25"/>
        <v>1479.41094</v>
      </c>
      <c r="L95" s="8">
        <f t="shared" si="25"/>
        <v>1357.8272399999998</v>
      </c>
      <c r="M95" s="8">
        <f t="shared" si="25"/>
        <v>1150.2945999999999</v>
      </c>
      <c r="N95" s="8">
        <f t="shared" si="25"/>
        <v>1080.5979799999998</v>
      </c>
    </row>
    <row r="96" spans="2:14" x14ac:dyDescent="0.2">
      <c r="B96" s="2" t="s">
        <v>23</v>
      </c>
      <c r="C96" s="8">
        <f t="shared" ref="C96:N96" si="26">C79</f>
        <v>0</v>
      </c>
      <c r="D96" s="8">
        <f t="shared" si="26"/>
        <v>1061.7239999999999</v>
      </c>
      <c r="E96" s="8">
        <f t="shared" si="26"/>
        <v>1061.704</v>
      </c>
      <c r="F96" s="8">
        <f t="shared" si="26"/>
        <v>925.84100000000001</v>
      </c>
      <c r="G96" s="8">
        <f t="shared" si="26"/>
        <v>836.827</v>
      </c>
      <c r="H96" s="8">
        <f t="shared" si="26"/>
        <v>836.80700000000002</v>
      </c>
      <c r="I96" s="8">
        <f t="shared" si="26"/>
        <v>836.78599999999994</v>
      </c>
      <c r="J96" s="8">
        <f t="shared" si="26"/>
        <v>836.76599999999996</v>
      </c>
      <c r="K96" s="8">
        <f t="shared" si="26"/>
        <v>1256.7919999999999</v>
      </c>
      <c r="L96" s="8">
        <f t="shared" si="26"/>
        <v>1231.5150000000001</v>
      </c>
      <c r="M96" s="8">
        <f t="shared" si="26"/>
        <v>1231.5150000000001</v>
      </c>
      <c r="N96" s="8">
        <f t="shared" si="26"/>
        <v>1231.5150000000001</v>
      </c>
    </row>
    <row r="97" spans="2:14" x14ac:dyDescent="0.2">
      <c r="B97" s="2" t="s">
        <v>24</v>
      </c>
      <c r="C97" s="8"/>
      <c r="D97" s="8"/>
      <c r="E97" s="8">
        <f t="shared" ref="E97:N97" si="27">E94+E95+E71-E96</f>
        <v>4474.4154600000002</v>
      </c>
      <c r="F97" s="8">
        <f t="shared" si="27"/>
        <v>4092.10349</v>
      </c>
      <c r="G97" s="8">
        <f t="shared" si="27"/>
        <v>3752.1820600000001</v>
      </c>
      <c r="H97" s="8">
        <f t="shared" si="27"/>
        <v>3516.4146600000004</v>
      </c>
      <c r="I97" s="8">
        <f t="shared" si="27"/>
        <v>3294.0851399999992</v>
      </c>
      <c r="J97" s="8">
        <f t="shared" si="27"/>
        <v>3074.0262299999999</v>
      </c>
      <c r="K97" s="8">
        <f t="shared" si="27"/>
        <v>3607.1222900000007</v>
      </c>
      <c r="L97" s="8">
        <f t="shared" si="27"/>
        <v>3331.9921799999993</v>
      </c>
      <c r="M97" s="8">
        <f t="shared" si="27"/>
        <v>3065.9904399999996</v>
      </c>
      <c r="N97" s="8">
        <f t="shared" si="27"/>
        <v>2978.9497000000001</v>
      </c>
    </row>
    <row r="98" spans="2:14" x14ac:dyDescent="0.2">
      <c r="B98" s="2" t="s">
        <v>25</v>
      </c>
      <c r="C98" s="8"/>
      <c r="D98" s="8"/>
      <c r="E98" s="8">
        <f t="shared" ref="E98:N98" si="28">E97-E72</f>
        <v>4456.1314600000005</v>
      </c>
      <c r="F98" s="8">
        <f t="shared" si="28"/>
        <v>3967.66849</v>
      </c>
      <c r="G98" s="8">
        <f t="shared" si="28"/>
        <v>3719.1470600000002</v>
      </c>
      <c r="H98" s="8">
        <f t="shared" si="28"/>
        <v>3474.4486600000005</v>
      </c>
      <c r="I98" s="8">
        <f t="shared" si="28"/>
        <v>3261.1841399999994</v>
      </c>
      <c r="J98" s="8">
        <f t="shared" si="28"/>
        <v>2984.7512299999999</v>
      </c>
      <c r="K98" s="8">
        <f t="shared" si="28"/>
        <v>3492.7732900000005</v>
      </c>
      <c r="L98" s="8">
        <f t="shared" si="28"/>
        <v>3278.6491799999994</v>
      </c>
      <c r="M98" s="8">
        <f t="shared" si="28"/>
        <v>3004.1374399999995</v>
      </c>
      <c r="N98" s="8">
        <f t="shared" si="28"/>
        <v>2929.6786999999999</v>
      </c>
    </row>
    <row r="99" spans="2:14" x14ac:dyDescent="0.2">
      <c r="B99" s="3"/>
      <c r="C99" s="11"/>
      <c r="D99" s="11"/>
      <c r="E99" s="11"/>
      <c r="F99" s="11"/>
      <c r="G99" s="16"/>
      <c r="H99" s="11"/>
      <c r="I99" s="11"/>
      <c r="J99" s="11"/>
      <c r="K99" s="11"/>
      <c r="L99" s="11"/>
      <c r="M99" s="11"/>
      <c r="N99" s="11"/>
    </row>
    <row r="100" spans="2:14" x14ac:dyDescent="0.2">
      <c r="B100" s="3"/>
      <c r="C100" s="11"/>
      <c r="D100" s="11"/>
      <c r="E100" s="11"/>
      <c r="F100" s="11"/>
      <c r="G100" s="16"/>
      <c r="H100" s="11"/>
      <c r="I100" s="11"/>
      <c r="J100" s="11"/>
      <c r="K100" s="11"/>
      <c r="L100" s="11"/>
      <c r="M100" s="11"/>
      <c r="N100" s="11"/>
    </row>
    <row r="101" spans="2:14" x14ac:dyDescent="0.2">
      <c r="B101" s="3"/>
      <c r="C101" s="11"/>
      <c r="D101" s="11"/>
      <c r="E101" s="11"/>
      <c r="F101" s="11"/>
      <c r="G101" s="16"/>
      <c r="H101" s="11"/>
      <c r="I101" s="11"/>
      <c r="J101" s="11"/>
      <c r="K101" s="11"/>
      <c r="L101" s="11"/>
      <c r="M101" s="11"/>
      <c r="N101" s="11"/>
    </row>
    <row r="102" spans="2:14" x14ac:dyDescent="0.2">
      <c r="B102" s="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2:14" x14ac:dyDescent="0.2">
      <c r="B103" s="2" t="s">
        <v>9</v>
      </c>
      <c r="C103" s="13"/>
      <c r="D103" s="13"/>
      <c r="E103" s="13">
        <f t="shared" ref="E103:N103" si="29">IFERROR(E98/(E98+E77),0)</f>
        <v>0.57980323750130403</v>
      </c>
      <c r="F103" s="13">
        <f t="shared" si="29"/>
        <v>0.5595346121443775</v>
      </c>
      <c r="G103" s="13">
        <f t="shared" si="29"/>
        <v>0.63375221204260379</v>
      </c>
      <c r="H103" s="13">
        <f t="shared" si="29"/>
        <v>0.61061353139861063</v>
      </c>
      <c r="I103" s="13">
        <f t="shared" si="29"/>
        <v>0.64044280979518398</v>
      </c>
      <c r="J103" s="13">
        <f t="shared" si="29"/>
        <v>0.66565062965037403</v>
      </c>
      <c r="K103" s="13">
        <f t="shared" si="29"/>
        <v>0.7103737903486852</v>
      </c>
      <c r="L103" s="13">
        <f t="shared" si="29"/>
        <v>0.71431891952363147</v>
      </c>
      <c r="M103" s="13">
        <f t="shared" si="29"/>
        <v>0.60067534654552546</v>
      </c>
      <c r="N103" s="13">
        <f t="shared" si="29"/>
        <v>0.6267168402884451</v>
      </c>
    </row>
    <row r="104" spans="2:14" x14ac:dyDescent="0.2">
      <c r="B104" s="4" t="s">
        <v>10</v>
      </c>
      <c r="C104" s="15"/>
      <c r="D104" s="15"/>
      <c r="E104" s="15">
        <f t="shared" ref="E104:N104" si="30">IFERROR(E97/(E97+E77),0)</f>
        <v>0.58080051173405478</v>
      </c>
      <c r="F104" s="15">
        <f t="shared" si="30"/>
        <v>0.56713071610670052</v>
      </c>
      <c r="G104" s="15">
        <f t="shared" si="30"/>
        <v>0.63580237112751137</v>
      </c>
      <c r="H104" s="15">
        <f t="shared" si="30"/>
        <v>0.61346433744163387</v>
      </c>
      <c r="I104" s="15">
        <f t="shared" si="30"/>
        <v>0.64275107160166056</v>
      </c>
      <c r="J104" s="15">
        <f t="shared" si="30"/>
        <v>0.67217752708632017</v>
      </c>
      <c r="K104" s="15">
        <f t="shared" si="30"/>
        <v>0.71695646133037405</v>
      </c>
      <c r="L104" s="15">
        <f t="shared" si="30"/>
        <v>0.71760091460992548</v>
      </c>
      <c r="M104" s="15">
        <f t="shared" si="30"/>
        <v>0.60555364897950603</v>
      </c>
      <c r="N104" s="34">
        <f t="shared" si="30"/>
        <v>0.6306102276464518</v>
      </c>
    </row>
    <row r="106" spans="2:14" x14ac:dyDescent="0.2">
      <c r="B106" s="18"/>
      <c r="N106" s="19"/>
    </row>
    <row r="107" spans="2:14" x14ac:dyDescent="0.2">
      <c r="L107" s="19"/>
      <c r="M107" s="19"/>
      <c r="N107" s="19"/>
    </row>
    <row r="108" spans="2:14" x14ac:dyDescent="0.2">
      <c r="L108" s="19"/>
      <c r="M108" s="19"/>
      <c r="N108" s="19"/>
    </row>
    <row r="109" spans="2:14" x14ac:dyDescent="0.2">
      <c r="L109" s="19"/>
      <c r="M109" s="19"/>
      <c r="N109" s="19"/>
    </row>
    <row r="110" spans="2:14" x14ac:dyDescent="0.2">
      <c r="L110" s="19"/>
      <c r="M110" s="19"/>
      <c r="N110" s="19"/>
    </row>
    <row r="111" spans="2:14" x14ac:dyDescent="0.2">
      <c r="L111" s="19"/>
      <c r="M111" s="19"/>
      <c r="N111" s="19"/>
    </row>
    <row r="112" spans="2:14" x14ac:dyDescent="0.2">
      <c r="L112" s="19"/>
      <c r="M112" s="19"/>
      <c r="N112" s="19"/>
    </row>
  </sheetData>
  <mergeCells count="65">
    <mergeCell ref="M4:M5"/>
    <mergeCell ref="G4:G5"/>
    <mergeCell ref="B4:B5"/>
    <mergeCell ref="C4:C5"/>
    <mergeCell ref="D4:D5"/>
    <mergeCell ref="E4:E5"/>
    <mergeCell ref="F4:F5"/>
    <mergeCell ref="J38:J39"/>
    <mergeCell ref="N4:N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H4:H5"/>
    <mergeCell ref="I4:I5"/>
    <mergeCell ref="J4:J5"/>
    <mergeCell ref="K4:K5"/>
    <mergeCell ref="L4:L5"/>
    <mergeCell ref="K23:K24"/>
    <mergeCell ref="L23:L24"/>
    <mergeCell ref="M23:M24"/>
    <mergeCell ref="N23:N24"/>
    <mergeCell ref="B38:B39"/>
    <mergeCell ref="C38:C39"/>
    <mergeCell ref="D38:D39"/>
    <mergeCell ref="E38:E39"/>
    <mergeCell ref="F38:F39"/>
    <mergeCell ref="G38:G39"/>
    <mergeCell ref="N38:N39"/>
    <mergeCell ref="K38:K39"/>
    <mergeCell ref="L38:L39"/>
    <mergeCell ref="M38:M39"/>
    <mergeCell ref="H38:H39"/>
    <mergeCell ref="I38:I39"/>
    <mergeCell ref="B53:B54"/>
    <mergeCell ref="C53:C54"/>
    <mergeCell ref="D53:D54"/>
    <mergeCell ref="E53:E54"/>
    <mergeCell ref="F53:F54"/>
    <mergeCell ref="G68:G69"/>
    <mergeCell ref="N68:N69"/>
    <mergeCell ref="H68:H69"/>
    <mergeCell ref="I68:I69"/>
    <mergeCell ref="J68:J69"/>
    <mergeCell ref="K68:K69"/>
    <mergeCell ref="L68:L69"/>
    <mergeCell ref="M68:M69"/>
    <mergeCell ref="B68:B69"/>
    <mergeCell ref="C68:C69"/>
    <mergeCell ref="D68:D69"/>
    <mergeCell ref="E68:E69"/>
    <mergeCell ref="F68:F69"/>
    <mergeCell ref="G53:G54"/>
    <mergeCell ref="H53:H54"/>
    <mergeCell ref="I53:I54"/>
    <mergeCell ref="J53:J54"/>
    <mergeCell ref="N53:N54"/>
    <mergeCell ref="K53:K54"/>
    <mergeCell ref="L53:L54"/>
    <mergeCell ref="M53:M5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5"/>
  <sheetViews>
    <sheetView topLeftCell="A10" workbookViewId="0">
      <selection activeCell="C29" sqref="C29"/>
    </sheetView>
  </sheetViews>
  <sheetFormatPr defaultRowHeight="12.75" x14ac:dyDescent="0.2"/>
  <cols>
    <col min="2" max="2" width="22.28515625" customWidth="1"/>
    <col min="3" max="3" width="19.42578125" customWidth="1"/>
  </cols>
  <sheetData>
    <row r="3" spans="2:4" x14ac:dyDescent="0.2">
      <c r="B3" s="31" t="s">
        <v>26</v>
      </c>
      <c r="C3" t="s">
        <v>89</v>
      </c>
      <c r="D3" s="33" t="s">
        <v>27</v>
      </c>
    </row>
    <row r="4" spans="2:4" x14ac:dyDescent="0.2">
      <c r="B4">
        <v>2017</v>
      </c>
      <c r="C4" s="35" t="s">
        <v>103</v>
      </c>
      <c r="D4" t="s">
        <v>104</v>
      </c>
    </row>
    <row r="5" spans="2:4" x14ac:dyDescent="0.2">
      <c r="B5">
        <v>2016</v>
      </c>
      <c r="C5" s="35" t="s">
        <v>90</v>
      </c>
      <c r="D5" t="s">
        <v>28</v>
      </c>
    </row>
    <row r="6" spans="2:4" x14ac:dyDescent="0.2">
      <c r="B6">
        <v>2015</v>
      </c>
      <c r="C6" s="35" t="s">
        <v>91</v>
      </c>
      <c r="D6" t="s">
        <v>29</v>
      </c>
    </row>
    <row r="7" spans="2:4" x14ac:dyDescent="0.2">
      <c r="B7">
        <v>2014</v>
      </c>
      <c r="C7" s="35" t="s">
        <v>92</v>
      </c>
      <c r="D7" t="s">
        <v>88</v>
      </c>
    </row>
    <row r="8" spans="2:4" x14ac:dyDescent="0.2">
      <c r="B8" s="32">
        <v>2013</v>
      </c>
      <c r="C8" s="35" t="s">
        <v>93</v>
      </c>
      <c r="D8" s="33" t="s">
        <v>30</v>
      </c>
    </row>
    <row r="9" spans="2:4" x14ac:dyDescent="0.2">
      <c r="B9" s="32">
        <v>2012</v>
      </c>
      <c r="C9" s="35" t="s">
        <v>94</v>
      </c>
      <c r="D9" s="33" t="s">
        <v>31</v>
      </c>
    </row>
    <row r="10" spans="2:4" x14ac:dyDescent="0.2">
      <c r="B10" s="32">
        <v>2011</v>
      </c>
      <c r="C10" s="35" t="s">
        <v>95</v>
      </c>
      <c r="D10" t="s">
        <v>32</v>
      </c>
    </row>
    <row r="11" spans="2:4" x14ac:dyDescent="0.2">
      <c r="B11" s="32">
        <v>2010</v>
      </c>
      <c r="C11" s="35" t="s">
        <v>96</v>
      </c>
      <c r="D11" t="s">
        <v>33</v>
      </c>
    </row>
    <row r="12" spans="2:4" x14ac:dyDescent="0.2">
      <c r="B12" s="32">
        <v>2009</v>
      </c>
      <c r="C12" s="35" t="s">
        <v>97</v>
      </c>
      <c r="D12" t="s">
        <v>34</v>
      </c>
    </row>
    <row r="13" spans="2:4" x14ac:dyDescent="0.2">
      <c r="B13" s="32">
        <v>2008</v>
      </c>
      <c r="C13" s="35" t="s">
        <v>98</v>
      </c>
      <c r="D13" t="s">
        <v>35</v>
      </c>
    </row>
    <row r="14" spans="2:4" x14ac:dyDescent="0.2">
      <c r="B14" s="32">
        <v>2007</v>
      </c>
      <c r="C14" s="35" t="s">
        <v>99</v>
      </c>
      <c r="D14" t="s">
        <v>36</v>
      </c>
    </row>
    <row r="15" spans="2:4" x14ac:dyDescent="0.2">
      <c r="B15" s="32">
        <v>2006</v>
      </c>
      <c r="C15" s="35" t="s">
        <v>100</v>
      </c>
      <c r="D15" t="s">
        <v>37</v>
      </c>
    </row>
    <row r="20" spans="2:4" x14ac:dyDescent="0.2">
      <c r="B20" s="33" t="s">
        <v>38</v>
      </c>
      <c r="C20" s="33" t="s">
        <v>89</v>
      </c>
      <c r="D20" s="32" t="s">
        <v>27</v>
      </c>
    </row>
    <row r="21" spans="2:4" x14ac:dyDescent="0.2">
      <c r="B21" s="32">
        <v>2017</v>
      </c>
    </row>
    <row r="22" spans="2:4" x14ac:dyDescent="0.2">
      <c r="B22" s="32">
        <v>2016</v>
      </c>
    </row>
    <row r="23" spans="2:4" x14ac:dyDescent="0.2">
      <c r="B23" s="32">
        <v>2015</v>
      </c>
    </row>
    <row r="24" spans="2:4" x14ac:dyDescent="0.2">
      <c r="B24" s="32">
        <v>2014</v>
      </c>
      <c r="C24" s="35" t="s">
        <v>92</v>
      </c>
      <c r="D24" s="33" t="s">
        <v>39</v>
      </c>
    </row>
    <row r="25" spans="2:4" x14ac:dyDescent="0.2">
      <c r="B25" s="32">
        <v>2013</v>
      </c>
      <c r="C25" s="35" t="s">
        <v>93</v>
      </c>
      <c r="D25" s="33" t="s">
        <v>40</v>
      </c>
    </row>
    <row r="26" spans="2:4" x14ac:dyDescent="0.2">
      <c r="B26" s="32">
        <v>2012</v>
      </c>
      <c r="C26" s="35" t="s">
        <v>94</v>
      </c>
      <c r="D26" s="33" t="s">
        <v>41</v>
      </c>
    </row>
    <row r="27" spans="2:4" x14ac:dyDescent="0.2">
      <c r="B27" s="32">
        <v>2011</v>
      </c>
      <c r="C27" s="35" t="s">
        <v>95</v>
      </c>
      <c r="D27" s="33" t="s">
        <v>42</v>
      </c>
    </row>
    <row r="28" spans="2:4" x14ac:dyDescent="0.2">
      <c r="B28" s="32">
        <v>2010</v>
      </c>
      <c r="C28" s="35" t="s">
        <v>96</v>
      </c>
      <c r="D28" s="33" t="s">
        <v>43</v>
      </c>
    </row>
    <row r="29" spans="2:4" x14ac:dyDescent="0.2">
      <c r="B29" s="32">
        <v>2009</v>
      </c>
      <c r="C29" s="35" t="s">
        <v>97</v>
      </c>
      <c r="D29" s="33" t="s">
        <v>44</v>
      </c>
    </row>
    <row r="30" spans="2:4" x14ac:dyDescent="0.2">
      <c r="B30" s="32">
        <v>2008</v>
      </c>
      <c r="C30" s="35" t="s">
        <v>98</v>
      </c>
      <c r="D30" s="33" t="s">
        <v>45</v>
      </c>
    </row>
    <row r="31" spans="2:4" x14ac:dyDescent="0.2">
      <c r="B31" s="32">
        <v>2007</v>
      </c>
      <c r="C31" s="35" t="s">
        <v>99</v>
      </c>
      <c r="D31" s="33" t="s">
        <v>46</v>
      </c>
    </row>
    <row r="32" spans="2:4" x14ac:dyDescent="0.2">
      <c r="B32" s="32">
        <v>2006</v>
      </c>
      <c r="C32" s="35" t="s">
        <v>100</v>
      </c>
      <c r="D32" s="33" t="s">
        <v>47</v>
      </c>
    </row>
    <row r="35" spans="2:4" x14ac:dyDescent="0.2">
      <c r="B35" s="33" t="s">
        <v>48</v>
      </c>
      <c r="C35" s="33" t="s">
        <v>89</v>
      </c>
      <c r="D35" t="s">
        <v>27</v>
      </c>
    </row>
    <row r="36" spans="2:4" x14ac:dyDescent="0.2">
      <c r="B36" s="32">
        <v>2017</v>
      </c>
      <c r="C36" s="32"/>
    </row>
    <row r="37" spans="2:4" x14ac:dyDescent="0.2">
      <c r="B37" s="32">
        <v>2016</v>
      </c>
      <c r="C37" s="35" t="s">
        <v>90</v>
      </c>
      <c r="D37" s="33" t="s">
        <v>50</v>
      </c>
    </row>
    <row r="38" spans="2:4" x14ac:dyDescent="0.2">
      <c r="B38" s="32">
        <v>2015</v>
      </c>
      <c r="C38" s="35" t="s">
        <v>91</v>
      </c>
      <c r="D38" s="33" t="s">
        <v>49</v>
      </c>
    </row>
    <row r="39" spans="2:4" x14ac:dyDescent="0.2">
      <c r="B39" s="32">
        <v>2014</v>
      </c>
      <c r="C39" s="35" t="s">
        <v>92</v>
      </c>
      <c r="D39" s="33" t="s">
        <v>51</v>
      </c>
    </row>
    <row r="40" spans="2:4" x14ac:dyDescent="0.2">
      <c r="B40" s="32">
        <v>2013</v>
      </c>
      <c r="C40" s="35" t="s">
        <v>93</v>
      </c>
      <c r="D40" s="33" t="s">
        <v>52</v>
      </c>
    </row>
    <row r="41" spans="2:4" x14ac:dyDescent="0.2">
      <c r="B41" s="32">
        <v>2012</v>
      </c>
      <c r="C41" s="35" t="s">
        <v>94</v>
      </c>
      <c r="D41" t="s">
        <v>53</v>
      </c>
    </row>
    <row r="42" spans="2:4" x14ac:dyDescent="0.2">
      <c r="B42" s="32">
        <v>2011</v>
      </c>
      <c r="C42" s="35" t="s">
        <v>95</v>
      </c>
      <c r="D42" t="s">
        <v>54</v>
      </c>
    </row>
    <row r="43" spans="2:4" x14ac:dyDescent="0.2">
      <c r="B43" s="32">
        <v>2010</v>
      </c>
      <c r="C43" s="35" t="s">
        <v>96</v>
      </c>
      <c r="D43" t="s">
        <v>55</v>
      </c>
    </row>
    <row r="44" spans="2:4" x14ac:dyDescent="0.2">
      <c r="B44" s="32">
        <v>2009</v>
      </c>
      <c r="C44" s="35" t="s">
        <v>97</v>
      </c>
      <c r="D44" t="s">
        <v>56</v>
      </c>
    </row>
    <row r="45" spans="2:4" x14ac:dyDescent="0.2">
      <c r="B45" s="32">
        <v>2008</v>
      </c>
      <c r="C45" s="35" t="s">
        <v>98</v>
      </c>
      <c r="D45" t="s">
        <v>57</v>
      </c>
    </row>
    <row r="46" spans="2:4" x14ac:dyDescent="0.2">
      <c r="B46" s="32">
        <v>2007</v>
      </c>
      <c r="C46" s="35" t="s">
        <v>99</v>
      </c>
      <c r="D46" t="s">
        <v>58</v>
      </c>
    </row>
    <row r="47" spans="2:4" x14ac:dyDescent="0.2">
      <c r="B47" s="32">
        <v>2006</v>
      </c>
      <c r="C47" s="32"/>
    </row>
    <row r="49" spans="2:4" x14ac:dyDescent="0.2">
      <c r="B49" t="s">
        <v>13</v>
      </c>
      <c r="C49" t="s">
        <v>89</v>
      </c>
      <c r="D49" s="32" t="s">
        <v>27</v>
      </c>
    </row>
    <row r="50" spans="2:4" x14ac:dyDescent="0.2">
      <c r="B50" s="32">
        <v>2017</v>
      </c>
    </row>
    <row r="51" spans="2:4" x14ac:dyDescent="0.2">
      <c r="B51" s="32">
        <v>2016</v>
      </c>
      <c r="C51" s="35" t="s">
        <v>90</v>
      </c>
      <c r="D51" t="s">
        <v>59</v>
      </c>
    </row>
    <row r="52" spans="2:4" x14ac:dyDescent="0.2">
      <c r="B52" s="32">
        <v>2015</v>
      </c>
      <c r="C52" s="35" t="s">
        <v>91</v>
      </c>
      <c r="D52" t="s">
        <v>60</v>
      </c>
    </row>
    <row r="53" spans="2:4" x14ac:dyDescent="0.2">
      <c r="B53" s="32">
        <v>2014</v>
      </c>
      <c r="C53" s="35" t="s">
        <v>92</v>
      </c>
      <c r="D53" t="s">
        <v>61</v>
      </c>
    </row>
    <row r="54" spans="2:4" x14ac:dyDescent="0.2">
      <c r="B54" s="32">
        <v>2013</v>
      </c>
      <c r="C54" s="35" t="s">
        <v>93</v>
      </c>
      <c r="D54" t="s">
        <v>62</v>
      </c>
    </row>
    <row r="55" spans="2:4" x14ac:dyDescent="0.2">
      <c r="B55" s="32">
        <v>2012</v>
      </c>
      <c r="C55" s="35" t="s">
        <v>94</v>
      </c>
      <c r="D55" t="s">
        <v>63</v>
      </c>
    </row>
    <row r="56" spans="2:4" x14ac:dyDescent="0.2">
      <c r="B56" s="32">
        <v>2011</v>
      </c>
      <c r="C56" s="35" t="s">
        <v>95</v>
      </c>
      <c r="D56" t="s">
        <v>64</v>
      </c>
    </row>
    <row r="57" spans="2:4" x14ac:dyDescent="0.2">
      <c r="B57" s="32">
        <v>2010</v>
      </c>
      <c r="C57" s="35" t="s">
        <v>96</v>
      </c>
      <c r="D57" t="s">
        <v>65</v>
      </c>
    </row>
    <row r="58" spans="2:4" x14ac:dyDescent="0.2">
      <c r="B58" s="32">
        <v>2009</v>
      </c>
      <c r="C58" s="35" t="s">
        <v>97</v>
      </c>
      <c r="D58" t="s">
        <v>66</v>
      </c>
    </row>
    <row r="59" spans="2:4" x14ac:dyDescent="0.2">
      <c r="B59" s="32">
        <v>2008</v>
      </c>
      <c r="C59" s="35" t="s">
        <v>98</v>
      </c>
      <c r="D59" t="s">
        <v>67</v>
      </c>
    </row>
    <row r="60" spans="2:4" x14ac:dyDescent="0.2">
      <c r="B60" s="32">
        <v>2007</v>
      </c>
      <c r="C60" s="35" t="s">
        <v>99</v>
      </c>
      <c r="D60" t="s">
        <v>68</v>
      </c>
    </row>
    <row r="61" spans="2:4" x14ac:dyDescent="0.2">
      <c r="B61" s="32">
        <v>2006</v>
      </c>
      <c r="C61" s="35" t="s">
        <v>100</v>
      </c>
      <c r="D61" t="s">
        <v>69</v>
      </c>
    </row>
    <row r="64" spans="2:4" x14ac:dyDescent="0.2">
      <c r="B64" t="s">
        <v>14</v>
      </c>
      <c r="C64" s="32" t="s">
        <v>89</v>
      </c>
      <c r="D64" t="s">
        <v>27</v>
      </c>
    </row>
    <row r="65" spans="1:4" x14ac:dyDescent="0.2">
      <c r="B65" s="32">
        <v>2017</v>
      </c>
    </row>
    <row r="66" spans="1:4" x14ac:dyDescent="0.2">
      <c r="A66" s="36"/>
      <c r="B66" s="32">
        <v>2016</v>
      </c>
      <c r="C66" s="35" t="s">
        <v>90</v>
      </c>
      <c r="D66" s="33" t="s">
        <v>70</v>
      </c>
    </row>
    <row r="67" spans="1:4" x14ac:dyDescent="0.2">
      <c r="A67" s="36"/>
      <c r="B67" s="32">
        <v>2015</v>
      </c>
      <c r="C67" s="35" t="s">
        <v>91</v>
      </c>
      <c r="D67" s="33" t="s">
        <v>71</v>
      </c>
    </row>
    <row r="68" spans="1:4" x14ac:dyDescent="0.2">
      <c r="A68" s="36"/>
      <c r="B68" s="32">
        <v>2014</v>
      </c>
      <c r="C68" s="35" t="s">
        <v>92</v>
      </c>
      <c r="D68" t="s">
        <v>72</v>
      </c>
    </row>
    <row r="69" spans="1:4" x14ac:dyDescent="0.2">
      <c r="A69" s="36"/>
      <c r="B69" s="32">
        <v>2013</v>
      </c>
      <c r="C69" s="35" t="s">
        <v>93</v>
      </c>
      <c r="D69" s="33" t="s">
        <v>73</v>
      </c>
    </row>
    <row r="70" spans="1:4" x14ac:dyDescent="0.2">
      <c r="A70" s="36"/>
      <c r="B70" s="32">
        <v>2012</v>
      </c>
      <c r="C70" s="35" t="s">
        <v>94</v>
      </c>
      <c r="D70" s="33" t="s">
        <v>74</v>
      </c>
    </row>
    <row r="71" spans="1:4" x14ac:dyDescent="0.2">
      <c r="A71" s="36"/>
      <c r="B71" s="32">
        <v>2011</v>
      </c>
      <c r="C71" s="35" t="s">
        <v>95</v>
      </c>
      <c r="D71" s="33" t="s">
        <v>75</v>
      </c>
    </row>
    <row r="72" spans="1:4" x14ac:dyDescent="0.2">
      <c r="A72" s="36"/>
      <c r="B72" s="32">
        <v>2010</v>
      </c>
      <c r="C72" s="35" t="s">
        <v>96</v>
      </c>
      <c r="D72" s="33" t="s">
        <v>76</v>
      </c>
    </row>
    <row r="73" spans="1:4" x14ac:dyDescent="0.2">
      <c r="A73" s="36"/>
      <c r="B73" s="32">
        <v>2009</v>
      </c>
      <c r="C73" s="35" t="s">
        <v>97</v>
      </c>
      <c r="D73" s="33" t="s">
        <v>77</v>
      </c>
    </row>
    <row r="74" spans="1:4" x14ac:dyDescent="0.2">
      <c r="A74" s="36"/>
      <c r="B74" s="32">
        <v>2008</v>
      </c>
      <c r="C74" s="35" t="s">
        <v>98</v>
      </c>
      <c r="D74" t="s">
        <v>78</v>
      </c>
    </row>
    <row r="75" spans="1:4" x14ac:dyDescent="0.2">
      <c r="A75" s="36"/>
      <c r="B75" s="32">
        <v>2007</v>
      </c>
      <c r="C75" s="35" t="s">
        <v>99</v>
      </c>
      <c r="D75" s="33" t="s">
        <v>79</v>
      </c>
    </row>
    <row r="76" spans="1:4" x14ac:dyDescent="0.2">
      <c r="A76" s="36"/>
      <c r="B76" s="32">
        <v>2006</v>
      </c>
      <c r="C76" s="35" t="s">
        <v>100</v>
      </c>
      <c r="D76" t="s">
        <v>80</v>
      </c>
    </row>
    <row r="77" spans="1:4" x14ac:dyDescent="0.2">
      <c r="B77" s="47" t="s">
        <v>102</v>
      </c>
      <c r="C77" s="47"/>
      <c r="D77" s="47"/>
    </row>
    <row r="79" spans="1:4" x14ac:dyDescent="0.2">
      <c r="B79" t="s">
        <v>81</v>
      </c>
      <c r="C79" s="32" t="s">
        <v>89</v>
      </c>
      <c r="D79" t="s">
        <v>27</v>
      </c>
    </row>
    <row r="80" spans="1:4" x14ac:dyDescent="0.2">
      <c r="B80" s="32">
        <v>2017</v>
      </c>
      <c r="C80" s="32"/>
    </row>
    <row r="81" spans="2:4" x14ac:dyDescent="0.2">
      <c r="B81" s="32">
        <v>2016</v>
      </c>
      <c r="C81" s="32" t="s">
        <v>90</v>
      </c>
    </row>
    <row r="82" spans="2:4" x14ac:dyDescent="0.2">
      <c r="B82" s="32">
        <v>2015</v>
      </c>
      <c r="C82" s="32" t="s">
        <v>91</v>
      </c>
    </row>
    <row r="83" spans="2:4" x14ac:dyDescent="0.2">
      <c r="B83" s="32">
        <v>2014</v>
      </c>
      <c r="C83" s="32" t="s">
        <v>92</v>
      </c>
    </row>
    <row r="84" spans="2:4" x14ac:dyDescent="0.2">
      <c r="B84" s="32">
        <v>2013</v>
      </c>
      <c r="C84" s="35" t="s">
        <v>93</v>
      </c>
      <c r="D84" t="s">
        <v>101</v>
      </c>
    </row>
    <row r="85" spans="2:4" x14ac:dyDescent="0.2">
      <c r="B85" s="32">
        <v>2012</v>
      </c>
      <c r="C85" s="35" t="s">
        <v>94</v>
      </c>
      <c r="D85" t="s">
        <v>87</v>
      </c>
    </row>
    <row r="86" spans="2:4" x14ac:dyDescent="0.2">
      <c r="B86" s="32">
        <v>2011</v>
      </c>
      <c r="C86" s="35" t="s">
        <v>95</v>
      </c>
      <c r="D86" t="s">
        <v>86</v>
      </c>
    </row>
    <row r="87" spans="2:4" x14ac:dyDescent="0.2">
      <c r="B87" s="32">
        <v>2010</v>
      </c>
      <c r="C87" s="35" t="s">
        <v>96</v>
      </c>
      <c r="D87" t="s">
        <v>82</v>
      </c>
    </row>
    <row r="88" spans="2:4" x14ac:dyDescent="0.2">
      <c r="B88" s="32">
        <v>2009</v>
      </c>
      <c r="C88" s="35" t="s">
        <v>97</v>
      </c>
      <c r="D88" t="s">
        <v>85</v>
      </c>
    </row>
    <row r="89" spans="2:4" x14ac:dyDescent="0.2">
      <c r="B89" s="32">
        <v>2008</v>
      </c>
      <c r="C89" s="35" t="s">
        <v>98</v>
      </c>
      <c r="D89" t="s">
        <v>84</v>
      </c>
    </row>
    <row r="90" spans="2:4" x14ac:dyDescent="0.2">
      <c r="B90" s="32">
        <v>2007</v>
      </c>
      <c r="C90" s="35" t="s">
        <v>99</v>
      </c>
      <c r="D90" t="s">
        <v>83</v>
      </c>
    </row>
    <row r="91" spans="2:4" x14ac:dyDescent="0.2">
      <c r="B91" s="32">
        <v>2006</v>
      </c>
      <c r="C91" s="32" t="s">
        <v>100</v>
      </c>
    </row>
    <row r="93" spans="2:4" x14ac:dyDescent="0.2">
      <c r="B93" s="33" t="s">
        <v>122</v>
      </c>
      <c r="C93" s="33" t="s">
        <v>89</v>
      </c>
      <c r="D93" s="33" t="s">
        <v>27</v>
      </c>
    </row>
    <row r="95" spans="2:4" x14ac:dyDescent="0.2">
      <c r="B95" s="33" t="s">
        <v>123</v>
      </c>
      <c r="C95" s="33"/>
      <c r="D95" s="33" t="s">
        <v>124</v>
      </c>
    </row>
  </sheetData>
  <hyperlinks>
    <hyperlink ref="C5" r:id="rId1"/>
    <hyperlink ref="C6" r:id="rId2"/>
    <hyperlink ref="C15" r:id="rId3"/>
    <hyperlink ref="C14" r:id="rId4"/>
    <hyperlink ref="C13" r:id="rId5"/>
    <hyperlink ref="C12" r:id="rId6"/>
    <hyperlink ref="C11" r:id="rId7"/>
    <hyperlink ref="C10" r:id="rId8"/>
    <hyperlink ref="C9" r:id="rId9"/>
    <hyperlink ref="C8" r:id="rId10"/>
    <hyperlink ref="C7" r:id="rId11"/>
    <hyperlink ref="C24" r:id="rId12"/>
    <hyperlink ref="C25" r:id="rId13"/>
    <hyperlink ref="C26" r:id="rId14"/>
    <hyperlink ref="C27" r:id="rId15"/>
    <hyperlink ref="C28" r:id="rId16"/>
    <hyperlink ref="C29" r:id="rId17"/>
    <hyperlink ref="C30" r:id="rId18"/>
    <hyperlink ref="C31" r:id="rId19"/>
    <hyperlink ref="C32" r:id="rId20"/>
    <hyperlink ref="C37" r:id="rId21"/>
    <hyperlink ref="C38" r:id="rId22"/>
    <hyperlink ref="C39" r:id="rId23"/>
    <hyperlink ref="C40" r:id="rId24"/>
    <hyperlink ref="C41" r:id="rId25"/>
    <hyperlink ref="C42" r:id="rId26"/>
    <hyperlink ref="C43" r:id="rId27"/>
    <hyperlink ref="C44" r:id="rId28"/>
    <hyperlink ref="C45" r:id="rId29"/>
    <hyperlink ref="C46" r:id="rId30"/>
    <hyperlink ref="C51" r:id="rId31"/>
    <hyperlink ref="C52" r:id="rId32"/>
    <hyperlink ref="C53" r:id="rId33"/>
    <hyperlink ref="C54" r:id="rId34"/>
    <hyperlink ref="C55" r:id="rId35"/>
    <hyperlink ref="C56" r:id="rId36"/>
    <hyperlink ref="C57" r:id="rId37"/>
    <hyperlink ref="C58" r:id="rId38"/>
    <hyperlink ref="C59" r:id="rId39"/>
    <hyperlink ref="C60" r:id="rId40"/>
    <hyperlink ref="C61" r:id="rId41"/>
    <hyperlink ref="C66" r:id="rId42"/>
    <hyperlink ref="C67" r:id="rId43"/>
    <hyperlink ref="C68" r:id="rId44"/>
    <hyperlink ref="C69" r:id="rId45"/>
    <hyperlink ref="C70" r:id="rId46"/>
    <hyperlink ref="C71" r:id="rId47"/>
    <hyperlink ref="C72" r:id="rId48"/>
    <hyperlink ref="C73" r:id="rId49"/>
    <hyperlink ref="C74" r:id="rId50"/>
    <hyperlink ref="C75" r:id="rId51"/>
    <hyperlink ref="C76" r:id="rId52"/>
    <hyperlink ref="C84" r:id="rId53"/>
    <hyperlink ref="C85" r:id="rId54"/>
    <hyperlink ref="C86" r:id="rId55"/>
    <hyperlink ref="C87" r:id="rId56"/>
    <hyperlink ref="C88" r:id="rId57"/>
    <hyperlink ref="C89" r:id="rId58"/>
    <hyperlink ref="C90" r:id="rId59"/>
    <hyperlink ref="C4" r:id="rId60"/>
  </hyperlinks>
  <pageMargins left="0.7" right="0.7" top="0.75" bottom="0.75" header="0.3" footer="0.3"/>
  <pageSetup paperSize="9" orientation="portrait" r:id="rId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6"/>
  <sheetViews>
    <sheetView tabSelected="1" workbookViewId="0">
      <selection activeCell="M35" sqref="M35"/>
    </sheetView>
  </sheetViews>
  <sheetFormatPr defaultRowHeight="12.75" x14ac:dyDescent="0.2"/>
  <cols>
    <col min="2" max="2" width="13.7109375" customWidth="1"/>
    <col min="3" max="3" width="11.85546875" customWidth="1"/>
    <col min="4" max="4" width="9.85546875" customWidth="1"/>
    <col min="5" max="5" width="10.28515625" customWidth="1"/>
    <col min="6" max="6" width="9.85546875" customWidth="1"/>
    <col min="7" max="7" width="10.5703125" customWidth="1"/>
    <col min="8" max="8" width="10.5703125" bestFit="1" customWidth="1"/>
  </cols>
  <sheetData>
    <row r="3" spans="2:12" x14ac:dyDescent="0.2">
      <c r="B3" s="61" t="s">
        <v>105</v>
      </c>
      <c r="C3" s="68" t="s">
        <v>110</v>
      </c>
      <c r="D3" s="61" t="s">
        <v>111</v>
      </c>
      <c r="E3" s="68" t="s">
        <v>113</v>
      </c>
      <c r="F3" s="61" t="s">
        <v>111</v>
      </c>
      <c r="G3" s="68" t="s">
        <v>113</v>
      </c>
    </row>
    <row r="4" spans="2:12" x14ac:dyDescent="0.2">
      <c r="B4" s="62" t="s">
        <v>38</v>
      </c>
      <c r="C4" s="69"/>
      <c r="D4" s="62" t="s">
        <v>112</v>
      </c>
      <c r="E4" s="69"/>
      <c r="F4" s="62" t="s">
        <v>114</v>
      </c>
      <c r="G4" s="69"/>
    </row>
    <row r="5" spans="2:12" s="32" customFormat="1" x14ac:dyDescent="0.2">
      <c r="B5" s="39"/>
      <c r="C5" s="39"/>
      <c r="D5" s="70" t="s">
        <v>115</v>
      </c>
      <c r="E5" s="71"/>
      <c r="F5" s="70" t="s">
        <v>116</v>
      </c>
      <c r="G5" s="71"/>
    </row>
    <row r="6" spans="2:12" x14ac:dyDescent="0.2">
      <c r="B6" s="1" t="s">
        <v>38</v>
      </c>
      <c r="C6" s="44" t="s">
        <v>121</v>
      </c>
      <c r="D6" s="40">
        <f>AVERAGE(Gearing!F20:H20)</f>
        <v>0.54346643329127486</v>
      </c>
      <c r="E6" s="40">
        <f>AVERAGE(Gearing!F20:M20)</f>
        <v>0.65071987133844744</v>
      </c>
      <c r="F6" s="40">
        <f>AVERAGE(Gearing!F19:H19)</f>
        <v>0.54325325852054229</v>
      </c>
      <c r="G6" s="40">
        <f>AVERAGE(Gearing!F19:M19)</f>
        <v>0.65007989334893101</v>
      </c>
    </row>
    <row r="7" spans="2:12" x14ac:dyDescent="0.2">
      <c r="B7" s="2" t="s">
        <v>106</v>
      </c>
      <c r="C7" s="44" t="s">
        <v>117</v>
      </c>
      <c r="D7" s="41">
        <f>AVERAGE(Gearing!D35:H35)</f>
        <v>0.47529214680220855</v>
      </c>
      <c r="E7" s="41">
        <f>AVERAGE(Gearing!D35:M35)</f>
        <v>0.55080271549276527</v>
      </c>
      <c r="F7" s="42">
        <f>AVERAGE(Gearing!D34:H34)</f>
        <v>0.46559272538684143</v>
      </c>
      <c r="G7" s="41">
        <f>AVERAGE(Gearing!D34:M34)</f>
        <v>0.54238396679851919</v>
      </c>
    </row>
    <row r="8" spans="2:12" x14ac:dyDescent="0.2">
      <c r="B8" s="2" t="s">
        <v>48</v>
      </c>
      <c r="C8" s="44" t="s">
        <v>118</v>
      </c>
      <c r="D8" s="41">
        <f>AVERAGE(Gearing!D50:H50)</f>
        <v>0.63870702506161359</v>
      </c>
      <c r="E8" s="41">
        <f>AVERAGE(Gearing!D50:M50)</f>
        <v>0.70146272338668925</v>
      </c>
      <c r="F8" s="41">
        <f>AVERAGE(Gearing!D49:H49)</f>
        <v>0.62306956119068158</v>
      </c>
      <c r="G8" s="64">
        <f>AVERAGE(Gearing!D49:M49)</f>
        <v>0.68587223492414084</v>
      </c>
    </row>
    <row r="9" spans="2:12" x14ac:dyDescent="0.2">
      <c r="B9" s="2" t="s">
        <v>107</v>
      </c>
      <c r="C9" s="44" t="s">
        <v>119</v>
      </c>
      <c r="D9" s="42">
        <f>AVERAGE(Gearing!D65:H65)</f>
        <v>0.57855044649724863</v>
      </c>
      <c r="E9" s="42">
        <f>AVERAGE(Gearing!D65:M65)</f>
        <v>0.60147534130449887</v>
      </c>
      <c r="F9" s="42">
        <f>AVERAGE(Gearing!D64:H64)</f>
        <v>0.55992406275647155</v>
      </c>
      <c r="G9" s="42">
        <f>AVERAGE(Gearing!D64:M64)</f>
        <v>0.58865589720044753</v>
      </c>
    </row>
    <row r="10" spans="2:12" x14ac:dyDescent="0.2">
      <c r="B10" s="2" t="s">
        <v>108</v>
      </c>
      <c r="C10" s="44" t="s">
        <v>120</v>
      </c>
      <c r="D10" s="42">
        <f>AVERAGE(Gearing!E104:H104)</f>
        <v>0.59929948410247513</v>
      </c>
      <c r="E10" s="42">
        <f>AVERAGE(Gearing!E104:M104)</f>
        <v>0.63913750666863178</v>
      </c>
      <c r="F10" s="42">
        <f>AVERAGE(Gearing!E103:H103)</f>
        <v>0.59592589827172404</v>
      </c>
      <c r="G10" s="42">
        <f>AVERAGE(Gearing!E103:M103)</f>
        <v>0.63501834321669959</v>
      </c>
    </row>
    <row r="11" spans="2:12" x14ac:dyDescent="0.2">
      <c r="B11" s="43" t="s">
        <v>109</v>
      </c>
      <c r="C11" s="38"/>
      <c r="D11" s="45">
        <f>AVERAGE(D6,D7,D8,D9,D10)</f>
        <v>0.5670631071509642</v>
      </c>
      <c r="E11" s="45">
        <f>AVERAGE(E6,E7,E8,E9,E10)</f>
        <v>0.62871963163820654</v>
      </c>
      <c r="F11" s="46">
        <f>AVERAGE(F6,F7,F8,F9,F10)</f>
        <v>0.55755310122525215</v>
      </c>
      <c r="G11" s="46">
        <f>AVERAGE(G6,G7,G8,G9,G10)</f>
        <v>0.62040206709774759</v>
      </c>
    </row>
    <row r="16" spans="2:12" x14ac:dyDescent="0.2">
      <c r="L16" s="32"/>
    </row>
    <row r="17" spans="2:10" x14ac:dyDescent="0.2">
      <c r="B17" s="61" t="s">
        <v>114</v>
      </c>
      <c r="C17" s="61" t="s">
        <v>38</v>
      </c>
      <c r="D17" s="61" t="s">
        <v>106</v>
      </c>
      <c r="E17" s="61" t="s">
        <v>48</v>
      </c>
      <c r="F17" s="61" t="s">
        <v>107</v>
      </c>
      <c r="G17" s="61" t="s">
        <v>108</v>
      </c>
    </row>
    <row r="18" spans="2:10" x14ac:dyDescent="0.2">
      <c r="B18" s="1">
        <v>2007</v>
      </c>
      <c r="C18" s="63">
        <v>0.65226948298257781</v>
      </c>
      <c r="D18" s="63">
        <v>0.58325393721555185</v>
      </c>
      <c r="E18" s="63">
        <v>0.65900655502121963</v>
      </c>
      <c r="F18" s="63">
        <v>0.54442131993037013</v>
      </c>
      <c r="G18" s="63">
        <v>0.60067534654552546</v>
      </c>
    </row>
    <row r="19" spans="2:10" x14ac:dyDescent="0.2">
      <c r="B19" s="1">
        <v>2008</v>
      </c>
      <c r="C19" s="63">
        <v>0.77001176397365267</v>
      </c>
      <c r="D19" s="63">
        <v>0.71873439017993013</v>
      </c>
      <c r="E19" s="63">
        <v>0.74377846189737018</v>
      </c>
      <c r="F19" s="63">
        <v>0.59101880012986396</v>
      </c>
      <c r="G19" s="63">
        <v>0.71431891952363147</v>
      </c>
    </row>
    <row r="20" spans="2:10" x14ac:dyDescent="0.2">
      <c r="B20" s="1">
        <v>2009</v>
      </c>
      <c r="C20" s="63">
        <v>0.75027297798581338</v>
      </c>
      <c r="D20" s="63">
        <v>0.67508799094507965</v>
      </c>
      <c r="E20" s="63">
        <v>0.7834930587756519</v>
      </c>
      <c r="F20" s="63">
        <v>0.69918784278654877</v>
      </c>
      <c r="G20" s="63">
        <v>0.7103737903486852</v>
      </c>
    </row>
    <row r="21" spans="2:10" x14ac:dyDescent="0.2">
      <c r="B21" s="1">
        <v>2010</v>
      </c>
      <c r="C21" s="63">
        <v>0.7400803921759358</v>
      </c>
      <c r="D21" s="63">
        <v>0.59887519314207494</v>
      </c>
      <c r="E21" s="63">
        <v>0.78624082422619512</v>
      </c>
      <c r="F21" s="63">
        <v>0.61224738566959691</v>
      </c>
      <c r="G21" s="63">
        <v>0.66565062965037403</v>
      </c>
    </row>
    <row r="22" spans="2:10" x14ac:dyDescent="0.2">
      <c r="B22" s="1">
        <v>2011</v>
      </c>
      <c r="C22" s="63">
        <v>0.65824475411184102</v>
      </c>
      <c r="D22" s="63">
        <v>0.51992452956834712</v>
      </c>
      <c r="E22" s="63">
        <v>0.77085564336756385</v>
      </c>
      <c r="F22" s="63">
        <v>0.64006330970573855</v>
      </c>
      <c r="G22" s="63">
        <v>0.64044280979518398</v>
      </c>
    </row>
    <row r="23" spans="2:10" x14ac:dyDescent="0.2">
      <c r="B23" s="1">
        <v>2012</v>
      </c>
      <c r="C23" s="63">
        <v>0.63096950663248041</v>
      </c>
      <c r="D23" s="63">
        <v>0.4447538324331971</v>
      </c>
      <c r="E23" s="63">
        <v>0.70505442343438651</v>
      </c>
      <c r="F23" s="63">
        <v>0.59209970007994828</v>
      </c>
      <c r="G23" s="63">
        <v>0.61061353139861063</v>
      </c>
    </row>
    <row r="24" spans="2:10" x14ac:dyDescent="0.2">
      <c r="B24" s="1">
        <v>2013</v>
      </c>
      <c r="C24" s="63">
        <v>0.53192603633950408</v>
      </c>
      <c r="D24" s="63">
        <v>0.45817071504243739</v>
      </c>
      <c r="E24" s="63">
        <v>0.6915604088512356</v>
      </c>
      <c r="F24" s="63">
        <v>0.5406365485887249</v>
      </c>
      <c r="G24" s="63">
        <v>0.63375221204260379</v>
      </c>
    </row>
    <row r="25" spans="2:10" x14ac:dyDescent="0.2">
      <c r="B25" s="1">
        <v>2014</v>
      </c>
      <c r="C25" s="63">
        <v>0.46686423258964238</v>
      </c>
      <c r="D25" s="63">
        <v>0.44946989572623386</v>
      </c>
      <c r="E25" s="63">
        <v>0.62184577434882404</v>
      </c>
      <c r="F25" s="63">
        <v>0.56056667275394489</v>
      </c>
      <c r="G25" s="63">
        <v>0.5595346121443775</v>
      </c>
    </row>
    <row r="26" spans="2:10" x14ac:dyDescent="0.2">
      <c r="B26" s="1">
        <v>2015</v>
      </c>
      <c r="C26" s="63"/>
      <c r="D26" s="63">
        <v>0.49203456072394025</v>
      </c>
      <c r="E26" s="63">
        <v>0.61058773256085985</v>
      </c>
      <c r="F26" s="63">
        <v>0.55578504869000722</v>
      </c>
      <c r="G26" s="63">
        <v>0.57980323750130403</v>
      </c>
    </row>
    <row r="27" spans="2:10" x14ac:dyDescent="0.2">
      <c r="B27" s="1">
        <v>2016</v>
      </c>
      <c r="C27" s="63"/>
      <c r="D27" s="63">
        <v>0.48353462300839839</v>
      </c>
      <c r="E27" s="63">
        <v>0.48629946675810215</v>
      </c>
      <c r="F27" s="63">
        <v>0.55053234366973225</v>
      </c>
      <c r="G27" s="63"/>
    </row>
    <row r="28" spans="2:10" x14ac:dyDescent="0.2">
      <c r="B28" s="38" t="s">
        <v>128</v>
      </c>
      <c r="C28" s="66">
        <f>AVERAGE(C23:C25)</f>
        <v>0.54325325852054229</v>
      </c>
      <c r="D28" s="66">
        <f>AVERAGE(D23:D27)</f>
        <v>0.46559272538684143</v>
      </c>
      <c r="E28" s="66">
        <f>AVERAGE(E23:E27)</f>
        <v>0.62306956119068169</v>
      </c>
      <c r="F28" s="66">
        <f>AVERAGE(F23:F27)</f>
        <v>0.55992406275647144</v>
      </c>
      <c r="G28" s="66">
        <f>AVERAGE(G23:G26)</f>
        <v>0.59592589827172404</v>
      </c>
      <c r="J28" s="65">
        <f>AVERAGE(C28:G28)</f>
        <v>0.55755310122525226</v>
      </c>
    </row>
    <row r="29" spans="2:10" x14ac:dyDescent="0.2">
      <c r="B29" s="38" t="s">
        <v>129</v>
      </c>
      <c r="C29" s="66">
        <f>AVERAGE(C18:C25)</f>
        <v>0.6500798933489309</v>
      </c>
      <c r="D29" s="66">
        <f>AVERAGE(D18:D27)</f>
        <v>0.54238396679851908</v>
      </c>
      <c r="E29" s="66">
        <f>AVERAGE(E18:E27)</f>
        <v>0.68587223492414084</v>
      </c>
      <c r="F29" s="66">
        <f>AVERAGE(F18:F27)</f>
        <v>0.58865589720044753</v>
      </c>
      <c r="G29" s="66">
        <f>AVERAGE(G18:G26)</f>
        <v>0.63501834321669959</v>
      </c>
      <c r="J29" s="65">
        <f>AVERAGE(C29:G29)</f>
        <v>0.62040206709774759</v>
      </c>
    </row>
    <row r="30" spans="2:10" x14ac:dyDescent="0.2">
      <c r="I30" s="65"/>
    </row>
    <row r="31" spans="2:10" x14ac:dyDescent="0.2">
      <c r="J31" s="65"/>
    </row>
    <row r="32" spans="2:10" x14ac:dyDescent="0.2">
      <c r="J32" s="65"/>
    </row>
    <row r="33" spans="2:10" x14ac:dyDescent="0.2">
      <c r="J33" s="65"/>
    </row>
    <row r="34" spans="2:10" x14ac:dyDescent="0.2">
      <c r="B34" s="61" t="s">
        <v>112</v>
      </c>
      <c r="C34" s="61" t="s">
        <v>38</v>
      </c>
      <c r="D34" s="61" t="s">
        <v>106</v>
      </c>
      <c r="E34" s="61" t="s">
        <v>48</v>
      </c>
      <c r="F34" s="61" t="s">
        <v>107</v>
      </c>
      <c r="G34" s="61" t="s">
        <v>108</v>
      </c>
      <c r="J34" s="65"/>
    </row>
    <row r="35" spans="2:10" x14ac:dyDescent="0.2">
      <c r="B35" s="1">
        <v>2007</v>
      </c>
      <c r="C35" s="63">
        <v>0.65367022484526527</v>
      </c>
      <c r="D35" s="63">
        <v>0.58893029680051412</v>
      </c>
      <c r="E35" s="63">
        <v>0.67417566948947327</v>
      </c>
      <c r="F35" s="63">
        <v>0.54505588506369151</v>
      </c>
      <c r="G35" s="63">
        <v>0.60555364897950603</v>
      </c>
      <c r="J35" s="65"/>
    </row>
    <row r="36" spans="2:10" x14ac:dyDescent="0.2">
      <c r="B36" s="1">
        <v>2008</v>
      </c>
      <c r="C36" s="63">
        <v>0.7710087901488698</v>
      </c>
      <c r="D36" s="63">
        <v>0.72565262662079444</v>
      </c>
      <c r="E36" s="63">
        <v>0.75591408237255442</v>
      </c>
      <c r="F36" s="63">
        <v>0.59180995008676607</v>
      </c>
      <c r="G36" s="63">
        <v>0.71760091460992548</v>
      </c>
      <c r="J36" s="65"/>
    </row>
    <row r="37" spans="2:10" x14ac:dyDescent="0.2">
      <c r="B37" s="1">
        <v>2009</v>
      </c>
      <c r="C37" s="63">
        <v>0.75088144367810183</v>
      </c>
      <c r="D37" s="63">
        <v>0.68325428327478244</v>
      </c>
      <c r="E37" s="63">
        <v>0.80276364849533977</v>
      </c>
      <c r="F37" s="63">
        <v>0.69952510843136073</v>
      </c>
      <c r="G37" s="63">
        <v>0.71695646133037405</v>
      </c>
      <c r="J37" s="65"/>
    </row>
    <row r="38" spans="2:10" x14ac:dyDescent="0.2">
      <c r="B38" s="1">
        <v>2010</v>
      </c>
      <c r="C38" s="63">
        <v>0.74071510542486851</v>
      </c>
      <c r="D38" s="63">
        <v>0.6054366821284034</v>
      </c>
      <c r="E38" s="63">
        <v>0.80030559898159348</v>
      </c>
      <c r="F38" s="63">
        <v>0.64290793643143507</v>
      </c>
      <c r="G38" s="63">
        <v>0.67217752708632017</v>
      </c>
      <c r="J38" s="65"/>
    </row>
    <row r="39" spans="2:10" x14ac:dyDescent="0.2">
      <c r="B39" s="1">
        <v>2011</v>
      </c>
      <c r="C39" s="63">
        <v>0.65908410673664919</v>
      </c>
      <c r="D39" s="63">
        <v>0.52829253209211569</v>
      </c>
      <c r="E39" s="63">
        <v>0.78793310921986237</v>
      </c>
      <c r="F39" s="63">
        <v>0.6427023005454926</v>
      </c>
      <c r="G39" s="63">
        <v>0.64275107160166056</v>
      </c>
      <c r="J39" s="65"/>
    </row>
    <row r="40" spans="2:10" x14ac:dyDescent="0.2">
      <c r="B40" s="1">
        <v>2012</v>
      </c>
      <c r="C40" s="63">
        <v>0.63107910587658389</v>
      </c>
      <c r="D40" s="63">
        <v>0.47467815649500239</v>
      </c>
      <c r="E40" s="63">
        <v>0.71507886633077278</v>
      </c>
      <c r="F40" s="63">
        <v>0.59311786013348922</v>
      </c>
      <c r="G40" s="63">
        <v>0.61346433744163387</v>
      </c>
      <c r="J40" s="65"/>
    </row>
    <row r="41" spans="2:10" x14ac:dyDescent="0.2">
      <c r="B41" s="1">
        <v>2013</v>
      </c>
      <c r="C41" s="63">
        <v>0.53204917026483822</v>
      </c>
      <c r="D41" s="63">
        <v>0.46287697910029391</v>
      </c>
      <c r="E41" s="63">
        <v>0.70702353152416275</v>
      </c>
      <c r="F41" s="63">
        <v>0.5673545966917557</v>
      </c>
      <c r="G41" s="63">
        <v>0.63580237112751137</v>
      </c>
      <c r="J41" s="65"/>
    </row>
    <row r="42" spans="2:10" x14ac:dyDescent="0.2">
      <c r="B42" s="1">
        <v>2014</v>
      </c>
      <c r="C42" s="63">
        <v>0.46727102373240237</v>
      </c>
      <c r="D42" s="63">
        <v>0.4498385601699561</v>
      </c>
      <c r="E42" s="63">
        <v>0.63992499974973915</v>
      </c>
      <c r="F42" s="63">
        <v>0.57770789553301249</v>
      </c>
      <c r="G42" s="63">
        <v>0.56713071610670052</v>
      </c>
      <c r="J42" s="65"/>
    </row>
    <row r="43" spans="2:10" x14ac:dyDescent="0.2">
      <c r="B43" s="1">
        <v>2015</v>
      </c>
      <c r="C43" s="63"/>
      <c r="D43" s="63">
        <v>0.50335241790503027</v>
      </c>
      <c r="E43" s="63">
        <v>0.62418812976187898</v>
      </c>
      <c r="F43" s="63">
        <v>0.5877359232259306</v>
      </c>
      <c r="G43" s="63">
        <v>0.58080051173405478</v>
      </c>
      <c r="J43" s="65"/>
    </row>
    <row r="44" spans="2:10" x14ac:dyDescent="0.2">
      <c r="B44" s="1">
        <v>2016</v>
      </c>
      <c r="C44" s="63"/>
      <c r="D44" s="63">
        <v>0.48571462034076029</v>
      </c>
      <c r="E44" s="63">
        <v>0.50731959794151371</v>
      </c>
      <c r="F44" s="63">
        <v>0.56683595690205568</v>
      </c>
      <c r="G44" s="63"/>
      <c r="J44" s="65"/>
    </row>
    <row r="45" spans="2:10" x14ac:dyDescent="0.2">
      <c r="B45" s="38" t="s">
        <v>128</v>
      </c>
      <c r="C45" s="67">
        <f>AVERAGE(C40:C42)</f>
        <v>0.54346643329127486</v>
      </c>
      <c r="D45" s="67">
        <f>AVERAGE(D40:D44)</f>
        <v>0.47529214680220855</v>
      </c>
      <c r="E45" s="67">
        <f>AVERAGE(E40:E44)</f>
        <v>0.63870702506161359</v>
      </c>
      <c r="F45" s="67">
        <f>AVERAGE(F40:F44)</f>
        <v>0.57855044649724874</v>
      </c>
      <c r="G45" s="67">
        <f>AVERAGE(G40:G43)</f>
        <v>0.59929948410247513</v>
      </c>
      <c r="J45" s="65">
        <f>AVERAGE(C45:G45)</f>
        <v>0.5670631071509642</v>
      </c>
    </row>
    <row r="46" spans="2:10" x14ac:dyDescent="0.2">
      <c r="B46" s="38" t="s">
        <v>129</v>
      </c>
      <c r="C46" s="67">
        <f>AVERAGE(C35:C42)</f>
        <v>0.65071987133844744</v>
      </c>
      <c r="D46" s="67">
        <f>AVERAGE(D35:D44)</f>
        <v>0.55080271549276527</v>
      </c>
      <c r="E46" s="67">
        <f>AVERAGE(E35:E44)</f>
        <v>0.70146272338668902</v>
      </c>
      <c r="F46" s="67">
        <f>AVERAGE(F35:F44)</f>
        <v>0.60147534130449887</v>
      </c>
      <c r="G46" s="67">
        <f>AVERAGE(G35:G43)</f>
        <v>0.63913750666863178</v>
      </c>
      <c r="J46" s="65">
        <f>AVERAGE(C46:G46)</f>
        <v>0.62871963163820643</v>
      </c>
    </row>
  </sheetData>
  <mergeCells count="5">
    <mergeCell ref="G3:G4"/>
    <mergeCell ref="D5:E5"/>
    <mergeCell ref="F5:G5"/>
    <mergeCell ref="C3:C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Gearing</vt:lpstr>
      <vt:lpstr>Sources</vt:lpstr>
      <vt:lpstr>Summary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Machado, Anthony</dc:creator>
  <cp:lastModifiedBy>Karunaratne, Mineka</cp:lastModifiedBy>
  <dcterms:created xsi:type="dcterms:W3CDTF">2018-01-16T02:21:21Z</dcterms:created>
  <dcterms:modified xsi:type="dcterms:W3CDTF">2018-02-22T02:14:44Z</dcterms:modified>
</cp:coreProperties>
</file>