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28800" windowHeight="12975" activeTab="5"/>
  </bookViews>
  <sheets>
    <sheet name="Cover" sheetId="8" r:id="rId1"/>
    <sheet name="Summary" sheetId="4" r:id="rId2"/>
    <sheet name="Return on equity" sheetId="1" r:id="rId3"/>
    <sheet name="Return on debt" sheetId="3" r:id="rId4"/>
    <sheet name="Inflation" sheetId="2" r:id="rId5"/>
    <sheet name="Graph" sheetId="7" r:id="rId6"/>
  </sheets>
  <calcPr calcId="162913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4" i="2" l="1"/>
  <c r="H3" i="3" l="1"/>
  <c r="D2" i="1" l="1"/>
  <c r="E2" i="1" s="1"/>
  <c r="F2" i="1" s="1"/>
  <c r="G2" i="1" s="1"/>
  <c r="C2" i="1"/>
  <c r="B2" i="1"/>
  <c r="I3" i="3" l="1"/>
  <c r="J3" i="3" s="1"/>
  <c r="K3" i="3" s="1"/>
  <c r="L3" i="3" s="1"/>
  <c r="M3" i="3" s="1"/>
  <c r="N3" i="3" s="1"/>
  <c r="O3" i="3" s="1"/>
  <c r="P3" i="3" s="1"/>
  <c r="Q3" i="3" s="1"/>
  <c r="R3" i="3" s="1"/>
  <c r="C7" i="3"/>
  <c r="D6" i="3"/>
  <c r="C3" i="3" l="1"/>
  <c r="G3" i="3"/>
  <c r="F3" i="3"/>
  <c r="E3" i="3"/>
  <c r="C6" i="3" l="1"/>
  <c r="C14" i="3"/>
  <c r="C9" i="3"/>
  <c r="B27" i="3" l="1"/>
  <c r="B26" i="3"/>
  <c r="B25" i="3"/>
  <c r="B24" i="3"/>
  <c r="B23" i="3"/>
  <c r="B6" i="4" l="1"/>
  <c r="G6" i="4" l="1"/>
  <c r="D15" i="3"/>
  <c r="D11" i="3"/>
  <c r="D10" i="3"/>
  <c r="D9" i="3"/>
  <c r="D8" i="3"/>
  <c r="D7" i="3"/>
  <c r="E18" i="3"/>
  <c r="E16" i="3"/>
  <c r="E15" i="3"/>
  <c r="E14" i="3"/>
  <c r="E13" i="3"/>
  <c r="E12" i="3"/>
  <c r="E11" i="3"/>
  <c r="E10" i="3"/>
  <c r="E9" i="3"/>
  <c r="E8" i="3"/>
  <c r="E7" i="3"/>
  <c r="D17" i="3"/>
  <c r="D14" i="3"/>
  <c r="D13" i="3"/>
  <c r="D12" i="3"/>
  <c r="C15" i="3"/>
  <c r="C13" i="3"/>
  <c r="C12" i="3"/>
  <c r="C11" i="3"/>
  <c r="C10" i="3"/>
  <c r="C8" i="3"/>
  <c r="C5" i="3"/>
  <c r="G9" i="3"/>
  <c r="F8" i="3"/>
  <c r="G10" i="3" l="1"/>
  <c r="F10" i="3"/>
  <c r="E6" i="3" l="1"/>
  <c r="F6" i="3"/>
  <c r="G6" i="3"/>
  <c r="F7" i="3"/>
  <c r="G7" i="3"/>
  <c r="G8" i="3"/>
  <c r="F9" i="3"/>
  <c r="F11" i="3"/>
  <c r="G11" i="3"/>
  <c r="F12" i="3"/>
  <c r="G12" i="3"/>
  <c r="F13" i="3"/>
  <c r="G13" i="3"/>
  <c r="F14" i="3"/>
  <c r="G14" i="3"/>
  <c r="F15" i="3"/>
  <c r="G15" i="3"/>
  <c r="C16" i="3"/>
  <c r="F16" i="3"/>
  <c r="G16" i="3"/>
  <c r="C17" i="3"/>
  <c r="F17" i="3"/>
  <c r="G17" i="3"/>
  <c r="C18" i="3"/>
  <c r="D18" i="3"/>
  <c r="G18" i="3"/>
  <c r="C19" i="3"/>
  <c r="D19" i="3"/>
  <c r="E19" i="3"/>
  <c r="F19" i="3"/>
  <c r="C20" i="3"/>
  <c r="D20" i="3"/>
  <c r="E20" i="3"/>
  <c r="F20" i="3"/>
  <c r="G20" i="3"/>
  <c r="C21" i="3"/>
  <c r="D21" i="3"/>
  <c r="E21" i="3"/>
  <c r="F21" i="3"/>
  <c r="G21" i="3"/>
  <c r="D5" i="3"/>
  <c r="E5" i="3"/>
  <c r="F5" i="3"/>
  <c r="G5" i="3"/>
  <c r="D1" i="3"/>
  <c r="E1" i="3" s="1"/>
  <c r="F1" i="3" s="1"/>
  <c r="G1" i="3" s="1"/>
  <c r="H1" i="3" s="1"/>
  <c r="I1" i="3" s="1"/>
  <c r="J1" i="3" s="1"/>
  <c r="K1" i="3" s="1"/>
  <c r="L1" i="3" s="1"/>
  <c r="M1" i="3" s="1"/>
  <c r="N1" i="3" s="1"/>
  <c r="O1" i="3" s="1"/>
  <c r="P1" i="3" s="1"/>
  <c r="Q1" i="3" s="1"/>
  <c r="R1" i="3" s="1"/>
  <c r="B28" i="3"/>
  <c r="B29" i="3"/>
  <c r="B30" i="3"/>
  <c r="B31" i="3"/>
  <c r="B32" i="3"/>
  <c r="B33" i="3"/>
  <c r="B34" i="3"/>
  <c r="B35" i="3"/>
  <c r="B36" i="3"/>
  <c r="B37" i="3"/>
  <c r="B38" i="3"/>
  <c r="B39" i="3"/>
  <c r="C6" i="4" l="1"/>
  <c r="E6" i="4"/>
  <c r="F6" i="4"/>
  <c r="D6" i="4"/>
  <c r="B5" i="1" l="1"/>
  <c r="C5" i="1"/>
  <c r="B4" i="4" s="1"/>
  <c r="D5" i="1"/>
  <c r="C4" i="4" s="1"/>
  <c r="E5" i="1"/>
  <c r="D4" i="4" s="1"/>
  <c r="F5" i="1"/>
  <c r="E4" i="4" s="1"/>
  <c r="G5" i="1"/>
  <c r="F4" i="4" s="1"/>
  <c r="G4" i="4" l="1"/>
  <c r="O17" i="3" l="1"/>
  <c r="O13" i="3"/>
  <c r="O14" i="3"/>
  <c r="O8" i="3"/>
  <c r="O20" i="3"/>
  <c r="O9" i="3"/>
  <c r="O11" i="3"/>
  <c r="O7" i="3"/>
  <c r="O6" i="3"/>
  <c r="O12" i="3"/>
  <c r="O18" i="3"/>
  <c r="O21" i="3"/>
  <c r="O5" i="3"/>
  <c r="O15" i="3"/>
  <c r="O16" i="3"/>
  <c r="O19" i="3"/>
  <c r="O10" i="3"/>
  <c r="N13" i="3"/>
  <c r="N10" i="3"/>
  <c r="N5" i="3"/>
  <c r="N14" i="3"/>
  <c r="N9" i="3"/>
  <c r="N15" i="3"/>
  <c r="N21" i="3"/>
  <c r="N6" i="3"/>
  <c r="N7" i="3"/>
  <c r="N19" i="3"/>
  <c r="N18" i="3"/>
  <c r="N16" i="3"/>
  <c r="N20" i="3"/>
  <c r="N17" i="3"/>
  <c r="N12" i="3"/>
  <c r="N11" i="3"/>
  <c r="N8" i="3"/>
  <c r="M10" i="3"/>
  <c r="M16" i="3"/>
  <c r="M11" i="3"/>
  <c r="M13" i="3"/>
  <c r="M6" i="3"/>
  <c r="M15" i="3"/>
  <c r="M17" i="3"/>
  <c r="M12" i="3"/>
  <c r="M7" i="3"/>
  <c r="M5" i="3"/>
  <c r="M9" i="3"/>
  <c r="M8" i="3"/>
  <c r="M19" i="3"/>
  <c r="M14" i="3"/>
  <c r="M18" i="3"/>
  <c r="M20" i="3"/>
  <c r="M21" i="3"/>
  <c r="L6" i="3"/>
  <c r="L19" i="3"/>
  <c r="L20" i="3"/>
  <c r="L9" i="3"/>
  <c r="L10" i="3"/>
  <c r="L7" i="3"/>
  <c r="L21" i="3"/>
  <c r="L18" i="3"/>
  <c r="L13" i="3"/>
  <c r="L15" i="3"/>
  <c r="L11" i="3"/>
  <c r="L5" i="3"/>
  <c r="L12" i="3"/>
  <c r="L8" i="3"/>
  <c r="L14" i="3"/>
  <c r="L16" i="3"/>
  <c r="L17" i="3"/>
  <c r="K10" i="3"/>
  <c r="K12" i="3"/>
  <c r="K19" i="3"/>
  <c r="K18" i="3"/>
  <c r="K17" i="3"/>
  <c r="K20" i="3"/>
  <c r="K6" i="3"/>
  <c r="K9" i="3"/>
  <c r="K14" i="3"/>
  <c r="K13" i="3"/>
  <c r="K21" i="3"/>
  <c r="K5" i="3"/>
  <c r="K16" i="3"/>
  <c r="K15" i="3"/>
  <c r="K11" i="3"/>
  <c r="K8" i="3"/>
  <c r="K7" i="3"/>
  <c r="R9" i="3"/>
  <c r="R18" i="3"/>
  <c r="R17" i="3"/>
  <c r="R8" i="3"/>
  <c r="R5" i="3"/>
  <c r="R7" i="3"/>
  <c r="R16" i="3"/>
  <c r="R19" i="3"/>
  <c r="R10" i="3"/>
  <c r="R20" i="3"/>
  <c r="R13" i="3"/>
  <c r="R12" i="3"/>
  <c r="R21" i="3"/>
  <c r="R11" i="3"/>
  <c r="R6" i="3"/>
  <c r="R14" i="3"/>
  <c r="R15" i="3"/>
  <c r="J5" i="3"/>
  <c r="J15" i="3"/>
  <c r="J20" i="3"/>
  <c r="J14" i="3"/>
  <c r="J13" i="3"/>
  <c r="J9" i="3"/>
  <c r="J19" i="3"/>
  <c r="J12" i="3"/>
  <c r="J8" i="3"/>
  <c r="J21" i="3"/>
  <c r="J18" i="3"/>
  <c r="J11" i="3"/>
  <c r="J7" i="3"/>
  <c r="J16" i="3"/>
  <c r="J17" i="3"/>
  <c r="J10" i="3"/>
  <c r="J6" i="3"/>
  <c r="Q5" i="3"/>
  <c r="Q21" i="3"/>
  <c r="Q12" i="3"/>
  <c r="Q15" i="3"/>
  <c r="Q8" i="3"/>
  <c r="Q13" i="3"/>
  <c r="Q17" i="3"/>
  <c r="Q10" i="3"/>
  <c r="Q20" i="3"/>
  <c r="Q6" i="3"/>
  <c r="Q14" i="3"/>
  <c r="Q9" i="3"/>
  <c r="Q7" i="3"/>
  <c r="Q18" i="3"/>
  <c r="Q19" i="3"/>
  <c r="Q16" i="3"/>
  <c r="Q11" i="3"/>
  <c r="P15" i="3"/>
  <c r="P21" i="3"/>
  <c r="P17" i="3"/>
  <c r="P18" i="3"/>
  <c r="P11" i="3"/>
  <c r="P6" i="3"/>
  <c r="P5" i="3"/>
  <c r="P7" i="3"/>
  <c r="P10" i="3"/>
  <c r="P16" i="3"/>
  <c r="P9" i="3"/>
  <c r="P8" i="3"/>
  <c r="P19" i="3"/>
  <c r="P13" i="3"/>
  <c r="P12" i="3"/>
  <c r="P20" i="3"/>
  <c r="P14" i="3"/>
  <c r="I19" i="3"/>
  <c r="I13" i="3"/>
  <c r="I9" i="3"/>
  <c r="I12" i="3"/>
  <c r="I8" i="3"/>
  <c r="I20" i="3"/>
  <c r="I6" i="3"/>
  <c r="I7" i="3"/>
  <c r="I17" i="3"/>
  <c r="I15" i="3"/>
  <c r="I18" i="3"/>
  <c r="I14" i="3"/>
  <c r="I16" i="3"/>
  <c r="I11" i="3"/>
  <c r="I10" i="3"/>
  <c r="I5" i="3"/>
  <c r="H12" i="3"/>
  <c r="H21" i="3"/>
  <c r="H13" i="3"/>
  <c r="H19" i="3"/>
  <c r="H6" i="3"/>
  <c r="H11" i="3"/>
  <c r="H15" i="3"/>
  <c r="H8" i="3"/>
  <c r="H14" i="3"/>
  <c r="H17" i="3"/>
  <c r="H9" i="3"/>
  <c r="H7" i="3"/>
  <c r="H5" i="3"/>
  <c r="H10" i="3"/>
  <c r="H16" i="3"/>
  <c r="H18" i="3"/>
  <c r="B7" i="3" l="1"/>
  <c r="B7" i="7" s="1"/>
  <c r="B9" i="3"/>
  <c r="B19" i="3"/>
  <c r="B5" i="3"/>
  <c r="B5" i="7" s="1"/>
  <c r="B6" i="3"/>
  <c r="B6" i="7" s="1"/>
  <c r="B9" i="7"/>
  <c r="B13" i="3"/>
  <c r="B17" i="3"/>
  <c r="B21" i="3"/>
  <c r="B14" i="3"/>
  <c r="B12" i="3"/>
  <c r="B18" i="3"/>
  <c r="B8" i="3"/>
  <c r="B8" i="7" s="1"/>
  <c r="B16" i="3"/>
  <c r="B15" i="3"/>
  <c r="B10" i="3"/>
  <c r="B11" i="3"/>
  <c r="B20" i="3"/>
  <c r="F3" i="4" l="1"/>
  <c r="F5" i="4" s="1"/>
  <c r="C14" i="7" s="1"/>
  <c r="B14" i="7"/>
  <c r="B3" i="4"/>
  <c r="B10" i="7"/>
  <c r="D3" i="4"/>
  <c r="D5" i="4" s="1"/>
  <c r="C12" i="7" s="1"/>
  <c r="B12" i="7"/>
  <c r="C3" i="4"/>
  <c r="C5" i="4" s="1"/>
  <c r="C11" i="7" s="1"/>
  <c r="B11" i="7"/>
  <c r="E3" i="4"/>
  <c r="E5" i="4" s="1"/>
  <c r="C13" i="7" s="1"/>
  <c r="B13" i="7"/>
  <c r="G3" i="4" l="1"/>
  <c r="B5" i="4"/>
  <c r="C10" i="7" l="1"/>
  <c r="G5" i="4"/>
</calcChain>
</file>

<file path=xl/comments1.xml><?xml version="1.0" encoding="utf-8"?>
<comments xmlns="http://schemas.openxmlformats.org/spreadsheetml/2006/main">
  <authors>
    <author>Author</author>
  </authors>
  <commentList>
    <comment ref="D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As per AER's Inflation Review Final Decision</t>
        </r>
      </text>
    </comment>
  </commentList>
</comments>
</file>

<file path=xl/sharedStrings.xml><?xml version="1.0" encoding="utf-8"?>
<sst xmlns="http://schemas.openxmlformats.org/spreadsheetml/2006/main" count="102" uniqueCount="45">
  <si>
    <t>Return on equity</t>
  </si>
  <si>
    <t>Rate of return</t>
  </si>
  <si>
    <t>Risk-free rate</t>
  </si>
  <si>
    <t>Equity beta</t>
  </si>
  <si>
    <t>MRP</t>
  </si>
  <si>
    <t>Year -end</t>
  </si>
  <si>
    <t>2021/22</t>
  </si>
  <si>
    <t>2022/23</t>
  </si>
  <si>
    <t>2023/24</t>
  </si>
  <si>
    <t>2024/25</t>
  </si>
  <si>
    <t>2025/26</t>
  </si>
  <si>
    <t>2026/27</t>
  </si>
  <si>
    <t>2027/28</t>
  </si>
  <si>
    <t>2028/29</t>
  </si>
  <si>
    <t>2029/30</t>
  </si>
  <si>
    <t>2030/31</t>
  </si>
  <si>
    <t>FY2021-22</t>
  </si>
  <si>
    <t>Annual debt rate</t>
  </si>
  <si>
    <t>HY2021</t>
  </si>
  <si>
    <t>FY2022-23</t>
  </si>
  <si>
    <t>FY2023-24</t>
  </si>
  <si>
    <t>FY2024-25</t>
  </si>
  <si>
    <t>FY2025-26</t>
  </si>
  <si>
    <t>FY2026-27</t>
  </si>
  <si>
    <t>FY2027-28</t>
  </si>
  <si>
    <t>FY2028-29</t>
  </si>
  <si>
    <t>FY2029-30</t>
  </si>
  <si>
    <t>FY2030-31</t>
  </si>
  <si>
    <t>FY2031-32</t>
  </si>
  <si>
    <t>Total</t>
  </si>
  <si>
    <t>Trailing average</t>
  </si>
  <si>
    <t>Weights</t>
  </si>
  <si>
    <t>Inflation</t>
  </si>
  <si>
    <t>Return on debt</t>
  </si>
  <si>
    <t>Inflation forecast</t>
  </si>
  <si>
    <t>Average</t>
  </si>
  <si>
    <t>Forecast inflation</t>
  </si>
  <si>
    <t>GEOMEAN</t>
  </si>
  <si>
    <t>FY2016-17</t>
  </si>
  <si>
    <t>FY2017-18</t>
  </si>
  <si>
    <t>FY2018-19</t>
  </si>
  <si>
    <t>FY2019-20</t>
  </si>
  <si>
    <t>FY2020-21</t>
  </si>
  <si>
    <t>Debt Allowance</t>
  </si>
  <si>
    <t>Rate of Return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</si>
</sst>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%;\(0.00%\);&quot;&quot;"/>
    <numFmt numFmtId="166" formatCode="0.00000%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00A3E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vertical="center"/>
    </xf>
    <xf numFmtId="0" fontId="3" fillId="0" borderId="1" xfId="0" applyFont="1" applyBorder="1" applyAlignment="1">
      <alignment vertical="center" wrapText="1"/>
    </xf>
    <xf numFmtId="10" fontId="5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6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9" fontId="0" fillId="0" borderId="0" xfId="1" applyFont="1"/>
    <xf numFmtId="0" fontId="0" fillId="0" borderId="0" xfId="0" applyFont="1"/>
    <xf numFmtId="0" fontId="0" fillId="0" borderId="0" xfId="0" applyFont="1" applyAlignment="1">
      <alignment horizontal="right"/>
    </xf>
    <xf numFmtId="9" fontId="0" fillId="0" borderId="0" xfId="0" applyNumberFormat="1" applyFont="1" applyFill="1"/>
    <xf numFmtId="0" fontId="0" fillId="0" borderId="0" xfId="0" applyFont="1" applyFill="1"/>
    <xf numFmtId="2" fontId="0" fillId="0" borderId="0" xfId="0" applyNumberFormat="1" applyFont="1"/>
    <xf numFmtId="0" fontId="6" fillId="0" borderId="0" xfId="0" applyFont="1"/>
    <xf numFmtId="0" fontId="0" fillId="0" borderId="2" xfId="0" applyFont="1" applyBorder="1"/>
    <xf numFmtId="0" fontId="6" fillId="0" borderId="3" xfId="0" applyFont="1" applyBorder="1"/>
    <xf numFmtId="17" fontId="0" fillId="0" borderId="3" xfId="0" applyNumberFormat="1" applyFont="1" applyBorder="1"/>
    <xf numFmtId="0" fontId="0" fillId="0" borderId="5" xfId="0" applyFont="1" applyBorder="1" applyAlignment="1">
      <alignment horizontal="right" wrapText="1"/>
    </xf>
    <xf numFmtId="0" fontId="6" fillId="0" borderId="6" xfId="0" applyFont="1" applyBorder="1" applyAlignment="1">
      <alignment horizontal="right" wrapText="1"/>
    </xf>
    <xf numFmtId="0" fontId="0" fillId="0" borderId="6" xfId="0" applyFont="1" applyBorder="1" applyAlignment="1">
      <alignment horizontal="right" wrapText="1"/>
    </xf>
    <xf numFmtId="0" fontId="0" fillId="0" borderId="7" xfId="0" applyFont="1" applyBorder="1" applyAlignment="1">
      <alignment horizontal="right" wrapText="1"/>
    </xf>
    <xf numFmtId="0" fontId="6" fillId="0" borderId="2" xfId="0" applyFont="1" applyBorder="1" applyAlignment="1">
      <alignment horizontal="left"/>
    </xf>
    <xf numFmtId="0" fontId="6" fillId="0" borderId="3" xfId="0" applyFont="1" applyBorder="1" applyAlignment="1">
      <alignment horizontal="right" wrapText="1"/>
    </xf>
    <xf numFmtId="0" fontId="0" fillId="0" borderId="3" xfId="0" applyFont="1" applyBorder="1" applyAlignment="1">
      <alignment horizontal="right" wrapText="1"/>
    </xf>
    <xf numFmtId="0" fontId="0" fillId="0" borderId="4" xfId="0" applyFont="1" applyBorder="1" applyAlignment="1">
      <alignment horizontal="right" wrapText="1"/>
    </xf>
    <xf numFmtId="0" fontId="0" fillId="0" borderId="10" xfId="0" applyFont="1" applyBorder="1"/>
    <xf numFmtId="10" fontId="6" fillId="0" borderId="0" xfId="1" applyNumberFormat="1" applyFont="1" applyBorder="1"/>
    <xf numFmtId="165" fontId="0" fillId="0" borderId="0" xfId="0" applyNumberFormat="1" applyFont="1" applyBorder="1"/>
    <xf numFmtId="165" fontId="0" fillId="0" borderId="11" xfId="0" applyNumberFormat="1" applyFont="1" applyBorder="1"/>
    <xf numFmtId="0" fontId="0" fillId="0" borderId="5" xfId="0" applyFont="1" applyBorder="1"/>
    <xf numFmtId="10" fontId="6" fillId="0" borderId="6" xfId="1" applyNumberFormat="1" applyFont="1" applyBorder="1"/>
    <xf numFmtId="165" fontId="0" fillId="0" borderId="6" xfId="0" applyNumberFormat="1" applyFont="1" applyBorder="1"/>
    <xf numFmtId="165" fontId="0" fillId="0" borderId="7" xfId="0" applyNumberFormat="1" applyFont="1" applyBorder="1"/>
    <xf numFmtId="0" fontId="6" fillId="0" borderId="2" xfId="0" applyFont="1" applyBorder="1" applyAlignment="1">
      <alignment horizontal="left" wrapText="1"/>
    </xf>
    <xf numFmtId="9" fontId="6" fillId="0" borderId="0" xfId="1" applyFont="1" applyBorder="1"/>
    <xf numFmtId="9" fontId="0" fillId="0" borderId="0" xfId="0" applyNumberFormat="1" applyFont="1" applyBorder="1"/>
    <xf numFmtId="0" fontId="0" fillId="0" borderId="0" xfId="0" applyFont="1" applyBorder="1"/>
    <xf numFmtId="0" fontId="0" fillId="0" borderId="11" xfId="0" applyFont="1" applyBorder="1"/>
    <xf numFmtId="9" fontId="0" fillId="0" borderId="0" xfId="0" applyNumberFormat="1" applyFont="1" applyFill="1" applyBorder="1"/>
    <xf numFmtId="9" fontId="0" fillId="0" borderId="11" xfId="0" applyNumberFormat="1" applyFont="1" applyBorder="1"/>
    <xf numFmtId="9" fontId="6" fillId="0" borderId="6" xfId="1" applyFont="1" applyBorder="1"/>
    <xf numFmtId="0" fontId="0" fillId="0" borderId="6" xfId="0" applyFont="1" applyBorder="1"/>
    <xf numFmtId="10" fontId="0" fillId="0" borderId="0" xfId="1" applyNumberFormat="1" applyFont="1"/>
    <xf numFmtId="166" fontId="0" fillId="0" borderId="0" xfId="0" applyNumberFormat="1" applyFont="1"/>
    <xf numFmtId="10" fontId="7" fillId="0" borderId="1" xfId="1" applyNumberFormat="1" applyFont="1" applyBorder="1" applyAlignment="1">
      <alignment horizontal="center"/>
    </xf>
    <xf numFmtId="10" fontId="0" fillId="0" borderId="1" xfId="1" applyNumberFormat="1" applyFont="1" applyBorder="1" applyAlignment="1">
      <alignment horizontal="center"/>
    </xf>
    <xf numFmtId="10" fontId="6" fillId="0" borderId="1" xfId="1" applyNumberFormat="1" applyFont="1" applyBorder="1" applyAlignment="1">
      <alignment horizontal="center"/>
    </xf>
    <xf numFmtId="0" fontId="0" fillId="0" borderId="0" xfId="0" applyFont="1" applyFill="1" applyBorder="1"/>
    <xf numFmtId="9" fontId="0" fillId="0" borderId="6" xfId="0" applyNumberFormat="1" applyFont="1" applyFill="1" applyBorder="1"/>
    <xf numFmtId="9" fontId="0" fillId="0" borderId="7" xfId="0" applyNumberFormat="1" applyFont="1" applyFill="1" applyBorder="1"/>
    <xf numFmtId="0" fontId="8" fillId="2" borderId="1" xfId="0" applyFont="1" applyFill="1" applyBorder="1" applyAlignment="1">
      <alignment vertical="center"/>
    </xf>
    <xf numFmtId="1" fontId="8" fillId="2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 wrapText="1"/>
    </xf>
    <xf numFmtId="0" fontId="9" fillId="2" borderId="8" xfId="0" applyFont="1" applyFill="1" applyBorder="1" applyAlignment="1">
      <alignment horizontal="left"/>
    </xf>
    <xf numFmtId="0" fontId="9" fillId="2" borderId="9" xfId="0" applyFont="1" applyFill="1" applyBorder="1" applyAlignment="1">
      <alignment horizontal="right" wrapText="1"/>
    </xf>
    <xf numFmtId="10" fontId="9" fillId="2" borderId="9" xfId="1" applyNumberFormat="1" applyFont="1" applyFill="1" applyBorder="1" applyAlignment="1">
      <alignment horizontal="right" wrapText="1"/>
    </xf>
    <xf numFmtId="0" fontId="9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10" fontId="4" fillId="3" borderId="1" xfId="1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right" wrapText="1"/>
    </xf>
    <xf numFmtId="0" fontId="6" fillId="0" borderId="0" xfId="0" applyFont="1" applyBorder="1" applyAlignment="1">
      <alignment horizontal="right" wrapText="1"/>
    </xf>
    <xf numFmtId="0" fontId="6" fillId="0" borderId="10" xfId="0" applyFont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right" wrapText="1"/>
    </xf>
    <xf numFmtId="0" fontId="8" fillId="2" borderId="12" xfId="0" applyFont="1" applyFill="1" applyBorder="1" applyAlignment="1">
      <alignment vertical="center"/>
    </xf>
    <xf numFmtId="1" fontId="8" fillId="2" borderId="12" xfId="0" applyNumberFormat="1" applyFont="1" applyFill="1" applyBorder="1" applyAlignment="1">
      <alignment horizontal="center" vertical="center"/>
    </xf>
    <xf numFmtId="0" fontId="3" fillId="0" borderId="13" xfId="0" applyFont="1" applyBorder="1" applyAlignment="1">
      <alignment vertical="center" wrapText="1"/>
    </xf>
    <xf numFmtId="10" fontId="2" fillId="0" borderId="13" xfId="1" applyNumberFormat="1" applyFont="1" applyBorder="1" applyAlignment="1">
      <alignment horizontal="center" vertical="center"/>
    </xf>
    <xf numFmtId="0" fontId="0" fillId="0" borderId="1" xfId="0" applyBorder="1"/>
  </cellXfs>
  <cellStyles count="3">
    <cellStyle name="Normal" xfId="0" builtinId="0"/>
    <cellStyle name="Percent" xfId="1" builtinId="5"/>
    <cellStyle name="Percent 2" xfId="2"/>
  </cellStyles>
  <dxfs count="0"/>
  <tableStyles count="0" defaultTableStyle="TableStyleMedium2" defaultPivotStyle="PivotStyleLight16"/>
  <colors>
    <mruColors>
      <color rgb="FF00A3E0"/>
      <color rgb="FF003C71"/>
      <color rgb="FF0000FF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84530808885178E-2"/>
          <c:y val="9.4060011141054792E-2"/>
          <c:w val="0.90009020139023266"/>
          <c:h val="0.74816960499440432"/>
        </c:manualLayout>
      </c:layout>
      <c:barChart>
        <c:barDir val="col"/>
        <c:grouping val="clustered"/>
        <c:varyColors val="0"/>
        <c:ser>
          <c:idx val="0"/>
          <c:order val="0"/>
          <c:tx>
            <c:v>Debt Allowance</c:v>
          </c:tx>
          <c:spPr>
            <a:solidFill>
              <a:srgbClr val="003C71"/>
            </a:solidFill>
            <a:ln>
              <a:noFill/>
            </a:ln>
            <a:effectLst/>
          </c:spPr>
          <c:invertIfNegative val="0"/>
          <c:cat>
            <c:strRef>
              <c:f>Graph!$A$5:$A$14</c:f>
              <c:strCache>
                <c:ptCount val="10"/>
                <c:pt idx="0">
                  <c:v>FY2016-17</c:v>
                </c:pt>
                <c:pt idx="1">
                  <c:v>FY2017-18</c:v>
                </c:pt>
                <c:pt idx="2">
                  <c:v>FY2018-19</c:v>
                </c:pt>
                <c:pt idx="3">
                  <c:v>FY2019-20</c:v>
                </c:pt>
                <c:pt idx="4">
                  <c:v>FY2020-21</c:v>
                </c:pt>
                <c:pt idx="5">
                  <c:v>FY2021-22</c:v>
                </c:pt>
                <c:pt idx="6">
                  <c:v>FY2022-23</c:v>
                </c:pt>
                <c:pt idx="7">
                  <c:v>FY2023-24</c:v>
                </c:pt>
                <c:pt idx="8">
                  <c:v>FY2024-25</c:v>
                </c:pt>
                <c:pt idx="9">
                  <c:v>FY2025-26</c:v>
                </c:pt>
              </c:strCache>
            </c:strRef>
          </c:cat>
          <c:val>
            <c:numRef>
              <c:f>Graph!$B$5:$B$14</c:f>
              <c:numCache>
                <c:formatCode>0.00%</c:formatCode>
                <c:ptCount val="10"/>
                <c:pt idx="0">
                  <c:v>5.5081032919747697E-2</c:v>
                </c:pt>
                <c:pt idx="1">
                  <c:v>5.4682929627772922E-2</c:v>
                </c:pt>
                <c:pt idx="2">
                  <c:v>5.3728880786798161E-2</c:v>
                </c:pt>
                <c:pt idx="3">
                  <c:v>5.2554280387261045E-2</c:v>
                </c:pt>
                <c:pt idx="4">
                  <c:v>4.9776073433612969E-2</c:v>
                </c:pt>
                <c:pt idx="5">
                  <c:v>4.6241258062495107E-2</c:v>
                </c:pt>
                <c:pt idx="6">
                  <c:v>4.270644269137723E-2</c:v>
                </c:pt>
                <c:pt idx="7">
                  <c:v>3.9171627320259368E-2</c:v>
                </c:pt>
                <c:pt idx="8">
                  <c:v>3.5636811949141499E-2</c:v>
                </c:pt>
                <c:pt idx="9">
                  <c:v>3.210199657802363E-2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C-4BAF-9222-292253C53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6938472"/>
        <c:axId val="826937488"/>
      </c:barChart>
      <c:lineChart>
        <c:grouping val="standard"/>
        <c:varyColors val="0"/>
        <c:ser>
          <c:idx val="1"/>
          <c:order val="1"/>
          <c:tx>
            <c:v>Rate of Return</c:v>
          </c:tx>
          <c:spPr>
            <a:ln w="28575" cap="rnd">
              <a:solidFill>
                <a:srgbClr val="00A3E0"/>
              </a:solidFill>
              <a:round/>
            </a:ln>
            <a:effectLst/>
          </c:spPr>
          <c:marker>
            <c:symbol val="none"/>
          </c:marker>
          <c:cat>
            <c:strRef>
              <c:f>Graph!$A$5:$A$14</c:f>
              <c:strCache>
                <c:ptCount val="10"/>
                <c:pt idx="0">
                  <c:v>FY2016-17</c:v>
                </c:pt>
                <c:pt idx="1">
                  <c:v>FY2017-18</c:v>
                </c:pt>
                <c:pt idx="2">
                  <c:v>FY2018-19</c:v>
                </c:pt>
                <c:pt idx="3">
                  <c:v>FY2019-20</c:v>
                </c:pt>
                <c:pt idx="4">
                  <c:v>FY2020-21</c:v>
                </c:pt>
                <c:pt idx="5">
                  <c:v>FY2021-22</c:v>
                </c:pt>
                <c:pt idx="6">
                  <c:v>FY2022-23</c:v>
                </c:pt>
                <c:pt idx="7">
                  <c:v>FY2023-24</c:v>
                </c:pt>
                <c:pt idx="8">
                  <c:v>FY2024-25</c:v>
                </c:pt>
                <c:pt idx="9">
                  <c:v>FY2025-26</c:v>
                </c:pt>
              </c:strCache>
            </c:strRef>
          </c:cat>
          <c:val>
            <c:numRef>
              <c:f>Graph!$C$5:$C$14</c:f>
              <c:numCache>
                <c:formatCode>0.00%</c:formatCode>
                <c:ptCount val="10"/>
                <c:pt idx="0">
                  <c:v>6.1448619751848621E-2</c:v>
                </c:pt>
                <c:pt idx="1">
                  <c:v>6.1207051302020365E-2</c:v>
                </c:pt>
                <c:pt idx="2">
                  <c:v>6.0634621997413693E-2</c:v>
                </c:pt>
                <c:pt idx="3">
                  <c:v>5.9929861757691411E-2</c:v>
                </c:pt>
                <c:pt idx="4">
                  <c:v>5.8262937585502578E-2</c:v>
                </c:pt>
                <c:pt idx="5">
                  <c:v>4.5824754837497067E-2</c:v>
                </c:pt>
                <c:pt idx="6">
                  <c:v>4.3703865614826337E-2</c:v>
                </c:pt>
                <c:pt idx="7">
                  <c:v>4.1582976392155621E-2</c:v>
                </c:pt>
                <c:pt idx="8">
                  <c:v>3.9462087169484905E-2</c:v>
                </c:pt>
                <c:pt idx="9">
                  <c:v>3.7341197946814175E-2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C-4BAF-9222-292253C53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938472"/>
        <c:axId val="826937488"/>
      </c:lineChart>
      <c:catAx>
        <c:axId val="82693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826937488"/>
        <c:crosses val="autoZero"/>
        <c:auto val="1"/>
        <c:lblAlgn val="ctr"/>
        <c:lblOffset val="100"/>
        <c:noMultiLvlLbl val="0"/>
      </c:catAx>
      <c:valAx>
        <c:axId val="82693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82693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78539709946459"/>
          <c:y val="0.95271334868992241"/>
          <c:w val="0.56642900733816592"/>
          <c:h val="4.7286651310077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560294</xdr:colOff>
      <xdr:row>49</xdr:row>
      <xdr:rowOff>150719</xdr:rowOff>
    </xdr:to>
    <xdr:pic>
      <xdr:nvPicPr>
        <xdr:cNvPr id="2" name="Picture 1" descr="A picture containing snow, outdoor, man, photo&#10;&#10;Description automatically generated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56294" cy="9485219"/>
        </a:xfrm>
        <a:prstGeom prst="rect">
          <a:avLst/>
        </a:prstGeom>
      </xdr:spPr>
    </xdr:pic>
    <xdr:clientData/>
  </xdr:twoCellAnchor>
  <xdr:twoCellAnchor>
    <xdr:from>
      <xdr:col>1</xdr:col>
      <xdr:colOff>62753</xdr:colOff>
      <xdr:row>5</xdr:row>
      <xdr:rowOff>56029</xdr:rowOff>
    </xdr:from>
    <xdr:to>
      <xdr:col>9</xdr:col>
      <xdr:colOff>419100</xdr:colOff>
      <xdr:row>27</xdr:row>
      <xdr:rowOff>100853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72353" y="1008529"/>
          <a:ext cx="5233147" cy="4235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>
            <a:spcBef>
              <a:spcPts val="3000"/>
            </a:spcBef>
            <a:spcAft>
              <a:spcPts val="6000"/>
            </a:spcAft>
          </a:pPr>
          <a:r>
            <a:rPr lang="en-AU" sz="2400" b="1" kern="1400" spc="25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Attachment 1.5A</a:t>
          </a:r>
          <a:endParaRPr lang="en-AU" sz="2400" b="1" kern="1400" spc="25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spcAft>
              <a:spcPts val="1000"/>
            </a:spcAft>
          </a:pPr>
          <a:r>
            <a:rPr lang="en-AU" sz="32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Bree Serif" panose="02000503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Rate of Return Model</a:t>
          </a:r>
          <a:endParaRPr lang="en-AU" sz="32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lnSpc>
              <a:spcPts val="1400"/>
            </a:lnSpc>
            <a:spcAft>
              <a:spcPts val="600"/>
            </a:spcAft>
          </a:pPr>
          <a:r>
            <a:rPr lang="en-AU" sz="16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SA revised Final Plan July 2021 – June 2026</a:t>
          </a:r>
          <a:endParaRPr lang="en-AU" sz="16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lnSpc>
              <a:spcPts val="1400"/>
            </a:lnSpc>
            <a:spcAft>
              <a:spcPts val="600"/>
            </a:spcAft>
          </a:pPr>
          <a:r>
            <a:rPr lang="en-AU" sz="16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January 2021</a:t>
          </a:r>
          <a:endParaRPr lang="en-AU" sz="16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19049</xdr:colOff>
      <xdr:row>1</xdr:row>
      <xdr:rowOff>28575</xdr:rowOff>
    </xdr:from>
    <xdr:to>
      <xdr:col>14</xdr:col>
      <xdr:colOff>581025</xdr:colOff>
      <xdr:row>26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8" sqref="N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6"/>
  <sheetViews>
    <sheetView showGridLines="0" workbookViewId="0">
      <selection activeCell="D31" sqref="D31"/>
    </sheetView>
  </sheetViews>
  <sheetFormatPr defaultRowHeight="15" x14ac:dyDescent="0.25"/>
  <cols>
    <col min="1" max="1" width="22.5703125" customWidth="1"/>
    <col min="2" max="7" width="11.7109375" customWidth="1"/>
  </cols>
  <sheetData>
    <row r="1" spans="1:7" ht="6" customHeight="1" x14ac:dyDescent="0.25">
      <c r="A1" s="13"/>
    </row>
    <row r="2" spans="1:7" x14ac:dyDescent="0.25">
      <c r="A2" s="65"/>
      <c r="B2" s="66" t="s">
        <v>16</v>
      </c>
      <c r="C2" s="66" t="s">
        <v>19</v>
      </c>
      <c r="D2" s="66" t="s">
        <v>20</v>
      </c>
      <c r="E2" s="66" t="s">
        <v>21</v>
      </c>
      <c r="F2" s="66" t="s">
        <v>22</v>
      </c>
      <c r="G2" s="66" t="s">
        <v>35</v>
      </c>
    </row>
    <row r="3" spans="1:7" x14ac:dyDescent="0.25">
      <c r="A3" s="67" t="s">
        <v>33</v>
      </c>
      <c r="B3" s="68">
        <f>'Return on debt'!$B$10</f>
        <v>4.6241258062495107E-2</v>
      </c>
      <c r="C3" s="68">
        <f>'Return on debt'!$B$11</f>
        <v>4.270644269137723E-2</v>
      </c>
      <c r="D3" s="68">
        <f>'Return on debt'!$B$12</f>
        <v>3.9171627320259368E-2</v>
      </c>
      <c r="E3" s="68">
        <f>'Return on debt'!$B$13</f>
        <v>3.5636811949141499E-2</v>
      </c>
      <c r="F3" s="68">
        <f>'Return on debt'!$B$14</f>
        <v>3.210199657802363E-2</v>
      </c>
      <c r="G3" s="68">
        <f>AVERAGE(B3:F3)</f>
        <v>3.9171627320259368E-2</v>
      </c>
    </row>
    <row r="4" spans="1:7" x14ac:dyDescent="0.25">
      <c r="A4" s="67" t="s">
        <v>0</v>
      </c>
      <c r="B4" s="68">
        <f>'Return on equity'!C$5</f>
        <v>4.5200000000000004E-2</v>
      </c>
      <c r="C4" s="68">
        <f>'Return on equity'!D$5</f>
        <v>4.5200000000000004E-2</v>
      </c>
      <c r="D4" s="68">
        <f>'Return on equity'!E$5</f>
        <v>4.5200000000000004E-2</v>
      </c>
      <c r="E4" s="68">
        <f>'Return on equity'!F$5</f>
        <v>4.5200000000000004E-2</v>
      </c>
      <c r="F4" s="68">
        <f>'Return on equity'!G$5</f>
        <v>4.5200000000000004E-2</v>
      </c>
      <c r="G4" s="68">
        <f t="shared" ref="G4" si="0">AVERAGE(B4:F4)</f>
        <v>4.5200000000000004E-2</v>
      </c>
    </row>
    <row r="5" spans="1:7" x14ac:dyDescent="0.25">
      <c r="A5" s="67" t="s">
        <v>1</v>
      </c>
      <c r="B5" s="68">
        <f>B3*60%+B4*40%</f>
        <v>4.5824754837497067E-2</v>
      </c>
      <c r="C5" s="68">
        <f t="shared" ref="C5:F5" si="1">C3*60%+C4*40%</f>
        <v>4.3703865614826337E-2</v>
      </c>
      <c r="D5" s="68">
        <f t="shared" si="1"/>
        <v>4.1582976392155621E-2</v>
      </c>
      <c r="E5" s="68">
        <f t="shared" si="1"/>
        <v>3.9462087169484905E-2</v>
      </c>
      <c r="F5" s="68">
        <f t="shared" si="1"/>
        <v>3.7341197946814175E-2</v>
      </c>
      <c r="G5" s="68">
        <f>AVERAGE(B5:F5)</f>
        <v>4.1582976392155621E-2</v>
      </c>
    </row>
    <row r="6" spans="1:7" x14ac:dyDescent="0.25">
      <c r="A6" s="67" t="s">
        <v>34</v>
      </c>
      <c r="B6" s="68">
        <f>Inflation!$D$14</f>
        <v>1.9500000000000073E-2</v>
      </c>
      <c r="C6" s="68">
        <f>Inflation!$D$14</f>
        <v>1.9500000000000073E-2</v>
      </c>
      <c r="D6" s="68">
        <f>Inflation!$D$14</f>
        <v>1.9500000000000073E-2</v>
      </c>
      <c r="E6" s="68">
        <f>Inflation!$D$14</f>
        <v>1.9500000000000073E-2</v>
      </c>
      <c r="F6" s="68">
        <f>Inflation!$D$14</f>
        <v>1.9500000000000073E-2</v>
      </c>
      <c r="G6" s="68">
        <f>Inflation!$D$14</f>
        <v>1.9500000000000073E-2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5"/>
  <sheetViews>
    <sheetView showGridLines="0" workbookViewId="0">
      <selection activeCell="B32" sqref="B32"/>
    </sheetView>
  </sheetViews>
  <sheetFormatPr defaultRowHeight="15" x14ac:dyDescent="0.25"/>
  <cols>
    <col min="1" max="1" width="31.85546875" customWidth="1"/>
    <col min="2" max="7" width="10.7109375" customWidth="1"/>
  </cols>
  <sheetData>
    <row r="1" spans="1:7" s="1" customFormat="1" x14ac:dyDescent="0.25">
      <c r="A1" s="50"/>
      <c r="B1" s="51" t="s">
        <v>18</v>
      </c>
      <c r="C1" s="51" t="s">
        <v>16</v>
      </c>
      <c r="D1" s="51" t="s">
        <v>19</v>
      </c>
      <c r="E1" s="51" t="s">
        <v>20</v>
      </c>
      <c r="F1" s="51" t="s">
        <v>21</v>
      </c>
      <c r="G1" s="51" t="s">
        <v>22</v>
      </c>
    </row>
    <row r="2" spans="1:7" s="1" customFormat="1" x14ac:dyDescent="0.25">
      <c r="A2" s="52" t="s">
        <v>2</v>
      </c>
      <c r="B2" s="58">
        <f>0.86%</f>
        <v>8.6E-3</v>
      </c>
      <c r="C2" s="58">
        <f>B2</f>
        <v>8.6E-3</v>
      </c>
      <c r="D2" s="58">
        <f t="shared" ref="D2:G2" si="0">C2</f>
        <v>8.6E-3</v>
      </c>
      <c r="E2" s="58">
        <f t="shared" si="0"/>
        <v>8.6E-3</v>
      </c>
      <c r="F2" s="58">
        <f t="shared" si="0"/>
        <v>8.6E-3</v>
      </c>
      <c r="G2" s="58">
        <f t="shared" si="0"/>
        <v>8.6E-3</v>
      </c>
    </row>
    <row r="3" spans="1:7" s="1" customFormat="1" x14ac:dyDescent="0.25">
      <c r="A3" s="52" t="s">
        <v>3</v>
      </c>
      <c r="B3" s="59">
        <v>0.6</v>
      </c>
      <c r="C3" s="59">
        <v>0.6</v>
      </c>
      <c r="D3" s="59">
        <v>0.6</v>
      </c>
      <c r="E3" s="59">
        <v>0.6</v>
      </c>
      <c r="F3" s="59">
        <v>0.6</v>
      </c>
      <c r="G3" s="59">
        <v>0.6</v>
      </c>
    </row>
    <row r="4" spans="1:7" s="1" customFormat="1" x14ac:dyDescent="0.25">
      <c r="A4" s="52" t="s">
        <v>4</v>
      </c>
      <c r="B4" s="58">
        <v>6.0999999999999999E-2</v>
      </c>
      <c r="C4" s="58">
        <v>6.0999999999999999E-2</v>
      </c>
      <c r="D4" s="58">
        <v>6.0999999999999999E-2</v>
      </c>
      <c r="E4" s="58">
        <v>6.0999999999999999E-2</v>
      </c>
      <c r="F4" s="58">
        <v>6.0999999999999999E-2</v>
      </c>
      <c r="G4" s="58">
        <v>6.0999999999999999E-2</v>
      </c>
    </row>
    <row r="5" spans="1:7" s="1" customFormat="1" x14ac:dyDescent="0.25">
      <c r="A5" s="2" t="s">
        <v>0</v>
      </c>
      <c r="B5" s="3">
        <f t="shared" ref="B5:G5" si="1">B2+B3*B4</f>
        <v>4.5200000000000004E-2</v>
      </c>
      <c r="C5" s="3">
        <f t="shared" si="1"/>
        <v>4.5200000000000004E-2</v>
      </c>
      <c r="D5" s="3">
        <f t="shared" si="1"/>
        <v>4.5200000000000004E-2</v>
      </c>
      <c r="E5" s="3">
        <f t="shared" si="1"/>
        <v>4.5200000000000004E-2</v>
      </c>
      <c r="F5" s="3">
        <f t="shared" si="1"/>
        <v>4.5200000000000004E-2</v>
      </c>
      <c r="G5" s="3">
        <f t="shared" si="1"/>
        <v>4.5200000000000004E-2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45"/>
  <sheetViews>
    <sheetView showGridLines="0" zoomScaleNormal="100" workbookViewId="0">
      <selection activeCell="H4" sqref="H4"/>
    </sheetView>
  </sheetViews>
  <sheetFormatPr defaultColWidth="9.140625" defaultRowHeight="15" x14ac:dyDescent="0.25"/>
  <cols>
    <col min="1" max="1" width="14.7109375" style="8" bestFit="1" customWidth="1"/>
    <col min="2" max="2" width="9.7109375" style="13" customWidth="1"/>
    <col min="3" max="18" width="9.7109375" style="8" customWidth="1"/>
    <col min="19" max="16384" width="9.140625" style="8"/>
  </cols>
  <sheetData>
    <row r="1" spans="1:18" x14ac:dyDescent="0.25">
      <c r="A1" s="14"/>
      <c r="B1" s="15"/>
      <c r="C1" s="16">
        <v>42735</v>
      </c>
      <c r="D1" s="16">
        <f>DATE(YEAR(C1)+1,MONTH(C1),DAY(C1))</f>
        <v>43100</v>
      </c>
      <c r="E1" s="16">
        <f>DATE(YEAR(D1)+1,MONTH(D1),DAY(D1))</f>
        <v>43465</v>
      </c>
      <c r="F1" s="16">
        <f t="shared" ref="F1:R1" si="0">DATE(YEAR(E1)+1,MONTH(E1),DAY(E1))</f>
        <v>43830</v>
      </c>
      <c r="G1" s="16">
        <f t="shared" si="0"/>
        <v>44196</v>
      </c>
      <c r="H1" s="16">
        <f t="shared" si="0"/>
        <v>44561</v>
      </c>
      <c r="I1" s="16">
        <f t="shared" si="0"/>
        <v>44926</v>
      </c>
      <c r="J1" s="16">
        <f t="shared" si="0"/>
        <v>45291</v>
      </c>
      <c r="K1" s="16">
        <f t="shared" si="0"/>
        <v>45657</v>
      </c>
      <c r="L1" s="16">
        <f t="shared" si="0"/>
        <v>46022</v>
      </c>
      <c r="M1" s="16">
        <f t="shared" si="0"/>
        <v>46387</v>
      </c>
      <c r="N1" s="16">
        <f t="shared" si="0"/>
        <v>46752</v>
      </c>
      <c r="O1" s="16">
        <f t="shared" si="0"/>
        <v>47118</v>
      </c>
      <c r="P1" s="16">
        <f t="shared" si="0"/>
        <v>47483</v>
      </c>
      <c r="Q1" s="16">
        <f t="shared" si="0"/>
        <v>47848</v>
      </c>
      <c r="R1" s="16">
        <f t="shared" si="0"/>
        <v>48213</v>
      </c>
    </row>
    <row r="2" spans="1:18" s="9" customFormat="1" x14ac:dyDescent="0.25">
      <c r="A2" s="17"/>
      <c r="B2" s="18" t="s">
        <v>29</v>
      </c>
      <c r="C2" s="19" t="s">
        <v>38</v>
      </c>
      <c r="D2" s="19" t="s">
        <v>39</v>
      </c>
      <c r="E2" s="19" t="s">
        <v>40</v>
      </c>
      <c r="F2" s="19" t="s">
        <v>41</v>
      </c>
      <c r="G2" s="19" t="s">
        <v>42</v>
      </c>
      <c r="H2" s="19" t="s">
        <v>16</v>
      </c>
      <c r="I2" s="19" t="s">
        <v>19</v>
      </c>
      <c r="J2" s="19" t="s">
        <v>20</v>
      </c>
      <c r="K2" s="19" t="s">
        <v>21</v>
      </c>
      <c r="L2" s="19" t="s">
        <v>22</v>
      </c>
      <c r="M2" s="19" t="s">
        <v>23</v>
      </c>
      <c r="N2" s="19" t="s">
        <v>24</v>
      </c>
      <c r="O2" s="19" t="s">
        <v>25</v>
      </c>
      <c r="P2" s="19" t="s">
        <v>26</v>
      </c>
      <c r="Q2" s="19" t="s">
        <v>27</v>
      </c>
      <c r="R2" s="20" t="s">
        <v>28</v>
      </c>
    </row>
    <row r="3" spans="1:18" s="9" customFormat="1" x14ac:dyDescent="0.25">
      <c r="A3" s="53" t="s">
        <v>17</v>
      </c>
      <c r="B3" s="54"/>
      <c r="C3" s="55">
        <f>5.50810329197477%</f>
        <v>5.5081032919747697E-2</v>
      </c>
      <c r="D3" s="55">
        <v>5.11E-2</v>
      </c>
      <c r="E3" s="55">
        <f>4.554054451%</f>
        <v>4.5540544509999996E-2</v>
      </c>
      <c r="F3" s="55">
        <f>4.33350289243766%</f>
        <v>4.3335028924376601E-2</v>
      </c>
      <c r="G3" s="55">
        <f>2.72989633832669%</f>
        <v>2.72989633832669E-2</v>
      </c>
      <c r="H3" s="55">
        <f>197.32879208569/10000</f>
        <v>1.9732879208569001E-2</v>
      </c>
      <c r="I3" s="55">
        <f>H3</f>
        <v>1.9732879208569001E-2</v>
      </c>
      <c r="J3" s="55">
        <f t="shared" ref="J3:R3" si="1">I3</f>
        <v>1.9732879208569001E-2</v>
      </c>
      <c r="K3" s="55">
        <f t="shared" si="1"/>
        <v>1.9732879208569001E-2</v>
      </c>
      <c r="L3" s="55">
        <f t="shared" si="1"/>
        <v>1.9732879208569001E-2</v>
      </c>
      <c r="M3" s="55">
        <f t="shared" si="1"/>
        <v>1.9732879208569001E-2</v>
      </c>
      <c r="N3" s="55">
        <f t="shared" si="1"/>
        <v>1.9732879208569001E-2</v>
      </c>
      <c r="O3" s="55">
        <f t="shared" si="1"/>
        <v>1.9732879208569001E-2</v>
      </c>
      <c r="P3" s="55">
        <f t="shared" si="1"/>
        <v>1.9732879208569001E-2</v>
      </c>
      <c r="Q3" s="55">
        <f t="shared" si="1"/>
        <v>1.9732879208569001E-2</v>
      </c>
      <c r="R3" s="55">
        <f t="shared" si="1"/>
        <v>1.9732879208569001E-2</v>
      </c>
    </row>
    <row r="4" spans="1:18" s="9" customFormat="1" ht="15" customHeight="1" x14ac:dyDescent="0.25">
      <c r="A4" s="21" t="s">
        <v>30</v>
      </c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4"/>
    </row>
    <row r="5" spans="1:18" x14ac:dyDescent="0.25">
      <c r="A5" s="25" t="s">
        <v>38</v>
      </c>
      <c r="B5" s="26">
        <f t="shared" ref="B5:B13" si="2">SUM(C5:R5)</f>
        <v>5.5081032919747697E-2</v>
      </c>
      <c r="C5" s="27">
        <f t="shared" ref="C5:C15" si="3">C$3*C23</f>
        <v>5.5081032919747697E-2</v>
      </c>
      <c r="D5" s="27">
        <f t="shared" ref="D5:R5" si="4">D$3*D23</f>
        <v>0</v>
      </c>
      <c r="E5" s="27">
        <f t="shared" si="4"/>
        <v>0</v>
      </c>
      <c r="F5" s="27">
        <f t="shared" si="4"/>
        <v>0</v>
      </c>
      <c r="G5" s="27">
        <f t="shared" si="4"/>
        <v>0</v>
      </c>
      <c r="H5" s="27">
        <f>H$3*H23</f>
        <v>0</v>
      </c>
      <c r="I5" s="27">
        <f t="shared" si="4"/>
        <v>0</v>
      </c>
      <c r="J5" s="27">
        <f t="shared" si="4"/>
        <v>0</v>
      </c>
      <c r="K5" s="27">
        <f t="shared" si="4"/>
        <v>0</v>
      </c>
      <c r="L5" s="27">
        <f t="shared" si="4"/>
        <v>0</v>
      </c>
      <c r="M5" s="27">
        <f t="shared" si="4"/>
        <v>0</v>
      </c>
      <c r="N5" s="27">
        <f t="shared" si="4"/>
        <v>0</v>
      </c>
      <c r="O5" s="27">
        <f t="shared" si="4"/>
        <v>0</v>
      </c>
      <c r="P5" s="27">
        <f t="shared" si="4"/>
        <v>0</v>
      </c>
      <c r="Q5" s="27">
        <f t="shared" si="4"/>
        <v>0</v>
      </c>
      <c r="R5" s="28">
        <f t="shared" si="4"/>
        <v>0</v>
      </c>
    </row>
    <row r="6" spans="1:18" x14ac:dyDescent="0.25">
      <c r="A6" s="25" t="s">
        <v>39</v>
      </c>
      <c r="B6" s="26">
        <f t="shared" si="2"/>
        <v>5.4682929627772922E-2</v>
      </c>
      <c r="C6" s="27">
        <f>C$3*C24</f>
        <v>4.9572929627772926E-2</v>
      </c>
      <c r="D6" s="27">
        <f>D$3*D24</f>
        <v>5.11E-3</v>
      </c>
      <c r="E6" s="27">
        <f t="shared" ref="E6:R6" si="5">E$3*E24</f>
        <v>0</v>
      </c>
      <c r="F6" s="27">
        <f t="shared" si="5"/>
        <v>0</v>
      </c>
      <c r="G6" s="27">
        <f t="shared" si="5"/>
        <v>0</v>
      </c>
      <c r="H6" s="27">
        <f t="shared" si="5"/>
        <v>0</v>
      </c>
      <c r="I6" s="27">
        <f t="shared" si="5"/>
        <v>0</v>
      </c>
      <c r="J6" s="27">
        <f t="shared" si="5"/>
        <v>0</v>
      </c>
      <c r="K6" s="27">
        <f t="shared" si="5"/>
        <v>0</v>
      </c>
      <c r="L6" s="27">
        <f t="shared" si="5"/>
        <v>0</v>
      </c>
      <c r="M6" s="27">
        <f t="shared" si="5"/>
        <v>0</v>
      </c>
      <c r="N6" s="27">
        <f t="shared" si="5"/>
        <v>0</v>
      </c>
      <c r="O6" s="27">
        <f t="shared" si="5"/>
        <v>0</v>
      </c>
      <c r="P6" s="27">
        <f t="shared" si="5"/>
        <v>0</v>
      </c>
      <c r="Q6" s="27">
        <f t="shared" si="5"/>
        <v>0</v>
      </c>
      <c r="R6" s="28">
        <f t="shared" si="5"/>
        <v>0</v>
      </c>
    </row>
    <row r="7" spans="1:18" x14ac:dyDescent="0.25">
      <c r="A7" s="25" t="s">
        <v>40</v>
      </c>
      <c r="B7" s="26">
        <f>SUM(C7:R7)</f>
        <v>5.3728880786798161E-2</v>
      </c>
      <c r="C7" s="27">
        <f>C$3*C25</f>
        <v>4.4064826335798161E-2</v>
      </c>
      <c r="D7" s="27">
        <f t="shared" ref="D7:D15" si="6">D$3*D25</f>
        <v>5.11E-3</v>
      </c>
      <c r="E7" s="27">
        <f t="shared" ref="E7:E16" si="7">E$3*E25</f>
        <v>4.5540544509999996E-3</v>
      </c>
      <c r="F7" s="27">
        <f t="shared" ref="F7:R7" si="8">F$3*F25</f>
        <v>0</v>
      </c>
      <c r="G7" s="27">
        <f t="shared" si="8"/>
        <v>0</v>
      </c>
      <c r="H7" s="27">
        <f>H$3*H25</f>
        <v>0</v>
      </c>
      <c r="I7" s="27">
        <f t="shared" si="8"/>
        <v>0</v>
      </c>
      <c r="J7" s="27">
        <f t="shared" si="8"/>
        <v>0</v>
      </c>
      <c r="K7" s="27">
        <f t="shared" si="8"/>
        <v>0</v>
      </c>
      <c r="L7" s="27">
        <f t="shared" si="8"/>
        <v>0</v>
      </c>
      <c r="M7" s="27">
        <f t="shared" si="8"/>
        <v>0</v>
      </c>
      <c r="N7" s="27">
        <f t="shared" si="8"/>
        <v>0</v>
      </c>
      <c r="O7" s="27">
        <f t="shared" si="8"/>
        <v>0</v>
      </c>
      <c r="P7" s="27">
        <f t="shared" si="8"/>
        <v>0</v>
      </c>
      <c r="Q7" s="27">
        <f t="shared" si="8"/>
        <v>0</v>
      </c>
      <c r="R7" s="28">
        <f t="shared" si="8"/>
        <v>0</v>
      </c>
    </row>
    <row r="8" spans="1:18" x14ac:dyDescent="0.25">
      <c r="A8" s="25" t="s">
        <v>41</v>
      </c>
      <c r="B8" s="26">
        <f t="shared" si="2"/>
        <v>5.2554280387261045E-2</v>
      </c>
      <c r="C8" s="27">
        <f t="shared" si="3"/>
        <v>3.8556723043823384E-2</v>
      </c>
      <c r="D8" s="27">
        <f t="shared" si="6"/>
        <v>5.11E-3</v>
      </c>
      <c r="E8" s="27">
        <f t="shared" si="7"/>
        <v>4.5540544509999996E-3</v>
      </c>
      <c r="F8" s="27">
        <f>F$3*F26</f>
        <v>4.3335028924376606E-3</v>
      </c>
      <c r="G8" s="27">
        <f t="shared" ref="G8:R8" si="9">G$3*G26</f>
        <v>0</v>
      </c>
      <c r="H8" s="27">
        <f t="shared" si="9"/>
        <v>0</v>
      </c>
      <c r="I8" s="27">
        <f t="shared" si="9"/>
        <v>0</v>
      </c>
      <c r="J8" s="27">
        <f t="shared" si="9"/>
        <v>0</v>
      </c>
      <c r="K8" s="27">
        <f t="shared" si="9"/>
        <v>0</v>
      </c>
      <c r="L8" s="27">
        <f t="shared" si="9"/>
        <v>0</v>
      </c>
      <c r="M8" s="27">
        <f t="shared" si="9"/>
        <v>0</v>
      </c>
      <c r="N8" s="27">
        <f t="shared" si="9"/>
        <v>0</v>
      </c>
      <c r="O8" s="27">
        <f t="shared" si="9"/>
        <v>0</v>
      </c>
      <c r="P8" s="27">
        <f t="shared" si="9"/>
        <v>0</v>
      </c>
      <c r="Q8" s="27">
        <f t="shared" si="9"/>
        <v>0</v>
      </c>
      <c r="R8" s="28">
        <f t="shared" si="9"/>
        <v>0</v>
      </c>
    </row>
    <row r="9" spans="1:18" x14ac:dyDescent="0.25">
      <c r="A9" s="25" t="s">
        <v>42</v>
      </c>
      <c r="B9" s="26">
        <f>SUM(C9:R9)</f>
        <v>4.9776073433612969E-2</v>
      </c>
      <c r="C9" s="27">
        <f>C$3*C27</f>
        <v>3.3048619751848619E-2</v>
      </c>
      <c r="D9" s="27">
        <f t="shared" si="6"/>
        <v>5.11E-3</v>
      </c>
      <c r="E9" s="27">
        <f t="shared" si="7"/>
        <v>4.5540544509999996E-3</v>
      </c>
      <c r="F9" s="27">
        <f t="shared" ref="F9:R9" si="10">F$3*F27</f>
        <v>4.3335028924376606E-3</v>
      </c>
      <c r="G9" s="27">
        <f>G$3*G27</f>
        <v>2.7298963383266903E-3</v>
      </c>
      <c r="H9" s="27">
        <f t="shared" si="10"/>
        <v>0</v>
      </c>
      <c r="I9" s="27">
        <f t="shared" si="10"/>
        <v>0</v>
      </c>
      <c r="J9" s="27">
        <f t="shared" si="10"/>
        <v>0</v>
      </c>
      <c r="K9" s="27">
        <f t="shared" si="10"/>
        <v>0</v>
      </c>
      <c r="L9" s="27">
        <f t="shared" si="10"/>
        <v>0</v>
      </c>
      <c r="M9" s="27">
        <f t="shared" si="10"/>
        <v>0</v>
      </c>
      <c r="N9" s="27">
        <f t="shared" si="10"/>
        <v>0</v>
      </c>
      <c r="O9" s="27">
        <f t="shared" si="10"/>
        <v>0</v>
      </c>
      <c r="P9" s="27">
        <f t="shared" si="10"/>
        <v>0</v>
      </c>
      <c r="Q9" s="27">
        <f t="shared" si="10"/>
        <v>0</v>
      </c>
      <c r="R9" s="28">
        <f t="shared" si="10"/>
        <v>0</v>
      </c>
    </row>
    <row r="10" spans="1:18" x14ac:dyDescent="0.25">
      <c r="A10" s="25" t="s">
        <v>16</v>
      </c>
      <c r="B10" s="26">
        <f>SUM(C10:R10)</f>
        <v>4.6241258062495107E-2</v>
      </c>
      <c r="C10" s="27">
        <f t="shared" si="3"/>
        <v>2.7540516459873848E-2</v>
      </c>
      <c r="D10" s="27">
        <f t="shared" si="6"/>
        <v>5.11E-3</v>
      </c>
      <c r="E10" s="27">
        <f t="shared" si="7"/>
        <v>4.5540544509999996E-3</v>
      </c>
      <c r="F10" s="27">
        <f>F$3*F28</f>
        <v>4.3335028924376606E-3</v>
      </c>
      <c r="G10" s="27">
        <f>G$3*G28</f>
        <v>2.7298963383266903E-3</v>
      </c>
      <c r="H10" s="27">
        <f>H$3*H28</f>
        <v>1.9732879208569001E-3</v>
      </c>
      <c r="I10" s="27">
        <f t="shared" ref="I10:R10" si="11">I$3*I28</f>
        <v>0</v>
      </c>
      <c r="J10" s="27">
        <f t="shared" si="11"/>
        <v>0</v>
      </c>
      <c r="K10" s="27">
        <f t="shared" si="11"/>
        <v>0</v>
      </c>
      <c r="L10" s="27">
        <f t="shared" si="11"/>
        <v>0</v>
      </c>
      <c r="M10" s="27">
        <f t="shared" si="11"/>
        <v>0</v>
      </c>
      <c r="N10" s="27">
        <f t="shared" si="11"/>
        <v>0</v>
      </c>
      <c r="O10" s="27">
        <f t="shared" si="11"/>
        <v>0</v>
      </c>
      <c r="P10" s="27">
        <f t="shared" si="11"/>
        <v>0</v>
      </c>
      <c r="Q10" s="27">
        <f t="shared" si="11"/>
        <v>0</v>
      </c>
      <c r="R10" s="28">
        <f t="shared" si="11"/>
        <v>0</v>
      </c>
    </row>
    <row r="11" spans="1:18" x14ac:dyDescent="0.25">
      <c r="A11" s="25" t="s">
        <v>19</v>
      </c>
      <c r="B11" s="26">
        <f>SUM(C11:R11)</f>
        <v>4.270644269137723E-2</v>
      </c>
      <c r="C11" s="27">
        <f t="shared" si="3"/>
        <v>2.2032413167899081E-2</v>
      </c>
      <c r="D11" s="27">
        <f t="shared" si="6"/>
        <v>5.11E-3</v>
      </c>
      <c r="E11" s="27">
        <f t="shared" si="7"/>
        <v>4.5540544509999996E-3</v>
      </c>
      <c r="F11" s="27">
        <f t="shared" ref="F11:R11" si="12">F$3*F29</f>
        <v>4.3335028924376606E-3</v>
      </c>
      <c r="G11" s="27">
        <f t="shared" si="12"/>
        <v>2.7298963383266903E-3</v>
      </c>
      <c r="H11" s="27">
        <f>H$3*H29</f>
        <v>1.9732879208569001E-3</v>
      </c>
      <c r="I11" s="27">
        <f>I$3*I29</f>
        <v>1.9732879208569001E-3</v>
      </c>
      <c r="J11" s="27">
        <f t="shared" si="12"/>
        <v>0</v>
      </c>
      <c r="K11" s="27">
        <f t="shared" si="12"/>
        <v>0</v>
      </c>
      <c r="L11" s="27">
        <f t="shared" si="12"/>
        <v>0</v>
      </c>
      <c r="M11" s="27">
        <f t="shared" si="12"/>
        <v>0</v>
      </c>
      <c r="N11" s="27">
        <f t="shared" si="12"/>
        <v>0</v>
      </c>
      <c r="O11" s="27">
        <f t="shared" si="12"/>
        <v>0</v>
      </c>
      <c r="P11" s="27">
        <f t="shared" si="12"/>
        <v>0</v>
      </c>
      <c r="Q11" s="27">
        <f t="shared" si="12"/>
        <v>0</v>
      </c>
      <c r="R11" s="28">
        <f t="shared" si="12"/>
        <v>0</v>
      </c>
    </row>
    <row r="12" spans="1:18" x14ac:dyDescent="0.25">
      <c r="A12" s="25" t="s">
        <v>20</v>
      </c>
      <c r="B12" s="26">
        <f t="shared" si="2"/>
        <v>3.9171627320259368E-2</v>
      </c>
      <c r="C12" s="27">
        <f t="shared" si="3"/>
        <v>1.652430987592431E-2</v>
      </c>
      <c r="D12" s="27">
        <f t="shared" si="6"/>
        <v>5.11E-3</v>
      </c>
      <c r="E12" s="27">
        <f t="shared" si="7"/>
        <v>4.5540544509999996E-3</v>
      </c>
      <c r="F12" s="27">
        <f t="shared" ref="F12:R12" si="13">F$3*F30</f>
        <v>4.3335028924376606E-3</v>
      </c>
      <c r="G12" s="27">
        <f t="shared" si="13"/>
        <v>2.7298963383266903E-3</v>
      </c>
      <c r="H12" s="27">
        <f t="shared" si="13"/>
        <v>1.9732879208569001E-3</v>
      </c>
      <c r="I12" s="27">
        <f t="shared" si="13"/>
        <v>1.9732879208569001E-3</v>
      </c>
      <c r="J12" s="27">
        <f>J$3*J30</f>
        <v>1.9732879208569001E-3</v>
      </c>
      <c r="K12" s="27">
        <f t="shared" si="13"/>
        <v>0</v>
      </c>
      <c r="L12" s="27">
        <f t="shared" si="13"/>
        <v>0</v>
      </c>
      <c r="M12" s="27">
        <f t="shared" si="13"/>
        <v>0</v>
      </c>
      <c r="N12" s="27">
        <f t="shared" si="13"/>
        <v>0</v>
      </c>
      <c r="O12" s="27">
        <f t="shared" si="13"/>
        <v>0</v>
      </c>
      <c r="P12" s="27">
        <f t="shared" si="13"/>
        <v>0</v>
      </c>
      <c r="Q12" s="27">
        <f t="shared" si="13"/>
        <v>0</v>
      </c>
      <c r="R12" s="28">
        <f t="shared" si="13"/>
        <v>0</v>
      </c>
    </row>
    <row r="13" spans="1:18" x14ac:dyDescent="0.25">
      <c r="A13" s="25" t="s">
        <v>21</v>
      </c>
      <c r="B13" s="26">
        <f t="shared" si="2"/>
        <v>3.5636811949141499E-2</v>
      </c>
      <c r="C13" s="27">
        <f t="shared" si="3"/>
        <v>1.101620658394954E-2</v>
      </c>
      <c r="D13" s="27">
        <f t="shared" si="6"/>
        <v>5.11E-3</v>
      </c>
      <c r="E13" s="27">
        <f t="shared" si="7"/>
        <v>4.5540544509999996E-3</v>
      </c>
      <c r="F13" s="27">
        <f t="shared" ref="F13:R13" si="14">F$3*F31</f>
        <v>4.3335028924376606E-3</v>
      </c>
      <c r="G13" s="27">
        <f t="shared" si="14"/>
        <v>2.7298963383266903E-3</v>
      </c>
      <c r="H13" s="27">
        <f t="shared" si="14"/>
        <v>1.9732879208569001E-3</v>
      </c>
      <c r="I13" s="27">
        <f t="shared" si="14"/>
        <v>1.9732879208569001E-3</v>
      </c>
      <c r="J13" s="27">
        <f t="shared" si="14"/>
        <v>1.9732879208569001E-3</v>
      </c>
      <c r="K13" s="27">
        <f>K$3*K31</f>
        <v>1.9732879208569001E-3</v>
      </c>
      <c r="L13" s="27">
        <f t="shared" si="14"/>
        <v>0</v>
      </c>
      <c r="M13" s="27">
        <f t="shared" si="14"/>
        <v>0</v>
      </c>
      <c r="N13" s="27">
        <f t="shared" si="14"/>
        <v>0</v>
      </c>
      <c r="O13" s="27">
        <f t="shared" si="14"/>
        <v>0</v>
      </c>
      <c r="P13" s="27">
        <f t="shared" si="14"/>
        <v>0</v>
      </c>
      <c r="Q13" s="27">
        <f t="shared" si="14"/>
        <v>0</v>
      </c>
      <c r="R13" s="28">
        <f t="shared" si="14"/>
        <v>0</v>
      </c>
    </row>
    <row r="14" spans="1:18" x14ac:dyDescent="0.25">
      <c r="A14" s="25" t="s">
        <v>22</v>
      </c>
      <c r="B14" s="26">
        <f t="shared" ref="B14:B21" si="15">SUM(C14:R14)</f>
        <v>3.210199657802363E-2</v>
      </c>
      <c r="C14" s="27">
        <f>C$3*C32</f>
        <v>5.5081032919747702E-3</v>
      </c>
      <c r="D14" s="27">
        <f t="shared" si="6"/>
        <v>5.11E-3</v>
      </c>
      <c r="E14" s="27">
        <f t="shared" si="7"/>
        <v>4.5540544509999996E-3</v>
      </c>
      <c r="F14" s="27">
        <f t="shared" ref="F14:R14" si="16">F$3*F32</f>
        <v>4.3335028924376606E-3</v>
      </c>
      <c r="G14" s="27">
        <f t="shared" si="16"/>
        <v>2.7298963383266903E-3</v>
      </c>
      <c r="H14" s="27">
        <f t="shared" si="16"/>
        <v>1.9732879208569001E-3</v>
      </c>
      <c r="I14" s="27">
        <f t="shared" si="16"/>
        <v>1.9732879208569001E-3</v>
      </c>
      <c r="J14" s="27">
        <f t="shared" si="16"/>
        <v>1.9732879208569001E-3</v>
      </c>
      <c r="K14" s="27">
        <f t="shared" si="16"/>
        <v>1.9732879208569001E-3</v>
      </c>
      <c r="L14" s="27">
        <f>L$3*L32</f>
        <v>1.9732879208569001E-3</v>
      </c>
      <c r="M14" s="27">
        <f t="shared" si="16"/>
        <v>0</v>
      </c>
      <c r="N14" s="27">
        <f t="shared" si="16"/>
        <v>0</v>
      </c>
      <c r="O14" s="27">
        <f t="shared" si="16"/>
        <v>0</v>
      </c>
      <c r="P14" s="27">
        <f t="shared" si="16"/>
        <v>0</v>
      </c>
      <c r="Q14" s="27">
        <f t="shared" si="16"/>
        <v>0</v>
      </c>
      <c r="R14" s="28">
        <f t="shared" si="16"/>
        <v>0</v>
      </c>
    </row>
    <row r="15" spans="1:18" x14ac:dyDescent="0.25">
      <c r="A15" s="25" t="s">
        <v>23</v>
      </c>
      <c r="B15" s="26">
        <f t="shared" si="15"/>
        <v>2.856718120690576E-2</v>
      </c>
      <c r="C15" s="27">
        <f t="shared" si="3"/>
        <v>0</v>
      </c>
      <c r="D15" s="27">
        <f t="shared" si="6"/>
        <v>5.11E-3</v>
      </c>
      <c r="E15" s="27">
        <f t="shared" si="7"/>
        <v>4.5540544509999996E-3</v>
      </c>
      <c r="F15" s="27">
        <f t="shared" ref="F15:R15" si="17">F$3*F33</f>
        <v>4.3335028924376606E-3</v>
      </c>
      <c r="G15" s="27">
        <f t="shared" si="17"/>
        <v>2.7298963383266903E-3</v>
      </c>
      <c r="H15" s="27">
        <f t="shared" si="17"/>
        <v>1.9732879208569001E-3</v>
      </c>
      <c r="I15" s="27">
        <f t="shared" si="17"/>
        <v>1.9732879208569001E-3</v>
      </c>
      <c r="J15" s="27">
        <f t="shared" si="17"/>
        <v>1.9732879208569001E-3</v>
      </c>
      <c r="K15" s="27">
        <f t="shared" si="17"/>
        <v>1.9732879208569001E-3</v>
      </c>
      <c r="L15" s="27">
        <f t="shared" si="17"/>
        <v>1.9732879208569001E-3</v>
      </c>
      <c r="M15" s="27">
        <f>M$3*M33</f>
        <v>1.9732879208569001E-3</v>
      </c>
      <c r="N15" s="27">
        <f t="shared" si="17"/>
        <v>0</v>
      </c>
      <c r="O15" s="27">
        <f t="shared" si="17"/>
        <v>0</v>
      </c>
      <c r="P15" s="27">
        <f>P$3*P33</f>
        <v>0</v>
      </c>
      <c r="Q15" s="27">
        <f t="shared" si="17"/>
        <v>0</v>
      </c>
      <c r="R15" s="28">
        <f t="shared" si="17"/>
        <v>0</v>
      </c>
    </row>
    <row r="16" spans="1:18" x14ac:dyDescent="0.25">
      <c r="A16" s="25" t="s">
        <v>24</v>
      </c>
      <c r="B16" s="26">
        <f t="shared" si="15"/>
        <v>2.5430469127762659E-2</v>
      </c>
      <c r="C16" s="27">
        <f t="shared" ref="C16:R16" si="18">C$3*C34</f>
        <v>0</v>
      </c>
      <c r="D16" s="27"/>
      <c r="E16" s="27">
        <f t="shared" si="7"/>
        <v>4.5540544509999996E-3</v>
      </c>
      <c r="F16" s="27">
        <f t="shared" si="18"/>
        <v>4.3335028924376606E-3</v>
      </c>
      <c r="G16" s="27">
        <f t="shared" si="18"/>
        <v>2.7298963383266903E-3</v>
      </c>
      <c r="H16" s="27">
        <f t="shared" si="18"/>
        <v>1.9732879208569001E-3</v>
      </c>
      <c r="I16" s="27">
        <f t="shared" si="18"/>
        <v>1.9732879208569001E-3</v>
      </c>
      <c r="J16" s="27">
        <f t="shared" si="18"/>
        <v>1.9732879208569001E-3</v>
      </c>
      <c r="K16" s="27">
        <f t="shared" si="18"/>
        <v>1.9732879208569001E-3</v>
      </c>
      <c r="L16" s="27">
        <f t="shared" si="18"/>
        <v>1.9732879208569001E-3</v>
      </c>
      <c r="M16" s="27">
        <f t="shared" si="18"/>
        <v>1.9732879208569001E-3</v>
      </c>
      <c r="N16" s="27">
        <f>N$3*N34</f>
        <v>1.9732879208569001E-3</v>
      </c>
      <c r="O16" s="27">
        <f t="shared" si="18"/>
        <v>0</v>
      </c>
      <c r="P16" s="27">
        <f t="shared" si="18"/>
        <v>0</v>
      </c>
      <c r="Q16" s="27">
        <f t="shared" si="18"/>
        <v>0</v>
      </c>
      <c r="R16" s="28">
        <f t="shared" si="18"/>
        <v>0</v>
      </c>
    </row>
    <row r="17" spans="1:19" x14ac:dyDescent="0.25">
      <c r="A17" s="25" t="s">
        <v>25</v>
      </c>
      <c r="B17" s="26">
        <f t="shared" si="15"/>
        <v>2.2849702597619558E-2</v>
      </c>
      <c r="C17" s="27">
        <f t="shared" ref="C17:R17" si="19">C$3*C35</f>
        <v>0</v>
      </c>
      <c r="D17" s="27">
        <f>D$3*D35</f>
        <v>0</v>
      </c>
      <c r="E17" s="27"/>
      <c r="F17" s="27">
        <f t="shared" si="19"/>
        <v>4.3335028924376606E-3</v>
      </c>
      <c r="G17" s="27">
        <f t="shared" si="19"/>
        <v>2.7298963383266903E-3</v>
      </c>
      <c r="H17" s="27">
        <f t="shared" si="19"/>
        <v>1.9732879208569001E-3</v>
      </c>
      <c r="I17" s="27">
        <f t="shared" si="19"/>
        <v>1.9732879208569001E-3</v>
      </c>
      <c r="J17" s="27">
        <f t="shared" si="19"/>
        <v>1.9732879208569001E-3</v>
      </c>
      <c r="K17" s="27">
        <f t="shared" si="19"/>
        <v>1.9732879208569001E-3</v>
      </c>
      <c r="L17" s="27">
        <f t="shared" si="19"/>
        <v>1.9732879208569001E-3</v>
      </c>
      <c r="M17" s="27">
        <f t="shared" si="19"/>
        <v>1.9732879208569001E-3</v>
      </c>
      <c r="N17" s="27">
        <f t="shared" si="19"/>
        <v>1.9732879208569001E-3</v>
      </c>
      <c r="O17" s="27">
        <f>O$3*O35</f>
        <v>1.9732879208569001E-3</v>
      </c>
      <c r="P17" s="27">
        <f t="shared" si="19"/>
        <v>0</v>
      </c>
      <c r="Q17" s="27">
        <f t="shared" si="19"/>
        <v>0</v>
      </c>
      <c r="R17" s="28">
        <f t="shared" si="19"/>
        <v>0</v>
      </c>
    </row>
    <row r="18" spans="1:19" x14ac:dyDescent="0.25">
      <c r="A18" s="25" t="s">
        <v>26</v>
      </c>
      <c r="B18" s="26">
        <f t="shared" si="15"/>
        <v>2.0489487626038791E-2</v>
      </c>
      <c r="C18" s="27">
        <f t="shared" ref="C18:R18" si="20">C$3*C36</f>
        <v>0</v>
      </c>
      <c r="D18" s="27">
        <f t="shared" si="20"/>
        <v>0</v>
      </c>
      <c r="E18" s="27">
        <f>E$3*E36</f>
        <v>0</v>
      </c>
      <c r="F18" s="27"/>
      <c r="G18" s="27">
        <f t="shared" si="20"/>
        <v>2.7298963383266903E-3</v>
      </c>
      <c r="H18" s="27">
        <f t="shared" si="20"/>
        <v>1.9732879208569001E-3</v>
      </c>
      <c r="I18" s="27">
        <f t="shared" si="20"/>
        <v>1.9732879208569001E-3</v>
      </c>
      <c r="J18" s="27">
        <f t="shared" si="20"/>
        <v>1.9732879208569001E-3</v>
      </c>
      <c r="K18" s="27">
        <f t="shared" si="20"/>
        <v>1.9732879208569001E-3</v>
      </c>
      <c r="L18" s="27">
        <f t="shared" si="20"/>
        <v>1.9732879208569001E-3</v>
      </c>
      <c r="M18" s="27">
        <f t="shared" si="20"/>
        <v>1.9732879208569001E-3</v>
      </c>
      <c r="N18" s="27">
        <f t="shared" si="20"/>
        <v>1.9732879208569001E-3</v>
      </c>
      <c r="O18" s="27">
        <f t="shared" si="20"/>
        <v>1.9732879208569001E-3</v>
      </c>
      <c r="P18" s="27">
        <f>P$3*P36</f>
        <v>1.9732879208569001E-3</v>
      </c>
      <c r="Q18" s="27">
        <f t="shared" si="20"/>
        <v>0</v>
      </c>
      <c r="R18" s="28">
        <f t="shared" si="20"/>
        <v>0</v>
      </c>
    </row>
    <row r="19" spans="1:19" x14ac:dyDescent="0.25">
      <c r="A19" s="25" t="s">
        <v>27</v>
      </c>
      <c r="B19" s="26">
        <f t="shared" si="15"/>
        <v>1.9732879208569004E-2</v>
      </c>
      <c r="C19" s="27">
        <f t="shared" ref="C19:R19" si="21">C$3*C37</f>
        <v>0</v>
      </c>
      <c r="D19" s="27">
        <f t="shared" si="21"/>
        <v>0</v>
      </c>
      <c r="E19" s="27">
        <f t="shared" si="21"/>
        <v>0</v>
      </c>
      <c r="F19" s="27">
        <f t="shared" si="21"/>
        <v>0</v>
      </c>
      <c r="G19" s="27"/>
      <c r="H19" s="27">
        <f t="shared" si="21"/>
        <v>1.9732879208569001E-3</v>
      </c>
      <c r="I19" s="27">
        <f t="shared" si="21"/>
        <v>1.9732879208569001E-3</v>
      </c>
      <c r="J19" s="27">
        <f t="shared" si="21"/>
        <v>1.9732879208569001E-3</v>
      </c>
      <c r="K19" s="27">
        <f t="shared" si="21"/>
        <v>1.9732879208569001E-3</v>
      </c>
      <c r="L19" s="27">
        <f t="shared" si="21"/>
        <v>1.9732879208569001E-3</v>
      </c>
      <c r="M19" s="27">
        <f t="shared" si="21"/>
        <v>1.9732879208569001E-3</v>
      </c>
      <c r="N19" s="27">
        <f t="shared" si="21"/>
        <v>1.9732879208569001E-3</v>
      </c>
      <c r="O19" s="27">
        <f t="shared" si="21"/>
        <v>1.9732879208569001E-3</v>
      </c>
      <c r="P19" s="27">
        <f t="shared" si="21"/>
        <v>1.9732879208569001E-3</v>
      </c>
      <c r="Q19" s="27">
        <f>Q$3*Q37</f>
        <v>1.9732879208569001E-3</v>
      </c>
      <c r="R19" s="28">
        <f t="shared" si="21"/>
        <v>0</v>
      </c>
    </row>
    <row r="20" spans="1:19" x14ac:dyDescent="0.25">
      <c r="A20" s="25" t="s">
        <v>27</v>
      </c>
      <c r="B20" s="26">
        <f t="shared" si="15"/>
        <v>1.9732879208569004E-2</v>
      </c>
      <c r="C20" s="27">
        <f t="shared" ref="C20:Q20" si="22">C$3*C38</f>
        <v>0</v>
      </c>
      <c r="D20" s="27">
        <f t="shared" si="22"/>
        <v>0</v>
      </c>
      <c r="E20" s="27">
        <f t="shared" si="22"/>
        <v>0</v>
      </c>
      <c r="F20" s="27">
        <f t="shared" si="22"/>
        <v>0</v>
      </c>
      <c r="G20" s="27">
        <f t="shared" si="22"/>
        <v>0</v>
      </c>
      <c r="H20" s="27"/>
      <c r="I20" s="27">
        <f t="shared" si="22"/>
        <v>1.9732879208569001E-3</v>
      </c>
      <c r="J20" s="27">
        <f t="shared" si="22"/>
        <v>1.9732879208569001E-3</v>
      </c>
      <c r="K20" s="27">
        <f t="shared" si="22"/>
        <v>1.9732879208569001E-3</v>
      </c>
      <c r="L20" s="27">
        <f t="shared" si="22"/>
        <v>1.9732879208569001E-3</v>
      </c>
      <c r="M20" s="27">
        <f t="shared" si="22"/>
        <v>1.9732879208569001E-3</v>
      </c>
      <c r="N20" s="27">
        <f t="shared" si="22"/>
        <v>1.9732879208569001E-3</v>
      </c>
      <c r="O20" s="27">
        <f t="shared" si="22"/>
        <v>1.9732879208569001E-3</v>
      </c>
      <c r="P20" s="27">
        <f t="shared" si="22"/>
        <v>1.9732879208569001E-3</v>
      </c>
      <c r="Q20" s="27">
        <f t="shared" si="22"/>
        <v>1.9732879208569001E-3</v>
      </c>
      <c r="R20" s="28">
        <f>R$3*R38</f>
        <v>1.9732879208569001E-3</v>
      </c>
    </row>
    <row r="21" spans="1:19" x14ac:dyDescent="0.25">
      <c r="A21" s="29" t="s">
        <v>28</v>
      </c>
      <c r="B21" s="30">
        <f t="shared" si="15"/>
        <v>1.7759591287712102E-2</v>
      </c>
      <c r="C21" s="31">
        <f t="shared" ref="C21:R21" si="23">C$3*C39</f>
        <v>0</v>
      </c>
      <c r="D21" s="31">
        <f t="shared" si="23"/>
        <v>0</v>
      </c>
      <c r="E21" s="31">
        <f t="shared" si="23"/>
        <v>0</v>
      </c>
      <c r="F21" s="31">
        <f t="shared" si="23"/>
        <v>0</v>
      </c>
      <c r="G21" s="31">
        <f t="shared" si="23"/>
        <v>0</v>
      </c>
      <c r="H21" s="31">
        <f t="shared" si="23"/>
        <v>0</v>
      </c>
      <c r="I21" s="31"/>
      <c r="J21" s="31">
        <f t="shared" si="23"/>
        <v>1.9732879208569001E-3</v>
      </c>
      <c r="K21" s="31">
        <f t="shared" si="23"/>
        <v>1.9732879208569001E-3</v>
      </c>
      <c r="L21" s="31">
        <f t="shared" si="23"/>
        <v>1.9732879208569001E-3</v>
      </c>
      <c r="M21" s="31">
        <f t="shared" si="23"/>
        <v>1.9732879208569001E-3</v>
      </c>
      <c r="N21" s="31">
        <f t="shared" si="23"/>
        <v>1.9732879208569001E-3</v>
      </c>
      <c r="O21" s="31">
        <f t="shared" si="23"/>
        <v>1.9732879208569001E-3</v>
      </c>
      <c r="P21" s="31">
        <f t="shared" si="23"/>
        <v>1.9732879208569001E-3</v>
      </c>
      <c r="Q21" s="31">
        <f t="shared" si="23"/>
        <v>1.9732879208569001E-3</v>
      </c>
      <c r="R21" s="32">
        <f t="shared" si="23"/>
        <v>1.9732879208569001E-3</v>
      </c>
      <c r="S21" s="7"/>
    </row>
    <row r="22" spans="1:19" s="9" customFormat="1" x14ac:dyDescent="0.25">
      <c r="A22" s="33" t="s">
        <v>31</v>
      </c>
      <c r="B22" s="22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4"/>
    </row>
    <row r="23" spans="1:19" x14ac:dyDescent="0.25">
      <c r="A23" s="25" t="s">
        <v>38</v>
      </c>
      <c r="B23" s="34">
        <f>SUM(C23:R23)</f>
        <v>1</v>
      </c>
      <c r="C23" s="35">
        <v>1</v>
      </c>
      <c r="D23" s="35"/>
      <c r="E23" s="35"/>
      <c r="F23" s="35"/>
      <c r="G23" s="35"/>
      <c r="H23" s="35"/>
      <c r="I23" s="35"/>
      <c r="J23" s="35"/>
      <c r="K23" s="35"/>
      <c r="L23" s="36"/>
      <c r="M23" s="36"/>
      <c r="N23" s="36"/>
      <c r="O23" s="36"/>
      <c r="P23" s="36"/>
      <c r="Q23" s="36"/>
      <c r="R23" s="37"/>
    </row>
    <row r="24" spans="1:19" x14ac:dyDescent="0.25">
      <c r="A24" s="25" t="s">
        <v>39</v>
      </c>
      <c r="B24" s="34">
        <f>SUM(C24:R24)</f>
        <v>1</v>
      </c>
      <c r="C24" s="35">
        <v>0.9</v>
      </c>
      <c r="D24" s="35">
        <v>0.1</v>
      </c>
      <c r="E24" s="35"/>
      <c r="F24" s="35"/>
      <c r="G24" s="35"/>
      <c r="H24" s="35"/>
      <c r="I24" s="35"/>
      <c r="J24" s="35"/>
      <c r="K24" s="35"/>
      <c r="L24" s="36"/>
      <c r="M24" s="36"/>
      <c r="N24" s="36"/>
      <c r="O24" s="36"/>
      <c r="P24" s="36"/>
      <c r="Q24" s="36"/>
      <c r="R24" s="37"/>
    </row>
    <row r="25" spans="1:19" x14ac:dyDescent="0.25">
      <c r="A25" s="25" t="s">
        <v>40</v>
      </c>
      <c r="B25" s="34">
        <f>SUM(C25:R25)</f>
        <v>1</v>
      </c>
      <c r="C25" s="35">
        <v>0.8</v>
      </c>
      <c r="D25" s="35">
        <v>0.1</v>
      </c>
      <c r="E25" s="35">
        <v>0.1</v>
      </c>
      <c r="F25" s="35"/>
      <c r="G25" s="35"/>
      <c r="H25" s="35"/>
      <c r="I25" s="35"/>
      <c r="J25" s="35"/>
      <c r="K25" s="35"/>
      <c r="L25" s="36"/>
      <c r="M25" s="36"/>
      <c r="N25" s="36"/>
      <c r="O25" s="36"/>
      <c r="P25" s="36"/>
      <c r="Q25" s="36"/>
      <c r="R25" s="37"/>
    </row>
    <row r="26" spans="1:19" x14ac:dyDescent="0.25">
      <c r="A26" s="25" t="s">
        <v>41</v>
      </c>
      <c r="B26" s="34">
        <f>SUM(C26:R26)</f>
        <v>0.99999999999999989</v>
      </c>
      <c r="C26" s="35">
        <v>0.7</v>
      </c>
      <c r="D26" s="35">
        <v>0.1</v>
      </c>
      <c r="E26" s="35">
        <v>0.1</v>
      </c>
      <c r="F26" s="35">
        <v>0.1</v>
      </c>
      <c r="G26" s="35"/>
      <c r="H26" s="35"/>
      <c r="I26" s="35"/>
      <c r="J26" s="35"/>
      <c r="K26" s="35"/>
      <c r="L26" s="36"/>
      <c r="M26" s="36"/>
      <c r="N26" s="36"/>
      <c r="O26" s="36"/>
      <c r="P26" s="36"/>
      <c r="Q26" s="36"/>
      <c r="R26" s="37"/>
    </row>
    <row r="27" spans="1:19" x14ac:dyDescent="0.25">
      <c r="A27" s="25" t="s">
        <v>42</v>
      </c>
      <c r="B27" s="34">
        <f>SUM(C27:R27)</f>
        <v>0.99999999999999989</v>
      </c>
      <c r="C27" s="35">
        <v>0.6</v>
      </c>
      <c r="D27" s="35">
        <v>0.1</v>
      </c>
      <c r="E27" s="35">
        <v>0.1</v>
      </c>
      <c r="F27" s="35">
        <v>0.1</v>
      </c>
      <c r="G27" s="35">
        <v>0.1</v>
      </c>
      <c r="H27" s="35"/>
      <c r="I27" s="35"/>
      <c r="J27" s="35"/>
      <c r="K27" s="35"/>
      <c r="L27" s="36"/>
      <c r="M27" s="36"/>
      <c r="N27" s="36"/>
      <c r="O27" s="36"/>
      <c r="P27" s="36"/>
      <c r="Q27" s="36"/>
      <c r="R27" s="37"/>
    </row>
    <row r="28" spans="1:19" x14ac:dyDescent="0.25">
      <c r="A28" s="25" t="s">
        <v>16</v>
      </c>
      <c r="B28" s="34">
        <f t="shared" ref="B28:B39" si="24">SUM(C28:R28)</f>
        <v>0.99999999999999989</v>
      </c>
      <c r="C28" s="38">
        <v>0.5</v>
      </c>
      <c r="D28" s="38">
        <v>0.1</v>
      </c>
      <c r="E28" s="38">
        <v>0.1</v>
      </c>
      <c r="F28" s="38">
        <v>0.1</v>
      </c>
      <c r="G28" s="38">
        <v>0.1</v>
      </c>
      <c r="H28" s="35">
        <v>0.1</v>
      </c>
      <c r="I28" s="35"/>
      <c r="J28" s="35"/>
      <c r="K28" s="35"/>
      <c r="L28" s="36"/>
      <c r="M28" s="36"/>
      <c r="N28" s="36"/>
      <c r="O28" s="36"/>
      <c r="P28" s="36"/>
      <c r="Q28" s="36"/>
      <c r="R28" s="37"/>
    </row>
    <row r="29" spans="1:19" x14ac:dyDescent="0.25">
      <c r="A29" s="25" t="s">
        <v>19</v>
      </c>
      <c r="B29" s="34">
        <f t="shared" si="24"/>
        <v>0.99999999999999989</v>
      </c>
      <c r="C29" s="38">
        <v>0.4</v>
      </c>
      <c r="D29" s="38">
        <v>0.1</v>
      </c>
      <c r="E29" s="38">
        <v>0.1</v>
      </c>
      <c r="F29" s="38">
        <v>0.1</v>
      </c>
      <c r="G29" s="38">
        <v>0.1</v>
      </c>
      <c r="H29" s="38">
        <v>0.1</v>
      </c>
      <c r="I29" s="35">
        <v>0.1</v>
      </c>
      <c r="J29" s="35"/>
      <c r="K29" s="35"/>
      <c r="L29" s="36"/>
      <c r="M29" s="36"/>
      <c r="N29" s="36"/>
      <c r="O29" s="36"/>
      <c r="P29" s="36"/>
      <c r="Q29" s="36"/>
      <c r="R29" s="37"/>
    </row>
    <row r="30" spans="1:19" x14ac:dyDescent="0.25">
      <c r="A30" s="25" t="s">
        <v>20</v>
      </c>
      <c r="B30" s="34">
        <f t="shared" si="24"/>
        <v>0.99999999999999989</v>
      </c>
      <c r="C30" s="38">
        <v>0.3</v>
      </c>
      <c r="D30" s="38">
        <v>0.1</v>
      </c>
      <c r="E30" s="38">
        <v>0.1</v>
      </c>
      <c r="F30" s="38">
        <v>0.1</v>
      </c>
      <c r="G30" s="38">
        <v>0.1</v>
      </c>
      <c r="H30" s="38">
        <v>0.1</v>
      </c>
      <c r="I30" s="38">
        <v>0.1</v>
      </c>
      <c r="J30" s="35">
        <v>0.1</v>
      </c>
      <c r="K30" s="35"/>
      <c r="L30" s="36"/>
      <c r="M30" s="36"/>
      <c r="N30" s="36"/>
      <c r="O30" s="36"/>
      <c r="P30" s="36"/>
      <c r="Q30" s="36"/>
      <c r="R30" s="37"/>
    </row>
    <row r="31" spans="1:19" x14ac:dyDescent="0.25">
      <c r="A31" s="25" t="s">
        <v>21</v>
      </c>
      <c r="B31" s="34">
        <f t="shared" si="24"/>
        <v>0.99999999999999989</v>
      </c>
      <c r="C31" s="38">
        <v>0.2</v>
      </c>
      <c r="D31" s="38">
        <v>0.1</v>
      </c>
      <c r="E31" s="38">
        <v>0.1</v>
      </c>
      <c r="F31" s="38">
        <v>0.1</v>
      </c>
      <c r="G31" s="38">
        <v>0.1</v>
      </c>
      <c r="H31" s="38">
        <v>0.1</v>
      </c>
      <c r="I31" s="38">
        <v>0.1</v>
      </c>
      <c r="J31" s="38">
        <v>0.1</v>
      </c>
      <c r="K31" s="35">
        <v>0.1</v>
      </c>
      <c r="L31" s="36"/>
      <c r="M31" s="36"/>
      <c r="N31" s="36"/>
      <c r="O31" s="36"/>
      <c r="P31" s="36"/>
      <c r="Q31" s="36"/>
      <c r="R31" s="37"/>
    </row>
    <row r="32" spans="1:19" x14ac:dyDescent="0.25">
      <c r="A32" s="25" t="s">
        <v>22</v>
      </c>
      <c r="B32" s="34">
        <f t="shared" si="24"/>
        <v>0.99999999999999989</v>
      </c>
      <c r="C32" s="38">
        <v>0.1</v>
      </c>
      <c r="D32" s="38">
        <v>0.1</v>
      </c>
      <c r="E32" s="38">
        <v>0.1</v>
      </c>
      <c r="F32" s="38">
        <v>0.1</v>
      </c>
      <c r="G32" s="38">
        <v>0.1</v>
      </c>
      <c r="H32" s="38">
        <v>0.1</v>
      </c>
      <c r="I32" s="38">
        <v>0.1</v>
      </c>
      <c r="J32" s="38">
        <v>0.1</v>
      </c>
      <c r="K32" s="38">
        <v>0.1</v>
      </c>
      <c r="L32" s="35">
        <v>0.1</v>
      </c>
      <c r="M32" s="36"/>
      <c r="N32" s="36"/>
      <c r="O32" s="36"/>
      <c r="P32" s="36"/>
      <c r="Q32" s="36"/>
      <c r="R32" s="37"/>
    </row>
    <row r="33" spans="1:19" x14ac:dyDescent="0.25">
      <c r="A33" s="25" t="s">
        <v>23</v>
      </c>
      <c r="B33" s="34">
        <f t="shared" si="24"/>
        <v>0.99999999999999989</v>
      </c>
      <c r="C33" s="38"/>
      <c r="D33" s="38">
        <v>0.1</v>
      </c>
      <c r="E33" s="38">
        <v>0.1</v>
      </c>
      <c r="F33" s="38">
        <v>0.1</v>
      </c>
      <c r="G33" s="38">
        <v>0.1</v>
      </c>
      <c r="H33" s="38">
        <v>0.1</v>
      </c>
      <c r="I33" s="38">
        <v>0.1</v>
      </c>
      <c r="J33" s="38">
        <v>0.1</v>
      </c>
      <c r="K33" s="38">
        <v>0.1</v>
      </c>
      <c r="L33" s="38">
        <v>0.1</v>
      </c>
      <c r="M33" s="35">
        <v>0.1</v>
      </c>
      <c r="N33" s="36"/>
      <c r="O33" s="36"/>
      <c r="P33" s="36"/>
      <c r="Q33" s="36"/>
      <c r="R33" s="37"/>
    </row>
    <row r="34" spans="1:19" x14ac:dyDescent="0.25">
      <c r="A34" s="25" t="s">
        <v>24</v>
      </c>
      <c r="B34" s="34">
        <f t="shared" si="24"/>
        <v>0.99999999999999989</v>
      </c>
      <c r="C34" s="47"/>
      <c r="D34" s="38"/>
      <c r="E34" s="38">
        <v>0.1</v>
      </c>
      <c r="F34" s="38">
        <v>0.1</v>
      </c>
      <c r="G34" s="38">
        <v>0.1</v>
      </c>
      <c r="H34" s="38">
        <v>0.1</v>
      </c>
      <c r="I34" s="38">
        <v>0.1</v>
      </c>
      <c r="J34" s="38">
        <v>0.1</v>
      </c>
      <c r="K34" s="38">
        <v>0.1</v>
      </c>
      <c r="L34" s="38">
        <v>0.1</v>
      </c>
      <c r="M34" s="38">
        <v>0.1</v>
      </c>
      <c r="N34" s="35">
        <v>0.1</v>
      </c>
      <c r="O34" s="36"/>
      <c r="P34" s="36"/>
      <c r="Q34" s="36"/>
      <c r="R34" s="37"/>
    </row>
    <row r="35" spans="1:19" x14ac:dyDescent="0.25">
      <c r="A35" s="25" t="s">
        <v>25</v>
      </c>
      <c r="B35" s="34">
        <f t="shared" si="24"/>
        <v>0.99999999999999989</v>
      </c>
      <c r="C35" s="47"/>
      <c r="D35" s="47"/>
      <c r="E35" s="38"/>
      <c r="F35" s="38">
        <v>0.1</v>
      </c>
      <c r="G35" s="38">
        <v>0.1</v>
      </c>
      <c r="H35" s="38">
        <v>0.1</v>
      </c>
      <c r="I35" s="38">
        <v>0.1</v>
      </c>
      <c r="J35" s="38">
        <v>0.1</v>
      </c>
      <c r="K35" s="38">
        <v>0.1</v>
      </c>
      <c r="L35" s="38">
        <v>0.1</v>
      </c>
      <c r="M35" s="38">
        <v>0.1</v>
      </c>
      <c r="N35" s="38">
        <v>0.1</v>
      </c>
      <c r="O35" s="35">
        <v>0.1</v>
      </c>
      <c r="P35" s="36"/>
      <c r="Q35" s="36"/>
      <c r="R35" s="37"/>
    </row>
    <row r="36" spans="1:19" x14ac:dyDescent="0.25">
      <c r="A36" s="25" t="s">
        <v>26</v>
      </c>
      <c r="B36" s="34">
        <f t="shared" si="24"/>
        <v>0.99999999999999989</v>
      </c>
      <c r="C36" s="47"/>
      <c r="D36" s="47"/>
      <c r="E36" s="47"/>
      <c r="F36" s="38"/>
      <c r="G36" s="38">
        <v>0.1</v>
      </c>
      <c r="H36" s="38">
        <v>0.1</v>
      </c>
      <c r="I36" s="38">
        <v>0.1</v>
      </c>
      <c r="J36" s="38">
        <v>0.1</v>
      </c>
      <c r="K36" s="38">
        <v>0.1</v>
      </c>
      <c r="L36" s="38">
        <v>0.1</v>
      </c>
      <c r="M36" s="38">
        <v>0.1</v>
      </c>
      <c r="N36" s="38">
        <v>0.1</v>
      </c>
      <c r="O36" s="38">
        <v>0.1</v>
      </c>
      <c r="P36" s="35">
        <v>0.1</v>
      </c>
      <c r="Q36" s="36"/>
      <c r="R36" s="37"/>
    </row>
    <row r="37" spans="1:19" x14ac:dyDescent="0.25">
      <c r="A37" s="25" t="s">
        <v>27</v>
      </c>
      <c r="B37" s="34">
        <f t="shared" si="24"/>
        <v>0.99999999999999989</v>
      </c>
      <c r="C37" s="47"/>
      <c r="D37" s="47"/>
      <c r="E37" s="47"/>
      <c r="F37" s="47"/>
      <c r="G37" s="38"/>
      <c r="H37" s="38">
        <v>0.1</v>
      </c>
      <c r="I37" s="38">
        <v>0.1</v>
      </c>
      <c r="J37" s="38">
        <v>0.1</v>
      </c>
      <c r="K37" s="38">
        <v>0.1</v>
      </c>
      <c r="L37" s="38">
        <v>0.1</v>
      </c>
      <c r="M37" s="38">
        <v>0.1</v>
      </c>
      <c r="N37" s="38">
        <v>0.1</v>
      </c>
      <c r="O37" s="38">
        <v>0.1</v>
      </c>
      <c r="P37" s="38">
        <v>0.1</v>
      </c>
      <c r="Q37" s="35">
        <v>0.1</v>
      </c>
      <c r="R37" s="37"/>
    </row>
    <row r="38" spans="1:19" x14ac:dyDescent="0.25">
      <c r="A38" s="25" t="s">
        <v>27</v>
      </c>
      <c r="B38" s="34">
        <f t="shared" si="24"/>
        <v>0.99999999999999989</v>
      </c>
      <c r="C38" s="36"/>
      <c r="D38" s="36"/>
      <c r="E38" s="36"/>
      <c r="F38" s="36"/>
      <c r="G38" s="36"/>
      <c r="H38" s="38"/>
      <c r="I38" s="38">
        <v>0.1</v>
      </c>
      <c r="J38" s="38">
        <v>0.1</v>
      </c>
      <c r="K38" s="38">
        <v>0.1</v>
      </c>
      <c r="L38" s="38">
        <v>0.1</v>
      </c>
      <c r="M38" s="38">
        <v>0.1</v>
      </c>
      <c r="N38" s="38">
        <v>0.1</v>
      </c>
      <c r="O38" s="38">
        <v>0.1</v>
      </c>
      <c r="P38" s="38">
        <v>0.1</v>
      </c>
      <c r="Q38" s="38">
        <v>0.1</v>
      </c>
      <c r="R38" s="39">
        <v>0.1</v>
      </c>
    </row>
    <row r="39" spans="1:19" x14ac:dyDescent="0.25">
      <c r="A39" s="29" t="s">
        <v>28</v>
      </c>
      <c r="B39" s="40">
        <f t="shared" si="24"/>
        <v>0.89999999999999991</v>
      </c>
      <c r="C39" s="41"/>
      <c r="D39" s="41"/>
      <c r="E39" s="41"/>
      <c r="F39" s="41"/>
      <c r="G39" s="41"/>
      <c r="H39" s="41"/>
      <c r="I39" s="48"/>
      <c r="J39" s="48">
        <v>0.1</v>
      </c>
      <c r="K39" s="48">
        <v>0.1</v>
      </c>
      <c r="L39" s="48">
        <v>0.1</v>
      </c>
      <c r="M39" s="48">
        <v>0.1</v>
      </c>
      <c r="N39" s="48">
        <v>0.1</v>
      </c>
      <c r="O39" s="48">
        <v>0.1</v>
      </c>
      <c r="P39" s="48">
        <v>0.1</v>
      </c>
      <c r="Q39" s="48">
        <v>0.1</v>
      </c>
      <c r="R39" s="49">
        <v>0.1</v>
      </c>
      <c r="S39" s="7"/>
    </row>
    <row r="41" spans="1:19" x14ac:dyDescent="0.25">
      <c r="C41" s="10"/>
    </row>
    <row r="42" spans="1:19" x14ac:dyDescent="0.25">
      <c r="C42" s="11"/>
    </row>
    <row r="43" spans="1:19" x14ac:dyDescent="0.25">
      <c r="C43" s="12"/>
    </row>
    <row r="44" spans="1:19" x14ac:dyDescent="0.25">
      <c r="C44" s="42"/>
    </row>
    <row r="45" spans="1:19" x14ac:dyDescent="0.25">
      <c r="C45" s="43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D14"/>
  <sheetViews>
    <sheetView showGridLines="0" workbookViewId="0">
      <selection activeCell="F10" sqref="F10"/>
    </sheetView>
  </sheetViews>
  <sheetFormatPr defaultRowHeight="15" x14ac:dyDescent="0.25"/>
  <cols>
    <col min="1" max="1" width="2.7109375" customWidth="1"/>
    <col min="2" max="2" width="12.7109375" style="4" customWidth="1"/>
    <col min="3" max="4" width="12.7109375" customWidth="1"/>
    <col min="6" max="6" width="20.28515625" bestFit="1" customWidth="1"/>
  </cols>
  <sheetData>
    <row r="1" spans="1:4" x14ac:dyDescent="0.25">
      <c r="A1" s="13" t="s">
        <v>36</v>
      </c>
    </row>
    <row r="3" spans="1:4" x14ac:dyDescent="0.25">
      <c r="B3" s="56" t="s">
        <v>5</v>
      </c>
      <c r="C3" s="57" t="s">
        <v>32</v>
      </c>
      <c r="D3" s="57" t="s">
        <v>32</v>
      </c>
    </row>
    <row r="4" spans="1:4" x14ac:dyDescent="0.25">
      <c r="B4" s="6" t="s">
        <v>6</v>
      </c>
      <c r="C4" s="69"/>
      <c r="D4" s="44"/>
    </row>
    <row r="5" spans="1:4" x14ac:dyDescent="0.25">
      <c r="B5" s="6" t="s">
        <v>7</v>
      </c>
      <c r="C5" s="69"/>
      <c r="D5" s="44"/>
    </row>
    <row r="6" spans="1:4" x14ac:dyDescent="0.25">
      <c r="B6" s="6" t="s">
        <v>8</v>
      </c>
      <c r="C6" s="69"/>
      <c r="D6" s="44"/>
    </row>
    <row r="7" spans="1:4" x14ac:dyDescent="0.25">
      <c r="B7" s="6" t="s">
        <v>9</v>
      </c>
      <c r="C7" s="69"/>
      <c r="D7" s="44"/>
    </row>
    <row r="8" spans="1:4" x14ac:dyDescent="0.25">
      <c r="B8" s="6" t="s">
        <v>10</v>
      </c>
      <c r="C8" s="69"/>
      <c r="D8" s="44"/>
    </row>
    <row r="9" spans="1:4" x14ac:dyDescent="0.25">
      <c r="B9" s="6" t="s">
        <v>11</v>
      </c>
      <c r="C9" s="45"/>
      <c r="D9" s="45"/>
    </row>
    <row r="10" spans="1:4" x14ac:dyDescent="0.25">
      <c r="B10" s="6" t="s">
        <v>12</v>
      </c>
      <c r="C10" s="45"/>
      <c r="D10" s="45"/>
    </row>
    <row r="11" spans="1:4" x14ac:dyDescent="0.25">
      <c r="B11" s="6" t="s">
        <v>13</v>
      </c>
      <c r="C11" s="45"/>
      <c r="D11" s="45"/>
    </row>
    <row r="12" spans="1:4" x14ac:dyDescent="0.25">
      <c r="B12" s="6" t="s">
        <v>14</v>
      </c>
      <c r="C12" s="45"/>
      <c r="D12" s="45"/>
    </row>
    <row r="13" spans="1:4" x14ac:dyDescent="0.25">
      <c r="B13" s="6" t="s">
        <v>15</v>
      </c>
      <c r="C13" s="45"/>
      <c r="D13" s="45"/>
    </row>
    <row r="14" spans="1:4" x14ac:dyDescent="0.25">
      <c r="B14" s="5" t="s">
        <v>37</v>
      </c>
      <c r="C14" s="46">
        <v>1.0195000000000001</v>
      </c>
      <c r="D14" s="46">
        <f>C14-1</f>
        <v>1.9500000000000073E-2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showGridLines="0" tabSelected="1" topLeftCell="A2" zoomScaleNormal="100" workbookViewId="0">
      <selection activeCell="H30" sqref="H30"/>
    </sheetView>
  </sheetViews>
  <sheetFormatPr defaultColWidth="9.140625" defaultRowHeight="15" x14ac:dyDescent="0.25"/>
  <cols>
    <col min="1" max="1" width="14.7109375" style="8" bestFit="1" customWidth="1"/>
    <col min="2" max="3" width="9.7109375" style="13" customWidth="1"/>
    <col min="4" max="16384" width="9.140625" style="8"/>
  </cols>
  <sheetData>
    <row r="1" spans="1:3" hidden="1" x14ac:dyDescent="0.25">
      <c r="A1" s="14"/>
      <c r="B1" s="15"/>
      <c r="C1" s="15"/>
    </row>
    <row r="2" spans="1:3" s="9" customFormat="1" x14ac:dyDescent="0.25">
      <c r="A2" s="60"/>
      <c r="B2" s="61"/>
      <c r="C2" s="61"/>
    </row>
    <row r="3" spans="1:3" s="9" customFormat="1" x14ac:dyDescent="0.25">
      <c r="A3" s="63" t="s">
        <v>17</v>
      </c>
      <c r="B3" s="64"/>
      <c r="C3" s="64"/>
    </row>
    <row r="4" spans="1:3" s="9" customFormat="1" ht="15" customHeight="1" x14ac:dyDescent="0.25">
      <c r="A4" s="62"/>
      <c r="B4" s="61" t="s">
        <v>43</v>
      </c>
      <c r="C4" s="61" t="s">
        <v>44</v>
      </c>
    </row>
    <row r="5" spans="1:3" x14ac:dyDescent="0.25">
      <c r="A5" s="25" t="s">
        <v>38</v>
      </c>
      <c r="B5" s="26">
        <f>'Return on debt'!B5</f>
        <v>5.5081032919747697E-2</v>
      </c>
      <c r="C5" s="26">
        <v>6.1448619751848621E-2</v>
      </c>
    </row>
    <row r="6" spans="1:3" x14ac:dyDescent="0.25">
      <c r="A6" s="25" t="s">
        <v>39</v>
      </c>
      <c r="B6" s="26">
        <f>'Return on debt'!B6</f>
        <v>5.4682929627772922E-2</v>
      </c>
      <c r="C6" s="26">
        <v>6.1207051302020365E-2</v>
      </c>
    </row>
    <row r="7" spans="1:3" x14ac:dyDescent="0.25">
      <c r="A7" s="25" t="s">
        <v>40</v>
      </c>
      <c r="B7" s="26">
        <f>'Return on debt'!B7</f>
        <v>5.3728880786798161E-2</v>
      </c>
      <c r="C7" s="26">
        <v>6.0634621997413693E-2</v>
      </c>
    </row>
    <row r="8" spans="1:3" x14ac:dyDescent="0.25">
      <c r="A8" s="25" t="s">
        <v>41</v>
      </c>
      <c r="B8" s="26">
        <f>'Return on debt'!B8</f>
        <v>5.2554280387261045E-2</v>
      </c>
      <c r="C8" s="26">
        <v>5.9929861757691411E-2</v>
      </c>
    </row>
    <row r="9" spans="1:3" x14ac:dyDescent="0.25">
      <c r="A9" s="25" t="s">
        <v>42</v>
      </c>
      <c r="B9" s="26">
        <f>'Return on debt'!B9</f>
        <v>4.9776073433612969E-2</v>
      </c>
      <c r="C9" s="26">
        <v>5.8262937585502578E-2</v>
      </c>
    </row>
    <row r="10" spans="1:3" x14ac:dyDescent="0.25">
      <c r="A10" s="25" t="s">
        <v>16</v>
      </c>
      <c r="B10" s="26">
        <f>'Return on debt'!B10</f>
        <v>4.6241258062495107E-2</v>
      </c>
      <c r="C10" s="26">
        <f>Summary!B5</f>
        <v>4.5824754837497067E-2</v>
      </c>
    </row>
    <row r="11" spans="1:3" x14ac:dyDescent="0.25">
      <c r="A11" s="25" t="s">
        <v>19</v>
      </c>
      <c r="B11" s="26">
        <f>'Return on debt'!B11</f>
        <v>4.270644269137723E-2</v>
      </c>
      <c r="C11" s="26">
        <f>Summary!C5</f>
        <v>4.3703865614826337E-2</v>
      </c>
    </row>
    <row r="12" spans="1:3" x14ac:dyDescent="0.25">
      <c r="A12" s="25" t="s">
        <v>20</v>
      </c>
      <c r="B12" s="26">
        <f>'Return on debt'!B12</f>
        <v>3.9171627320259368E-2</v>
      </c>
      <c r="C12" s="26">
        <f>Summary!D5</f>
        <v>4.1582976392155621E-2</v>
      </c>
    </row>
    <row r="13" spans="1:3" x14ac:dyDescent="0.25">
      <c r="A13" s="25" t="s">
        <v>21</v>
      </c>
      <c r="B13" s="26">
        <f>'Return on debt'!B13</f>
        <v>3.5636811949141499E-2</v>
      </c>
      <c r="C13" s="26">
        <f>Summary!E5</f>
        <v>3.9462087169484905E-2</v>
      </c>
    </row>
    <row r="14" spans="1:3" x14ac:dyDescent="0.25">
      <c r="A14" s="25" t="s">
        <v>22</v>
      </c>
      <c r="B14" s="26">
        <f>'Return on debt'!B14</f>
        <v>3.210199657802363E-2</v>
      </c>
      <c r="C14" s="26">
        <f>Summary!F5</f>
        <v>3.7341197946814175E-2</v>
      </c>
    </row>
    <row r="21" spans="1:4" x14ac:dyDescent="0.25">
      <c r="D21" s="7"/>
    </row>
    <row r="22" spans="1:4" s="9" customFormat="1" x14ac:dyDescent="0.25">
      <c r="A22" s="8"/>
      <c r="B22" s="13"/>
      <c r="C22" s="13"/>
    </row>
    <row r="39" spans="4:4" x14ac:dyDescent="0.25">
      <c r="D39" s="7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Cover</vt:lpstr>
      <vt:lpstr>Summary</vt:lpstr>
      <vt:lpstr>Return on equity</vt:lpstr>
      <vt:lpstr>Return on debt</vt:lpstr>
      <vt:lpstr>Inflation</vt:lpstr>
      <vt:lpstr>Graph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2019-12-31T00:14:59Z</dcterms:created>
  <dcterms:modified xsi:type="dcterms:W3CDTF">2021-01-12T12:02:34Z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