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IC Albury AA General\AA Proposal\AAI Attachments\Final Attachments\"/>
    </mc:Choice>
  </mc:AlternateContent>
  <bookViews>
    <workbookView xWindow="0" yWindow="0" windowWidth="28800" windowHeight="11445" tabRatio="861"/>
  </bookViews>
  <sheets>
    <sheet name="Cover" sheetId="111" r:id="rId1"/>
    <sheet name="Contents" sheetId="10" r:id="rId2"/>
    <sheet name="Capex Model Category Index" sheetId="100" r:id="rId3"/>
    <sheet name="Mapping" sheetId="68" r:id="rId4"/>
    <sheet name="Inputs" sheetId="59" r:id="rId5"/>
    <sheet name="CPI" sheetId="76" r:id="rId6"/>
    <sheet name="Growth Capex Volumes" sheetId="60" r:id="rId7"/>
    <sheet name="Business Cases" sheetId="62" r:id="rId8"/>
    <sheet name="Real Cost Escalation" sheetId="11" r:id="rId9"/>
    <sheet name="Overheads" sheetId="101" r:id="rId10"/>
    <sheet name="Calculation" sheetId="99" r:id="rId11"/>
    <sheet name="Capex Category Summary (Vic)" sheetId="58" r:id="rId12"/>
    <sheet name="Capex Category Summary (Alb)" sheetId="88" r:id="rId13"/>
    <sheet name="Capex Category Summary (Comb)" sheetId="93" r:id="rId14"/>
    <sheet name="Overheads (Vic)" sheetId="86" r:id="rId15"/>
    <sheet name="Overheads (Alb)" sheetId="90" r:id="rId16"/>
    <sheet name="Overheads (Comb)" sheetId="95" r:id="rId17"/>
    <sheet name="Consolidated Summary (Vic)" sheetId="48" r:id="rId18"/>
    <sheet name="Consolidated Summary (Alb)" sheetId="91" r:id="rId19"/>
    <sheet name="Consolidated Summary (Comb)" sheetId="96" r:id="rId20"/>
    <sheet name="Output" sheetId="104" r:id="rId21"/>
    <sheet name="PTRM Input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52511"/>
</workbook>
</file>

<file path=xl/calcChain.xml><?xml version="1.0" encoding="utf-8"?>
<calcChain xmlns="http://schemas.openxmlformats.org/spreadsheetml/2006/main">
  <c r="G53" i="60" l="1"/>
  <c r="H53" i="60"/>
  <c r="I53" i="60"/>
  <c r="J53" i="60"/>
  <c r="Q20" i="101" l="1"/>
  <c r="P20" i="101"/>
  <c r="O20" i="101"/>
  <c r="X54" i="93"/>
  <c r="X53" i="93"/>
  <c r="X52" i="93"/>
  <c r="X51" i="93"/>
  <c r="X45" i="93"/>
  <c r="X44" i="93"/>
  <c r="X38" i="93"/>
  <c r="X37" i="93"/>
  <c r="X36" i="93"/>
  <c r="X30" i="93"/>
  <c r="X24" i="93"/>
  <c r="X23" i="93"/>
  <c r="X22" i="93"/>
  <c r="X21" i="93"/>
  <c r="X20" i="93"/>
  <c r="X19" i="93"/>
  <c r="X18" i="93"/>
  <c r="X17" i="93"/>
  <c r="X11" i="93"/>
  <c r="X10" i="93"/>
  <c r="L54" i="93"/>
  <c r="L53" i="93"/>
  <c r="L52" i="93"/>
  <c r="L51" i="93"/>
  <c r="L45" i="93"/>
  <c r="L44" i="93"/>
  <c r="L38" i="93"/>
  <c r="L37" i="93"/>
  <c r="L36" i="93"/>
  <c r="L30" i="93"/>
  <c r="L24" i="93"/>
  <c r="L23" i="93"/>
  <c r="L22" i="93"/>
  <c r="L21" i="93"/>
  <c r="L20" i="93"/>
  <c r="L19" i="93"/>
  <c r="L18" i="93"/>
  <c r="L17" i="93"/>
  <c r="L11" i="93"/>
  <c r="L10" i="93"/>
  <c r="N21" i="60" l="1"/>
  <c r="M7" i="60"/>
  <c r="U29" i="60"/>
  <c r="T29" i="60"/>
  <c r="S29" i="60"/>
  <c r="R29" i="60"/>
  <c r="Q29" i="60"/>
  <c r="U24" i="60"/>
  <c r="T24" i="60"/>
  <c r="S24" i="60"/>
  <c r="R24" i="60"/>
  <c r="Q24" i="60"/>
  <c r="U21" i="60"/>
  <c r="T21" i="60"/>
  <c r="S21" i="60"/>
  <c r="R21" i="60"/>
  <c r="Q21" i="60"/>
  <c r="U20" i="60"/>
  <c r="T20" i="60"/>
  <c r="S20" i="60"/>
  <c r="R20" i="60"/>
  <c r="Q20" i="60"/>
  <c r="S16" i="60"/>
  <c r="R16" i="60"/>
  <c r="S15" i="60"/>
  <c r="R15" i="60"/>
  <c r="Q16" i="60"/>
  <c r="Q15" i="60"/>
  <c r="S11" i="60"/>
  <c r="R11" i="60"/>
  <c r="Q11" i="60"/>
  <c r="S10" i="60"/>
  <c r="R10" i="60"/>
  <c r="Q10" i="60"/>
  <c r="J29" i="60"/>
  <c r="I29" i="60"/>
  <c r="H29" i="60"/>
  <c r="G29" i="60"/>
  <c r="F29" i="60"/>
  <c r="J24" i="60"/>
  <c r="I24" i="60"/>
  <c r="H24" i="60"/>
  <c r="G24" i="60"/>
  <c r="F24" i="60"/>
  <c r="J21" i="60"/>
  <c r="I21" i="60"/>
  <c r="H21" i="60"/>
  <c r="G21" i="60"/>
  <c r="F21" i="60"/>
  <c r="J20" i="60"/>
  <c r="I20" i="60"/>
  <c r="H20" i="60"/>
  <c r="G20" i="60"/>
  <c r="F20" i="60"/>
  <c r="H16" i="60"/>
  <c r="G16" i="60"/>
  <c r="F16" i="60"/>
  <c r="H15" i="60"/>
  <c r="G15" i="60"/>
  <c r="F15" i="60"/>
  <c r="H11" i="60"/>
  <c r="G11" i="60"/>
  <c r="F11" i="60"/>
  <c r="H10" i="60"/>
  <c r="G10" i="60"/>
  <c r="F10" i="60"/>
  <c r="S17" i="60" l="1"/>
  <c r="R17" i="60"/>
  <c r="Q12" i="60"/>
  <c r="R12" i="60"/>
  <c r="Q17" i="60"/>
  <c r="T17" i="60" s="1"/>
  <c r="R30" i="60" s="1"/>
  <c r="R31" i="60" s="1"/>
  <c r="R37" i="60" s="1"/>
  <c r="S12" i="60"/>
  <c r="V24" i="60"/>
  <c r="V29" i="60"/>
  <c r="G12" i="60"/>
  <c r="F12" i="60"/>
  <c r="H17" i="60"/>
  <c r="G17" i="60"/>
  <c r="H12" i="60"/>
  <c r="F17" i="60"/>
  <c r="T12" i="60" l="1"/>
  <c r="S25" i="60" s="1"/>
  <c r="S26" i="60" s="1"/>
  <c r="I12" i="60"/>
  <c r="I25" i="60" s="1"/>
  <c r="I26" i="60" s="1"/>
  <c r="F25" i="60"/>
  <c r="F26" i="60" s="1"/>
  <c r="U30" i="60"/>
  <c r="U31" i="60" s="1"/>
  <c r="U37" i="60" s="1"/>
  <c r="T30" i="60"/>
  <c r="T31" i="60" s="1"/>
  <c r="T37" i="60" s="1"/>
  <c r="S30" i="60"/>
  <c r="S31" i="60" s="1"/>
  <c r="S37" i="60" s="1"/>
  <c r="Q30" i="60"/>
  <c r="Q25" i="60"/>
  <c r="I17" i="60"/>
  <c r="K29" i="60"/>
  <c r="K24" i="60"/>
  <c r="I36" i="60" l="1"/>
  <c r="I32" i="60"/>
  <c r="R25" i="60"/>
  <c r="R26" i="60" s="1"/>
  <c r="U25" i="60"/>
  <c r="U26" i="60" s="1"/>
  <c r="F36" i="60"/>
  <c r="F32" i="60"/>
  <c r="S36" i="60"/>
  <c r="S32" i="60"/>
  <c r="T25" i="60"/>
  <c r="T26" i="60" s="1"/>
  <c r="J25" i="60"/>
  <c r="J26" i="60" s="1"/>
  <c r="G25" i="60"/>
  <c r="G26" i="60" s="1"/>
  <c r="H25" i="60"/>
  <c r="H26" i="60" s="1"/>
  <c r="Q26" i="60"/>
  <c r="G30" i="60"/>
  <c r="G31" i="60" s="1"/>
  <c r="G37" i="60" s="1"/>
  <c r="I30" i="60"/>
  <c r="I31" i="60" s="1"/>
  <c r="I37" i="60" s="1"/>
  <c r="J30" i="60"/>
  <c r="J31" i="60" s="1"/>
  <c r="J37" i="60" s="1"/>
  <c r="H30" i="60"/>
  <c r="H31" i="60" s="1"/>
  <c r="H37" i="60" s="1"/>
  <c r="F30" i="60"/>
  <c r="F31" i="60" s="1"/>
  <c r="F37" i="60" s="1"/>
  <c r="V30" i="60"/>
  <c r="V31" i="60" s="1"/>
  <c r="Q31" i="60"/>
  <c r="Q37" i="60" s="1"/>
  <c r="H36" i="60" l="1"/>
  <c r="H32" i="60"/>
  <c r="R36" i="60"/>
  <c r="R32" i="60"/>
  <c r="G36" i="60"/>
  <c r="G32" i="60"/>
  <c r="U36" i="60"/>
  <c r="U32" i="60"/>
  <c r="J36" i="60"/>
  <c r="J32" i="60"/>
  <c r="T36" i="60"/>
  <c r="T32" i="60"/>
  <c r="Q36" i="60"/>
  <c r="Q32" i="60"/>
  <c r="V25" i="60"/>
  <c r="V26" i="60" s="1"/>
  <c r="K25" i="60"/>
  <c r="K26" i="60" s="1"/>
  <c r="K30" i="60"/>
  <c r="K31" i="60" s="1"/>
  <c r="D9" i="11" l="1"/>
  <c r="I9" i="11"/>
  <c r="H9" i="11"/>
  <c r="G9" i="11"/>
  <c r="F9" i="11"/>
  <c r="E9" i="11"/>
  <c r="N53" i="101" l="1"/>
  <c r="U42" i="60" l="1"/>
  <c r="T42" i="60"/>
  <c r="S42" i="60"/>
  <c r="R42" i="60"/>
  <c r="Q42" i="60"/>
  <c r="U41" i="60"/>
  <c r="T41" i="60"/>
  <c r="S41" i="60"/>
  <c r="R41" i="60"/>
  <c r="Q41" i="60"/>
  <c r="U43" i="60" l="1"/>
  <c r="T43" i="60"/>
  <c r="V41" i="60"/>
  <c r="V42" i="60"/>
  <c r="R43" i="60"/>
  <c r="S43" i="60"/>
  <c r="Q43" i="60"/>
  <c r="V43" i="60" l="1"/>
  <c r="H25" i="11" l="1"/>
  <c r="I25" i="11" s="1"/>
  <c r="G25" i="11"/>
  <c r="F25" i="11"/>
  <c r="X19" i="51" l="1"/>
  <c r="M19" i="51"/>
  <c r="Q71" i="60" l="1"/>
  <c r="C19" i="90" l="1"/>
  <c r="N19" i="90" s="1"/>
  <c r="Y19" i="90" s="1"/>
  <c r="B19" i="90"/>
  <c r="M19" i="90" s="1"/>
  <c r="X19" i="90" s="1"/>
  <c r="C19" i="86"/>
  <c r="N19" i="86" s="1"/>
  <c r="Y19" i="86" s="1"/>
  <c r="B19" i="86"/>
  <c r="M19" i="86" s="1"/>
  <c r="X19" i="86" s="1"/>
  <c r="C19" i="95"/>
  <c r="N19" i="95" s="1"/>
  <c r="Y19" i="95" s="1"/>
  <c r="B19" i="95"/>
  <c r="M19" i="95" s="1"/>
  <c r="X19" i="95" s="1"/>
  <c r="Q52" i="62"/>
  <c r="P52" i="62"/>
  <c r="O52" i="62"/>
  <c r="N52" i="62"/>
  <c r="H52" i="62"/>
  <c r="F52" i="62"/>
  <c r="E52" i="62"/>
  <c r="L30" i="88"/>
  <c r="L24" i="88"/>
  <c r="L23" i="88"/>
  <c r="L22" i="88"/>
  <c r="L21" i="88"/>
  <c r="L20" i="88"/>
  <c r="L19" i="88"/>
  <c r="L18" i="88"/>
  <c r="L11" i="88"/>
  <c r="X54" i="88"/>
  <c r="X53" i="88"/>
  <c r="X52" i="88"/>
  <c r="X51" i="88"/>
  <c r="X45" i="88"/>
  <c r="X44" i="88"/>
  <c r="X38" i="88"/>
  <c r="X37" i="88"/>
  <c r="X36" i="88"/>
  <c r="X30" i="88"/>
  <c r="X24" i="88"/>
  <c r="X23" i="88"/>
  <c r="X22" i="88"/>
  <c r="X21" i="88"/>
  <c r="X20" i="88"/>
  <c r="X19" i="88"/>
  <c r="X18" i="88"/>
  <c r="X17" i="88"/>
  <c r="X11" i="88"/>
  <c r="M52" i="62" l="1"/>
  <c r="G52" i="62"/>
  <c r="D52" i="62"/>
  <c r="C17" i="90" l="1"/>
  <c r="N17" i="90" s="1"/>
  <c r="Y17" i="90" s="1"/>
  <c r="B17" i="90"/>
  <c r="M17" i="90" s="1"/>
  <c r="X17" i="90" s="1"/>
  <c r="C17" i="86"/>
  <c r="N17" i="86" s="1"/>
  <c r="Y17" i="86" s="1"/>
  <c r="B17" i="86"/>
  <c r="M17" i="86" s="1"/>
  <c r="X17" i="86" s="1"/>
  <c r="C17" i="95"/>
  <c r="N17" i="95" s="1"/>
  <c r="Y17" i="95" s="1"/>
  <c r="B17" i="95"/>
  <c r="M17" i="95" s="1"/>
  <c r="X17" i="95" s="1"/>
  <c r="C22" i="93"/>
  <c r="O22" i="93" s="1"/>
  <c r="AL22" i="93" s="1"/>
  <c r="B22" i="93"/>
  <c r="Z22" i="93" s="1"/>
  <c r="AV22" i="93" s="1"/>
  <c r="B22" i="88"/>
  <c r="N22" i="88" s="1"/>
  <c r="AK22" i="88" s="1"/>
  <c r="C22" i="88"/>
  <c r="O22" i="88" s="1"/>
  <c r="AL22" i="88" s="1"/>
  <c r="AW22" i="58"/>
  <c r="AV22" i="58"/>
  <c r="AL22" i="58"/>
  <c r="AK22" i="58"/>
  <c r="AA22" i="93" l="1"/>
  <c r="AW22" i="93" s="1"/>
  <c r="N22" i="93"/>
  <c r="AK22" i="93" s="1"/>
  <c r="Z22" i="88"/>
  <c r="AV22" i="88" s="1"/>
  <c r="AA22" i="88"/>
  <c r="AW22" i="88" s="1"/>
  <c r="AI22" i="88" l="1"/>
  <c r="B22" i="58"/>
  <c r="B23" i="58"/>
  <c r="Z23" i="58" s="1"/>
  <c r="B24" i="58"/>
  <c r="Z24" i="58" s="1"/>
  <c r="AA23" i="58"/>
  <c r="AA24" i="58"/>
  <c r="Z22" i="58"/>
  <c r="AA22" i="58"/>
  <c r="N22" i="58"/>
  <c r="O22" i="58"/>
  <c r="C22" i="58"/>
  <c r="D11" i="68"/>
  <c r="E11" i="68"/>
  <c r="D12" i="68"/>
  <c r="E12" i="68"/>
  <c r="D13" i="68"/>
  <c r="E13" i="68"/>
  <c r="AI22" i="58" l="1"/>
  <c r="AI22" i="93" l="1"/>
  <c r="V12" i="62"/>
  <c r="X12" i="62"/>
  <c r="Z12" i="62"/>
  <c r="W12" i="62"/>
  <c r="Y12" i="62"/>
  <c r="H39" i="62"/>
  <c r="G39" i="62"/>
  <c r="F39" i="62"/>
  <c r="E39" i="62"/>
  <c r="D39" i="62"/>
  <c r="J42" i="60" l="1"/>
  <c r="I42" i="60"/>
  <c r="H42" i="60"/>
  <c r="G42" i="60"/>
  <c r="F42" i="60"/>
  <c r="J41" i="60"/>
  <c r="I41" i="60"/>
  <c r="H41" i="60"/>
  <c r="G41" i="60"/>
  <c r="F41" i="60"/>
  <c r="T47" i="60" l="1"/>
  <c r="J47" i="60" l="1"/>
  <c r="Q47" i="60"/>
  <c r="F47" i="60"/>
  <c r="R47" i="60"/>
  <c r="H47" i="60"/>
  <c r="S47" i="60"/>
  <c r="U47" i="60"/>
  <c r="I47" i="60"/>
  <c r="G47" i="60" l="1"/>
  <c r="Q39" i="62" l="1"/>
  <c r="P39" i="62"/>
  <c r="O39" i="62"/>
  <c r="N39" i="62"/>
  <c r="M39" i="62"/>
  <c r="H61" i="60" l="1"/>
  <c r="G61" i="60"/>
  <c r="F61" i="60"/>
  <c r="H60" i="60"/>
  <c r="G60" i="60"/>
  <c r="F60" i="60"/>
  <c r="H59" i="60"/>
  <c r="G59" i="60"/>
  <c r="F59" i="60"/>
  <c r="H58" i="60"/>
  <c r="G58" i="60"/>
  <c r="F58" i="60"/>
  <c r="Q10" i="101"/>
  <c r="Q11" i="101" s="1"/>
  <c r="P10" i="101"/>
  <c r="P11" i="101" s="1"/>
  <c r="O10" i="101"/>
  <c r="O11" i="101" s="1"/>
  <c r="V47" i="60" l="1"/>
  <c r="K47" i="60"/>
  <c r="M52" i="60"/>
  <c r="M51" i="60"/>
  <c r="M50" i="60"/>
  <c r="M49" i="60"/>
  <c r="M113" i="60"/>
  <c r="N112" i="60"/>
  <c r="M112" i="60"/>
  <c r="N111" i="60"/>
  <c r="N110" i="60"/>
  <c r="M110" i="60"/>
  <c r="M109" i="60"/>
  <c r="M104" i="60"/>
  <c r="N103" i="60"/>
  <c r="M103" i="60"/>
  <c r="N102" i="60"/>
  <c r="N101" i="60"/>
  <c r="M101" i="60"/>
  <c r="M100" i="60"/>
  <c r="M98" i="60"/>
  <c r="M97" i="60"/>
  <c r="M96" i="60"/>
  <c r="M95" i="60"/>
  <c r="M93" i="60"/>
  <c r="M92" i="60"/>
  <c r="M91" i="60"/>
  <c r="M90" i="60"/>
  <c r="M86" i="60"/>
  <c r="N85" i="60"/>
  <c r="M85" i="60"/>
  <c r="N84" i="60"/>
  <c r="N83" i="60"/>
  <c r="N82" i="60"/>
  <c r="M82" i="60"/>
  <c r="M81" i="60"/>
  <c r="M78" i="60"/>
  <c r="N77" i="60"/>
  <c r="M77" i="60"/>
  <c r="N76" i="60"/>
  <c r="N75" i="60"/>
  <c r="N74" i="60"/>
  <c r="M74" i="60"/>
  <c r="M73" i="60"/>
  <c r="M68" i="60"/>
  <c r="M67" i="60"/>
  <c r="M66" i="60"/>
  <c r="M65" i="60"/>
  <c r="M64" i="60"/>
  <c r="M62" i="60"/>
  <c r="M61" i="60"/>
  <c r="M60" i="60"/>
  <c r="M59" i="60"/>
  <c r="M58" i="60"/>
  <c r="M57" i="60"/>
  <c r="M43" i="60"/>
  <c r="M42" i="60"/>
  <c r="M41" i="60"/>
  <c r="M40" i="60"/>
  <c r="M37" i="60"/>
  <c r="M36" i="60"/>
  <c r="M35" i="60"/>
  <c r="S61" i="60" l="1"/>
  <c r="R61" i="60"/>
  <c r="S60" i="60"/>
  <c r="R60" i="60"/>
  <c r="S59" i="60"/>
  <c r="R59" i="60"/>
  <c r="S58" i="60"/>
  <c r="R58" i="60"/>
  <c r="Q61" i="60"/>
  <c r="Q60" i="60"/>
  <c r="Q59" i="60"/>
  <c r="Q58" i="60"/>
  <c r="S93" i="60"/>
  <c r="R93" i="60"/>
  <c r="S92" i="60"/>
  <c r="R92" i="60"/>
  <c r="S91" i="60"/>
  <c r="R91" i="60"/>
  <c r="Q93" i="60"/>
  <c r="Q92" i="60"/>
  <c r="T92" i="60" s="1"/>
  <c r="Q91" i="60"/>
  <c r="T93" i="60" l="1"/>
  <c r="T91" i="60"/>
  <c r="R98" i="60"/>
  <c r="Q98" i="60"/>
  <c r="S65" i="60"/>
  <c r="S98" i="60"/>
  <c r="Q97" i="60"/>
  <c r="R97" i="60"/>
  <c r="R65" i="60"/>
  <c r="S96" i="60"/>
  <c r="S97" i="60"/>
  <c r="Q66" i="60"/>
  <c r="R96" i="60"/>
  <c r="R66" i="60"/>
  <c r="Q96" i="60"/>
  <c r="Q65" i="60"/>
  <c r="R67" i="60"/>
  <c r="S67" i="60"/>
  <c r="Q67" i="60"/>
  <c r="S66" i="60"/>
  <c r="T98" i="60" l="1"/>
  <c r="T66" i="60"/>
  <c r="T96" i="60"/>
  <c r="T97" i="60"/>
  <c r="R68" i="60"/>
  <c r="S68" i="60"/>
  <c r="T67" i="60"/>
  <c r="T65" i="60"/>
  <c r="Q68" i="60"/>
  <c r="T68" i="60" l="1"/>
  <c r="T61" i="60"/>
  <c r="T60" i="60"/>
  <c r="T59" i="60"/>
  <c r="T58" i="60"/>
  <c r="H93" i="60"/>
  <c r="G93" i="60"/>
  <c r="F93" i="60"/>
  <c r="H92" i="60"/>
  <c r="G92" i="60"/>
  <c r="F92" i="60"/>
  <c r="H91" i="60"/>
  <c r="G91" i="60"/>
  <c r="F91" i="60"/>
  <c r="I93" i="60" l="1"/>
  <c r="I92" i="60"/>
  <c r="I91" i="60"/>
  <c r="T62" i="60"/>
  <c r="S62" i="60"/>
  <c r="Q62" i="60"/>
  <c r="R62" i="60"/>
  <c r="C24" i="93" l="1"/>
  <c r="AA24" i="93" s="1"/>
  <c r="AW24" i="93" s="1"/>
  <c r="B24" i="93"/>
  <c r="N24" i="93" s="1"/>
  <c r="AK24" i="93" s="1"/>
  <c r="B24" i="88"/>
  <c r="N24" i="88" s="1"/>
  <c r="AK24" i="88" s="1"/>
  <c r="C24" i="88"/>
  <c r="AA24" i="88" s="1"/>
  <c r="AW24" i="88" s="1"/>
  <c r="AI24" i="88" l="1"/>
  <c r="O24" i="88"/>
  <c r="AL24" i="88" s="1"/>
  <c r="O24" i="93"/>
  <c r="AL24" i="93" s="1"/>
  <c r="Z24" i="88"/>
  <c r="AV24" i="88" s="1"/>
  <c r="Z24" i="93"/>
  <c r="AV24" i="93" s="1"/>
  <c r="P18" i="62" l="1"/>
  <c r="N18" i="62"/>
  <c r="AV24" i="58"/>
  <c r="C24" i="58"/>
  <c r="AW24" i="58" s="1"/>
  <c r="O24" i="58" l="1"/>
  <c r="AL24" i="58" s="1"/>
  <c r="N24" i="58"/>
  <c r="AK24" i="58" s="1"/>
  <c r="M18" i="62"/>
  <c r="Q18" i="62"/>
  <c r="O18" i="62"/>
  <c r="E10" i="101" l="1"/>
  <c r="E11" i="101" s="1"/>
  <c r="C10" i="101" l="1"/>
  <c r="C11" i="101" s="1"/>
  <c r="D10" i="101"/>
  <c r="D11" i="101" s="1"/>
  <c r="F65" i="60" l="1"/>
  <c r="H65" i="60"/>
  <c r="G65" i="60"/>
  <c r="G67" i="60"/>
  <c r="H67" i="60"/>
  <c r="F66" i="60"/>
  <c r="G66" i="60"/>
  <c r="F67" i="60"/>
  <c r="H66" i="60"/>
  <c r="F98" i="60"/>
  <c r="G98" i="60"/>
  <c r="H98" i="60"/>
  <c r="F96" i="60"/>
  <c r="H96" i="60"/>
  <c r="F97" i="60"/>
  <c r="G97" i="60"/>
  <c r="H97" i="60"/>
  <c r="G96" i="60"/>
  <c r="I61" i="60"/>
  <c r="G62" i="60"/>
  <c r="F62" i="60"/>
  <c r="H62" i="60"/>
  <c r="I58" i="60"/>
  <c r="I60" i="60"/>
  <c r="I59" i="60"/>
  <c r="I97" i="60" l="1"/>
  <c r="I98" i="60"/>
  <c r="I96" i="60"/>
  <c r="I66" i="60"/>
  <c r="I62" i="60"/>
  <c r="G68" i="60" l="1"/>
  <c r="I65" i="60"/>
  <c r="H68" i="60"/>
  <c r="I67" i="60"/>
  <c r="F68" i="60"/>
  <c r="L29" i="93"/>
  <c r="L29" i="88"/>
  <c r="I68" i="60" l="1"/>
  <c r="V36" i="60"/>
  <c r="V37" i="60"/>
  <c r="K36" i="60"/>
  <c r="K37" i="60"/>
  <c r="K38" i="60" l="1"/>
  <c r="T38" i="60" l="1"/>
  <c r="T44" i="60" s="1"/>
  <c r="S38" i="60"/>
  <c r="S44" i="60" s="1"/>
  <c r="U38" i="60"/>
  <c r="U44" i="60" s="1"/>
  <c r="Q38" i="60"/>
  <c r="Q44" i="60" s="1"/>
  <c r="R38" i="60"/>
  <c r="R44" i="60" s="1"/>
  <c r="G38" i="60"/>
  <c r="F38" i="60"/>
  <c r="J38" i="60"/>
  <c r="I38" i="60"/>
  <c r="H38" i="60"/>
  <c r="V38" i="60" l="1"/>
  <c r="V44" i="60" s="1"/>
  <c r="K42" i="60" l="1"/>
  <c r="K41" i="60"/>
  <c r="H43" i="60"/>
  <c r="H44" i="60" s="1"/>
  <c r="F43" i="60"/>
  <c r="F44" i="60" s="1"/>
  <c r="G43" i="60"/>
  <c r="G44" i="60" s="1"/>
  <c r="I43" i="60"/>
  <c r="I44" i="60" s="1"/>
  <c r="J43" i="60"/>
  <c r="J44" i="60" s="1"/>
  <c r="F53" i="60" l="1"/>
  <c r="S74" i="60"/>
  <c r="S53" i="60"/>
  <c r="U74" i="60"/>
  <c r="R53" i="60"/>
  <c r="R74" i="60"/>
  <c r="G74" i="60"/>
  <c r="H74" i="60"/>
  <c r="T53" i="60"/>
  <c r="K53" i="60"/>
  <c r="U53" i="60"/>
  <c r="J74" i="60"/>
  <c r="T74" i="60"/>
  <c r="I74" i="60"/>
  <c r="K75" i="60"/>
  <c r="K77" i="60"/>
  <c r="K76" i="60"/>
  <c r="K43" i="60"/>
  <c r="K44" i="60" s="1"/>
  <c r="E31" i="68"/>
  <c r="D31" i="68"/>
  <c r="E29" i="68"/>
  <c r="E30" i="68"/>
  <c r="D30" i="68"/>
  <c r="D29" i="68"/>
  <c r="E28" i="68"/>
  <c r="D28" i="68"/>
  <c r="E27" i="68"/>
  <c r="D27" i="68"/>
  <c r="E25" i="68"/>
  <c r="E26" i="68"/>
  <c r="D26" i="68"/>
  <c r="D25" i="68"/>
  <c r="E23" i="68"/>
  <c r="E24" i="68"/>
  <c r="D24" i="68"/>
  <c r="D23" i="68"/>
  <c r="D21" i="68"/>
  <c r="E21" i="68"/>
  <c r="D22" i="68"/>
  <c r="E22" i="68"/>
  <c r="D17" i="68"/>
  <c r="E17" i="68"/>
  <c r="D18" i="68"/>
  <c r="E18" i="68"/>
  <c r="D19" i="68"/>
  <c r="E19" i="68"/>
  <c r="D20" i="68"/>
  <c r="E20" i="68"/>
  <c r="E16" i="68"/>
  <c r="D16" i="68"/>
  <c r="E15" i="68"/>
  <c r="D15" i="68"/>
  <c r="E6" i="68"/>
  <c r="E7" i="68"/>
  <c r="E8" i="68"/>
  <c r="E9" i="68"/>
  <c r="E10" i="68"/>
  <c r="E14" i="68"/>
  <c r="D7" i="68"/>
  <c r="D8" i="68"/>
  <c r="D9" i="68"/>
  <c r="D10" i="68"/>
  <c r="D14" i="68"/>
  <c r="D6" i="68"/>
  <c r="C40" i="90"/>
  <c r="N40" i="90" s="1"/>
  <c r="B40" i="90"/>
  <c r="M40" i="90" s="1"/>
  <c r="C39" i="90"/>
  <c r="N39" i="90" s="1"/>
  <c r="B39" i="90"/>
  <c r="M39" i="90" s="1"/>
  <c r="C38" i="90"/>
  <c r="N38" i="90" s="1"/>
  <c r="B38" i="90"/>
  <c r="M38" i="90" s="1"/>
  <c r="C37" i="90"/>
  <c r="N37" i="90" s="1"/>
  <c r="B37" i="90"/>
  <c r="M37" i="90" s="1"/>
  <c r="C36" i="90"/>
  <c r="N36" i="90" s="1"/>
  <c r="B36" i="90"/>
  <c r="C35" i="90"/>
  <c r="N35" i="90" s="1"/>
  <c r="B35" i="90"/>
  <c r="M35" i="90" s="1"/>
  <c r="C34" i="90"/>
  <c r="B34" i="90"/>
  <c r="M34" i="90" s="1"/>
  <c r="C33" i="90"/>
  <c r="N33" i="90" s="1"/>
  <c r="B33" i="90"/>
  <c r="M33" i="90" s="1"/>
  <c r="C29" i="90"/>
  <c r="N29" i="90" s="1"/>
  <c r="B29" i="90"/>
  <c r="M29" i="90" s="1"/>
  <c r="C28" i="90"/>
  <c r="N28" i="90" s="1"/>
  <c r="B28" i="90"/>
  <c r="M28" i="90" s="1"/>
  <c r="C27" i="90"/>
  <c r="N27" i="90" s="1"/>
  <c r="B27" i="90"/>
  <c r="M27" i="90" s="1"/>
  <c r="C26" i="90"/>
  <c r="N26" i="90" s="1"/>
  <c r="B26" i="90"/>
  <c r="C25" i="90"/>
  <c r="N25" i="90" s="1"/>
  <c r="B25" i="90"/>
  <c r="M25" i="90" s="1"/>
  <c r="C24" i="90"/>
  <c r="N24" i="90" s="1"/>
  <c r="B24" i="90"/>
  <c r="C23" i="90"/>
  <c r="N23" i="90" s="1"/>
  <c r="B23" i="90"/>
  <c r="M23" i="90" s="1"/>
  <c r="C22" i="90"/>
  <c r="N22" i="90" s="1"/>
  <c r="B22" i="90"/>
  <c r="M22" i="90" s="1"/>
  <c r="C21" i="90"/>
  <c r="N21" i="90" s="1"/>
  <c r="B21" i="90"/>
  <c r="M21" i="90" s="1"/>
  <c r="C20" i="90"/>
  <c r="N20" i="90" s="1"/>
  <c r="B20" i="90"/>
  <c r="M20" i="90" s="1"/>
  <c r="C18" i="90"/>
  <c r="B18" i="90"/>
  <c r="M18" i="90" s="1"/>
  <c r="C16" i="90"/>
  <c r="N16" i="90" s="1"/>
  <c r="B16" i="90"/>
  <c r="M16" i="90" s="1"/>
  <c r="C15" i="90"/>
  <c r="N15" i="90" s="1"/>
  <c r="B15" i="90"/>
  <c r="C14" i="90"/>
  <c r="N14" i="90" s="1"/>
  <c r="B14" i="90"/>
  <c r="M14" i="90" s="1"/>
  <c r="C13" i="90"/>
  <c r="N13" i="90" s="1"/>
  <c r="B13" i="90"/>
  <c r="M13" i="90" s="1"/>
  <c r="C12" i="90"/>
  <c r="N12" i="90" s="1"/>
  <c r="B12" i="90"/>
  <c r="M12" i="90" s="1"/>
  <c r="C11" i="90"/>
  <c r="N11" i="90" s="1"/>
  <c r="B11" i="90"/>
  <c r="C10" i="90"/>
  <c r="N10" i="90" s="1"/>
  <c r="B10" i="90"/>
  <c r="M10" i="90" s="1"/>
  <c r="C40" i="86"/>
  <c r="N40" i="86" s="1"/>
  <c r="B40" i="86"/>
  <c r="M40" i="86" s="1"/>
  <c r="C39" i="86"/>
  <c r="N39" i="86" s="1"/>
  <c r="B39" i="86"/>
  <c r="M39" i="86" s="1"/>
  <c r="C38" i="86"/>
  <c r="N38" i="86" s="1"/>
  <c r="B38" i="86"/>
  <c r="C37" i="86"/>
  <c r="N37" i="86" s="1"/>
  <c r="B37" i="86"/>
  <c r="C36" i="86"/>
  <c r="N36" i="86" s="1"/>
  <c r="B36" i="86"/>
  <c r="C35" i="86"/>
  <c r="B35" i="86"/>
  <c r="M35" i="86" s="1"/>
  <c r="C34" i="86"/>
  <c r="N34" i="86" s="1"/>
  <c r="B34" i="86"/>
  <c r="M34" i="86" s="1"/>
  <c r="C33" i="86"/>
  <c r="N33" i="86" s="1"/>
  <c r="B33" i="86"/>
  <c r="M33" i="86" s="1"/>
  <c r="C29" i="86"/>
  <c r="N29" i="86" s="1"/>
  <c r="B29" i="86"/>
  <c r="M29" i="86" s="1"/>
  <c r="C28" i="86"/>
  <c r="N28" i="86" s="1"/>
  <c r="B28" i="86"/>
  <c r="M28" i="86" s="1"/>
  <c r="C27" i="86"/>
  <c r="N27" i="86" s="1"/>
  <c r="B27" i="86"/>
  <c r="M27" i="86" s="1"/>
  <c r="C26" i="86"/>
  <c r="N26" i="86" s="1"/>
  <c r="B26" i="86"/>
  <c r="M26" i="86" s="1"/>
  <c r="C25" i="86"/>
  <c r="N25" i="86" s="1"/>
  <c r="B25" i="86"/>
  <c r="M25" i="86" s="1"/>
  <c r="C24" i="86"/>
  <c r="N24" i="86" s="1"/>
  <c r="B24" i="86"/>
  <c r="M24" i="86" s="1"/>
  <c r="C23" i="86"/>
  <c r="N23" i="86" s="1"/>
  <c r="B23" i="86"/>
  <c r="M23" i="86" s="1"/>
  <c r="C22" i="86"/>
  <c r="B22" i="86"/>
  <c r="M22" i="86" s="1"/>
  <c r="C21" i="86"/>
  <c r="N21" i="86" s="1"/>
  <c r="B21" i="86"/>
  <c r="M21" i="86" s="1"/>
  <c r="C20" i="86"/>
  <c r="N20" i="86" s="1"/>
  <c r="B20" i="86"/>
  <c r="M20" i="86" s="1"/>
  <c r="C18" i="86"/>
  <c r="N18" i="86" s="1"/>
  <c r="B18" i="86"/>
  <c r="C16" i="86"/>
  <c r="N16" i="86" s="1"/>
  <c r="B16" i="86"/>
  <c r="M16" i="86" s="1"/>
  <c r="C15" i="86"/>
  <c r="N15" i="86" s="1"/>
  <c r="B15" i="86"/>
  <c r="C14" i="86"/>
  <c r="N14" i="86" s="1"/>
  <c r="B14" i="86"/>
  <c r="M14" i="86" s="1"/>
  <c r="C13" i="86"/>
  <c r="N13" i="86" s="1"/>
  <c r="B13" i="86"/>
  <c r="C12" i="86"/>
  <c r="B12" i="86"/>
  <c r="M12" i="86" s="1"/>
  <c r="C11" i="86"/>
  <c r="N11" i="86" s="1"/>
  <c r="B11" i="86"/>
  <c r="C10" i="86"/>
  <c r="N10" i="86" s="1"/>
  <c r="B10" i="86"/>
  <c r="AA69" i="93"/>
  <c r="Z69" i="93"/>
  <c r="AA68" i="93"/>
  <c r="Z68" i="93"/>
  <c r="AA67" i="93"/>
  <c r="Z67" i="93"/>
  <c r="AA66" i="93"/>
  <c r="Z66" i="93"/>
  <c r="AA65" i="93"/>
  <c r="Z65" i="93"/>
  <c r="AA64" i="93"/>
  <c r="Z64" i="93"/>
  <c r="AA63" i="93"/>
  <c r="Z63" i="93"/>
  <c r="AA62" i="93"/>
  <c r="Z62" i="93"/>
  <c r="AA69" i="88"/>
  <c r="Z69" i="88"/>
  <c r="AA68" i="88"/>
  <c r="Z68" i="88"/>
  <c r="AA67" i="88"/>
  <c r="Z67" i="88"/>
  <c r="AA66" i="88"/>
  <c r="Z66" i="88"/>
  <c r="AA65" i="88"/>
  <c r="Z65" i="88"/>
  <c r="AA64" i="88"/>
  <c r="Z64" i="88"/>
  <c r="AA63" i="88"/>
  <c r="Z63" i="88"/>
  <c r="AA62" i="88"/>
  <c r="Z62" i="88"/>
  <c r="AA62" i="58"/>
  <c r="AA63" i="58"/>
  <c r="AA64" i="58"/>
  <c r="AA65" i="58"/>
  <c r="AA66" i="58"/>
  <c r="AA67" i="58"/>
  <c r="AA68" i="58"/>
  <c r="AA69" i="58"/>
  <c r="Z63" i="58"/>
  <c r="Z64" i="58"/>
  <c r="Z65" i="58"/>
  <c r="Z66" i="58"/>
  <c r="Z67" i="58"/>
  <c r="Z68" i="58"/>
  <c r="Z69" i="58"/>
  <c r="Z62" i="58"/>
  <c r="C33" i="95"/>
  <c r="C34" i="95"/>
  <c r="C35" i="95"/>
  <c r="C36" i="95"/>
  <c r="N36" i="95" s="1"/>
  <c r="C37" i="95"/>
  <c r="C38" i="95"/>
  <c r="C39" i="95"/>
  <c r="C40" i="95"/>
  <c r="N40" i="95" s="1"/>
  <c r="B34" i="95"/>
  <c r="B35" i="95"/>
  <c r="B36" i="95"/>
  <c r="B37" i="95"/>
  <c r="M37" i="95" s="1"/>
  <c r="B38" i="95"/>
  <c r="M38" i="95" s="1"/>
  <c r="B39" i="95"/>
  <c r="B40" i="95"/>
  <c r="B33" i="95"/>
  <c r="M33" i="95" s="1"/>
  <c r="C10" i="95"/>
  <c r="N10" i="95" s="1"/>
  <c r="C11" i="95"/>
  <c r="C12" i="95"/>
  <c r="C13" i="95"/>
  <c r="N13" i="95" s="1"/>
  <c r="C14" i="95"/>
  <c r="N14" i="95" s="1"/>
  <c r="C15" i="95"/>
  <c r="C16" i="95"/>
  <c r="C18" i="95"/>
  <c r="N18" i="95" s="1"/>
  <c r="C20" i="95"/>
  <c r="N20" i="95" s="1"/>
  <c r="C21" i="95"/>
  <c r="C22" i="95"/>
  <c r="C23" i="95"/>
  <c r="N23" i="95" s="1"/>
  <c r="C24" i="95"/>
  <c r="N24" i="95" s="1"/>
  <c r="C25" i="95"/>
  <c r="C26" i="95"/>
  <c r="C27" i="95"/>
  <c r="N27" i="95" s="1"/>
  <c r="C28" i="95"/>
  <c r="N28" i="95" s="1"/>
  <c r="C29" i="95"/>
  <c r="B11" i="95"/>
  <c r="B12" i="95"/>
  <c r="M12" i="95" s="1"/>
  <c r="B13" i="95"/>
  <c r="M13" i="95" s="1"/>
  <c r="B14" i="95"/>
  <c r="B15" i="95"/>
  <c r="B16" i="95"/>
  <c r="M16" i="95" s="1"/>
  <c r="B18" i="95"/>
  <c r="M18" i="95" s="1"/>
  <c r="B20" i="95"/>
  <c r="B21" i="95"/>
  <c r="B22" i="95"/>
  <c r="M22" i="95" s="1"/>
  <c r="B23" i="95"/>
  <c r="M23" i="95" s="1"/>
  <c r="B24" i="95"/>
  <c r="M24" i="95" s="1"/>
  <c r="B25" i="95"/>
  <c r="B26" i="95"/>
  <c r="M26" i="95" s="1"/>
  <c r="B27" i="95"/>
  <c r="M27" i="95" s="1"/>
  <c r="B28" i="95"/>
  <c r="B29" i="95"/>
  <c r="B10" i="95"/>
  <c r="M10" i="95" s="1"/>
  <c r="C54" i="93"/>
  <c r="B54" i="93"/>
  <c r="C53" i="93"/>
  <c r="B53" i="93"/>
  <c r="C52" i="93"/>
  <c r="B52" i="93"/>
  <c r="C51" i="93"/>
  <c r="B51" i="93"/>
  <c r="C45" i="93"/>
  <c r="B45" i="93"/>
  <c r="C44" i="93"/>
  <c r="B44" i="93"/>
  <c r="C38" i="93"/>
  <c r="B38" i="93"/>
  <c r="C37" i="93"/>
  <c r="B37" i="93"/>
  <c r="C36" i="93"/>
  <c r="B36" i="93"/>
  <c r="C30" i="93"/>
  <c r="B30" i="93"/>
  <c r="C23" i="93"/>
  <c r="B23" i="93"/>
  <c r="C21" i="93"/>
  <c r="B21" i="93"/>
  <c r="C20" i="93"/>
  <c r="B20" i="93"/>
  <c r="C19" i="93"/>
  <c r="B19" i="93"/>
  <c r="C18" i="93"/>
  <c r="B18" i="93"/>
  <c r="C17" i="93"/>
  <c r="B17" i="93"/>
  <c r="C11" i="93"/>
  <c r="B11" i="93"/>
  <c r="C10" i="93"/>
  <c r="B10" i="93"/>
  <c r="C54" i="88"/>
  <c r="B54" i="88"/>
  <c r="C53" i="88"/>
  <c r="B53" i="88"/>
  <c r="C52" i="88"/>
  <c r="B52" i="88"/>
  <c r="C51" i="88"/>
  <c r="B51" i="88"/>
  <c r="C45" i="88"/>
  <c r="B45" i="88"/>
  <c r="C44" i="88"/>
  <c r="B44" i="88"/>
  <c r="C38" i="88"/>
  <c r="B38" i="88"/>
  <c r="C37" i="88"/>
  <c r="B37" i="88"/>
  <c r="C36" i="88"/>
  <c r="B36" i="88"/>
  <c r="C30" i="88"/>
  <c r="B30" i="88"/>
  <c r="C23" i="88"/>
  <c r="B23" i="88"/>
  <c r="C21" i="88"/>
  <c r="B21" i="88"/>
  <c r="C20" i="88"/>
  <c r="B20" i="88"/>
  <c r="C19" i="88"/>
  <c r="B19" i="88"/>
  <c r="C18" i="88"/>
  <c r="B18" i="88"/>
  <c r="C17" i="88"/>
  <c r="B17" i="88"/>
  <c r="C11" i="88"/>
  <c r="B11" i="88"/>
  <c r="C10" i="88"/>
  <c r="B10" i="88"/>
  <c r="C51" i="58"/>
  <c r="C52" i="58"/>
  <c r="C53" i="58"/>
  <c r="C54" i="58"/>
  <c r="B52" i="58"/>
  <c r="B53" i="58"/>
  <c r="B54" i="58"/>
  <c r="B51" i="58"/>
  <c r="C44" i="58"/>
  <c r="C45" i="58"/>
  <c r="B45" i="58"/>
  <c r="B44" i="58"/>
  <c r="C36" i="58"/>
  <c r="C37" i="58"/>
  <c r="C38" i="58"/>
  <c r="B37" i="58"/>
  <c r="B38" i="58"/>
  <c r="B36" i="58"/>
  <c r="C30" i="58"/>
  <c r="B30" i="58"/>
  <c r="C17" i="58"/>
  <c r="C18" i="58"/>
  <c r="C19" i="58"/>
  <c r="C20" i="58"/>
  <c r="C21" i="58"/>
  <c r="C23" i="58"/>
  <c r="B18" i="58"/>
  <c r="B19" i="58"/>
  <c r="B20" i="58"/>
  <c r="B21" i="58"/>
  <c r="B17" i="58"/>
  <c r="C10" i="58"/>
  <c r="C11" i="58"/>
  <c r="B11" i="58"/>
  <c r="B10" i="58"/>
  <c r="N34" i="90"/>
  <c r="M36" i="90"/>
  <c r="N18" i="90"/>
  <c r="M11" i="90"/>
  <c r="M15" i="90"/>
  <c r="M24" i="90"/>
  <c r="M26" i="90"/>
  <c r="N35" i="86"/>
  <c r="M36" i="86"/>
  <c r="M37" i="86"/>
  <c r="M38" i="86"/>
  <c r="N12" i="86"/>
  <c r="N22" i="86"/>
  <c r="M11" i="86"/>
  <c r="M13" i="86"/>
  <c r="M15" i="86"/>
  <c r="M18" i="86"/>
  <c r="M10" i="86"/>
  <c r="N33" i="95"/>
  <c r="N34" i="95"/>
  <c r="N35" i="95"/>
  <c r="N37" i="95"/>
  <c r="N38" i="95"/>
  <c r="N39" i="95"/>
  <c r="M34" i="95"/>
  <c r="M35" i="95"/>
  <c r="M36" i="95"/>
  <c r="M39" i="95"/>
  <c r="M40" i="95"/>
  <c r="N11" i="95"/>
  <c r="N12" i="95"/>
  <c r="N15" i="95"/>
  <c r="N16" i="95"/>
  <c r="N21" i="95"/>
  <c r="N22" i="95"/>
  <c r="N25" i="95"/>
  <c r="N26" i="95"/>
  <c r="N29" i="95"/>
  <c r="M11" i="95"/>
  <c r="M14" i="95"/>
  <c r="M15" i="95"/>
  <c r="M20" i="95"/>
  <c r="M21" i="95"/>
  <c r="M25" i="95"/>
  <c r="M28" i="95"/>
  <c r="M29" i="95"/>
  <c r="Q74" i="60" l="1"/>
  <c r="F74" i="60"/>
  <c r="Q53" i="60"/>
  <c r="R78" i="60"/>
  <c r="R79" i="60" s="1"/>
  <c r="S78" i="60"/>
  <c r="S79" i="60" s="1"/>
  <c r="V76" i="60"/>
  <c r="T78" i="60"/>
  <c r="T79" i="60" s="1"/>
  <c r="V77" i="60"/>
  <c r="V75" i="60"/>
  <c r="U78" i="60"/>
  <c r="U79" i="60" s="1"/>
  <c r="I78" i="60"/>
  <c r="I79" i="60" s="1"/>
  <c r="G78" i="60"/>
  <c r="G79" i="60" s="1"/>
  <c r="H78" i="60"/>
  <c r="H79" i="60" s="1"/>
  <c r="J78" i="60"/>
  <c r="J79" i="60" s="1"/>
  <c r="T30" i="62"/>
  <c r="T31" i="62"/>
  <c r="T32" i="62"/>
  <c r="T33" i="62"/>
  <c r="U31" i="62"/>
  <c r="U32" i="62"/>
  <c r="U33" i="62"/>
  <c r="U30" i="62"/>
  <c r="U38" i="62"/>
  <c r="U37" i="62"/>
  <c r="L38" i="62"/>
  <c r="L37" i="62"/>
  <c r="L31" i="62"/>
  <c r="L32" i="62"/>
  <c r="L33" i="62"/>
  <c r="L30" i="62"/>
  <c r="U22" i="62"/>
  <c r="U23" i="62"/>
  <c r="U24" i="62"/>
  <c r="U25" i="62"/>
  <c r="U26" i="62"/>
  <c r="U21" i="62"/>
  <c r="L22" i="62"/>
  <c r="L23" i="62"/>
  <c r="L24" i="62"/>
  <c r="L25" i="62"/>
  <c r="L26" i="62"/>
  <c r="L21" i="62"/>
  <c r="K74" i="60" l="1"/>
  <c r="K78" i="60" s="1"/>
  <c r="K79" i="60" s="1"/>
  <c r="F78" i="60"/>
  <c r="F79" i="60" s="1"/>
  <c r="V53" i="60"/>
  <c r="Q78" i="60"/>
  <c r="Q79" i="60" s="1"/>
  <c r="V74" i="60"/>
  <c r="V78" i="60" s="1"/>
  <c r="V79" i="60" s="1"/>
  <c r="F105" i="60" l="1"/>
  <c r="R105" i="60"/>
  <c r="S105" i="60"/>
  <c r="U105" i="60"/>
  <c r="T105" i="60"/>
  <c r="G105" i="60"/>
  <c r="I105" i="60"/>
  <c r="J105" i="60"/>
  <c r="H105" i="60"/>
  <c r="Q105" i="60" l="1"/>
  <c r="V105" i="60"/>
  <c r="K105" i="60"/>
  <c r="AB19" i="51" l="1"/>
  <c r="E24" i="11" l="1"/>
  <c r="E25" i="11" s="1"/>
  <c r="F23" i="11"/>
  <c r="Q19" i="51"/>
  <c r="G23" i="11" l="1"/>
  <c r="F24" i="11"/>
  <c r="H23" i="11" l="1"/>
  <c r="G24" i="11"/>
  <c r="H24" i="11" l="1"/>
  <c r="I23" i="11"/>
  <c r="I24" i="11" s="1"/>
  <c r="G18" i="62" l="1"/>
  <c r="F18" i="62"/>
  <c r="D18" i="62"/>
  <c r="E18" i="62"/>
  <c r="H18" i="62"/>
  <c r="AD67" i="93" l="1"/>
  <c r="AE67" i="93"/>
  <c r="AF67" i="93"/>
  <c r="AG67" i="93"/>
  <c r="AH67" i="93"/>
  <c r="AD69" i="93"/>
  <c r="AE69" i="93"/>
  <c r="AF69" i="93"/>
  <c r="AG69" i="93"/>
  <c r="AH69" i="93"/>
  <c r="X28" i="51" l="1"/>
  <c r="X27" i="51"/>
  <c r="X26" i="51"/>
  <c r="X25" i="51"/>
  <c r="X24" i="51"/>
  <c r="M28" i="51"/>
  <c r="M27" i="51"/>
  <c r="M26" i="51"/>
  <c r="M25" i="51"/>
  <c r="M24" i="51"/>
  <c r="K18" i="96"/>
  <c r="J18" i="96"/>
  <c r="I18" i="96"/>
  <c r="H18" i="96"/>
  <c r="G18" i="96"/>
  <c r="K17" i="96"/>
  <c r="J17" i="96"/>
  <c r="I17" i="96"/>
  <c r="H17" i="96"/>
  <c r="G17" i="96"/>
  <c r="Y40" i="95"/>
  <c r="X40" i="95"/>
  <c r="Y39" i="95"/>
  <c r="X39" i="95"/>
  <c r="Y38" i="95"/>
  <c r="X38" i="95"/>
  <c r="Y37" i="95"/>
  <c r="X37" i="95"/>
  <c r="Y36" i="95"/>
  <c r="X36" i="95"/>
  <c r="Y35" i="95"/>
  <c r="X35" i="95"/>
  <c r="Y34" i="95"/>
  <c r="X34" i="95"/>
  <c r="Y33" i="95"/>
  <c r="X33" i="95"/>
  <c r="Y29" i="95"/>
  <c r="X29" i="95"/>
  <c r="Y28" i="95"/>
  <c r="X28" i="95"/>
  <c r="Y27" i="95"/>
  <c r="X27" i="95"/>
  <c r="Y26" i="95"/>
  <c r="X26" i="95"/>
  <c r="Y25" i="95"/>
  <c r="X25" i="95"/>
  <c r="Y24" i="95"/>
  <c r="X24" i="95"/>
  <c r="Y23" i="95"/>
  <c r="X23" i="95"/>
  <c r="Y22" i="95"/>
  <c r="X22" i="95"/>
  <c r="Y21" i="95"/>
  <c r="X21" i="95"/>
  <c r="Y20" i="95"/>
  <c r="X20" i="95"/>
  <c r="Y18" i="95"/>
  <c r="X18" i="95"/>
  <c r="Y15" i="95"/>
  <c r="X15" i="95"/>
  <c r="Y16" i="95"/>
  <c r="X16" i="95"/>
  <c r="Y14" i="95"/>
  <c r="X14" i="95"/>
  <c r="Y13" i="95"/>
  <c r="X13" i="95"/>
  <c r="Y12" i="95"/>
  <c r="X12" i="95"/>
  <c r="Y11" i="95"/>
  <c r="X11" i="95"/>
  <c r="Y10" i="95"/>
  <c r="X10" i="95"/>
  <c r="AL70" i="93"/>
  <c r="AW70" i="93" s="1"/>
  <c r="AI69" i="93"/>
  <c r="AW68" i="93"/>
  <c r="AK68" i="93"/>
  <c r="AI67" i="93"/>
  <c r="AV67" i="93"/>
  <c r="AL66" i="93"/>
  <c r="AL64" i="93"/>
  <c r="AV64" i="93"/>
  <c r="AV63" i="93"/>
  <c r="AW62" i="93"/>
  <c r="O53" i="93"/>
  <c r="AL53" i="93" s="1"/>
  <c r="N53" i="93"/>
  <c r="AK53" i="93" s="1"/>
  <c r="O52" i="93"/>
  <c r="AL52" i="93" s="1"/>
  <c r="X50" i="93"/>
  <c r="W50" i="93"/>
  <c r="AI50" i="93" s="1"/>
  <c r="V50" i="93"/>
  <c r="AH50" i="93" s="1"/>
  <c r="U50" i="93"/>
  <c r="AG50" i="93" s="1"/>
  <c r="T50" i="93"/>
  <c r="AF50" i="93" s="1"/>
  <c r="S50" i="93"/>
  <c r="AE50" i="93" s="1"/>
  <c r="R50" i="93"/>
  <c r="AD50" i="93" s="1"/>
  <c r="O45" i="93"/>
  <c r="AL45" i="93" s="1"/>
  <c r="X43" i="93"/>
  <c r="W43" i="93"/>
  <c r="AI43" i="93" s="1"/>
  <c r="V43" i="93"/>
  <c r="AH43" i="93" s="1"/>
  <c r="U43" i="93"/>
  <c r="AG43" i="93" s="1"/>
  <c r="T43" i="93"/>
  <c r="AF43" i="93" s="1"/>
  <c r="S43" i="93"/>
  <c r="AE43" i="93" s="1"/>
  <c r="R43" i="93"/>
  <c r="AD43" i="93" s="1"/>
  <c r="Z38" i="93"/>
  <c r="AV38" i="93" s="1"/>
  <c r="Z37" i="93"/>
  <c r="AV37" i="93" s="1"/>
  <c r="N36" i="93"/>
  <c r="AK36" i="93" s="1"/>
  <c r="X35" i="93"/>
  <c r="W35" i="93"/>
  <c r="AI35" i="93" s="1"/>
  <c r="V35" i="93"/>
  <c r="AH35" i="93" s="1"/>
  <c r="U35" i="93"/>
  <c r="AG35" i="93" s="1"/>
  <c r="T35" i="93"/>
  <c r="AF35" i="93" s="1"/>
  <c r="S35" i="93"/>
  <c r="AE35" i="93" s="1"/>
  <c r="R35" i="93"/>
  <c r="AD35" i="93" s="1"/>
  <c r="O30" i="93"/>
  <c r="AA30" i="93" s="1"/>
  <c r="N30" i="93"/>
  <c r="Z30" i="93" s="1"/>
  <c r="K29" i="93"/>
  <c r="J29" i="93"/>
  <c r="I29" i="93"/>
  <c r="H29" i="93"/>
  <c r="G29" i="93"/>
  <c r="F29" i="93"/>
  <c r="AA23" i="93"/>
  <c r="AW23" i="93" s="1"/>
  <c r="O20" i="93"/>
  <c r="AL20" i="93" s="1"/>
  <c r="Z20" i="93"/>
  <c r="AV20" i="93" s="1"/>
  <c r="AA21" i="93"/>
  <c r="AW21" i="93" s="1"/>
  <c r="Z21" i="93"/>
  <c r="AV21" i="93" s="1"/>
  <c r="O19" i="93"/>
  <c r="AL19" i="93" s="1"/>
  <c r="AA18" i="93"/>
  <c r="AW18" i="93" s="1"/>
  <c r="N18" i="93"/>
  <c r="AK18" i="93" s="1"/>
  <c r="X16" i="93"/>
  <c r="W16" i="93"/>
  <c r="V16" i="93"/>
  <c r="AH16" i="93" s="1"/>
  <c r="AS16" i="93" s="1"/>
  <c r="AS29" i="93" s="1"/>
  <c r="U16" i="93"/>
  <c r="AG16" i="93" s="1"/>
  <c r="AR16" i="93" s="1"/>
  <c r="AR29" i="93" s="1"/>
  <c r="T16" i="93"/>
  <c r="AF16" i="93" s="1"/>
  <c r="AQ16" i="93" s="1"/>
  <c r="AQ29" i="93" s="1"/>
  <c r="S16" i="93"/>
  <c r="R16" i="93"/>
  <c r="R29" i="93" s="1"/>
  <c r="AA11" i="93"/>
  <c r="AW11" i="93" s="1"/>
  <c r="Z11" i="93"/>
  <c r="AV11" i="93" s="1"/>
  <c r="O11" i="93"/>
  <c r="AL11" i="93" s="1"/>
  <c r="N11" i="93"/>
  <c r="AK11" i="93" s="1"/>
  <c r="AA10" i="93"/>
  <c r="AW10" i="93" s="1"/>
  <c r="Z10" i="93"/>
  <c r="AV10" i="93" s="1"/>
  <c r="O10" i="93"/>
  <c r="AL10" i="93" s="1"/>
  <c r="N10" i="93"/>
  <c r="AK10" i="93" s="1"/>
  <c r="X9" i="93"/>
  <c r="W9" i="93"/>
  <c r="AI9" i="93" s="1"/>
  <c r="V9" i="93"/>
  <c r="AH9" i="93" s="1"/>
  <c r="U9" i="93"/>
  <c r="AG9" i="93" s="1"/>
  <c r="T9" i="93"/>
  <c r="AF9" i="93" s="1"/>
  <c r="S9" i="93"/>
  <c r="AE9" i="93" s="1"/>
  <c r="R9" i="93"/>
  <c r="AD9" i="93" s="1"/>
  <c r="K18" i="91"/>
  <c r="J18" i="91"/>
  <c r="I18" i="91"/>
  <c r="H18" i="91"/>
  <c r="G18" i="91"/>
  <c r="K17" i="91"/>
  <c r="J17" i="91"/>
  <c r="I17" i="91"/>
  <c r="H17" i="91"/>
  <c r="G17" i="91"/>
  <c r="Y40" i="90"/>
  <c r="X40" i="90"/>
  <c r="Y39" i="90"/>
  <c r="X39" i="90"/>
  <c r="Y38" i="90"/>
  <c r="X38" i="90"/>
  <c r="Y37" i="90"/>
  <c r="X37" i="90"/>
  <c r="Y36" i="90"/>
  <c r="X36" i="90"/>
  <c r="Y35" i="90"/>
  <c r="X35" i="90"/>
  <c r="Y34" i="90"/>
  <c r="X34" i="90"/>
  <c r="Y33" i="90"/>
  <c r="X33" i="90"/>
  <c r="Y29" i="90"/>
  <c r="X29" i="90"/>
  <c r="Y28" i="90"/>
  <c r="X28" i="90"/>
  <c r="Y27" i="90"/>
  <c r="X27" i="90"/>
  <c r="Y26" i="90"/>
  <c r="X26" i="90"/>
  <c r="Y25" i="90"/>
  <c r="X25" i="90"/>
  <c r="Y24" i="90"/>
  <c r="X24" i="90"/>
  <c r="Y23" i="90"/>
  <c r="X23" i="90"/>
  <c r="Y22" i="90"/>
  <c r="X22" i="90"/>
  <c r="Y21" i="90"/>
  <c r="X21" i="90"/>
  <c r="Y20" i="90"/>
  <c r="X20" i="90"/>
  <c r="Y18" i="90"/>
  <c r="X18" i="90"/>
  <c r="Y15" i="90"/>
  <c r="X15" i="90"/>
  <c r="Y16" i="90"/>
  <c r="X16" i="90"/>
  <c r="Y14" i="90"/>
  <c r="X14" i="90"/>
  <c r="Y13" i="90"/>
  <c r="X13" i="90"/>
  <c r="Y12" i="90"/>
  <c r="X12" i="90"/>
  <c r="Y11" i="90"/>
  <c r="X11" i="90"/>
  <c r="Y10" i="90"/>
  <c r="X10" i="90"/>
  <c r="AL70" i="88"/>
  <c r="AW70" i="88" s="1"/>
  <c r="AI69" i="88"/>
  <c r="AW69" i="88"/>
  <c r="AL68" i="88"/>
  <c r="AV68" i="88"/>
  <c r="AI67" i="88"/>
  <c r="AV67" i="88"/>
  <c r="AW66" i="88"/>
  <c r="AW65" i="88"/>
  <c r="AL64" i="88"/>
  <c r="AW63" i="88"/>
  <c r="AV63" i="88"/>
  <c r="N54" i="88"/>
  <c r="AK54" i="88" s="1"/>
  <c r="O53" i="88"/>
  <c r="AL53" i="88" s="1"/>
  <c r="N53" i="88"/>
  <c r="AK53" i="88" s="1"/>
  <c r="O52" i="88"/>
  <c r="AL52" i="88" s="1"/>
  <c r="Z52" i="88"/>
  <c r="AV52" i="88" s="1"/>
  <c r="AA51" i="88"/>
  <c r="AW51" i="88" s="1"/>
  <c r="N51" i="88"/>
  <c r="AK51" i="88" s="1"/>
  <c r="X50" i="88"/>
  <c r="W50" i="88"/>
  <c r="AI50" i="88" s="1"/>
  <c r="V50" i="88"/>
  <c r="AH50" i="88" s="1"/>
  <c r="U50" i="88"/>
  <c r="AG50" i="88" s="1"/>
  <c r="T50" i="88"/>
  <c r="AF50" i="88" s="1"/>
  <c r="S50" i="88"/>
  <c r="AE50" i="88" s="1"/>
  <c r="R50" i="88"/>
  <c r="AD50" i="88" s="1"/>
  <c r="O45" i="88"/>
  <c r="AL45" i="88" s="1"/>
  <c r="N45" i="88"/>
  <c r="AK45" i="88" s="1"/>
  <c r="Z44" i="88"/>
  <c r="AV44" i="88" s="1"/>
  <c r="X43" i="88"/>
  <c r="W43" i="88"/>
  <c r="AI43" i="88" s="1"/>
  <c r="V43" i="88"/>
  <c r="AH43" i="88" s="1"/>
  <c r="U43" i="88"/>
  <c r="AG43" i="88" s="1"/>
  <c r="T43" i="88"/>
  <c r="AF43" i="88" s="1"/>
  <c r="S43" i="88"/>
  <c r="AE43" i="88" s="1"/>
  <c r="R43" i="88"/>
  <c r="AD43" i="88" s="1"/>
  <c r="O38" i="88"/>
  <c r="AL38" i="88" s="1"/>
  <c r="O37" i="88"/>
  <c r="AL37" i="88" s="1"/>
  <c r="AA36" i="88"/>
  <c r="AW36" i="88" s="1"/>
  <c r="Z36" i="88"/>
  <c r="AV36" i="88" s="1"/>
  <c r="X35" i="88"/>
  <c r="W35" i="88"/>
  <c r="AI35" i="88" s="1"/>
  <c r="V35" i="88"/>
  <c r="AH35" i="88" s="1"/>
  <c r="U35" i="88"/>
  <c r="AG35" i="88" s="1"/>
  <c r="T35" i="88"/>
  <c r="AF35" i="88" s="1"/>
  <c r="S35" i="88"/>
  <c r="AE35" i="88" s="1"/>
  <c r="R35" i="88"/>
  <c r="AD35" i="88" s="1"/>
  <c r="O30" i="88"/>
  <c r="AA30" i="88" s="1"/>
  <c r="N30" i="88"/>
  <c r="Z30" i="88" s="1"/>
  <c r="K29" i="88"/>
  <c r="J29" i="88"/>
  <c r="I29" i="88"/>
  <c r="H29" i="88"/>
  <c r="G29" i="88"/>
  <c r="F29" i="88"/>
  <c r="O23" i="88"/>
  <c r="AL23" i="88" s="1"/>
  <c r="N23" i="88"/>
  <c r="AK23" i="88" s="1"/>
  <c r="AQ20" i="88"/>
  <c r="AP20" i="88"/>
  <c r="AO20" i="88"/>
  <c r="AA20" i="88"/>
  <c r="AW20" i="88" s="1"/>
  <c r="O21" i="88"/>
  <c r="AL21" i="88" s="1"/>
  <c r="AQ19" i="88"/>
  <c r="AP19" i="88"/>
  <c r="AO19" i="88"/>
  <c r="O19" i="88"/>
  <c r="AL19" i="88" s="1"/>
  <c r="Z19" i="88"/>
  <c r="AV19" i="88" s="1"/>
  <c r="O18" i="88"/>
  <c r="AL18" i="88" s="1"/>
  <c r="N18" i="88"/>
  <c r="AK18" i="88" s="1"/>
  <c r="AA17" i="88"/>
  <c r="AW17" i="88" s="1"/>
  <c r="N17" i="88"/>
  <c r="AK17" i="88" s="1"/>
  <c r="X16" i="88"/>
  <c r="W16" i="88"/>
  <c r="AI16" i="88" s="1"/>
  <c r="AT16" i="88" s="1"/>
  <c r="AT29" i="88" s="1"/>
  <c r="V16" i="88"/>
  <c r="V29" i="88" s="1"/>
  <c r="U16" i="88"/>
  <c r="U29" i="88" s="1"/>
  <c r="T16" i="88"/>
  <c r="S16" i="88"/>
  <c r="S29" i="88" s="1"/>
  <c r="R16" i="88"/>
  <c r="AA11" i="88"/>
  <c r="AW11" i="88" s="1"/>
  <c r="Z11" i="88"/>
  <c r="AV11" i="88" s="1"/>
  <c r="O11" i="88"/>
  <c r="AL11" i="88" s="1"/>
  <c r="N11" i="88"/>
  <c r="AK11" i="88" s="1"/>
  <c r="AA10" i="88"/>
  <c r="AW10" i="88" s="1"/>
  <c r="Z10" i="88"/>
  <c r="AV10" i="88" s="1"/>
  <c r="O10" i="88"/>
  <c r="AL10" i="88" s="1"/>
  <c r="N10" i="88"/>
  <c r="AK10" i="88" s="1"/>
  <c r="X9" i="88"/>
  <c r="W9" i="88"/>
  <c r="AI9" i="88" s="1"/>
  <c r="V9" i="88"/>
  <c r="AH9" i="88" s="1"/>
  <c r="U9" i="88"/>
  <c r="AG9" i="88" s="1"/>
  <c r="T9" i="88"/>
  <c r="AF9" i="88" s="1"/>
  <c r="S9" i="88"/>
  <c r="AE9" i="88" s="1"/>
  <c r="R9" i="88"/>
  <c r="AD9" i="88" s="1"/>
  <c r="K18" i="48"/>
  <c r="J18" i="48"/>
  <c r="I18" i="48"/>
  <c r="H18" i="48"/>
  <c r="K17" i="48"/>
  <c r="J17" i="48"/>
  <c r="I17" i="48"/>
  <c r="H17" i="48"/>
  <c r="G18" i="48"/>
  <c r="G17" i="48"/>
  <c r="AI69" i="58"/>
  <c r="AI67" i="58"/>
  <c r="Y40" i="86"/>
  <c r="X40" i="86"/>
  <c r="Y39" i="86"/>
  <c r="X39" i="86"/>
  <c r="Y38" i="86"/>
  <c r="X38" i="86"/>
  <c r="Y37" i="86"/>
  <c r="X37" i="86"/>
  <c r="Y36" i="86"/>
  <c r="X36" i="86"/>
  <c r="Y35" i="86"/>
  <c r="X35" i="86"/>
  <c r="Y34" i="86"/>
  <c r="X34" i="86"/>
  <c r="Y33" i="86"/>
  <c r="X33" i="86"/>
  <c r="Y29" i="86"/>
  <c r="X29" i="86"/>
  <c r="Y28" i="86"/>
  <c r="X28" i="86"/>
  <c r="Y27" i="86"/>
  <c r="X27" i="86"/>
  <c r="Y26" i="86"/>
  <c r="X26" i="86"/>
  <c r="Y25" i="86"/>
  <c r="X25" i="86"/>
  <c r="Y24" i="86"/>
  <c r="X24" i="86"/>
  <c r="Y23" i="86"/>
  <c r="X23" i="86"/>
  <c r="Y22" i="86"/>
  <c r="X22" i="86"/>
  <c r="Y21" i="86"/>
  <c r="X21" i="86"/>
  <c r="Y20" i="86"/>
  <c r="X20" i="86"/>
  <c r="Y18" i="86"/>
  <c r="X18" i="86"/>
  <c r="Y15" i="86"/>
  <c r="X15" i="86"/>
  <c r="Y16" i="86"/>
  <c r="X16" i="86"/>
  <c r="Y14" i="86"/>
  <c r="X14" i="86"/>
  <c r="Y13" i="86"/>
  <c r="X13" i="86"/>
  <c r="Y12" i="86"/>
  <c r="X12" i="86"/>
  <c r="Y11" i="86"/>
  <c r="X11" i="86"/>
  <c r="Y10" i="86"/>
  <c r="X10" i="86"/>
  <c r="AE25" i="88" l="1"/>
  <c r="AF25" i="88"/>
  <c r="AD25" i="88"/>
  <c r="AG25" i="88"/>
  <c r="AH25" i="88"/>
  <c r="AP9" i="93"/>
  <c r="BA9" i="93" s="1"/>
  <c r="AQ35" i="93"/>
  <c r="BB35" i="93" s="1"/>
  <c r="AO50" i="93"/>
  <c r="AZ50" i="93" s="1"/>
  <c r="AS50" i="93"/>
  <c r="BD50" i="93" s="1"/>
  <c r="AQ9" i="93"/>
  <c r="BB9" i="93" s="1"/>
  <c r="AR43" i="93"/>
  <c r="BC43" i="93" s="1"/>
  <c r="AT50" i="93"/>
  <c r="BE50" i="93" s="1"/>
  <c r="AR9" i="93"/>
  <c r="BC9" i="93" s="1"/>
  <c r="AO35" i="93"/>
  <c r="AZ35" i="93" s="1"/>
  <c r="AS35" i="93"/>
  <c r="BD35" i="93" s="1"/>
  <c r="AO43" i="93"/>
  <c r="AZ43" i="93" s="1"/>
  <c r="AS43" i="93"/>
  <c r="BD43" i="93" s="1"/>
  <c r="AQ50" i="93"/>
  <c r="BB50" i="93" s="1"/>
  <c r="AT9" i="93"/>
  <c r="BE9" i="93" s="1"/>
  <c r="AL30" i="93"/>
  <c r="AW30" i="93" s="1"/>
  <c r="AQ43" i="93"/>
  <c r="BB43" i="93" s="1"/>
  <c r="AR35" i="93"/>
  <c r="BC35" i="93" s="1"/>
  <c r="AP50" i="93"/>
  <c r="BA50" i="93" s="1"/>
  <c r="AO9" i="93"/>
  <c r="AZ9" i="93" s="1"/>
  <c r="BD9" i="93"/>
  <c r="AS9" i="93"/>
  <c r="AK30" i="93"/>
  <c r="AV30" i="93" s="1"/>
  <c r="AP35" i="93"/>
  <c r="BA35" i="93" s="1"/>
  <c r="AT35" i="93"/>
  <c r="BE35" i="93" s="1"/>
  <c r="AP43" i="93"/>
  <c r="BA43" i="93" s="1"/>
  <c r="AT43" i="93"/>
  <c r="BE43" i="93" s="1"/>
  <c r="AR50" i="93"/>
  <c r="BC50" i="93" s="1"/>
  <c r="AK30" i="88"/>
  <c r="AV30" i="88" s="1"/>
  <c r="AQ35" i="88"/>
  <c r="BB35" i="88" s="1"/>
  <c r="AZ43" i="88"/>
  <c r="AO43" i="88"/>
  <c r="AS43" i="88"/>
  <c r="BD43" i="88" s="1"/>
  <c r="AR50" i="88"/>
  <c r="BC50" i="88" s="1"/>
  <c r="AL30" i="88"/>
  <c r="AW30" i="88" s="1"/>
  <c r="AR35" i="88"/>
  <c r="BC35" i="88" s="1"/>
  <c r="AP43" i="88"/>
  <c r="BA43" i="88" s="1"/>
  <c r="AT43" i="88"/>
  <c r="BE43" i="88" s="1"/>
  <c r="AZ50" i="88"/>
  <c r="AO50" i="88"/>
  <c r="AS50" i="88"/>
  <c r="BD50" i="88" s="1"/>
  <c r="AQ9" i="88"/>
  <c r="BB9" i="88" s="1"/>
  <c r="AP35" i="88"/>
  <c r="BA35" i="88" s="1"/>
  <c r="BE35" i="88"/>
  <c r="AT35" i="88"/>
  <c r="AR43" i="88"/>
  <c r="BC43" i="88" s="1"/>
  <c r="BB50" i="88"/>
  <c r="AQ50" i="88"/>
  <c r="AR9" i="88"/>
  <c r="BC9" i="88" s="1"/>
  <c r="AO9" i="88"/>
  <c r="AZ9" i="88" s="1"/>
  <c r="BD9" i="88"/>
  <c r="AS9" i="88"/>
  <c r="AP9" i="88"/>
  <c r="BA9" i="88" s="1"/>
  <c r="AT9" i="88"/>
  <c r="BE9" i="88" s="1"/>
  <c r="AZ35" i="88"/>
  <c r="AO35" i="88"/>
  <c r="AS35" i="88"/>
  <c r="BD35" i="88" s="1"/>
  <c r="AQ43" i="88"/>
  <c r="BB43" i="88" s="1"/>
  <c r="BA50" i="88"/>
  <c r="AP50" i="88"/>
  <c r="AT50" i="88"/>
  <c r="BE50" i="88" s="1"/>
  <c r="AK64" i="93"/>
  <c r="Z23" i="88"/>
  <c r="AV23" i="88" s="1"/>
  <c r="N19" i="88"/>
  <c r="AK19" i="88" s="1"/>
  <c r="O20" i="88"/>
  <c r="AL20" i="88" s="1"/>
  <c r="AL66" i="88"/>
  <c r="AA19" i="88"/>
  <c r="AW19" i="88" s="1"/>
  <c r="Z54" i="88"/>
  <c r="AV54" i="88" s="1"/>
  <c r="AK63" i="88"/>
  <c r="N21" i="93"/>
  <c r="AK21" i="93" s="1"/>
  <c r="AA52" i="93"/>
  <c r="AW52" i="93" s="1"/>
  <c r="N52" i="88"/>
  <c r="AK52" i="88" s="1"/>
  <c r="N38" i="93"/>
  <c r="AK38" i="93" s="1"/>
  <c r="Z53" i="93"/>
  <c r="AV53" i="93" s="1"/>
  <c r="AE16" i="88"/>
  <c r="W29" i="88"/>
  <c r="O36" i="88"/>
  <c r="AL36" i="88" s="1"/>
  <c r="AA37" i="88"/>
  <c r="AW37" i="88" s="1"/>
  <c r="AA52" i="88"/>
  <c r="AW52" i="88" s="1"/>
  <c r="AK68" i="88"/>
  <c r="AL69" i="88"/>
  <c r="O21" i="93"/>
  <c r="AL21" i="93" s="1"/>
  <c r="O23" i="93"/>
  <c r="AL23" i="93" s="1"/>
  <c r="AK63" i="93"/>
  <c r="AW64" i="93"/>
  <c r="AL68" i="93"/>
  <c r="O17" i="88"/>
  <c r="AL17" i="88" s="1"/>
  <c r="Z45" i="88"/>
  <c r="AV45" i="88" s="1"/>
  <c r="AK67" i="88"/>
  <c r="N20" i="93"/>
  <c r="AK20" i="93" s="1"/>
  <c r="AH29" i="93"/>
  <c r="AL62" i="93"/>
  <c r="AW66" i="93"/>
  <c r="AK67" i="93"/>
  <c r="AA37" i="93"/>
  <c r="AW37" i="93" s="1"/>
  <c r="O37" i="93"/>
  <c r="AL37" i="93" s="1"/>
  <c r="Z18" i="88"/>
  <c r="AV18" i="88" s="1"/>
  <c r="N21" i="88"/>
  <c r="AK21" i="88" s="1"/>
  <c r="Z21" i="88"/>
  <c r="AV21" i="88" s="1"/>
  <c r="Z20" i="88"/>
  <c r="AV20" i="88" s="1"/>
  <c r="N20" i="88"/>
  <c r="AK20" i="88" s="1"/>
  <c r="N38" i="88"/>
  <c r="AK38" i="88" s="1"/>
  <c r="Z38" i="88"/>
  <c r="AV38" i="88" s="1"/>
  <c r="AA44" i="88"/>
  <c r="AW44" i="88" s="1"/>
  <c r="O44" i="88"/>
  <c r="AL44" i="88" s="1"/>
  <c r="AV65" i="88"/>
  <c r="AK65" i="88"/>
  <c r="AD16" i="88"/>
  <c r="AO16" i="88" s="1"/>
  <c r="AO29" i="88" s="1"/>
  <c r="R29" i="88"/>
  <c r="AK69" i="93"/>
  <c r="AV69" i="93"/>
  <c r="T29" i="88"/>
  <c r="AF16" i="88"/>
  <c r="Z37" i="88"/>
  <c r="AV37" i="88" s="1"/>
  <c r="N37" i="88"/>
  <c r="AK37" i="88" s="1"/>
  <c r="Z17" i="93"/>
  <c r="AV17" i="93" s="1"/>
  <c r="N17" i="93"/>
  <c r="AK17" i="93" s="1"/>
  <c r="N19" i="93"/>
  <c r="AK19" i="93" s="1"/>
  <c r="Z19" i="93"/>
  <c r="AV19" i="93" s="1"/>
  <c r="Z23" i="93"/>
  <c r="AV23" i="93" s="1"/>
  <c r="N23" i="93"/>
  <c r="AK23" i="93" s="1"/>
  <c r="Z52" i="93"/>
  <c r="AV52" i="93" s="1"/>
  <c r="N52" i="93"/>
  <c r="AK52" i="93" s="1"/>
  <c r="N54" i="93"/>
  <c r="AK54" i="93" s="1"/>
  <c r="Z54" i="93"/>
  <c r="AV54" i="93" s="1"/>
  <c r="AK65" i="93"/>
  <c r="AV65" i="93"/>
  <c r="AA45" i="88"/>
  <c r="AW45" i="88" s="1"/>
  <c r="Z53" i="88"/>
  <c r="AV53" i="88" s="1"/>
  <c r="O54" i="88"/>
  <c r="AL54" i="88" s="1"/>
  <c r="AA54" i="88"/>
  <c r="AW54" i="88" s="1"/>
  <c r="AL67" i="88"/>
  <c r="AW67" i="88"/>
  <c r="AW68" i="88"/>
  <c r="AA17" i="93"/>
  <c r="AW17" i="93" s="1"/>
  <c r="O17" i="93"/>
  <c r="AL17" i="93" s="1"/>
  <c r="AW62" i="88"/>
  <c r="AL62" i="88"/>
  <c r="S29" i="93"/>
  <c r="AE16" i="93"/>
  <c r="AP16" i="93" s="1"/>
  <c r="AP29" i="93" s="1"/>
  <c r="W29" i="93"/>
  <c r="AI16" i="93"/>
  <c r="O44" i="93"/>
  <c r="AL44" i="93" s="1"/>
  <c r="AA44" i="93"/>
  <c r="AW44" i="93" s="1"/>
  <c r="N51" i="93"/>
  <c r="AK51" i="93" s="1"/>
  <c r="Z51" i="93"/>
  <c r="AV51" i="93" s="1"/>
  <c r="AA36" i="93"/>
  <c r="AW36" i="93" s="1"/>
  <c r="O36" i="93"/>
  <c r="AL36" i="93" s="1"/>
  <c r="O38" i="93"/>
  <c r="AL38" i="93" s="1"/>
  <c r="AA38" i="93"/>
  <c r="AW38" i="93" s="1"/>
  <c r="N45" i="93"/>
  <c r="AK45" i="93" s="1"/>
  <c r="Z45" i="93"/>
  <c r="AV45" i="93" s="1"/>
  <c r="AA53" i="88"/>
  <c r="AW53" i="88" s="1"/>
  <c r="AV68" i="93"/>
  <c r="AI23" i="88"/>
  <c r="AI20" i="88"/>
  <c r="AI17" i="88"/>
  <c r="AI19" i="88"/>
  <c r="AF29" i="93"/>
  <c r="AA20" i="93"/>
  <c r="AW20" i="93" s="1"/>
  <c r="T29" i="93"/>
  <c r="U29" i="93"/>
  <c r="AA45" i="93"/>
  <c r="AW45" i="93" s="1"/>
  <c r="AV62" i="93"/>
  <c r="AK62" i="93"/>
  <c r="AV66" i="93"/>
  <c r="AK66" i="93"/>
  <c r="AW65" i="93"/>
  <c r="AL65" i="93"/>
  <c r="AG29" i="93"/>
  <c r="BD16" i="93"/>
  <c r="BD29" i="93" s="1"/>
  <c r="O18" i="93"/>
  <c r="AL18" i="93" s="1"/>
  <c r="AA19" i="93"/>
  <c r="AW19" i="93" s="1"/>
  <c r="Z18" i="93"/>
  <c r="AV18" i="93" s="1"/>
  <c r="Z36" i="93"/>
  <c r="AV36" i="93" s="1"/>
  <c r="N37" i="93"/>
  <c r="AK37" i="93" s="1"/>
  <c r="Z44" i="93"/>
  <c r="AV44" i="93" s="1"/>
  <c r="N44" i="93"/>
  <c r="AK44" i="93" s="1"/>
  <c r="V29" i="93"/>
  <c r="AA53" i="93"/>
  <c r="AW53" i="93" s="1"/>
  <c r="AA54" i="93"/>
  <c r="AW54" i="93" s="1"/>
  <c r="O54" i="93"/>
  <c r="AL54" i="93" s="1"/>
  <c r="AD16" i="93"/>
  <c r="AO16" i="93" s="1"/>
  <c r="AO29" i="93" s="1"/>
  <c r="AA51" i="93"/>
  <c r="AW51" i="93" s="1"/>
  <c r="O51" i="93"/>
  <c r="AL51" i="93" s="1"/>
  <c r="AW63" i="93"/>
  <c r="AL63" i="93"/>
  <c r="AW67" i="93"/>
  <c r="AL67" i="93"/>
  <c r="AW69" i="93"/>
  <c r="AL69" i="93"/>
  <c r="BE16" i="88"/>
  <c r="BE29" i="88" s="1"/>
  <c r="AV64" i="88"/>
  <c r="AK64" i="88"/>
  <c r="AG16" i="88"/>
  <c r="AR16" i="88" s="1"/>
  <c r="AR29" i="88" s="1"/>
  <c r="Z17" i="88"/>
  <c r="AV17" i="88" s="1"/>
  <c r="AA18" i="88"/>
  <c r="AW18" i="88" s="1"/>
  <c r="AI18" i="88"/>
  <c r="AI21" i="88"/>
  <c r="AW64" i="88"/>
  <c r="AH16" i="88"/>
  <c r="AS16" i="88" s="1"/>
  <c r="AS29" i="88" s="1"/>
  <c r="AI29" i="88"/>
  <c r="N44" i="88"/>
  <c r="AK44" i="88" s="1"/>
  <c r="O51" i="88"/>
  <c r="AL51" i="88" s="1"/>
  <c r="AV62" i="88"/>
  <c r="AK62" i="88"/>
  <c r="AV66" i="88"/>
  <c r="AK66" i="88"/>
  <c r="AA21" i="88"/>
  <c r="AW21" i="88" s="1"/>
  <c r="AA23" i="88"/>
  <c r="AW23" i="88" s="1"/>
  <c r="N36" i="88"/>
  <c r="AK36" i="88" s="1"/>
  <c r="AA38" i="88"/>
  <c r="AW38" i="88" s="1"/>
  <c r="Z51" i="88"/>
  <c r="AV51" i="88" s="1"/>
  <c r="AL63" i="88"/>
  <c r="AL65" i="88"/>
  <c r="AV69" i="88"/>
  <c r="AK69" i="88"/>
  <c r="AI25" i="88" l="1"/>
  <c r="AI29" i="93"/>
  <c r="AT16" i="93"/>
  <c r="AT29" i="93" s="1"/>
  <c r="AF29" i="88"/>
  <c r="AQ16" i="88"/>
  <c r="AQ29" i="88" s="1"/>
  <c r="AE29" i="88"/>
  <c r="AP16" i="88"/>
  <c r="AP29" i="88" s="1"/>
  <c r="AD29" i="88"/>
  <c r="BE16" i="93"/>
  <c r="BE29" i="93" s="1"/>
  <c r="AE29" i="93"/>
  <c r="BC16" i="93"/>
  <c r="BC29" i="93" s="1"/>
  <c r="AD29" i="93"/>
  <c r="BB16" i="93"/>
  <c r="BB29" i="93" s="1"/>
  <c r="BA16" i="88"/>
  <c r="BA29" i="88" s="1"/>
  <c r="AH29" i="88"/>
  <c r="AZ16" i="88"/>
  <c r="AZ29" i="88" s="1"/>
  <c r="AG29" i="88"/>
  <c r="BB16" i="88" l="1"/>
  <c r="BB29" i="88" s="1"/>
  <c r="BA16" i="93"/>
  <c r="BA29" i="93" s="1"/>
  <c r="AZ16" i="93"/>
  <c r="AZ29" i="93" s="1"/>
  <c r="BC16" i="88"/>
  <c r="BC29" i="88" s="1"/>
  <c r="BD16" i="88"/>
  <c r="BD29" i="88" s="1"/>
  <c r="Z57" i="62" l="1"/>
  <c r="Y57" i="62"/>
  <c r="X57" i="62"/>
  <c r="W57" i="62"/>
  <c r="V57" i="62"/>
  <c r="Z55" i="62"/>
  <c r="Y55" i="62"/>
  <c r="X55" i="62"/>
  <c r="W55" i="62"/>
  <c r="V55" i="62"/>
  <c r="Z50" i="62"/>
  <c r="Y50" i="62"/>
  <c r="X50" i="62"/>
  <c r="W50" i="62"/>
  <c r="V50" i="62"/>
  <c r="Z48" i="62"/>
  <c r="Y48" i="62"/>
  <c r="X48" i="62"/>
  <c r="W48" i="62"/>
  <c r="V48" i="62"/>
  <c r="Z47" i="62"/>
  <c r="Y47" i="62"/>
  <c r="X47" i="62"/>
  <c r="W47" i="62"/>
  <c r="V47" i="62"/>
  <c r="Z45" i="62"/>
  <c r="Y45" i="62"/>
  <c r="X45" i="62"/>
  <c r="W45" i="62"/>
  <c r="V45" i="62"/>
  <c r="Z44" i="62"/>
  <c r="Y44" i="62"/>
  <c r="X44" i="62"/>
  <c r="W44" i="62"/>
  <c r="V44" i="62"/>
  <c r="Z43" i="62"/>
  <c r="Y43" i="62"/>
  <c r="X43" i="62"/>
  <c r="W43" i="62"/>
  <c r="V43" i="62"/>
  <c r="Z42" i="62"/>
  <c r="Y42" i="62"/>
  <c r="X42" i="62"/>
  <c r="W42" i="62"/>
  <c r="V42" i="62"/>
  <c r="Z33" i="62"/>
  <c r="Y33" i="62"/>
  <c r="X33" i="62"/>
  <c r="W33" i="62"/>
  <c r="V33" i="62"/>
  <c r="Z31" i="62"/>
  <c r="Y31" i="62"/>
  <c r="X31" i="62"/>
  <c r="W31" i="62"/>
  <c r="V31" i="62"/>
  <c r="Z30" i="62"/>
  <c r="Y30" i="62"/>
  <c r="X30" i="62"/>
  <c r="W30" i="62"/>
  <c r="V30" i="62"/>
  <c r="Z17" i="62"/>
  <c r="Y17" i="62"/>
  <c r="X17" i="62"/>
  <c r="W17" i="62"/>
  <c r="V17" i="62"/>
  <c r="Z16" i="62"/>
  <c r="Y16" i="62"/>
  <c r="X16" i="62"/>
  <c r="W16" i="62"/>
  <c r="V16" i="62"/>
  <c r="Z15" i="62"/>
  <c r="Y15" i="62"/>
  <c r="X15" i="62"/>
  <c r="W15" i="62"/>
  <c r="V15" i="62"/>
  <c r="Z14" i="62"/>
  <c r="Y14" i="62"/>
  <c r="X14" i="62"/>
  <c r="W14" i="62"/>
  <c r="V14" i="62"/>
  <c r="Z13" i="62"/>
  <c r="Y13" i="62"/>
  <c r="X13" i="62"/>
  <c r="W13" i="62"/>
  <c r="V13" i="62"/>
  <c r="Z11" i="62"/>
  <c r="Y11" i="62"/>
  <c r="X11" i="62"/>
  <c r="W11" i="62"/>
  <c r="V11" i="62"/>
  <c r="Z10" i="62"/>
  <c r="Y10" i="62"/>
  <c r="X10" i="62"/>
  <c r="W10" i="62"/>
  <c r="V10" i="62"/>
  <c r="R57" i="62"/>
  <c r="R55" i="62"/>
  <c r="R50" i="62"/>
  <c r="R48" i="62"/>
  <c r="R47" i="62"/>
  <c r="R45" i="62"/>
  <c r="R44" i="62"/>
  <c r="R43" i="62"/>
  <c r="R42" i="62"/>
  <c r="R33" i="62"/>
  <c r="R31" i="62"/>
  <c r="R30" i="62"/>
  <c r="R17" i="62"/>
  <c r="R16" i="62"/>
  <c r="R15" i="62"/>
  <c r="R14" i="62"/>
  <c r="R13" i="62"/>
  <c r="R12" i="62"/>
  <c r="R11" i="62"/>
  <c r="R10" i="62"/>
  <c r="F17" i="11"/>
  <c r="G17" i="11"/>
  <c r="H17" i="11"/>
  <c r="I17" i="11"/>
  <c r="E17" i="11"/>
  <c r="D17" i="11"/>
  <c r="AW70" i="58"/>
  <c r="AW63" i="58"/>
  <c r="AL64" i="58"/>
  <c r="AL65" i="58"/>
  <c r="AL69" i="58"/>
  <c r="AV69" i="58"/>
  <c r="AK63" i="58"/>
  <c r="AV66" i="58"/>
  <c r="AK67" i="58"/>
  <c r="O45" i="58"/>
  <c r="AL45" i="58" s="1"/>
  <c r="AA45" i="58"/>
  <c r="AW45" i="58" s="1"/>
  <c r="Z45" i="58"/>
  <c r="AV45" i="58" s="1"/>
  <c r="O44" i="58"/>
  <c r="AL44" i="58" s="1"/>
  <c r="Z44" i="58"/>
  <c r="AV44" i="58" s="1"/>
  <c r="W43" i="58"/>
  <c r="AI43" i="58" s="1"/>
  <c r="AT43" i="58" s="1"/>
  <c r="BE43" i="58" s="1"/>
  <c r="AH43" i="58"/>
  <c r="AS43" i="58" s="1"/>
  <c r="BD43" i="58" s="1"/>
  <c r="AG43" i="58"/>
  <c r="AR43" i="58" s="1"/>
  <c r="BC43" i="58" s="1"/>
  <c r="AF43" i="58"/>
  <c r="AQ43" i="58" s="1"/>
  <c r="BB43" i="58" s="1"/>
  <c r="AE43" i="58"/>
  <c r="AP43" i="58" s="1"/>
  <c r="BA43" i="58" s="1"/>
  <c r="AD43" i="58"/>
  <c r="AO43" i="58" s="1"/>
  <c r="AZ43" i="58" s="1"/>
  <c r="AA11" i="58"/>
  <c r="AW11" i="58" s="1"/>
  <c r="Z11" i="58"/>
  <c r="AV11" i="58" s="1"/>
  <c r="O11" i="58"/>
  <c r="AL11" i="58" s="1"/>
  <c r="N11" i="58"/>
  <c r="AK11" i="58" s="1"/>
  <c r="AA10" i="58"/>
  <c r="AW10" i="58" s="1"/>
  <c r="Z10" i="58"/>
  <c r="AV10" i="58" s="1"/>
  <c r="O10" i="58"/>
  <c r="AL10" i="58" s="1"/>
  <c r="N10" i="58"/>
  <c r="AK10" i="58" s="1"/>
  <c r="W9" i="58"/>
  <c r="AI9" i="58" s="1"/>
  <c r="AT9" i="58" s="1"/>
  <c r="BE9" i="58" s="1"/>
  <c r="V9" i="58"/>
  <c r="AH9" i="58" s="1"/>
  <c r="AS9" i="58" s="1"/>
  <c r="BD9" i="58" s="1"/>
  <c r="U9" i="58"/>
  <c r="AG9" i="58" s="1"/>
  <c r="AR9" i="58" s="1"/>
  <c r="BC9" i="58" s="1"/>
  <c r="T9" i="58"/>
  <c r="AF9" i="58" s="1"/>
  <c r="AQ9" i="58" s="1"/>
  <c r="BB9" i="58" s="1"/>
  <c r="S9" i="58"/>
  <c r="AE9" i="58" s="1"/>
  <c r="AP9" i="58" s="1"/>
  <c r="BA9" i="58" s="1"/>
  <c r="R9" i="58"/>
  <c r="AD9" i="58" s="1"/>
  <c r="AO9" i="58" s="1"/>
  <c r="AZ9" i="58" s="1"/>
  <c r="R18" i="62" l="1"/>
  <c r="Y18" i="62"/>
  <c r="Y19" i="62" s="1"/>
  <c r="Z18" i="62"/>
  <c r="Z19" i="62" s="1"/>
  <c r="W18" i="62"/>
  <c r="W19" i="62" s="1"/>
  <c r="V18" i="62"/>
  <c r="V19" i="62" s="1"/>
  <c r="X18" i="62"/>
  <c r="X19" i="62" s="1"/>
  <c r="AD68" i="88"/>
  <c r="G10" i="91" s="1"/>
  <c r="AH68" i="88"/>
  <c r="AE68" i="88"/>
  <c r="AF68" i="88"/>
  <c r="I10" i="91" s="1"/>
  <c r="AG68" i="88"/>
  <c r="AA10" i="62"/>
  <c r="AA12" i="62"/>
  <c r="AA13" i="62"/>
  <c r="AA14" i="62"/>
  <c r="AA16" i="62"/>
  <c r="AA55" i="62"/>
  <c r="AA57" i="62"/>
  <c r="AA15" i="62"/>
  <c r="AA17" i="62"/>
  <c r="AA45" i="62"/>
  <c r="AA48" i="62"/>
  <c r="AA11" i="62"/>
  <c r="AA31" i="62"/>
  <c r="AA33" i="62"/>
  <c r="AA30" i="62"/>
  <c r="AA43" i="62"/>
  <c r="AA47" i="62"/>
  <c r="AA50" i="62"/>
  <c r="AV64" i="58"/>
  <c r="AW65" i="58"/>
  <c r="AL68" i="58"/>
  <c r="AK62" i="58"/>
  <c r="AV68" i="58"/>
  <c r="AK68" i="58"/>
  <c r="AV62" i="58"/>
  <c r="AW69" i="58"/>
  <c r="AK64" i="58"/>
  <c r="AW62" i="58"/>
  <c r="AW64" i="58"/>
  <c r="AW66" i="58"/>
  <c r="AW68" i="58"/>
  <c r="AW67" i="58"/>
  <c r="AV63" i="58"/>
  <c r="AV65" i="58"/>
  <c r="AV67" i="58"/>
  <c r="AA42" i="62"/>
  <c r="AA44" i="62"/>
  <c r="AK69" i="58"/>
  <c r="AL66" i="58"/>
  <c r="AL62" i="58"/>
  <c r="AL67" i="58"/>
  <c r="AL63" i="58"/>
  <c r="AK66" i="58"/>
  <c r="AK65" i="58"/>
  <c r="N44" i="58"/>
  <c r="AK44" i="58" s="1"/>
  <c r="N45" i="58"/>
  <c r="AK45" i="58" s="1"/>
  <c r="AA44" i="58"/>
  <c r="AW44" i="58" s="1"/>
  <c r="AA18" i="62" l="1"/>
  <c r="H10" i="91"/>
  <c r="J10" i="91"/>
  <c r="K10" i="91"/>
  <c r="AI68" i="88"/>
  <c r="L10" i="91" l="1"/>
  <c r="D19" i="76" l="1"/>
  <c r="E19" i="76" s="1"/>
  <c r="D18" i="76"/>
  <c r="D17" i="76"/>
  <c r="D16" i="76"/>
  <c r="D15" i="76"/>
  <c r="D14" i="76"/>
  <c r="D13" i="76"/>
  <c r="D12" i="76"/>
  <c r="D11" i="76"/>
  <c r="D10" i="76"/>
  <c r="D9" i="76"/>
  <c r="D8" i="76"/>
  <c r="F19" i="76" s="1"/>
  <c r="E11" i="76" l="1"/>
  <c r="E15" i="76"/>
  <c r="E9" i="76"/>
  <c r="E13" i="76"/>
  <c r="E17" i="76"/>
  <c r="E10" i="76"/>
  <c r="E14" i="76"/>
  <c r="E18" i="76"/>
  <c r="E12" i="76"/>
  <c r="E16" i="76"/>
  <c r="F9" i="76"/>
  <c r="E8" i="76"/>
  <c r="F8" i="76"/>
  <c r="F12" i="76"/>
  <c r="F16" i="76"/>
  <c r="F13" i="76"/>
  <c r="F17" i="76"/>
  <c r="F10" i="76"/>
  <c r="F14" i="76"/>
  <c r="F18" i="76"/>
  <c r="F11" i="76"/>
  <c r="F15" i="76"/>
  <c r="P23" i="101" l="1"/>
  <c r="D23" i="101"/>
  <c r="O23" i="101"/>
  <c r="C23" i="101"/>
  <c r="Q23" i="101"/>
  <c r="E23" i="101"/>
  <c r="Q24" i="101" l="1"/>
  <c r="Q25" i="101" s="1"/>
  <c r="T33" i="101"/>
  <c r="T34" i="101"/>
  <c r="T36" i="101"/>
  <c r="T35" i="101"/>
  <c r="T32" i="101"/>
  <c r="T31" i="101"/>
  <c r="R23" i="101"/>
  <c r="O24" i="101"/>
  <c r="O25" i="101" s="1"/>
  <c r="P21" i="101"/>
  <c r="P24" i="101"/>
  <c r="P25" i="101" s="1"/>
  <c r="Q21" i="101"/>
  <c r="O21" i="101"/>
  <c r="R33" i="101"/>
  <c r="R31" i="101"/>
  <c r="R36" i="101"/>
  <c r="R34" i="101"/>
  <c r="R32" i="101"/>
  <c r="R35" i="101"/>
  <c r="V32" i="101"/>
  <c r="V34" i="101"/>
  <c r="V35" i="101"/>
  <c r="V33" i="101"/>
  <c r="V31" i="101"/>
  <c r="V36" i="101"/>
  <c r="R24" i="101" l="1"/>
  <c r="U31" i="101"/>
  <c r="U32" i="101"/>
  <c r="Q36" i="101"/>
  <c r="R19" i="101"/>
  <c r="S33" i="101"/>
  <c r="U33" i="101"/>
  <c r="R18" i="101"/>
  <c r="Q35" i="101"/>
  <c r="Q31" i="101"/>
  <c r="R14" i="101"/>
  <c r="U35" i="101"/>
  <c r="R15" i="101"/>
  <c r="Q32" i="101"/>
  <c r="Q33" i="101"/>
  <c r="R16" i="101"/>
  <c r="S36" i="101"/>
  <c r="R25" i="101"/>
  <c r="S32" i="101"/>
  <c r="S35" i="101"/>
  <c r="U36" i="101"/>
  <c r="U34" i="101"/>
  <c r="Q34" i="101"/>
  <c r="R17" i="101"/>
  <c r="S31" i="101"/>
  <c r="S34" i="101"/>
  <c r="W32" i="101" l="1"/>
  <c r="X32" i="101"/>
  <c r="W36" i="101"/>
  <c r="W34" i="101"/>
  <c r="X33" i="101"/>
  <c r="W35" i="101"/>
  <c r="X34" i="101"/>
  <c r="Q37" i="101"/>
  <c r="W31" i="101"/>
  <c r="U37" i="101"/>
  <c r="U41" i="101" s="1"/>
  <c r="S37" i="101"/>
  <c r="S41" i="101" s="1"/>
  <c r="W33" i="101"/>
  <c r="X35" i="101"/>
  <c r="R37" i="101"/>
  <c r="R20" i="101"/>
  <c r="S16" i="101" s="1"/>
  <c r="X36" i="101"/>
  <c r="T37" i="101"/>
  <c r="I34" i="101"/>
  <c r="J34" i="101"/>
  <c r="J35" i="101"/>
  <c r="I35" i="101"/>
  <c r="F23" i="101"/>
  <c r="J33" i="101"/>
  <c r="I33" i="101"/>
  <c r="J36" i="101"/>
  <c r="I36" i="101"/>
  <c r="J31" i="101"/>
  <c r="I31" i="101"/>
  <c r="E20" i="101"/>
  <c r="I32" i="101"/>
  <c r="J32" i="101"/>
  <c r="I57" i="62"/>
  <c r="I55" i="62"/>
  <c r="I50" i="62"/>
  <c r="I48" i="62"/>
  <c r="I47" i="62"/>
  <c r="I45" i="62"/>
  <c r="I44" i="62"/>
  <c r="I43" i="62"/>
  <c r="I42" i="62"/>
  <c r="I33" i="62"/>
  <c r="I31" i="62"/>
  <c r="I30" i="62"/>
  <c r="I17" i="62"/>
  <c r="I16" i="62"/>
  <c r="I15" i="62"/>
  <c r="I14" i="62"/>
  <c r="I13" i="62"/>
  <c r="I12" i="62"/>
  <c r="I11" i="62"/>
  <c r="I10" i="62"/>
  <c r="S19" i="101" l="1"/>
  <c r="S14" i="101"/>
  <c r="S18" i="101"/>
  <c r="X31" i="101"/>
  <c r="X37" i="101" s="1"/>
  <c r="V37" i="101"/>
  <c r="S39" i="101"/>
  <c r="T41" i="101"/>
  <c r="T39" i="101"/>
  <c r="S15" i="101"/>
  <c r="W37" i="101"/>
  <c r="R41" i="101"/>
  <c r="R39" i="101"/>
  <c r="S17" i="101"/>
  <c r="Q39" i="101"/>
  <c r="Q41" i="101"/>
  <c r="I37" i="101"/>
  <c r="E33" i="101"/>
  <c r="F16" i="101"/>
  <c r="F33" i="101"/>
  <c r="E36" i="101"/>
  <c r="F19" i="101"/>
  <c r="F36" i="101"/>
  <c r="E34" i="101"/>
  <c r="F34" i="101"/>
  <c r="G36" i="101"/>
  <c r="H36" i="101"/>
  <c r="F32" i="101"/>
  <c r="E32" i="101"/>
  <c r="J37" i="101"/>
  <c r="D20" i="101"/>
  <c r="G31" i="101"/>
  <c r="H31" i="101"/>
  <c r="F18" i="101"/>
  <c r="F35" i="101"/>
  <c r="E35" i="101"/>
  <c r="C20" i="101"/>
  <c r="F31" i="101"/>
  <c r="F14" i="101"/>
  <c r="E31" i="101"/>
  <c r="G33" i="101"/>
  <c r="H33" i="101"/>
  <c r="F17" i="101"/>
  <c r="G34" i="101"/>
  <c r="H34" i="101"/>
  <c r="E21" i="101"/>
  <c r="E24" i="101"/>
  <c r="E25" i="101" s="1"/>
  <c r="F15" i="101"/>
  <c r="H32" i="101"/>
  <c r="G32" i="101"/>
  <c r="H35" i="101"/>
  <c r="G35" i="101"/>
  <c r="I18" i="62"/>
  <c r="AF68" i="58"/>
  <c r="AG68" i="58"/>
  <c r="AH68" i="58"/>
  <c r="AD68" i="58"/>
  <c r="AE68" i="58"/>
  <c r="AA19" i="62" l="1"/>
  <c r="W39" i="101"/>
  <c r="O45" i="101" s="1"/>
  <c r="S49" i="101" s="1"/>
  <c r="S20" i="101"/>
  <c r="X39" i="101"/>
  <c r="U39" i="101"/>
  <c r="V41" i="101"/>
  <c r="V39" i="101"/>
  <c r="L34" i="101"/>
  <c r="K34" i="101"/>
  <c r="L33" i="101"/>
  <c r="K32" i="101"/>
  <c r="K35" i="101"/>
  <c r="K36" i="101"/>
  <c r="L35" i="101"/>
  <c r="I41" i="101"/>
  <c r="L36" i="101"/>
  <c r="C21" i="101"/>
  <c r="F20" i="101"/>
  <c r="G14" i="101" s="1"/>
  <c r="C24" i="101"/>
  <c r="J39" i="101"/>
  <c r="J41" i="101"/>
  <c r="E37" i="101"/>
  <c r="H37" i="101"/>
  <c r="L32" i="101"/>
  <c r="K31" i="101"/>
  <c r="G37" i="101"/>
  <c r="L31" i="101"/>
  <c r="F37" i="101"/>
  <c r="D21" i="101"/>
  <c r="D24" i="101"/>
  <c r="D25" i="101" s="1"/>
  <c r="I39" i="101"/>
  <c r="K33" i="101"/>
  <c r="AF68" i="93"/>
  <c r="I10" i="48"/>
  <c r="AE68" i="93"/>
  <c r="H10" i="48"/>
  <c r="AH68" i="93"/>
  <c r="K10" i="48"/>
  <c r="AD68" i="93"/>
  <c r="G10" i="48"/>
  <c r="AI68" i="58"/>
  <c r="AG68" i="93"/>
  <c r="J10" i="48"/>
  <c r="Q49" i="101" l="1"/>
  <c r="P49" i="101"/>
  <c r="R49" i="101"/>
  <c r="O46" i="101"/>
  <c r="O49" i="101"/>
  <c r="G19" i="101"/>
  <c r="G15" i="101"/>
  <c r="G18" i="101"/>
  <c r="G16" i="101"/>
  <c r="L37" i="101"/>
  <c r="F41" i="101"/>
  <c r="F39" i="101"/>
  <c r="G41" i="101"/>
  <c r="G39" i="101"/>
  <c r="H39" i="101"/>
  <c r="H41" i="101"/>
  <c r="K37" i="101"/>
  <c r="F24" i="101"/>
  <c r="E41" i="101"/>
  <c r="E39" i="101"/>
  <c r="C25" i="101"/>
  <c r="F25" i="101" s="1"/>
  <c r="G17" i="101"/>
  <c r="J10" i="96"/>
  <c r="AI68" i="93"/>
  <c r="G10" i="96"/>
  <c r="K10" i="96"/>
  <c r="H10" i="96"/>
  <c r="I10" i="96"/>
  <c r="T49" i="101" l="1"/>
  <c r="G20" i="101"/>
  <c r="K39" i="101"/>
  <c r="C45" i="101" s="1"/>
  <c r="G49" i="101" s="1"/>
  <c r="L39" i="101"/>
  <c r="L10" i="96"/>
  <c r="C49" i="101" l="1"/>
  <c r="F49" i="101"/>
  <c r="D49" i="101"/>
  <c r="C46" i="101"/>
  <c r="E49" i="101"/>
  <c r="H49" i="101" l="1"/>
  <c r="I10" i="11" l="1"/>
  <c r="B25" i="51"/>
  <c r="B26" i="51"/>
  <c r="B27" i="51"/>
  <c r="B28" i="51"/>
  <c r="B24" i="51"/>
  <c r="F29" i="58" l="1"/>
  <c r="G29" i="58"/>
  <c r="H29" i="58"/>
  <c r="I29" i="58"/>
  <c r="J29" i="58"/>
  <c r="K29" i="58"/>
  <c r="O30" i="58"/>
  <c r="AA30" i="58" s="1"/>
  <c r="AL30" i="58" s="1"/>
  <c r="AW30" i="58" s="1"/>
  <c r="N30" i="58"/>
  <c r="Z30" i="58" s="1"/>
  <c r="AK30" i="58" s="1"/>
  <c r="AV30" i="58" s="1"/>
  <c r="W50" i="58" l="1"/>
  <c r="AI50" i="58" s="1"/>
  <c r="AT50" i="58" s="1"/>
  <c r="BE50" i="58" s="1"/>
  <c r="AH50" i="58"/>
  <c r="AS50" i="58" s="1"/>
  <c r="BD50" i="58" s="1"/>
  <c r="AG50" i="58"/>
  <c r="AR50" i="58" s="1"/>
  <c r="BC50" i="58" s="1"/>
  <c r="AF50" i="58"/>
  <c r="AQ50" i="58" s="1"/>
  <c r="BB50" i="58" s="1"/>
  <c r="AE50" i="58"/>
  <c r="AP50" i="58" s="1"/>
  <c r="BA50" i="58" s="1"/>
  <c r="AD50" i="58"/>
  <c r="AO50" i="58" s="1"/>
  <c r="AZ50" i="58" s="1"/>
  <c r="W35" i="58"/>
  <c r="AI35" i="58" s="1"/>
  <c r="AT35" i="58" s="1"/>
  <c r="BE35" i="58" s="1"/>
  <c r="AH35" i="58"/>
  <c r="AS35" i="58" s="1"/>
  <c r="BD35" i="58" s="1"/>
  <c r="AG35" i="58"/>
  <c r="AR35" i="58" s="1"/>
  <c r="BC35" i="58" s="1"/>
  <c r="AF35" i="58"/>
  <c r="AQ35" i="58" s="1"/>
  <c r="BB35" i="58" s="1"/>
  <c r="AE35" i="58"/>
  <c r="AP35" i="58" s="1"/>
  <c r="BA35" i="58" s="1"/>
  <c r="AD35" i="58"/>
  <c r="AO35" i="58" s="1"/>
  <c r="AZ35" i="58" s="1"/>
  <c r="W16" i="58"/>
  <c r="AG16" i="58" l="1"/>
  <c r="AI16" i="58"/>
  <c r="W29" i="58"/>
  <c r="AE16" i="58"/>
  <c r="AF16" i="58"/>
  <c r="AH16" i="58"/>
  <c r="AD16" i="58"/>
  <c r="AH29" i="58" l="1"/>
  <c r="AS16" i="58"/>
  <c r="AD29" i="58"/>
  <c r="AO16" i="58"/>
  <c r="AF29" i="58"/>
  <c r="AQ16" i="58"/>
  <c r="AE29" i="58"/>
  <c r="AP16" i="58"/>
  <c r="AI29" i="58"/>
  <c r="AT16" i="58"/>
  <c r="AG29" i="58"/>
  <c r="AR16" i="58"/>
  <c r="AT29" i="58" l="1"/>
  <c r="BE16" i="58"/>
  <c r="BE29" i="58" s="1"/>
  <c r="AP29" i="58"/>
  <c r="BA16" i="58"/>
  <c r="BA29" i="58" s="1"/>
  <c r="AZ16" i="58"/>
  <c r="AZ29" i="58" s="1"/>
  <c r="AO29" i="58"/>
  <c r="AR29" i="58"/>
  <c r="BC16" i="58"/>
  <c r="BC29" i="58" s="1"/>
  <c r="AQ29" i="58"/>
  <c r="BB16" i="58"/>
  <c r="BB29" i="58" s="1"/>
  <c r="BD16" i="58"/>
  <c r="BD29" i="58" s="1"/>
  <c r="AS29" i="58"/>
  <c r="N20" i="58" l="1"/>
  <c r="AK20" i="58" s="1"/>
  <c r="Z20" i="58"/>
  <c r="AV20" i="58" s="1"/>
  <c r="Z21" i="58"/>
  <c r="AV21" i="58" s="1"/>
  <c r="N21" i="58"/>
  <c r="AK21" i="58" s="1"/>
  <c r="AV23" i="58"/>
  <c r="N23" i="58"/>
  <c r="AK23" i="58" s="1"/>
  <c r="N37" i="58"/>
  <c r="AK37" i="58" s="1"/>
  <c r="Z37" i="58"/>
  <c r="AV37" i="58" s="1"/>
  <c r="N51" i="58"/>
  <c r="AK51" i="58" s="1"/>
  <c r="Z51" i="58"/>
  <c r="AV51" i="58" s="1"/>
  <c r="O54" i="58"/>
  <c r="AL54" i="58" s="1"/>
  <c r="AA54" i="58"/>
  <c r="AW54" i="58" s="1"/>
  <c r="O38" i="58"/>
  <c r="AL38" i="58" s="1"/>
  <c r="AA38" i="58"/>
  <c r="AW38" i="58" s="1"/>
  <c r="Z54" i="58"/>
  <c r="AV54" i="58" s="1"/>
  <c r="N54" i="58"/>
  <c r="AK54" i="58" s="1"/>
  <c r="O53" i="58"/>
  <c r="AL53" i="58" s="1"/>
  <c r="AA53" i="58"/>
  <c r="AW53" i="58" s="1"/>
  <c r="Z19" i="58"/>
  <c r="AV19" i="58" s="1"/>
  <c r="N19" i="58"/>
  <c r="AK19" i="58" s="1"/>
  <c r="Z18" i="58"/>
  <c r="AV18" i="58" s="1"/>
  <c r="N18" i="58"/>
  <c r="AK18" i="58" s="1"/>
  <c r="Z36" i="58"/>
  <c r="AV36" i="58" s="1"/>
  <c r="N36" i="58"/>
  <c r="AK36" i="58" s="1"/>
  <c r="O37" i="58"/>
  <c r="AL37" i="58" s="1"/>
  <c r="AA37" i="58"/>
  <c r="AW37" i="58" s="1"/>
  <c r="N53" i="58"/>
  <c r="AK53" i="58" s="1"/>
  <c r="Z53" i="58"/>
  <c r="AV53" i="58" s="1"/>
  <c r="AA52" i="58"/>
  <c r="AW52" i="58" s="1"/>
  <c r="O52" i="58"/>
  <c r="AL52" i="58" s="1"/>
  <c r="N17" i="58"/>
  <c r="AK17" i="58" s="1"/>
  <c r="Z17" i="58"/>
  <c r="AV17" i="58" s="1"/>
  <c r="O18" i="58"/>
  <c r="AL18" i="58" s="1"/>
  <c r="AA18" i="58"/>
  <c r="AW18" i="58" s="1"/>
  <c r="AA17" i="58"/>
  <c r="AW17" i="58" s="1"/>
  <c r="O17" i="58"/>
  <c r="AL17" i="58" s="1"/>
  <c r="O19" i="58"/>
  <c r="AL19" i="58" s="1"/>
  <c r="AA19" i="58"/>
  <c r="AW19" i="58" s="1"/>
  <c r="AA20" i="58"/>
  <c r="AW20" i="58" s="1"/>
  <c r="O20" i="58"/>
  <c r="AL20" i="58" s="1"/>
  <c r="O21" i="58"/>
  <c r="AL21" i="58" s="1"/>
  <c r="AA21" i="58"/>
  <c r="AW21" i="58" s="1"/>
  <c r="O23" i="58"/>
  <c r="AL23" i="58" s="1"/>
  <c r="AW23" i="58"/>
  <c r="Z38" i="58"/>
  <c r="AV38" i="58" s="1"/>
  <c r="N38" i="58"/>
  <c r="AK38" i="58" s="1"/>
  <c r="AA36" i="58"/>
  <c r="AW36" i="58" s="1"/>
  <c r="O36" i="58"/>
  <c r="AL36" i="58" s="1"/>
  <c r="Z52" i="58"/>
  <c r="AV52" i="58" s="1"/>
  <c r="N52" i="58"/>
  <c r="AK52" i="58" s="1"/>
  <c r="AA51" i="58"/>
  <c r="AW51" i="58" s="1"/>
  <c r="O51" i="58"/>
  <c r="AL51" i="58" s="1"/>
  <c r="E8" i="11" l="1"/>
  <c r="F8" i="11"/>
  <c r="G8" i="11"/>
  <c r="H8" i="11"/>
  <c r="I8" i="11"/>
  <c r="D8" i="11"/>
  <c r="I13" i="11" l="1"/>
  <c r="H13" i="11"/>
  <c r="G13" i="11"/>
  <c r="F13" i="11"/>
  <c r="E13" i="11"/>
  <c r="D13" i="11"/>
  <c r="G15" i="11" l="1"/>
  <c r="E15" i="11"/>
  <c r="D15" i="11"/>
  <c r="I15" i="11"/>
  <c r="I14" i="11"/>
  <c r="F14" i="11"/>
  <c r="H15" i="11"/>
  <c r="D14" i="11"/>
  <c r="H14" i="11"/>
  <c r="F15" i="11"/>
  <c r="G14" i="11"/>
  <c r="E14" i="11"/>
  <c r="I18" i="11" l="1"/>
  <c r="AS68" i="58" s="1"/>
  <c r="E18" i="11"/>
  <c r="AO69" i="58" s="1"/>
  <c r="D18" i="11"/>
  <c r="H18" i="11"/>
  <c r="AS69" i="93"/>
  <c r="G18" i="11"/>
  <c r="F18" i="11"/>
  <c r="AS68" i="93" l="1"/>
  <c r="AR22" i="88"/>
  <c r="AR22" i="58"/>
  <c r="AR22" i="93"/>
  <c r="AR20" i="88"/>
  <c r="AR19" i="88"/>
  <c r="AP22" i="88"/>
  <c r="AP22" i="58"/>
  <c r="AP22" i="93"/>
  <c r="AO68" i="93"/>
  <c r="AO22" i="88"/>
  <c r="AO22" i="58"/>
  <c r="AO22" i="93"/>
  <c r="AQ22" i="88"/>
  <c r="AQ22" i="58"/>
  <c r="AQ22" i="93"/>
  <c r="AO68" i="88"/>
  <c r="AS21" i="88"/>
  <c r="AS22" i="88"/>
  <c r="AS22" i="58"/>
  <c r="AS22" i="93"/>
  <c r="AS20" i="88"/>
  <c r="AS19" i="88"/>
  <c r="AS67" i="93"/>
  <c r="AS69" i="88"/>
  <c r="AS69" i="58"/>
  <c r="AS18" i="88"/>
  <c r="AS67" i="88"/>
  <c r="AS23" i="88"/>
  <c r="AS68" i="88"/>
  <c r="AS67" i="58"/>
  <c r="AS17" i="88"/>
  <c r="AQ24" i="88"/>
  <c r="AP24" i="88"/>
  <c r="AO24" i="88"/>
  <c r="AR24" i="88"/>
  <c r="AS24" i="88"/>
  <c r="AQ17" i="88"/>
  <c r="AQ21" i="88"/>
  <c r="AQ23" i="88"/>
  <c r="AQ18" i="88"/>
  <c r="AO18" i="88"/>
  <c r="AO17" i="88"/>
  <c r="AO23" i="88"/>
  <c r="AO21" i="88"/>
  <c r="AP21" i="88"/>
  <c r="AP18" i="88"/>
  <c r="AP17" i="88"/>
  <c r="AP23" i="88"/>
  <c r="AR23" i="88"/>
  <c r="AR17" i="88"/>
  <c r="AR18" i="88"/>
  <c r="AR21" i="88"/>
  <c r="AO67" i="58"/>
  <c r="AO68" i="58"/>
  <c r="AO69" i="88"/>
  <c r="AO67" i="93"/>
  <c r="AR69" i="88"/>
  <c r="AO67" i="88"/>
  <c r="AO69" i="93"/>
  <c r="AR69" i="58"/>
  <c r="AR69" i="93"/>
  <c r="AR68" i="93"/>
  <c r="AR68" i="88"/>
  <c r="AR67" i="93"/>
  <c r="AR67" i="88"/>
  <c r="AR68" i="58"/>
  <c r="AR67" i="58"/>
  <c r="AQ69" i="93"/>
  <c r="AQ69" i="88"/>
  <c r="AQ67" i="88"/>
  <c r="AQ67" i="93"/>
  <c r="AQ69" i="58"/>
  <c r="AQ67" i="58"/>
  <c r="AQ68" i="88"/>
  <c r="AQ68" i="58"/>
  <c r="AQ68" i="93"/>
  <c r="BD68" i="93"/>
  <c r="K26" i="96"/>
  <c r="BD68" i="58"/>
  <c r="U39" i="86"/>
  <c r="K26" i="48"/>
  <c r="Q40" i="86"/>
  <c r="AZ69" i="58"/>
  <c r="G34" i="48"/>
  <c r="AP67" i="93"/>
  <c r="AP67" i="58"/>
  <c r="AP69" i="88"/>
  <c r="AP67" i="88"/>
  <c r="AP69" i="93"/>
  <c r="AP69" i="58"/>
  <c r="AP68" i="88"/>
  <c r="AP68" i="58"/>
  <c r="AP68" i="93"/>
  <c r="U40" i="95"/>
  <c r="BD69" i="93"/>
  <c r="K34" i="96"/>
  <c r="U39" i="95" l="1"/>
  <c r="T38" i="90"/>
  <c r="J34" i="96"/>
  <c r="J34" i="91"/>
  <c r="Q38" i="86"/>
  <c r="T18" i="90"/>
  <c r="AZ18" i="88"/>
  <c r="R19" i="90"/>
  <c r="BD17" i="88"/>
  <c r="BD67" i="88"/>
  <c r="K33" i="96"/>
  <c r="J33" i="96"/>
  <c r="BC69" i="58"/>
  <c r="G33" i="96"/>
  <c r="BC21" i="88"/>
  <c r="AZ21" i="88"/>
  <c r="K33" i="48"/>
  <c r="BD18" i="88"/>
  <c r="BD19" i="88"/>
  <c r="U16" i="90"/>
  <c r="AZ68" i="93"/>
  <c r="J33" i="48"/>
  <c r="BC68" i="88"/>
  <c r="AZ69" i="93"/>
  <c r="G34" i="91"/>
  <c r="BC18" i="88"/>
  <c r="Q18" i="90"/>
  <c r="K26" i="91"/>
  <c r="K34" i="48"/>
  <c r="Q39" i="90"/>
  <c r="K33" i="91"/>
  <c r="T39" i="86"/>
  <c r="T39" i="95"/>
  <c r="AZ67" i="88"/>
  <c r="Q39" i="86"/>
  <c r="U18" i="90"/>
  <c r="K34" i="91"/>
  <c r="G26" i="96"/>
  <c r="Q39" i="95"/>
  <c r="BD67" i="58"/>
  <c r="BD21" i="88"/>
  <c r="AZ68" i="88"/>
  <c r="G26" i="91"/>
  <c r="U40" i="90"/>
  <c r="U17" i="90"/>
  <c r="BD22" i="88"/>
  <c r="BB22" i="88"/>
  <c r="S17" i="90"/>
  <c r="T17" i="90"/>
  <c r="BC22" i="88"/>
  <c r="Q17" i="95"/>
  <c r="AT22" i="93"/>
  <c r="AZ22" i="93"/>
  <c r="BA22" i="93"/>
  <c r="R17" i="95"/>
  <c r="BD22" i="93"/>
  <c r="U17" i="95"/>
  <c r="BB22" i="93"/>
  <c r="S17" i="95"/>
  <c r="Q17" i="86"/>
  <c r="AZ22" i="58"/>
  <c r="AT22" i="58"/>
  <c r="BA22" i="58"/>
  <c r="R17" i="86"/>
  <c r="T17" i="95"/>
  <c r="BC22" i="93"/>
  <c r="BD69" i="88"/>
  <c r="BD22" i="58"/>
  <c r="U17" i="86"/>
  <c r="BB22" i="58"/>
  <c r="S17" i="86"/>
  <c r="Q17" i="90"/>
  <c r="AZ22" i="88"/>
  <c r="AT22" i="88"/>
  <c r="R17" i="90"/>
  <c r="BA22" i="88"/>
  <c r="BC22" i="58"/>
  <c r="T17" i="86"/>
  <c r="BC24" i="88"/>
  <c r="T19" i="90"/>
  <c r="BB24" i="88"/>
  <c r="S19" i="90"/>
  <c r="AZ24" i="88"/>
  <c r="Q19" i="90"/>
  <c r="BD24" i="88"/>
  <c r="U19" i="90"/>
  <c r="BD23" i="88"/>
  <c r="U13" i="90"/>
  <c r="AS25" i="88"/>
  <c r="U38" i="95"/>
  <c r="BD67" i="93"/>
  <c r="U40" i="86"/>
  <c r="BD68" i="88"/>
  <c r="BD69" i="58"/>
  <c r="U38" i="86"/>
  <c r="U38" i="90"/>
  <c r="U39" i="90"/>
  <c r="U12" i="90"/>
  <c r="Q12" i="90"/>
  <c r="AZ17" i="88"/>
  <c r="AT24" i="88"/>
  <c r="BA24" i="88"/>
  <c r="T40" i="90"/>
  <c r="Q40" i="90"/>
  <c r="Q40" i="95"/>
  <c r="AT18" i="88"/>
  <c r="G26" i="48"/>
  <c r="AZ67" i="93"/>
  <c r="U14" i="90"/>
  <c r="J33" i="91"/>
  <c r="Q13" i="90"/>
  <c r="BC23" i="88"/>
  <c r="G33" i="91"/>
  <c r="BC69" i="88"/>
  <c r="G33" i="48"/>
  <c r="Q38" i="95"/>
  <c r="T14" i="90"/>
  <c r="BC20" i="88"/>
  <c r="BA20" i="88"/>
  <c r="AT17" i="88"/>
  <c r="AZ67" i="58"/>
  <c r="AT21" i="88"/>
  <c r="BC67" i="88"/>
  <c r="AT23" i="88"/>
  <c r="BB20" i="88"/>
  <c r="G34" i="96"/>
  <c r="Q38" i="90"/>
  <c r="AZ69" i="88"/>
  <c r="Q16" i="90"/>
  <c r="AZ68" i="58"/>
  <c r="AZ23" i="88"/>
  <c r="BC67" i="93"/>
  <c r="T40" i="95"/>
  <c r="BC69" i="93"/>
  <c r="J34" i="48"/>
  <c r="BC67" i="58"/>
  <c r="T16" i="90"/>
  <c r="AT69" i="93"/>
  <c r="T39" i="90"/>
  <c r="J26" i="48"/>
  <c r="J26" i="91"/>
  <c r="J26" i="96"/>
  <c r="AT68" i="93"/>
  <c r="BC68" i="93"/>
  <c r="T38" i="95"/>
  <c r="BC68" i="58"/>
  <c r="T12" i="90"/>
  <c r="T13" i="90"/>
  <c r="T40" i="86"/>
  <c r="BC17" i="88"/>
  <c r="T38" i="86"/>
  <c r="BA67" i="88"/>
  <c r="H33" i="91"/>
  <c r="R38" i="90"/>
  <c r="AT67" i="88"/>
  <c r="I26" i="96"/>
  <c r="S39" i="95"/>
  <c r="BB68" i="93"/>
  <c r="I26" i="91"/>
  <c r="BB68" i="88"/>
  <c r="S39" i="90"/>
  <c r="S16" i="90"/>
  <c r="BB21" i="88"/>
  <c r="S18" i="90"/>
  <c r="BB23" i="88"/>
  <c r="I34" i="96"/>
  <c r="BB69" i="93"/>
  <c r="S40" i="95"/>
  <c r="H26" i="91"/>
  <c r="BA68" i="88"/>
  <c r="R39" i="90"/>
  <c r="R16" i="90"/>
  <c r="BA21" i="88"/>
  <c r="R12" i="90"/>
  <c r="BA17" i="88"/>
  <c r="BA18" i="88"/>
  <c r="R13" i="90"/>
  <c r="BA69" i="88"/>
  <c r="R40" i="90"/>
  <c r="H34" i="91"/>
  <c r="S12" i="90"/>
  <c r="BB17" i="88"/>
  <c r="S38" i="95"/>
  <c r="I33" i="96"/>
  <c r="BB67" i="93"/>
  <c r="H34" i="48"/>
  <c r="R40" i="86"/>
  <c r="BA69" i="58"/>
  <c r="H33" i="48"/>
  <c r="BA67" i="58"/>
  <c r="R38" i="86"/>
  <c r="AT69" i="58"/>
  <c r="AT67" i="93"/>
  <c r="S39" i="86"/>
  <c r="BB68" i="58"/>
  <c r="I26" i="48"/>
  <c r="S13" i="90"/>
  <c r="BB18" i="88"/>
  <c r="BB67" i="58"/>
  <c r="S38" i="86"/>
  <c r="I33" i="48"/>
  <c r="I33" i="91"/>
  <c r="S38" i="90"/>
  <c r="BB67" i="88"/>
  <c r="AT69" i="88"/>
  <c r="AT68" i="88"/>
  <c r="R39" i="95"/>
  <c r="BA68" i="93"/>
  <c r="H26" i="96"/>
  <c r="H26" i="48"/>
  <c r="BA68" i="58"/>
  <c r="R39" i="86"/>
  <c r="BA23" i="88"/>
  <c r="R18" i="90"/>
  <c r="BA69" i="93"/>
  <c r="H34" i="96"/>
  <c r="R40" i="95"/>
  <c r="H33" i="96"/>
  <c r="BA67" i="93"/>
  <c r="R38" i="95"/>
  <c r="AT67" i="58"/>
  <c r="AT68" i="58"/>
  <c r="BB69" i="58"/>
  <c r="S40" i="86"/>
  <c r="I34" i="48"/>
  <c r="S40" i="90"/>
  <c r="BB69" i="88"/>
  <c r="I34" i="91"/>
  <c r="BE67" i="88" l="1"/>
  <c r="BE69" i="58"/>
  <c r="BE69" i="93"/>
  <c r="V17" i="86"/>
  <c r="BE67" i="93"/>
  <c r="V17" i="95"/>
  <c r="BE67" i="58"/>
  <c r="BE69" i="88"/>
  <c r="BE22" i="88"/>
  <c r="V17" i="90"/>
  <c r="BE22" i="58"/>
  <c r="BE22" i="93"/>
  <c r="BE68" i="88"/>
  <c r="BE68" i="93"/>
  <c r="BE68" i="58"/>
  <c r="BE24" i="88"/>
  <c r="V19" i="90"/>
  <c r="BD20" i="88"/>
  <c r="BD25" i="88" s="1"/>
  <c r="U15" i="90"/>
  <c r="AQ25" i="88"/>
  <c r="AO25" i="88"/>
  <c r="AP25" i="88"/>
  <c r="BB19" i="88"/>
  <c r="BB25" i="88" s="1"/>
  <c r="R15" i="90"/>
  <c r="S15" i="90"/>
  <c r="AR25" i="88"/>
  <c r="S14" i="90"/>
  <c r="BA19" i="88"/>
  <c r="BA25" i="88" s="1"/>
  <c r="R14" i="90"/>
  <c r="AT20" i="88"/>
  <c r="AZ20" i="88"/>
  <c r="Q15" i="90"/>
  <c r="AT19" i="88"/>
  <c r="AZ19" i="88"/>
  <c r="Q14" i="90"/>
  <c r="BC19" i="88"/>
  <c r="BC25" i="88" s="1"/>
  <c r="T15" i="90"/>
  <c r="V40" i="95"/>
  <c r="BE23" i="88"/>
  <c r="V18" i="90"/>
  <c r="V38" i="95"/>
  <c r="BE21" i="88"/>
  <c r="V39" i="95"/>
  <c r="BE18" i="88"/>
  <c r="V13" i="90"/>
  <c r="V12" i="90"/>
  <c r="L26" i="96"/>
  <c r="V38" i="86"/>
  <c r="V16" i="90"/>
  <c r="V38" i="90"/>
  <c r="V40" i="86"/>
  <c r="V40" i="90"/>
  <c r="V39" i="90"/>
  <c r="L26" i="91"/>
  <c r="V39" i="86"/>
  <c r="BE17" i="88"/>
  <c r="BE20" i="88" l="1"/>
  <c r="BE19" i="88"/>
  <c r="AT25" i="88"/>
  <c r="V14" i="90"/>
  <c r="AZ25" i="88"/>
  <c r="V15" i="90"/>
  <c r="BE25" i="88" l="1"/>
  <c r="L10" i="48" l="1"/>
  <c r="L26" i="48" l="1"/>
  <c r="AO24" i="58" l="1"/>
  <c r="Q19" i="86" l="1"/>
  <c r="AS24" i="93"/>
  <c r="AS24" i="58"/>
  <c r="AR24" i="93"/>
  <c r="AR24" i="58"/>
  <c r="AZ24" i="58"/>
  <c r="AE63" i="88"/>
  <c r="AH63" i="88"/>
  <c r="N34" i="62"/>
  <c r="O34" i="62"/>
  <c r="P34" i="62"/>
  <c r="Q34" i="62"/>
  <c r="N58" i="62"/>
  <c r="O58" i="62"/>
  <c r="P58" i="62"/>
  <c r="Q58" i="62"/>
  <c r="AE66" i="88"/>
  <c r="AP66" i="88" s="1"/>
  <c r="AF66" i="88"/>
  <c r="AQ66" i="88" s="1"/>
  <c r="AF62" i="88" l="1"/>
  <c r="AQ62" i="88" s="1"/>
  <c r="BC24" i="93"/>
  <c r="T19" i="95"/>
  <c r="AE62" i="88"/>
  <c r="AP62" i="88" s="1"/>
  <c r="BD24" i="58"/>
  <c r="U19" i="86"/>
  <c r="AH62" i="88"/>
  <c r="AS62" i="88" s="1"/>
  <c r="BD24" i="93"/>
  <c r="U19" i="95"/>
  <c r="AG62" i="88"/>
  <c r="J11" i="91" s="1"/>
  <c r="BC24" i="58"/>
  <c r="T19" i="86"/>
  <c r="AF65" i="88"/>
  <c r="AQ65" i="88" s="1"/>
  <c r="AG65" i="88"/>
  <c r="AR65" i="88" s="1"/>
  <c r="AE65" i="88"/>
  <c r="AP65" i="88" s="1"/>
  <c r="AH65" i="88"/>
  <c r="AS65" i="88" s="1"/>
  <c r="R46" i="62"/>
  <c r="AD63" i="88"/>
  <c r="AD66" i="88"/>
  <c r="R37" i="62"/>
  <c r="I11" i="91"/>
  <c r="AS63" i="88"/>
  <c r="R49" i="62"/>
  <c r="AH66" i="88"/>
  <c r="AS66" i="88" s="1"/>
  <c r="R38" i="62"/>
  <c r="R56" i="62"/>
  <c r="R58" i="62" s="1"/>
  <c r="M58" i="62"/>
  <c r="AG63" i="88"/>
  <c r="R51" i="62"/>
  <c r="AO24" i="93"/>
  <c r="S37" i="90"/>
  <c r="BB66" i="88"/>
  <c r="AP63" i="88"/>
  <c r="R37" i="90"/>
  <c r="BA66" i="88"/>
  <c r="AG66" i="88"/>
  <c r="AR66" i="88" s="1"/>
  <c r="M34" i="62"/>
  <c r="R32" i="62"/>
  <c r="AF63" i="88"/>
  <c r="BA65" i="88" l="1"/>
  <c r="BB65" i="88"/>
  <c r="U36" i="90"/>
  <c r="T36" i="90"/>
  <c r="Q19" i="95"/>
  <c r="BC65" i="88"/>
  <c r="H11" i="91"/>
  <c r="AR62" i="88"/>
  <c r="R52" i="62"/>
  <c r="H19" i="91"/>
  <c r="AD62" i="88"/>
  <c r="G11" i="91" s="1"/>
  <c r="R36" i="90"/>
  <c r="K11" i="91"/>
  <c r="S36" i="90"/>
  <c r="R39" i="62"/>
  <c r="BD65" i="88"/>
  <c r="U33" i="90"/>
  <c r="K27" i="91"/>
  <c r="BD62" i="88"/>
  <c r="BA63" i="88"/>
  <c r="R34" i="90"/>
  <c r="S33" i="90"/>
  <c r="I27" i="91"/>
  <c r="BB62" i="88"/>
  <c r="T37" i="90"/>
  <c r="BC66" i="88"/>
  <c r="R33" i="90"/>
  <c r="BA62" i="88"/>
  <c r="H27" i="91"/>
  <c r="K19" i="91"/>
  <c r="AQ63" i="88"/>
  <c r="I19" i="91"/>
  <c r="AI63" i="88"/>
  <c r="AO63" i="88"/>
  <c r="H35" i="91"/>
  <c r="AD65" i="88"/>
  <c r="R34" i="62"/>
  <c r="J19" i="91"/>
  <c r="AR63" i="88"/>
  <c r="K35" i="91"/>
  <c r="U34" i="90"/>
  <c r="BD63" i="88"/>
  <c r="AZ24" i="93"/>
  <c r="U37" i="90"/>
  <c r="BD66" i="88"/>
  <c r="AI66" i="88"/>
  <c r="AO66" i="88"/>
  <c r="J35" i="91" l="1"/>
  <c r="BC62" i="88"/>
  <c r="T33" i="90"/>
  <c r="J27" i="91"/>
  <c r="L11" i="91"/>
  <c r="AI62" i="88"/>
  <c r="AO62" i="88"/>
  <c r="AQ23" i="58"/>
  <c r="AQ18" i="58"/>
  <c r="AI17" i="58"/>
  <c r="AO17" i="58"/>
  <c r="AQ17" i="58"/>
  <c r="AO18" i="58"/>
  <c r="AI18" i="58"/>
  <c r="AR17" i="58"/>
  <c r="Q37" i="90"/>
  <c r="AZ66" i="88"/>
  <c r="BE66" i="88" s="1"/>
  <c r="AT66" i="88"/>
  <c r="AP18" i="58"/>
  <c r="AS17" i="58"/>
  <c r="BC63" i="88"/>
  <c r="T34" i="90"/>
  <c r="AI65" i="88"/>
  <c r="AO65" i="88"/>
  <c r="G19" i="91"/>
  <c r="L19" i="91" s="1"/>
  <c r="AR23" i="58"/>
  <c r="AP23" i="58"/>
  <c r="AI23" i="58"/>
  <c r="AO23" i="58"/>
  <c r="AS23" i="58"/>
  <c r="AR18" i="58"/>
  <c r="AT63" i="88"/>
  <c r="Q34" i="90"/>
  <c r="AZ63" i="88"/>
  <c r="S34" i="90"/>
  <c r="BB63" i="88"/>
  <c r="I35" i="91"/>
  <c r="AP17" i="58"/>
  <c r="AS18" i="58"/>
  <c r="G27" i="91" l="1"/>
  <c r="L27" i="91"/>
  <c r="Q33" i="90"/>
  <c r="V33" i="90" s="1"/>
  <c r="AT62" i="88"/>
  <c r="AZ62" i="88"/>
  <c r="BE62" i="88" s="1"/>
  <c r="BE63" i="88"/>
  <c r="AS18" i="93"/>
  <c r="AR18" i="93"/>
  <c r="AS23" i="93"/>
  <c r="BA23" i="58"/>
  <c r="R18" i="86"/>
  <c r="AS17" i="93"/>
  <c r="AR17" i="93"/>
  <c r="AI18" i="93"/>
  <c r="AO18" i="93"/>
  <c r="AQ17" i="93"/>
  <c r="AT17" i="58"/>
  <c r="Q12" i="86"/>
  <c r="AZ17" i="58"/>
  <c r="AQ18" i="93"/>
  <c r="AQ23" i="93"/>
  <c r="AP17" i="93"/>
  <c r="BC18" i="58"/>
  <c r="T13" i="86"/>
  <c r="U18" i="86"/>
  <c r="BD23" i="58"/>
  <c r="AZ23" i="58"/>
  <c r="Q18" i="86"/>
  <c r="AT23" i="58"/>
  <c r="AP23" i="93"/>
  <c r="G35" i="91"/>
  <c r="Q36" i="90"/>
  <c r="AZ65" i="88"/>
  <c r="BE65" i="88" s="1"/>
  <c r="AT65" i="88"/>
  <c r="AP18" i="93"/>
  <c r="V37" i="90"/>
  <c r="T12" i="86"/>
  <c r="BC17" i="58"/>
  <c r="S12" i="86"/>
  <c r="BB17" i="58"/>
  <c r="BB18" i="58"/>
  <c r="S13" i="86"/>
  <c r="S18" i="86"/>
  <c r="BB23" i="58"/>
  <c r="R12" i="86"/>
  <c r="BA17" i="58"/>
  <c r="V34" i="90"/>
  <c r="BC23" i="58"/>
  <c r="T18" i="86"/>
  <c r="BA18" i="58"/>
  <c r="R13" i="86"/>
  <c r="U13" i="86"/>
  <c r="BD18" i="58"/>
  <c r="AO23" i="93"/>
  <c r="AI23" i="93"/>
  <c r="AR23" i="93"/>
  <c r="BD17" i="58"/>
  <c r="U12" i="86"/>
  <c r="AT18" i="58"/>
  <c r="Q13" i="86"/>
  <c r="AZ18" i="58"/>
  <c r="AI17" i="93"/>
  <c r="AO17" i="93"/>
  <c r="L35" i="91" l="1"/>
  <c r="BE18" i="58"/>
  <c r="S18" i="95"/>
  <c r="BB23" i="93"/>
  <c r="V36" i="90"/>
  <c r="BE17" i="58"/>
  <c r="S12" i="95"/>
  <c r="BB17" i="93"/>
  <c r="BC18" i="93"/>
  <c r="T13" i="95"/>
  <c r="BC17" i="93"/>
  <c r="T12" i="95"/>
  <c r="V13" i="86"/>
  <c r="R12" i="95"/>
  <c r="BA17" i="93"/>
  <c r="U18" i="95"/>
  <c r="BD23" i="93"/>
  <c r="BA23" i="93"/>
  <c r="R18" i="95"/>
  <c r="V18" i="86"/>
  <c r="V12" i="86"/>
  <c r="AT17" i="93"/>
  <c r="AZ17" i="93"/>
  <c r="Q12" i="95"/>
  <c r="T18" i="95"/>
  <c r="BC23" i="93"/>
  <c r="BE23" i="58"/>
  <c r="AT23" i="93"/>
  <c r="Q18" i="95"/>
  <c r="AZ23" i="93"/>
  <c r="BA18" i="93"/>
  <c r="R13" i="95"/>
  <c r="S13" i="95"/>
  <c r="BB18" i="93"/>
  <c r="AT18" i="93"/>
  <c r="AZ18" i="93"/>
  <c r="Q13" i="95"/>
  <c r="BD17" i="93"/>
  <c r="U12" i="95"/>
  <c r="BD18" i="93"/>
  <c r="U13" i="95"/>
  <c r="BE23" i="93" l="1"/>
  <c r="BE18" i="93"/>
  <c r="V12" i="95"/>
  <c r="BE17" i="93"/>
  <c r="V13" i="95"/>
  <c r="V18" i="95"/>
  <c r="W49" i="62" l="1"/>
  <c r="X49" i="62"/>
  <c r="Y49" i="62"/>
  <c r="Z49" i="62"/>
  <c r="W51" i="62"/>
  <c r="X51" i="62"/>
  <c r="Y51" i="62"/>
  <c r="Z51" i="62"/>
  <c r="W38" i="62"/>
  <c r="X38" i="62"/>
  <c r="Y38" i="62"/>
  <c r="Z38" i="62"/>
  <c r="X32" i="62" l="1"/>
  <c r="X34" i="62" s="1"/>
  <c r="F34" i="62"/>
  <c r="I37" i="62"/>
  <c r="AD66" i="58"/>
  <c r="V37" i="62"/>
  <c r="W37" i="62"/>
  <c r="W39" i="62" s="1"/>
  <c r="W40" i="62" s="1"/>
  <c r="AE66" i="58"/>
  <c r="V51" i="62"/>
  <c r="AA51" i="62" s="1"/>
  <c r="I51" i="62"/>
  <c r="AF63" i="58"/>
  <c r="X46" i="62"/>
  <c r="X52" i="62" s="1"/>
  <c r="X53" i="62" s="1"/>
  <c r="G58" i="62"/>
  <c r="Y56" i="62"/>
  <c r="Y58" i="62" s="1"/>
  <c r="E34" i="62"/>
  <c r="W32" i="62"/>
  <c r="W34" i="62" s="1"/>
  <c r="AH66" i="58"/>
  <c r="Z37" i="62"/>
  <c r="Z39" i="62" s="1"/>
  <c r="Z40" i="62" s="1"/>
  <c r="I38" i="62"/>
  <c r="V38" i="62"/>
  <c r="AA38" i="62" s="1"/>
  <c r="AE63" i="58"/>
  <c r="W46" i="62"/>
  <c r="W52" i="62" s="1"/>
  <c r="W53" i="62" s="1"/>
  <c r="X56" i="62"/>
  <c r="X58" i="62" s="1"/>
  <c r="F58" i="62"/>
  <c r="Y37" i="62"/>
  <c r="Y39" i="62" s="1"/>
  <c r="Y40" i="62" s="1"/>
  <c r="AG66" i="58"/>
  <c r="W56" i="62"/>
  <c r="W58" i="62" s="1"/>
  <c r="E58" i="62"/>
  <c r="Z32" i="62"/>
  <c r="Z34" i="62" s="1"/>
  <c r="H34" i="62"/>
  <c r="D34" i="62"/>
  <c r="I32" i="62"/>
  <c r="V32" i="62"/>
  <c r="V49" i="62"/>
  <c r="AA49" i="62" s="1"/>
  <c r="I49" i="62"/>
  <c r="Z46" i="62"/>
  <c r="Z52" i="62" s="1"/>
  <c r="Z53" i="62" s="1"/>
  <c r="AH63" i="58"/>
  <c r="AD63" i="58"/>
  <c r="V46" i="62"/>
  <c r="I46" i="62"/>
  <c r="Y32" i="62"/>
  <c r="Y34" i="62" s="1"/>
  <c r="G34" i="62"/>
  <c r="AF66" i="58"/>
  <c r="X37" i="62"/>
  <c r="X39" i="62" s="1"/>
  <c r="X40" i="62" s="1"/>
  <c r="AG63" i="58"/>
  <c r="Y46" i="62"/>
  <c r="Y52" i="62" s="1"/>
  <c r="Y53" i="62" s="1"/>
  <c r="H58" i="62"/>
  <c r="Z56" i="62"/>
  <c r="Z58" i="62" s="1"/>
  <c r="D58" i="62"/>
  <c r="V56" i="62"/>
  <c r="I56" i="62"/>
  <c r="I58" i="62" s="1"/>
  <c r="Y35" i="62" l="1"/>
  <c r="Z59" i="62"/>
  <c r="I52" i="62"/>
  <c r="Z35" i="62"/>
  <c r="W35" i="62"/>
  <c r="V52" i="62"/>
  <c r="V53" i="62" s="1"/>
  <c r="AF62" i="58"/>
  <c r="AF62" i="93" s="1"/>
  <c r="AH62" i="58"/>
  <c r="AH62" i="93" s="1"/>
  <c r="AD62" i="58"/>
  <c r="G11" i="48" s="1"/>
  <c r="AG62" i="58"/>
  <c r="AR62" i="58" s="1"/>
  <c r="AE62" i="58"/>
  <c r="AE62" i="93" s="1"/>
  <c r="W59" i="62"/>
  <c r="X59" i="62"/>
  <c r="Y59" i="62"/>
  <c r="X35" i="62"/>
  <c r="I39" i="62"/>
  <c r="AE65" i="58"/>
  <c r="AE65" i="93" s="1"/>
  <c r="AF65" i="58"/>
  <c r="AF65" i="93" s="1"/>
  <c r="AG65" i="58"/>
  <c r="J19" i="48" s="1"/>
  <c r="AH65" i="58"/>
  <c r="K19" i="48" s="1"/>
  <c r="AG63" i="93"/>
  <c r="AR63" i="58"/>
  <c r="AS66" i="58"/>
  <c r="AH66" i="93"/>
  <c r="I11" i="48"/>
  <c r="AE66" i="93"/>
  <c r="AP66" i="58"/>
  <c r="AS62" i="58"/>
  <c r="AF66" i="93"/>
  <c r="AQ66" i="58"/>
  <c r="AA46" i="62"/>
  <c r="AA52" i="62" s="1"/>
  <c r="I34" i="62"/>
  <c r="AD65" i="58"/>
  <c r="G19" i="48" s="1"/>
  <c r="AF63" i="93"/>
  <c r="AQ63" i="58"/>
  <c r="AH63" i="93"/>
  <c r="AS63" i="58"/>
  <c r="AA32" i="62"/>
  <c r="V34" i="62"/>
  <c r="AP63" i="58"/>
  <c r="AE63" i="93"/>
  <c r="AI66" i="58"/>
  <c r="AO66" i="58"/>
  <c r="AD66" i="93"/>
  <c r="AA56" i="62"/>
  <c r="AA58" i="62" s="1"/>
  <c r="AA59" i="62" s="1"/>
  <c r="V58" i="62"/>
  <c r="V59" i="62" s="1"/>
  <c r="AI63" i="58"/>
  <c r="AD63" i="93"/>
  <c r="AO63" i="58"/>
  <c r="AG66" i="93"/>
  <c r="AR66" i="58"/>
  <c r="V39" i="62"/>
  <c r="V40" i="62" s="1"/>
  <c r="AA37" i="62"/>
  <c r="AA39" i="62" s="1"/>
  <c r="AA53" i="62" l="1"/>
  <c r="H11" i="48"/>
  <c r="AH65" i="93"/>
  <c r="AS65" i="93" s="1"/>
  <c r="AO62" i="58"/>
  <c r="AD62" i="93"/>
  <c r="AS65" i="58"/>
  <c r="AQ62" i="58"/>
  <c r="BB62" i="58" s="1"/>
  <c r="AP62" i="58"/>
  <c r="AI62" i="58"/>
  <c r="AQ65" i="58"/>
  <c r="I19" i="48"/>
  <c r="AG62" i="93"/>
  <c r="AA34" i="62"/>
  <c r="AA35" i="62" s="1"/>
  <c r="V35" i="62"/>
  <c r="AG65" i="93"/>
  <c r="J19" i="96" s="1"/>
  <c r="AP65" i="58"/>
  <c r="K11" i="48"/>
  <c r="J11" i="48"/>
  <c r="AR65" i="58"/>
  <c r="AA40" i="62"/>
  <c r="H19" i="48"/>
  <c r="G27" i="48"/>
  <c r="BD62" i="58"/>
  <c r="K27" i="48"/>
  <c r="U33" i="86"/>
  <c r="AQ62" i="93"/>
  <c r="I11" i="96"/>
  <c r="AP63" i="93"/>
  <c r="H19" i="96"/>
  <c r="AO62" i="93"/>
  <c r="G11" i="96"/>
  <c r="AQ63" i="93"/>
  <c r="I19" i="96"/>
  <c r="AO65" i="58"/>
  <c r="AI65" i="58"/>
  <c r="AD65" i="93"/>
  <c r="G19" i="96" s="1"/>
  <c r="BB66" i="58"/>
  <c r="S37" i="86"/>
  <c r="T33" i="86"/>
  <c r="J27" i="48"/>
  <c r="BC62" i="58"/>
  <c r="T34" i="86"/>
  <c r="BC63" i="58"/>
  <c r="AR66" i="93"/>
  <c r="Q34" i="86"/>
  <c r="AT63" i="58"/>
  <c r="AZ63" i="58"/>
  <c r="AI66" i="93"/>
  <c r="AO66" i="93"/>
  <c r="BA63" i="58"/>
  <c r="R34" i="86"/>
  <c r="U34" i="86"/>
  <c r="BD63" i="58"/>
  <c r="AQ66" i="93"/>
  <c r="K11" i="96"/>
  <c r="AS62" i="93"/>
  <c r="AR63" i="93"/>
  <c r="S34" i="86"/>
  <c r="BB63" i="58"/>
  <c r="AP65" i="93"/>
  <c r="AP66" i="93"/>
  <c r="BD66" i="58"/>
  <c r="U37" i="86"/>
  <c r="T37" i="86"/>
  <c r="BC66" i="58"/>
  <c r="AI63" i="93"/>
  <c r="AO63" i="93"/>
  <c r="AT66" i="58"/>
  <c r="AZ66" i="58"/>
  <c r="Q37" i="86"/>
  <c r="AS63" i="93"/>
  <c r="AQ65" i="93"/>
  <c r="BA66" i="58"/>
  <c r="R37" i="86"/>
  <c r="AP62" i="93"/>
  <c r="H11" i="96"/>
  <c r="AS66" i="93"/>
  <c r="AZ62" i="58" l="1"/>
  <c r="BE62" i="58" s="1"/>
  <c r="K19" i="96"/>
  <c r="BD65" i="58"/>
  <c r="K35" i="48"/>
  <c r="Q33" i="86"/>
  <c r="T36" i="86"/>
  <c r="S33" i="86"/>
  <c r="I35" i="48"/>
  <c r="U36" i="86"/>
  <c r="S36" i="86"/>
  <c r="BA65" i="58"/>
  <c r="I27" i="48"/>
  <c r="AT62" i="58"/>
  <c r="H27" i="48"/>
  <c r="R33" i="86"/>
  <c r="AI62" i="93"/>
  <c r="J11" i="96"/>
  <c r="BA62" i="58"/>
  <c r="L11" i="48"/>
  <c r="BB65" i="58"/>
  <c r="AR62" i="93"/>
  <c r="L19" i="48"/>
  <c r="R36" i="86"/>
  <c r="H35" i="48"/>
  <c r="AR65" i="93"/>
  <c r="BE66" i="58"/>
  <c r="BE63" i="58"/>
  <c r="J35" i="48"/>
  <c r="BC65" i="58"/>
  <c r="AT63" i="93"/>
  <c r="AZ63" i="93"/>
  <c r="Q34" i="95"/>
  <c r="BD63" i="93"/>
  <c r="U34" i="95"/>
  <c r="BA65" i="93"/>
  <c r="H35" i="96"/>
  <c r="R36" i="95"/>
  <c r="U37" i="95"/>
  <c r="BD66" i="93"/>
  <c r="BB65" i="93"/>
  <c r="S36" i="95"/>
  <c r="I35" i="96"/>
  <c r="BA66" i="93"/>
  <c r="R37" i="95"/>
  <c r="AO65" i="93"/>
  <c r="AI65" i="93"/>
  <c r="I27" i="96"/>
  <c r="S33" i="95"/>
  <c r="BB62" i="93"/>
  <c r="V37" i="86"/>
  <c r="AT66" i="93"/>
  <c r="AZ66" i="93"/>
  <c r="Q37" i="95"/>
  <c r="T37" i="95"/>
  <c r="BC66" i="93"/>
  <c r="G35" i="48"/>
  <c r="AZ65" i="58"/>
  <c r="AT65" i="58"/>
  <c r="Q36" i="86"/>
  <c r="AZ62" i="93"/>
  <c r="Q33" i="95"/>
  <c r="G27" i="96"/>
  <c r="BC63" i="93"/>
  <c r="T34" i="95"/>
  <c r="K27" i="96"/>
  <c r="BD62" i="93"/>
  <c r="U33" i="95"/>
  <c r="R33" i="95"/>
  <c r="BA62" i="93"/>
  <c r="H27" i="96"/>
  <c r="L19" i="96"/>
  <c r="S37" i="95"/>
  <c r="BB66" i="93"/>
  <c r="V34" i="86"/>
  <c r="S34" i="95"/>
  <c r="BB63" i="93"/>
  <c r="R34" i="95"/>
  <c r="BA63" i="93"/>
  <c r="K35" i="96"/>
  <c r="BD65" i="93"/>
  <c r="U36" i="95"/>
  <c r="V33" i="86" l="1"/>
  <c r="L11" i="96"/>
  <c r="T36" i="95"/>
  <c r="L27" i="48"/>
  <c r="J27" i="96"/>
  <c r="AT62" i="93"/>
  <c r="T33" i="95"/>
  <c r="V33" i="95" s="1"/>
  <c r="BC62" i="93"/>
  <c r="BE62" i="93" s="1"/>
  <c r="BE65" i="58"/>
  <c r="BE63" i="93"/>
  <c r="BC65" i="93"/>
  <c r="BE66" i="93"/>
  <c r="J35" i="96"/>
  <c r="L35" i="48"/>
  <c r="V34" i="95"/>
  <c r="AZ65" i="93"/>
  <c r="AT65" i="93"/>
  <c r="Q36" i="95"/>
  <c r="G35" i="96"/>
  <c r="V36" i="86"/>
  <c r="V37" i="95"/>
  <c r="L27" i="96" l="1"/>
  <c r="BE65" i="93"/>
  <c r="L35" i="96"/>
  <c r="V36" i="95"/>
  <c r="R26" i="62" l="1"/>
  <c r="Z26" i="62" l="1"/>
  <c r="V26" i="62"/>
  <c r="X26" i="62"/>
  <c r="Y26" i="62"/>
  <c r="W26" i="62"/>
  <c r="AA26" i="62" l="1"/>
  <c r="I26" i="62"/>
  <c r="R25" i="62" l="1"/>
  <c r="Z25" i="62" l="1"/>
  <c r="Y25" i="62"/>
  <c r="W25" i="62"/>
  <c r="V25" i="62"/>
  <c r="I25" i="62"/>
  <c r="X25" i="62"/>
  <c r="AA25" i="62" l="1"/>
  <c r="O27" i="62" l="1"/>
  <c r="R23" i="62"/>
  <c r="R24" i="62"/>
  <c r="P27" i="62"/>
  <c r="R21" i="62"/>
  <c r="M27" i="62"/>
  <c r="R22" i="62"/>
  <c r="Q27" i="62"/>
  <c r="AH64" i="88" l="1"/>
  <c r="AG64" i="88"/>
  <c r="V22" i="62"/>
  <c r="V24" i="62"/>
  <c r="X23" i="62"/>
  <c r="W22" i="62"/>
  <c r="AD64" i="88"/>
  <c r="X22" i="62"/>
  <c r="X24" i="62"/>
  <c r="W23" i="62"/>
  <c r="AF64" i="88"/>
  <c r="X21" i="62"/>
  <c r="Y21" i="62"/>
  <c r="G27" i="62"/>
  <c r="R27" i="62"/>
  <c r="Y23" i="62"/>
  <c r="I21" i="62"/>
  <c r="V21" i="62"/>
  <c r="D27" i="62"/>
  <c r="V23" i="62"/>
  <c r="W21" i="62"/>
  <c r="E27" i="62"/>
  <c r="Z22" i="62"/>
  <c r="N27" i="62"/>
  <c r="Z23" i="62"/>
  <c r="Y22" i="62"/>
  <c r="Y24" i="62"/>
  <c r="H27" i="62"/>
  <c r="Z21" i="62"/>
  <c r="Z24" i="62"/>
  <c r="W24" i="62"/>
  <c r="AA23" i="62" l="1"/>
  <c r="AE64" i="58"/>
  <c r="AD64" i="58"/>
  <c r="X27" i="62"/>
  <c r="I24" i="62"/>
  <c r="Z27" i="62"/>
  <c r="AE64" i="88"/>
  <c r="W27" i="62"/>
  <c r="V27" i="62"/>
  <c r="AA21" i="62"/>
  <c r="F27" i="62"/>
  <c r="AA24" i="62"/>
  <c r="AR64" i="88"/>
  <c r="J12" i="91"/>
  <c r="AG70" i="88"/>
  <c r="AH64" i="58"/>
  <c r="AG64" i="58"/>
  <c r="I22" i="62"/>
  <c r="I23" i="62"/>
  <c r="Y27" i="62"/>
  <c r="I12" i="91"/>
  <c r="AQ64" i="88"/>
  <c r="AF70" i="88"/>
  <c r="AO64" i="88"/>
  <c r="G12" i="91"/>
  <c r="AD70" i="88"/>
  <c r="AA22" i="62"/>
  <c r="AS64" i="88"/>
  <c r="K12" i="91"/>
  <c r="AH70" i="88"/>
  <c r="X28" i="62" l="1"/>
  <c r="Y28" i="62"/>
  <c r="V28" i="62"/>
  <c r="Z28" i="62"/>
  <c r="W28" i="62"/>
  <c r="I27" i="62"/>
  <c r="AA27" i="62"/>
  <c r="K28" i="91"/>
  <c r="BD64" i="88"/>
  <c r="BD70" i="88" s="1"/>
  <c r="U35" i="90"/>
  <c r="AS70" i="88"/>
  <c r="J12" i="48"/>
  <c r="AR64" i="58"/>
  <c r="AG64" i="93"/>
  <c r="AG70" i="58"/>
  <c r="AZ64" i="88"/>
  <c r="Q35" i="90"/>
  <c r="G28" i="91"/>
  <c r="AO70" i="88"/>
  <c r="AF64" i="58"/>
  <c r="AI64" i="58" s="1"/>
  <c r="AI70" i="58" s="1"/>
  <c r="AP64" i="58"/>
  <c r="AE64" i="93"/>
  <c r="H12" i="48"/>
  <c r="AE70" i="58"/>
  <c r="H12" i="91"/>
  <c r="AP64" i="88"/>
  <c r="AE70" i="88"/>
  <c r="AI64" i="88"/>
  <c r="AI70" i="88" s="1"/>
  <c r="I28" i="91"/>
  <c r="BB64" i="88"/>
  <c r="BB70" i="88" s="1"/>
  <c r="S35" i="90"/>
  <c r="AQ70" i="88"/>
  <c r="AH64" i="93"/>
  <c r="AS64" i="58"/>
  <c r="K12" i="48"/>
  <c r="AH70" i="58"/>
  <c r="T35" i="90"/>
  <c r="BC64" i="88"/>
  <c r="BC70" i="88" s="1"/>
  <c r="J28" i="91"/>
  <c r="AR70" i="88"/>
  <c r="G12" i="48"/>
  <c r="AO64" i="58"/>
  <c r="AD64" i="93"/>
  <c r="AD70" i="58"/>
  <c r="AT64" i="88" l="1"/>
  <c r="AT70" i="88" s="1"/>
  <c r="AZ70" i="88"/>
  <c r="AA28" i="62"/>
  <c r="AS64" i="93"/>
  <c r="K12" i="96"/>
  <c r="AH70" i="93"/>
  <c r="H12" i="96"/>
  <c r="AP64" i="93"/>
  <c r="AE70" i="93"/>
  <c r="U41" i="90"/>
  <c r="G12" i="96"/>
  <c r="AO64" i="93"/>
  <c r="AD70" i="93"/>
  <c r="S41" i="90"/>
  <c r="J12" i="96"/>
  <c r="AR64" i="93"/>
  <c r="AG70" i="93"/>
  <c r="L12" i="91"/>
  <c r="T41" i="90"/>
  <c r="Q41" i="90"/>
  <c r="R35" i="90"/>
  <c r="V35" i="90" s="1"/>
  <c r="H28" i="91"/>
  <c r="BA64" i="88"/>
  <c r="BA70" i="88" s="1"/>
  <c r="AP70" i="88"/>
  <c r="H28" i="48"/>
  <c r="BA64" i="58"/>
  <c r="BA70" i="58" s="1"/>
  <c r="R35" i="86"/>
  <c r="AP70" i="58"/>
  <c r="Q35" i="86"/>
  <c r="G28" i="48"/>
  <c r="AZ64" i="58"/>
  <c r="AO70" i="58"/>
  <c r="BD64" i="58"/>
  <c r="BD70" i="58" s="1"/>
  <c r="U35" i="86"/>
  <c r="K28" i="48"/>
  <c r="AS70" i="58"/>
  <c r="AF64" i="93"/>
  <c r="AI64" i="93" s="1"/>
  <c r="AI70" i="93" s="1"/>
  <c r="I12" i="48"/>
  <c r="AQ64" i="58"/>
  <c r="AF70" i="58"/>
  <c r="J28" i="48"/>
  <c r="T35" i="86"/>
  <c r="BC64" i="58"/>
  <c r="BC70" i="58" s="1"/>
  <c r="AR70" i="58"/>
  <c r="AT64" i="58" l="1"/>
  <c r="AT70" i="58" s="1"/>
  <c r="L28" i="91"/>
  <c r="BE64" i="88"/>
  <c r="BE70" i="88" s="1"/>
  <c r="AZ70" i="58"/>
  <c r="AQ64" i="93"/>
  <c r="I12" i="96"/>
  <c r="AF70" i="93"/>
  <c r="U41" i="86"/>
  <c r="R41" i="86"/>
  <c r="BC64" i="93"/>
  <c r="BC70" i="93" s="1"/>
  <c r="J28" i="96"/>
  <c r="T35" i="95"/>
  <c r="AR70" i="93"/>
  <c r="K28" i="96"/>
  <c r="U35" i="95"/>
  <c r="BD64" i="93"/>
  <c r="BD70" i="93" s="1"/>
  <c r="AS70" i="93"/>
  <c r="T41" i="86"/>
  <c r="S35" i="86"/>
  <c r="V35" i="86" s="1"/>
  <c r="BB64" i="58"/>
  <c r="BB70" i="58" s="1"/>
  <c r="I28" i="48"/>
  <c r="AQ70" i="58"/>
  <c r="Q41" i="86"/>
  <c r="R41" i="90"/>
  <c r="V41" i="90" s="1"/>
  <c r="AZ64" i="93"/>
  <c r="G28" i="96"/>
  <c r="Q35" i="95"/>
  <c r="AO70" i="93"/>
  <c r="H28" i="96"/>
  <c r="R35" i="95"/>
  <c r="BA64" i="93"/>
  <c r="BA70" i="93" s="1"/>
  <c r="AP70" i="93"/>
  <c r="L12" i="48"/>
  <c r="AT64" i="93" l="1"/>
  <c r="AT70" i="93" s="1"/>
  <c r="BE64" i="58"/>
  <c r="BE70" i="58" s="1"/>
  <c r="AZ70" i="93"/>
  <c r="Q41" i="95"/>
  <c r="L28" i="48"/>
  <c r="R41" i="95"/>
  <c r="S41" i="86"/>
  <c r="T41" i="95"/>
  <c r="U41" i="95"/>
  <c r="L12" i="96"/>
  <c r="BB64" i="93"/>
  <c r="BB70" i="93" s="1"/>
  <c r="I28" i="96"/>
  <c r="S35" i="95"/>
  <c r="AQ70" i="93"/>
  <c r="L28" i="96" l="1"/>
  <c r="BE64" i="93"/>
  <c r="BE70" i="93" s="1"/>
  <c r="V41" i="86"/>
  <c r="S41" i="95"/>
  <c r="V41" i="95" s="1"/>
  <c r="V35" i="95"/>
  <c r="AO20" i="58" l="1"/>
  <c r="AP24" i="58"/>
  <c r="R19" i="86" l="1"/>
  <c r="BA24" i="58"/>
  <c r="AO20" i="93"/>
  <c r="AO10" i="58"/>
  <c r="AP24" i="93" l="1"/>
  <c r="Q15" i="86"/>
  <c r="AZ20" i="58"/>
  <c r="R19" i="95" l="1"/>
  <c r="AZ10" i="58"/>
  <c r="Q10" i="86"/>
  <c r="AZ20" i="93"/>
  <c r="Q15" i="95"/>
  <c r="BA24" i="93"/>
  <c r="AO19" i="58" l="1"/>
  <c r="AO19" i="93" l="1"/>
  <c r="Q14" i="86" l="1"/>
  <c r="AZ19" i="58"/>
  <c r="AZ19" i="93" l="1"/>
  <c r="Q14" i="95"/>
  <c r="AQ24" i="58" l="1"/>
  <c r="S19" i="86" l="1"/>
  <c r="V19" i="86" s="1"/>
  <c r="BB24" i="58"/>
  <c r="BE24" i="58" s="1"/>
  <c r="AT24" i="58"/>
  <c r="AI24" i="58"/>
  <c r="AQ24" i="93" l="1"/>
  <c r="AI24" i="93"/>
  <c r="S19" i="95" l="1"/>
  <c r="V19" i="95" s="1"/>
  <c r="BB24" i="93"/>
  <c r="BE24" i="93" s="1"/>
  <c r="AT24" i="93"/>
  <c r="AP19" i="58" l="1"/>
  <c r="AP20" i="58" l="1"/>
  <c r="AO30" i="58"/>
  <c r="AP19" i="93"/>
  <c r="AQ19" i="58"/>
  <c r="AQ19" i="93" l="1"/>
  <c r="BA19" i="58"/>
  <c r="R14" i="86"/>
  <c r="AP30" i="58"/>
  <c r="Q20" i="86"/>
  <c r="AZ30" i="58"/>
  <c r="AO31" i="58"/>
  <c r="AQ20" i="58"/>
  <c r="AO30" i="88"/>
  <c r="AD31" i="88"/>
  <c r="G8" i="91" s="1"/>
  <c r="AP20" i="93"/>
  <c r="AR19" i="58"/>
  <c r="AR19" i="93" l="1"/>
  <c r="AO31" i="88"/>
  <c r="G24" i="91" s="1"/>
  <c r="Q20" i="90"/>
  <c r="AZ30" i="88"/>
  <c r="R14" i="95"/>
  <c r="BA19" i="93"/>
  <c r="AP30" i="93"/>
  <c r="AE31" i="93"/>
  <c r="BA30" i="58"/>
  <c r="BA31" i="58" s="1"/>
  <c r="R20" i="86"/>
  <c r="AP31" i="58"/>
  <c r="BB19" i="58"/>
  <c r="S14" i="86"/>
  <c r="AR20" i="58"/>
  <c r="AD31" i="93"/>
  <c r="AO30" i="93"/>
  <c r="AQ20" i="93"/>
  <c r="AZ31" i="58"/>
  <c r="AP30" i="88"/>
  <c r="AE31" i="88"/>
  <c r="H8" i="91" s="1"/>
  <c r="R15" i="86"/>
  <c r="BA20" i="58"/>
  <c r="AQ30" i="58"/>
  <c r="AQ30" i="93" l="1"/>
  <c r="AF31" i="93"/>
  <c r="R20" i="90"/>
  <c r="AP31" i="88"/>
  <c r="H24" i="91" s="1"/>
  <c r="BA30" i="88"/>
  <c r="BA31" i="88" s="1"/>
  <c r="AZ31" i="88"/>
  <c r="BC19" i="58"/>
  <c r="T14" i="86"/>
  <c r="AQ30" i="88"/>
  <c r="AF31" i="88"/>
  <c r="I8" i="91" s="1"/>
  <c r="AO31" i="93"/>
  <c r="Q20" i="95"/>
  <c r="AZ30" i="93"/>
  <c r="AR20" i="93"/>
  <c r="AP31" i="93"/>
  <c r="BA30" i="93"/>
  <c r="BA31" i="93" s="1"/>
  <c r="R20" i="95"/>
  <c r="BB30" i="58"/>
  <c r="BB31" i="58" s="1"/>
  <c r="S20" i="86"/>
  <c r="AQ31" i="58"/>
  <c r="BB20" i="58"/>
  <c r="S15" i="86"/>
  <c r="BB19" i="93"/>
  <c r="S14" i="95"/>
  <c r="R15" i="95"/>
  <c r="BA20" i="93"/>
  <c r="AR30" i="58"/>
  <c r="AS19" i="58"/>
  <c r="AS20" i="58" l="1"/>
  <c r="AR30" i="93"/>
  <c r="AG31" i="93"/>
  <c r="AR30" i="88"/>
  <c r="AG31" i="88"/>
  <c r="J8" i="91" s="1"/>
  <c r="AZ31" i="93"/>
  <c r="AQ31" i="88"/>
  <c r="I24" i="91" s="1"/>
  <c r="S20" i="90"/>
  <c r="BB30" i="88"/>
  <c r="T20" i="86"/>
  <c r="AR31" i="58"/>
  <c r="BC30" i="58"/>
  <c r="T14" i="95"/>
  <c r="BC19" i="93"/>
  <c r="BB20" i="93"/>
  <c r="S15" i="95"/>
  <c r="AS19" i="93"/>
  <c r="AI19" i="58"/>
  <c r="BC20" i="58"/>
  <c r="T15" i="86"/>
  <c r="AQ31" i="93"/>
  <c r="S20" i="95"/>
  <c r="BB30" i="93"/>
  <c r="BB31" i="93" s="1"/>
  <c r="AI19" i="93" l="1"/>
  <c r="AR31" i="88"/>
  <c r="J24" i="91" s="1"/>
  <c r="T20" i="90"/>
  <c r="BC30" i="88"/>
  <c r="BC31" i="88" s="1"/>
  <c r="T15" i="95"/>
  <c r="BC20" i="93"/>
  <c r="BB31" i="88"/>
  <c r="BD19" i="58"/>
  <c r="U14" i="86"/>
  <c r="AT19" i="58"/>
  <c r="BC31" i="58"/>
  <c r="AS30" i="58"/>
  <c r="AS20" i="93"/>
  <c r="AI20" i="58"/>
  <c r="AR31" i="93"/>
  <c r="BC30" i="93"/>
  <c r="BC31" i="93" s="1"/>
  <c r="T20" i="95"/>
  <c r="AS31" i="58" l="1"/>
  <c r="U20" i="86"/>
  <c r="BD30" i="58"/>
  <c r="AT30" i="58"/>
  <c r="AT31" i="58" s="1"/>
  <c r="BE19" i="58"/>
  <c r="BD19" i="93"/>
  <c r="U14" i="95"/>
  <c r="AT19" i="93"/>
  <c r="BD20" i="58"/>
  <c r="BE20" i="58" s="1"/>
  <c r="U15" i="86"/>
  <c r="AT20" i="58"/>
  <c r="AS30" i="93"/>
  <c r="AH31" i="93"/>
  <c r="AI30" i="93"/>
  <c r="AI31" i="93" s="1"/>
  <c r="AI20" i="93"/>
  <c r="V14" i="86"/>
  <c r="AS30" i="88"/>
  <c r="AH31" i="88"/>
  <c r="K8" i="91" s="1"/>
  <c r="AI30" i="88"/>
  <c r="AI31" i="88" s="1"/>
  <c r="L8" i="91" l="1"/>
  <c r="AS31" i="88"/>
  <c r="K24" i="91" s="1"/>
  <c r="U20" i="90"/>
  <c r="BD30" i="88"/>
  <c r="AT30" i="88"/>
  <c r="AT31" i="88" s="1"/>
  <c r="BD20" i="93"/>
  <c r="BE20" i="93" s="1"/>
  <c r="U15" i="95"/>
  <c r="AT20" i="93"/>
  <c r="V15" i="86"/>
  <c r="V14" i="95"/>
  <c r="AS31" i="93"/>
  <c r="BD30" i="93"/>
  <c r="U20" i="95"/>
  <c r="AT30" i="93"/>
  <c r="AT31" i="93" s="1"/>
  <c r="BE19" i="93"/>
  <c r="BD31" i="58"/>
  <c r="BE30" i="58"/>
  <c r="BE31" i="58" s="1"/>
  <c r="V20" i="86"/>
  <c r="AP10" i="58" l="1"/>
  <c r="L24" i="91"/>
  <c r="V20" i="95"/>
  <c r="BD31" i="93"/>
  <c r="BE30" i="93"/>
  <c r="BE31" i="93" s="1"/>
  <c r="BD31" i="88"/>
  <c r="BE30" i="88"/>
  <c r="BE31" i="88" s="1"/>
  <c r="AO10" i="88"/>
  <c r="V15" i="95"/>
  <c r="V20" i="90"/>
  <c r="AO21" i="58"/>
  <c r="AD25" i="58"/>
  <c r="G8" i="48" s="1"/>
  <c r="AO25" i="58" l="1"/>
  <c r="G24" i="48" s="1"/>
  <c r="AP21" i="58"/>
  <c r="AE25" i="58"/>
  <c r="H8" i="48" s="1"/>
  <c r="AO51" i="88"/>
  <c r="AO21" i="93"/>
  <c r="AD25" i="93"/>
  <c r="G8" i="96" s="1"/>
  <c r="AO37" i="88"/>
  <c r="AZ21" i="58"/>
  <c r="AZ25" i="58" s="1"/>
  <c r="Q16" i="86"/>
  <c r="AO38" i="88"/>
  <c r="AO10" i="93"/>
  <c r="AD12" i="88"/>
  <c r="G9" i="91" s="1"/>
  <c r="AQ10" i="58"/>
  <c r="AO53" i="88"/>
  <c r="AO51" i="58"/>
  <c r="AO25" i="93" l="1"/>
  <c r="G24" i="96" s="1"/>
  <c r="AP25" i="58"/>
  <c r="H24" i="48" s="1"/>
  <c r="AP10" i="93"/>
  <c r="AP10" i="88"/>
  <c r="AQ10" i="88"/>
  <c r="AP38" i="88"/>
  <c r="BA10" i="58"/>
  <c r="R10" i="86"/>
  <c r="AP45" i="88"/>
  <c r="AP53" i="88"/>
  <c r="AO45" i="58"/>
  <c r="AQ21" i="58"/>
  <c r="AF25" i="58"/>
  <c r="I8" i="48" s="1"/>
  <c r="AP21" i="93"/>
  <c r="AE25" i="93"/>
  <c r="H8" i="96" s="1"/>
  <c r="AO38" i="58"/>
  <c r="AP51" i="88"/>
  <c r="AO37" i="58"/>
  <c r="AO11" i="88"/>
  <c r="AD12" i="58"/>
  <c r="AO11" i="58"/>
  <c r="AO45" i="88"/>
  <c r="AZ21" i="93"/>
  <c r="AZ25" i="93" s="1"/>
  <c r="Q16" i="95"/>
  <c r="AP11" i="88"/>
  <c r="AP37" i="88"/>
  <c r="AZ10" i="88"/>
  <c r="Q10" i="90"/>
  <c r="AR10" i="58"/>
  <c r="AO51" i="93"/>
  <c r="AO36" i="88"/>
  <c r="AO53" i="58"/>
  <c r="AO52" i="88"/>
  <c r="BA21" i="58"/>
  <c r="BA25" i="58" s="1"/>
  <c r="R16" i="86"/>
  <c r="AP51" i="58"/>
  <c r="AP25" i="93" l="1"/>
  <c r="H24" i="96" s="1"/>
  <c r="AQ25" i="58"/>
  <c r="I24" i="48" s="1"/>
  <c r="AO12" i="88"/>
  <c r="G25" i="91" s="1"/>
  <c r="AQ10" i="93"/>
  <c r="AE12" i="88"/>
  <c r="H9" i="91" s="1"/>
  <c r="Q22" i="90"/>
  <c r="AZ37" i="88"/>
  <c r="AO45" i="93"/>
  <c r="AQ21" i="93"/>
  <c r="AF25" i="93"/>
  <c r="I8" i="96" s="1"/>
  <c r="BB10" i="58"/>
  <c r="S10" i="86"/>
  <c r="BA10" i="93"/>
  <c r="R10" i="95"/>
  <c r="AZ53" i="88"/>
  <c r="Q28" i="90"/>
  <c r="AQ11" i="88"/>
  <c r="AQ51" i="88"/>
  <c r="AP37" i="58"/>
  <c r="AO54" i="88"/>
  <c r="AQ53" i="88"/>
  <c r="AP45" i="58"/>
  <c r="AO53" i="93"/>
  <c r="BA37" i="88"/>
  <c r="R22" i="90"/>
  <c r="AD12" i="93"/>
  <c r="G9" i="96" s="1"/>
  <c r="AO11" i="93"/>
  <c r="AO37" i="93"/>
  <c r="AO38" i="93"/>
  <c r="R23" i="90"/>
  <c r="BA38" i="88"/>
  <c r="AQ38" i="88"/>
  <c r="AP53" i="58"/>
  <c r="AP52" i="88"/>
  <c r="AP51" i="93"/>
  <c r="AZ45" i="88"/>
  <c r="Q25" i="90"/>
  <c r="G9" i="48"/>
  <c r="BA21" i="93"/>
  <c r="BA25" i="93" s="1"/>
  <c r="R16" i="95"/>
  <c r="AZ10" i="93"/>
  <c r="Q10" i="95"/>
  <c r="R28" i="90"/>
  <c r="BA53" i="88"/>
  <c r="AP11" i="58"/>
  <c r="AE12" i="58"/>
  <c r="AP12" i="88"/>
  <c r="BA10" i="88"/>
  <c r="R10" i="90"/>
  <c r="AR10" i="88"/>
  <c r="AP36" i="88"/>
  <c r="AO52" i="58"/>
  <c r="AP38" i="58"/>
  <c r="Q26" i="90"/>
  <c r="AZ51" i="88"/>
  <c r="AD39" i="88"/>
  <c r="G14" i="91" s="1"/>
  <c r="R11" i="90"/>
  <c r="BA11" i="88"/>
  <c r="BB21" i="58"/>
  <c r="BB25" i="58" s="1"/>
  <c r="S16" i="86"/>
  <c r="AR21" i="58"/>
  <c r="AG25" i="58"/>
  <c r="J8" i="48" s="1"/>
  <c r="AO36" i="58"/>
  <c r="AQ37" i="88"/>
  <c r="Q26" i="86"/>
  <c r="AZ51" i="58"/>
  <c r="Q11" i="86"/>
  <c r="AZ11" i="58"/>
  <c r="AZ12" i="58" s="1"/>
  <c r="AO12" i="58"/>
  <c r="AZ11" i="88"/>
  <c r="AZ12" i="88" s="1"/>
  <c r="Q11" i="90"/>
  <c r="Q23" i="90"/>
  <c r="AZ38" i="88"/>
  <c r="AZ45" i="58"/>
  <c r="Q25" i="86"/>
  <c r="R25" i="90"/>
  <c r="BA45" i="88"/>
  <c r="AO54" i="58"/>
  <c r="AQ51" i="58"/>
  <c r="AO12" i="93" l="1"/>
  <c r="G25" i="96" s="1"/>
  <c r="AQ25" i="93"/>
  <c r="I24" i="96" s="1"/>
  <c r="AR25" i="58"/>
  <c r="J24" i="48" s="1"/>
  <c r="BA12" i="88"/>
  <c r="AS10" i="58"/>
  <c r="H9" i="48"/>
  <c r="BA51" i="58"/>
  <c r="R26" i="86"/>
  <c r="T10" i="86"/>
  <c r="BC10" i="58"/>
  <c r="R25" i="86"/>
  <c r="BA45" i="58"/>
  <c r="AD55" i="88"/>
  <c r="AG12" i="88"/>
  <c r="AQ53" i="58"/>
  <c r="AR51" i="88"/>
  <c r="AQ52" i="88"/>
  <c r="AQ38" i="58"/>
  <c r="AR37" i="88"/>
  <c r="AP52" i="58"/>
  <c r="AQ37" i="58"/>
  <c r="S22" i="90"/>
  <c r="BB37" i="88"/>
  <c r="AQ45" i="58"/>
  <c r="AF12" i="88"/>
  <c r="AR21" i="93"/>
  <c r="AG25" i="93"/>
  <c r="J8" i="96" s="1"/>
  <c r="R26" i="90"/>
  <c r="BA51" i="88"/>
  <c r="AZ51" i="93"/>
  <c r="Q26" i="95"/>
  <c r="AE39" i="88"/>
  <c r="AE12" i="93"/>
  <c r="AP11" i="93"/>
  <c r="BA52" i="88"/>
  <c r="R27" i="90"/>
  <c r="S23" i="90"/>
  <c r="BB38" i="88"/>
  <c r="AZ37" i="58"/>
  <c r="Q22" i="86"/>
  <c r="Q11" i="95"/>
  <c r="AZ11" i="93"/>
  <c r="AZ12" i="93" s="1"/>
  <c r="AP45" i="93"/>
  <c r="BB21" i="93"/>
  <c r="BB25" i="93" s="1"/>
  <c r="S16" i="95"/>
  <c r="Q25" i="95"/>
  <c r="AZ45" i="93"/>
  <c r="AR38" i="88"/>
  <c r="AP38" i="93"/>
  <c r="AO54" i="93"/>
  <c r="AQ12" i="88"/>
  <c r="S10" i="90"/>
  <c r="BB10" i="88"/>
  <c r="AQ51" i="93"/>
  <c r="G25" i="48"/>
  <c r="T16" i="86"/>
  <c r="BC21" i="58"/>
  <c r="BC25" i="58" s="1"/>
  <c r="AZ36" i="88"/>
  <c r="AO39" i="88"/>
  <c r="Q21" i="90"/>
  <c r="AR53" i="88"/>
  <c r="AP54" i="88"/>
  <c r="Q27" i="90"/>
  <c r="AZ52" i="88"/>
  <c r="AQ45" i="88"/>
  <c r="AO52" i="93"/>
  <c r="AD55" i="58"/>
  <c r="G15" i="48" s="1"/>
  <c r="R11" i="86"/>
  <c r="BA11" i="58"/>
  <c r="BA12" i="58" s="1"/>
  <c r="AP12" i="58"/>
  <c r="AZ38" i="58"/>
  <c r="Q23" i="86"/>
  <c r="AP37" i="93"/>
  <c r="BB11" i="88"/>
  <c r="BB12" i="88" s="1"/>
  <c r="S11" i="90"/>
  <c r="AP36" i="58"/>
  <c r="AQ36" i="88"/>
  <c r="AR45" i="88"/>
  <c r="AO36" i="93"/>
  <c r="AD39" i="58"/>
  <c r="AQ11" i="58"/>
  <c r="AF12" i="58"/>
  <c r="S10" i="95"/>
  <c r="BB10" i="93"/>
  <c r="H25" i="91"/>
  <c r="AP53" i="93"/>
  <c r="AR10" i="93"/>
  <c r="AZ53" i="58"/>
  <c r="Q28" i="86"/>
  <c r="AR51" i="58"/>
  <c r="AP54" i="58"/>
  <c r="AR25" i="93" l="1"/>
  <c r="J24" i="96" s="1"/>
  <c r="AS37" i="88"/>
  <c r="AR51" i="93"/>
  <c r="AR52" i="88"/>
  <c r="AR53" i="58"/>
  <c r="AS51" i="88"/>
  <c r="AZ36" i="58"/>
  <c r="Q21" i="86"/>
  <c r="AO39" i="58"/>
  <c r="Q28" i="95"/>
  <c r="AZ53" i="93"/>
  <c r="AD55" i="93"/>
  <c r="AP39" i="88"/>
  <c r="BA36" i="88"/>
  <c r="BA39" i="88" s="1"/>
  <c r="R21" i="90"/>
  <c r="BC21" i="93"/>
  <c r="BC25" i="93" s="1"/>
  <c r="T16" i="95"/>
  <c r="T22" i="90"/>
  <c r="BC37" i="88"/>
  <c r="AQ53" i="93"/>
  <c r="S26" i="90"/>
  <c r="BB51" i="88"/>
  <c r="AQ52" i="58"/>
  <c r="AS53" i="88"/>
  <c r="J9" i="91"/>
  <c r="AS38" i="88"/>
  <c r="AQ54" i="88"/>
  <c r="AR38" i="58"/>
  <c r="AR36" i="88"/>
  <c r="T10" i="90"/>
  <c r="BC10" i="88"/>
  <c r="AF39" i="88"/>
  <c r="I14" i="91" s="1"/>
  <c r="AE39" i="58"/>
  <c r="AP36" i="93"/>
  <c r="R22" i="86"/>
  <c r="BA37" i="58"/>
  <c r="H25" i="48"/>
  <c r="BB45" i="88"/>
  <c r="S25" i="90"/>
  <c r="AE55" i="88"/>
  <c r="S26" i="86"/>
  <c r="BB51" i="58"/>
  <c r="I25" i="91"/>
  <c r="AG12" i="58"/>
  <c r="AR11" i="58"/>
  <c r="R25" i="95"/>
  <c r="BA45" i="93"/>
  <c r="H9" i="96"/>
  <c r="H14" i="91"/>
  <c r="S25" i="86"/>
  <c r="BB45" i="58"/>
  <c r="AQ37" i="93"/>
  <c r="AR11" i="88"/>
  <c r="AZ54" i="88"/>
  <c r="AZ55" i="88" s="1"/>
  <c r="Q29" i="90"/>
  <c r="AO55" i="88"/>
  <c r="G31" i="91" s="1"/>
  <c r="AS21" i="58"/>
  <c r="AH25" i="58"/>
  <c r="K8" i="48" s="1"/>
  <c r="AI21" i="58"/>
  <c r="AI25" i="58" s="1"/>
  <c r="AP54" i="93"/>
  <c r="AQ36" i="58"/>
  <c r="AR37" i="58"/>
  <c r="R28" i="86"/>
  <c r="BA53" i="58"/>
  <c r="BA51" i="93"/>
  <c r="R26" i="95"/>
  <c r="S11" i="86"/>
  <c r="BB11" i="58"/>
  <c r="BB12" i="58" s="1"/>
  <c r="AQ12" i="58"/>
  <c r="G14" i="48"/>
  <c r="BC45" i="88"/>
  <c r="T25" i="90"/>
  <c r="AR45" i="58"/>
  <c r="S28" i="90"/>
  <c r="BB53" i="88"/>
  <c r="AZ52" i="58"/>
  <c r="Q27" i="86"/>
  <c r="AO55" i="58"/>
  <c r="G31" i="48" s="1"/>
  <c r="BC53" i="88"/>
  <c r="T28" i="90"/>
  <c r="G30" i="91"/>
  <c r="Q29" i="86"/>
  <c r="AZ54" i="58"/>
  <c r="R23" i="86"/>
  <c r="BA38" i="58"/>
  <c r="R11" i="95"/>
  <c r="BA11" i="93"/>
  <c r="BA12" i="93" s="1"/>
  <c r="AP12" i="93"/>
  <c r="I9" i="91"/>
  <c r="AP52" i="93"/>
  <c r="AE55" i="58"/>
  <c r="H15" i="48" s="1"/>
  <c r="G15" i="91"/>
  <c r="AI10" i="58"/>
  <c r="AZ38" i="93"/>
  <c r="Q23" i="95"/>
  <c r="I9" i="48"/>
  <c r="AQ11" i="93"/>
  <c r="AF12" i="93"/>
  <c r="AD39" i="93"/>
  <c r="AZ39" i="88"/>
  <c r="Q22" i="95"/>
  <c r="AZ37" i="93"/>
  <c r="AQ45" i="93"/>
  <c r="AQ38" i="93"/>
  <c r="AS51" i="58"/>
  <c r="AT37" i="88" l="1"/>
  <c r="AS25" i="58"/>
  <c r="K24" i="48" s="1"/>
  <c r="AS10" i="88"/>
  <c r="AQ55" i="88"/>
  <c r="I31" i="91" s="1"/>
  <c r="G14" i="96"/>
  <c r="H15" i="91"/>
  <c r="AI37" i="88"/>
  <c r="AF55" i="88"/>
  <c r="AI51" i="88"/>
  <c r="AT51" i="88"/>
  <c r="AS52" i="88"/>
  <c r="AS21" i="93"/>
  <c r="AH25" i="93"/>
  <c r="K8" i="96" s="1"/>
  <c r="AI21" i="93"/>
  <c r="AI25" i="93" s="1"/>
  <c r="AR54" i="88"/>
  <c r="BB38" i="58"/>
  <c r="S23" i="86"/>
  <c r="BA38" i="93"/>
  <c r="R23" i="95"/>
  <c r="AE55" i="93"/>
  <c r="H15" i="96" s="1"/>
  <c r="H25" i="96"/>
  <c r="T23" i="90"/>
  <c r="BC38" i="88"/>
  <c r="AT38" i="88"/>
  <c r="AZ55" i="58"/>
  <c r="L8" i="48"/>
  <c r="BB37" i="58"/>
  <c r="S22" i="86"/>
  <c r="AR11" i="93"/>
  <c r="R29" i="90"/>
  <c r="BA54" i="88"/>
  <c r="BA55" i="88" s="1"/>
  <c r="AP55" i="88"/>
  <c r="H31" i="91" s="1"/>
  <c r="R21" i="86"/>
  <c r="AP39" i="58"/>
  <c r="BA36" i="58"/>
  <c r="BA39" i="58" s="1"/>
  <c r="AG39" i="88"/>
  <c r="S29" i="90"/>
  <c r="BB54" i="88"/>
  <c r="AI53" i="88"/>
  <c r="AQ52" i="93"/>
  <c r="BB52" i="88"/>
  <c r="S27" i="90"/>
  <c r="Q29" i="95"/>
  <c r="AZ54" i="93"/>
  <c r="AZ39" i="58"/>
  <c r="AI45" i="58"/>
  <c r="AS45" i="58"/>
  <c r="R27" i="86"/>
  <c r="BA52" i="58"/>
  <c r="AP55" i="58"/>
  <c r="H31" i="48" s="1"/>
  <c r="I25" i="48"/>
  <c r="AR37" i="93"/>
  <c r="J9" i="48"/>
  <c r="H14" i="48"/>
  <c r="U23" i="90"/>
  <c r="BD38" i="88"/>
  <c r="AS45" i="88"/>
  <c r="AI45" i="88"/>
  <c r="BB53" i="58"/>
  <c r="S28" i="86"/>
  <c r="G15" i="96"/>
  <c r="AR53" i="93"/>
  <c r="AS37" i="58"/>
  <c r="AS53" i="58"/>
  <c r="AR36" i="58"/>
  <c r="AS36" i="88"/>
  <c r="BC51" i="88"/>
  <c r="T26" i="90"/>
  <c r="AO39" i="93"/>
  <c r="Q21" i="95"/>
  <c r="AZ36" i="93"/>
  <c r="BB11" i="93"/>
  <c r="BB12" i="93" s="1"/>
  <c r="S11" i="95"/>
  <c r="AQ12" i="93"/>
  <c r="AR45" i="93"/>
  <c r="BD21" i="58"/>
  <c r="BD25" i="58" s="1"/>
  <c r="U16" i="86"/>
  <c r="AT21" i="58"/>
  <c r="AT25" i="58" s="1"/>
  <c r="AR38" i="93"/>
  <c r="G30" i="48"/>
  <c r="AG12" i="93"/>
  <c r="T26" i="86"/>
  <c r="BC51" i="58"/>
  <c r="U22" i="90"/>
  <c r="V22" i="90" s="1"/>
  <c r="BD37" i="88"/>
  <c r="BE37" i="88" s="1"/>
  <c r="R29" i="86"/>
  <c r="BA54" i="58"/>
  <c r="BC11" i="88"/>
  <c r="BC12" i="88" s="1"/>
  <c r="T11" i="90"/>
  <c r="AS51" i="93"/>
  <c r="AQ54" i="58"/>
  <c r="AR52" i="58"/>
  <c r="AS38" i="58"/>
  <c r="BB45" i="93"/>
  <c r="S25" i="95"/>
  <c r="R22" i="95"/>
  <c r="BA37" i="93"/>
  <c r="I9" i="96"/>
  <c r="U10" i="86"/>
  <c r="BD10" i="58"/>
  <c r="AT10" i="58"/>
  <c r="AI38" i="88"/>
  <c r="AI51" i="58"/>
  <c r="BC45" i="58"/>
  <c r="T25" i="86"/>
  <c r="AI10" i="88"/>
  <c r="AQ36" i="93"/>
  <c r="AF39" i="58"/>
  <c r="T11" i="86"/>
  <c r="BC11" i="58"/>
  <c r="BC12" i="58" s="1"/>
  <c r="AR12" i="58"/>
  <c r="AE39" i="93"/>
  <c r="S21" i="90"/>
  <c r="BB36" i="88"/>
  <c r="AQ39" i="88"/>
  <c r="AR12" i="88"/>
  <c r="BA53" i="93"/>
  <c r="R28" i="95"/>
  <c r="H30" i="91"/>
  <c r="S26" i="95"/>
  <c r="BB51" i="93"/>
  <c r="Q27" i="95"/>
  <c r="AZ52" i="93"/>
  <c r="AO55" i="93"/>
  <c r="BC10" i="93"/>
  <c r="T10" i="95"/>
  <c r="BC52" i="88"/>
  <c r="T27" i="90"/>
  <c r="AS10" i="93" l="1"/>
  <c r="AT10" i="93" s="1"/>
  <c r="AS25" i="93"/>
  <c r="K24" i="96" s="1"/>
  <c r="AR12" i="93"/>
  <c r="J25" i="96" s="1"/>
  <c r="AI10" i="93"/>
  <c r="I15" i="91"/>
  <c r="G31" i="96"/>
  <c r="AF55" i="58"/>
  <c r="I15" i="48" s="1"/>
  <c r="AQ55" i="58"/>
  <c r="I31" i="48" s="1"/>
  <c r="AI53" i="58"/>
  <c r="AI37" i="58"/>
  <c r="AT37" i="58"/>
  <c r="AI36" i="88"/>
  <c r="AI39" i="88" s="1"/>
  <c r="AQ39" i="58"/>
  <c r="S21" i="86"/>
  <c r="BB36" i="58"/>
  <c r="AS38" i="93"/>
  <c r="AI38" i="58"/>
  <c r="U25" i="90"/>
  <c r="BD45" i="88"/>
  <c r="BE45" i="88" s="1"/>
  <c r="AT45" i="88"/>
  <c r="BD45" i="58"/>
  <c r="BE45" i="58" s="1"/>
  <c r="U25" i="86"/>
  <c r="V25" i="86" s="1"/>
  <c r="AS52" i="58"/>
  <c r="AZ55" i="93"/>
  <c r="BB38" i="93"/>
  <c r="S23" i="95"/>
  <c r="I25" i="96"/>
  <c r="AH39" i="88"/>
  <c r="K14" i="91" s="1"/>
  <c r="AS53" i="93"/>
  <c r="AH12" i="88"/>
  <c r="AS11" i="88"/>
  <c r="AI11" i="88"/>
  <c r="AI12" i="88" s="1"/>
  <c r="T11" i="95"/>
  <c r="BC11" i="93"/>
  <c r="BC12" i="93" s="1"/>
  <c r="R27" i="95"/>
  <c r="BA52" i="93"/>
  <c r="AP55" i="93"/>
  <c r="L8" i="96"/>
  <c r="AS36" i="58"/>
  <c r="U26" i="90"/>
  <c r="BD51" i="88"/>
  <c r="BA36" i="93"/>
  <c r="BA39" i="93" s="1"/>
  <c r="AP39" i="93"/>
  <c r="R21" i="95"/>
  <c r="AI51" i="93"/>
  <c r="AG55" i="88"/>
  <c r="U16" i="95"/>
  <c r="BD21" i="93"/>
  <c r="BD25" i="93" s="1"/>
  <c r="AT21" i="93"/>
  <c r="AT25" i="93" s="1"/>
  <c r="AI52" i="88"/>
  <c r="AS54" i="88"/>
  <c r="J25" i="91"/>
  <c r="H14" i="96"/>
  <c r="J25" i="48"/>
  <c r="I14" i="48"/>
  <c r="U10" i="90"/>
  <c r="BD10" i="88"/>
  <c r="AT10" i="88"/>
  <c r="BB55" i="88"/>
  <c r="AR52" i="93"/>
  <c r="S28" i="95"/>
  <c r="BB53" i="93"/>
  <c r="L24" i="48"/>
  <c r="R29" i="95"/>
  <c r="BA54" i="93"/>
  <c r="BC45" i="93"/>
  <c r="T25" i="95"/>
  <c r="AZ39" i="93"/>
  <c r="U28" i="90"/>
  <c r="BD53" i="88"/>
  <c r="BE53" i="88" s="1"/>
  <c r="AT53" i="88"/>
  <c r="J14" i="91"/>
  <c r="BE38" i="88"/>
  <c r="BC51" i="93"/>
  <c r="T26" i="95"/>
  <c r="BB39" i="88"/>
  <c r="BB37" i="93"/>
  <c r="S22" i="95"/>
  <c r="V10" i="86"/>
  <c r="AQ54" i="93"/>
  <c r="BE21" i="58"/>
  <c r="BE25" i="58" s="1"/>
  <c r="G30" i="96"/>
  <c r="H30" i="48"/>
  <c r="AR54" i="58"/>
  <c r="AS54" i="58"/>
  <c r="I30" i="91"/>
  <c r="AF39" i="93"/>
  <c r="AT45" i="58"/>
  <c r="BE10" i="58"/>
  <c r="BD51" i="58"/>
  <c r="BE51" i="58" s="1"/>
  <c r="U26" i="86"/>
  <c r="V26" i="86" s="1"/>
  <c r="AT51" i="58"/>
  <c r="J9" i="96"/>
  <c r="BC38" i="58"/>
  <c r="T23" i="86"/>
  <c r="V16" i="86"/>
  <c r="AG39" i="58"/>
  <c r="AR36" i="93"/>
  <c r="AS37" i="93"/>
  <c r="T28" i="86"/>
  <c r="BC53" i="58"/>
  <c r="BC37" i="58"/>
  <c r="T22" i="86"/>
  <c r="BA55" i="58"/>
  <c r="AI45" i="93"/>
  <c r="AS45" i="93"/>
  <c r="S27" i="86"/>
  <c r="BB52" i="58"/>
  <c r="AR39" i="88"/>
  <c r="J30" i="91" s="1"/>
  <c r="BC36" i="88"/>
  <c r="BC39" i="88" s="1"/>
  <c r="T21" i="90"/>
  <c r="V23" i="90"/>
  <c r="AS11" i="58"/>
  <c r="AI11" i="58"/>
  <c r="AI12" i="58" s="1"/>
  <c r="AH12" i="58"/>
  <c r="U10" i="95"/>
  <c r="V10" i="95" s="1"/>
  <c r="BD10" i="93" l="1"/>
  <c r="AS55" i="88"/>
  <c r="K31" i="91" s="1"/>
  <c r="J15" i="91"/>
  <c r="H31" i="96"/>
  <c r="AI53" i="93"/>
  <c r="AI54" i="58"/>
  <c r="AT54" i="58"/>
  <c r="AI54" i="88"/>
  <c r="AI55" i="88" s="1"/>
  <c r="AI37" i="93"/>
  <c r="AH55" i="88"/>
  <c r="J14" i="48"/>
  <c r="AG55" i="58"/>
  <c r="J15" i="48" s="1"/>
  <c r="BB52" i="93"/>
  <c r="S27" i="95"/>
  <c r="U21" i="90"/>
  <c r="V21" i="90" s="1"/>
  <c r="BD36" i="88"/>
  <c r="AS39" i="88"/>
  <c r="K30" i="91" s="1"/>
  <c r="BB39" i="58"/>
  <c r="AT36" i="88"/>
  <c r="AT39" i="88" s="1"/>
  <c r="K9" i="48"/>
  <c r="BC36" i="58"/>
  <c r="BC39" i="58" s="1"/>
  <c r="T21" i="86"/>
  <c r="AR39" i="58"/>
  <c r="I14" i="96"/>
  <c r="T22" i="95"/>
  <c r="BC37" i="93"/>
  <c r="BC53" i="93"/>
  <c r="T28" i="95"/>
  <c r="BE21" i="93"/>
  <c r="BE25" i="93" s="1"/>
  <c r="BC54" i="88"/>
  <c r="BC55" i="88" s="1"/>
  <c r="T29" i="90"/>
  <c r="AT54" i="88"/>
  <c r="AR55" i="88"/>
  <c r="J31" i="91" s="1"/>
  <c r="H30" i="96"/>
  <c r="AS12" i="88"/>
  <c r="U11" i="90"/>
  <c r="BD11" i="88"/>
  <c r="BE11" i="88" s="1"/>
  <c r="AT11" i="88"/>
  <c r="AT12" i="88" s="1"/>
  <c r="U28" i="86"/>
  <c r="BD53" i="58"/>
  <c r="BE53" i="58" s="1"/>
  <c r="AT53" i="58"/>
  <c r="T23" i="95"/>
  <c r="BC38" i="93"/>
  <c r="U23" i="86"/>
  <c r="BD38" i="58"/>
  <c r="BE38" i="58" s="1"/>
  <c r="AR54" i="93"/>
  <c r="V26" i="90"/>
  <c r="U22" i="86"/>
  <c r="BD37" i="58"/>
  <c r="BE37" i="58" s="1"/>
  <c r="AS54" i="93"/>
  <c r="AQ55" i="93"/>
  <c r="V28" i="90"/>
  <c r="T27" i="86"/>
  <c r="BC52" i="58"/>
  <c r="BE10" i="88"/>
  <c r="BD54" i="88"/>
  <c r="U29" i="90"/>
  <c r="U27" i="90"/>
  <c r="BD52" i="88"/>
  <c r="BE52" i="88" s="1"/>
  <c r="AT52" i="88"/>
  <c r="V16" i="95"/>
  <c r="K9" i="91"/>
  <c r="AS52" i="93"/>
  <c r="AH55" i="58"/>
  <c r="K15" i="48" s="1"/>
  <c r="V25" i="90"/>
  <c r="AI38" i="93"/>
  <c r="I30" i="48"/>
  <c r="BD11" i="58"/>
  <c r="U11" i="86"/>
  <c r="AT11" i="58"/>
  <c r="AT12" i="58" s="1"/>
  <c r="AS12" i="58"/>
  <c r="BB36" i="93"/>
  <c r="AQ39" i="93"/>
  <c r="S21" i="95"/>
  <c r="L24" i="96"/>
  <c r="AH39" i="58"/>
  <c r="K14" i="48" s="1"/>
  <c r="AS36" i="93"/>
  <c r="AT36" i="58"/>
  <c r="AI36" i="58"/>
  <c r="AI39" i="58" s="1"/>
  <c r="AH12" i="93"/>
  <c r="AS11" i="93"/>
  <c r="AI11" i="93"/>
  <c r="AI12" i="93" s="1"/>
  <c r="AT45" i="93"/>
  <c r="U25" i="95"/>
  <c r="BD45" i="93"/>
  <c r="BE45" i="93" s="1"/>
  <c r="AG39" i="93"/>
  <c r="BB54" i="58"/>
  <c r="BB55" i="58" s="1"/>
  <c r="S29" i="86"/>
  <c r="V10" i="90"/>
  <c r="AF55" i="93"/>
  <c r="I15" i="96" s="1"/>
  <c r="U26" i="95"/>
  <c r="BD51" i="93"/>
  <c r="AT51" i="93"/>
  <c r="BA55" i="93"/>
  <c r="BE51" i="88"/>
  <c r="BE10" i="93"/>
  <c r="AT38" i="58"/>
  <c r="AI52" i="58"/>
  <c r="K15" i="91" l="1"/>
  <c r="I31" i="96"/>
  <c r="AT55" i="88"/>
  <c r="AR55" i="58"/>
  <c r="J31" i="48" s="1"/>
  <c r="AI55" i="58"/>
  <c r="BD12" i="88"/>
  <c r="BE12" i="88"/>
  <c r="BE54" i="88"/>
  <c r="BE55" i="88" s="1"/>
  <c r="AI36" i="93"/>
  <c r="AI39" i="93" s="1"/>
  <c r="AT36" i="93"/>
  <c r="BD55" i="88"/>
  <c r="U11" i="95"/>
  <c r="BD11" i="93"/>
  <c r="AT11" i="93"/>
  <c r="AT12" i="93" s="1"/>
  <c r="AS12" i="93"/>
  <c r="I30" i="96"/>
  <c r="J14" i="96"/>
  <c r="K9" i="96"/>
  <c r="BD54" i="58"/>
  <c r="U29" i="86"/>
  <c r="V28" i="86"/>
  <c r="L9" i="48"/>
  <c r="BD39" i="88"/>
  <c r="BE36" i="88"/>
  <c r="BE39" i="88" s="1"/>
  <c r="BE51" i="93"/>
  <c r="V11" i="86"/>
  <c r="BB54" i="93"/>
  <c r="BB55" i="93" s="1"/>
  <c r="S29" i="95"/>
  <c r="V22" i="86"/>
  <c r="V11" i="90"/>
  <c r="BC52" i="93"/>
  <c r="T27" i="95"/>
  <c r="AT39" i="58"/>
  <c r="AR39" i="93"/>
  <c r="BC36" i="93"/>
  <c r="BC39" i="93" s="1"/>
  <c r="T21" i="95"/>
  <c r="BD36" i="58"/>
  <c r="AS39" i="58"/>
  <c r="K30" i="48" s="1"/>
  <c r="U21" i="86"/>
  <c r="BB39" i="93"/>
  <c r="BE11" i="58"/>
  <c r="BE12" i="58" s="1"/>
  <c r="BD12" i="58"/>
  <c r="AT52" i="58"/>
  <c r="AT55" i="58" s="1"/>
  <c r="U27" i="86"/>
  <c r="BD52" i="58"/>
  <c r="AS55" i="58"/>
  <c r="K31" i="48" s="1"/>
  <c r="AT53" i="93"/>
  <c r="U28" i="95"/>
  <c r="BD53" i="93"/>
  <c r="BE53" i="93" s="1"/>
  <c r="K25" i="91"/>
  <c r="J30" i="48"/>
  <c r="V26" i="95"/>
  <c r="AI54" i="93"/>
  <c r="T29" i="86"/>
  <c r="BC54" i="58"/>
  <c r="BC55" i="58" s="1"/>
  <c r="AH39" i="93"/>
  <c r="K14" i="96" s="1"/>
  <c r="K25" i="48"/>
  <c r="BD38" i="93"/>
  <c r="BE38" i="93" s="1"/>
  <c r="U23" i="95"/>
  <c r="AT38" i="93"/>
  <c r="AT52" i="93"/>
  <c r="AH55" i="93"/>
  <c r="K15" i="96" s="1"/>
  <c r="AI52" i="93"/>
  <c r="L9" i="91"/>
  <c r="V27" i="90"/>
  <c r="V23" i="86"/>
  <c r="V29" i="90"/>
  <c r="AG55" i="93"/>
  <c r="J15" i="96" s="1"/>
  <c r="V25" i="95"/>
  <c r="BD37" i="93"/>
  <c r="BE37" i="93" s="1"/>
  <c r="U22" i="95"/>
  <c r="V22" i="95" s="1"/>
  <c r="AT37" i="93"/>
  <c r="AI55" i="93" l="1"/>
  <c r="V29" i="86"/>
  <c r="AT39" i="93"/>
  <c r="BE54" i="58"/>
  <c r="V23" i="95"/>
  <c r="BD39" i="58"/>
  <c r="BE36" i="58"/>
  <c r="BE39" i="58" s="1"/>
  <c r="K25" i="96"/>
  <c r="J30" i="96"/>
  <c r="V21" i="86"/>
  <c r="BC54" i="93"/>
  <c r="BC55" i="93" s="1"/>
  <c r="T29" i="95"/>
  <c r="BE11" i="93"/>
  <c r="BE12" i="93" s="1"/>
  <c r="BD12" i="93"/>
  <c r="L25" i="91"/>
  <c r="U27" i="95"/>
  <c r="BD52" i="93"/>
  <c r="AS55" i="93"/>
  <c r="BD36" i="93"/>
  <c r="AS39" i="93"/>
  <c r="K30" i="96" s="1"/>
  <c r="U21" i="95"/>
  <c r="V21" i="95" s="1"/>
  <c r="BE52" i="58"/>
  <c r="BD55" i="58"/>
  <c r="L25" i="48"/>
  <c r="BD54" i="93"/>
  <c r="U29" i="95"/>
  <c r="V27" i="86"/>
  <c r="AR55" i="93"/>
  <c r="AT54" i="93"/>
  <c r="AT55" i="93" s="1"/>
  <c r="L9" i="96"/>
  <c r="V11" i="95"/>
  <c r="V28" i="95"/>
  <c r="AO44" i="58"/>
  <c r="J31" i="96" l="1"/>
  <c r="K31" i="96"/>
  <c r="BE55" i="58"/>
  <c r="BE54" i="93"/>
  <c r="BD55" i="93"/>
  <c r="AO44" i="88"/>
  <c r="BD39" i="93"/>
  <c r="BE36" i="93"/>
  <c r="BE39" i="93" s="1"/>
  <c r="AD46" i="58"/>
  <c r="BE52" i="93"/>
  <c r="L25" i="96"/>
  <c r="V27" i="95"/>
  <c r="V29" i="95"/>
  <c r="AP44" i="58"/>
  <c r="BE55" i="93" l="1"/>
  <c r="AP44" i="88"/>
  <c r="G16" i="48"/>
  <c r="G13" i="48" s="1"/>
  <c r="G20" i="48" s="1"/>
  <c r="AD76" i="58"/>
  <c r="AD46" i="88"/>
  <c r="AZ44" i="58"/>
  <c r="Q24" i="86"/>
  <c r="AO46" i="58"/>
  <c r="AE46" i="58"/>
  <c r="AO44" i="93"/>
  <c r="AQ44" i="58"/>
  <c r="R24" i="86" l="1"/>
  <c r="AP46" i="58"/>
  <c r="BA44" i="58"/>
  <c r="BA46" i="58" s="1"/>
  <c r="Q30" i="86"/>
  <c r="AF46" i="58"/>
  <c r="H16" i="48"/>
  <c r="H13" i="48" s="1"/>
  <c r="H20" i="48" s="1"/>
  <c r="AE76" i="58"/>
  <c r="G16" i="91"/>
  <c r="G13" i="91" s="1"/>
  <c r="G20" i="91" s="1"/>
  <c r="AD76" i="88"/>
  <c r="AE46" i="88"/>
  <c r="AE76" i="88" s="1"/>
  <c r="AQ44" i="88"/>
  <c r="G32" i="48"/>
  <c r="AO76" i="58"/>
  <c r="AD46" i="93"/>
  <c r="AD76" i="93" s="1"/>
  <c r="AP44" i="93"/>
  <c r="AZ46" i="58"/>
  <c r="Q24" i="90"/>
  <c r="AZ44" i="88"/>
  <c r="AO46" i="88"/>
  <c r="AG46" i="58" l="1"/>
  <c r="AR44" i="58"/>
  <c r="G29" i="48"/>
  <c r="G32" i="91"/>
  <c r="G29" i="91" s="1"/>
  <c r="AO76" i="88"/>
  <c r="AP46" i="88"/>
  <c r="R24" i="90"/>
  <c r="BA44" i="88"/>
  <c r="BA46" i="88" s="1"/>
  <c r="BB44" i="58"/>
  <c r="AQ46" i="58"/>
  <c r="S24" i="86"/>
  <c r="H32" i="48"/>
  <c r="AP76" i="58"/>
  <c r="H16" i="91"/>
  <c r="H13" i="91" s="1"/>
  <c r="H20" i="91" s="1"/>
  <c r="AZ46" i="88"/>
  <c r="AE46" i="93"/>
  <c r="AF46" i="88"/>
  <c r="AF76" i="88" s="1"/>
  <c r="Q43" i="86"/>
  <c r="R30" i="86"/>
  <c r="R43" i="86" s="1"/>
  <c r="AO46" i="93"/>
  <c r="AZ44" i="93"/>
  <c r="Q24" i="95"/>
  <c r="I16" i="48"/>
  <c r="I13" i="48" s="1"/>
  <c r="I20" i="48" s="1"/>
  <c r="AF76" i="58"/>
  <c r="Q30" i="90"/>
  <c r="G16" i="96"/>
  <c r="G13" i="96" s="1"/>
  <c r="AZ76" i="58"/>
  <c r="C50" i="101"/>
  <c r="AQ44" i="93"/>
  <c r="G20" i="96" l="1"/>
  <c r="AZ46" i="93"/>
  <c r="C51" i="101"/>
  <c r="Q43" i="90"/>
  <c r="G32" i="96"/>
  <c r="G29" i="96" s="1"/>
  <c r="AO76" i="93"/>
  <c r="AQ46" i="88"/>
  <c r="BB44" i="88"/>
  <c r="BB46" i="88" s="1"/>
  <c r="S24" i="90"/>
  <c r="AP46" i="93"/>
  <c r="R24" i="95"/>
  <c r="BA44" i="93"/>
  <c r="BA46" i="93" s="1"/>
  <c r="I32" i="48"/>
  <c r="AQ76" i="58"/>
  <c r="R30" i="90"/>
  <c r="O50" i="101"/>
  <c r="AZ76" i="88"/>
  <c r="G36" i="48"/>
  <c r="AR46" i="58"/>
  <c r="T24" i="86"/>
  <c r="BC44" i="58"/>
  <c r="BC46" i="58" s="1"/>
  <c r="AF46" i="93"/>
  <c r="H29" i="48"/>
  <c r="AR44" i="88"/>
  <c r="AG46" i="88"/>
  <c r="AG76" i="88" s="1"/>
  <c r="I16" i="91"/>
  <c r="I13" i="91" s="1"/>
  <c r="I20" i="91" s="1"/>
  <c r="S30" i="86"/>
  <c r="AI44" i="58"/>
  <c r="AI46" i="58" s="1"/>
  <c r="AH46" i="58"/>
  <c r="AS44" i="58"/>
  <c r="Q30" i="95"/>
  <c r="H16" i="96"/>
  <c r="H13" i="96" s="1"/>
  <c r="AE76" i="93"/>
  <c r="BA76" i="58"/>
  <c r="D50" i="101"/>
  <c r="D51" i="101" s="1"/>
  <c r="BB46" i="58"/>
  <c r="H32" i="91"/>
  <c r="H29" i="91" s="1"/>
  <c r="AP76" i="88"/>
  <c r="G36" i="91"/>
  <c r="J16" i="48"/>
  <c r="J13" i="48" s="1"/>
  <c r="J20" i="48" s="1"/>
  <c r="AG76" i="58"/>
  <c r="H36" i="91" l="1"/>
  <c r="S43" i="86"/>
  <c r="H20" i="96"/>
  <c r="AT44" i="58"/>
  <c r="AT46" i="58" s="1"/>
  <c r="AS46" i="58"/>
  <c r="BD44" i="58"/>
  <c r="U24" i="86"/>
  <c r="AH46" i="88"/>
  <c r="AH76" i="88" s="1"/>
  <c r="AS44" i="88"/>
  <c r="AI44" i="88"/>
  <c r="AI46" i="88" s="1"/>
  <c r="AQ46" i="93"/>
  <c r="S24" i="95"/>
  <c r="BB44" i="93"/>
  <c r="BB46" i="93" s="1"/>
  <c r="R30" i="95"/>
  <c r="H36" i="48"/>
  <c r="R43" i="90"/>
  <c r="AI44" i="93"/>
  <c r="AI46" i="93" s="1"/>
  <c r="AS44" i="93"/>
  <c r="AH46" i="93"/>
  <c r="J16" i="91"/>
  <c r="J13" i="91" s="1"/>
  <c r="J20" i="91" s="1"/>
  <c r="T30" i="86"/>
  <c r="T43" i="86" s="1"/>
  <c r="E50" i="101"/>
  <c r="E51" i="101" s="1"/>
  <c r="BB76" i="58"/>
  <c r="H32" i="96"/>
  <c r="H29" i="96" s="1"/>
  <c r="AP76" i="93"/>
  <c r="I32" i="91"/>
  <c r="I29" i="91" s="1"/>
  <c r="AQ76" i="88"/>
  <c r="AZ76" i="93"/>
  <c r="S30" i="90"/>
  <c r="Q45" i="86"/>
  <c r="P50" i="101"/>
  <c r="P51" i="101" s="1"/>
  <c r="BA76" i="88"/>
  <c r="R45" i="86"/>
  <c r="Q43" i="95"/>
  <c r="K16" i="48"/>
  <c r="K13" i="48" s="1"/>
  <c r="AH76" i="58"/>
  <c r="AI76" i="58" s="1"/>
  <c r="AG46" i="93"/>
  <c r="AR44" i="93"/>
  <c r="T24" i="90"/>
  <c r="AR46" i="88"/>
  <c r="BC44" i="88"/>
  <c r="I16" i="96"/>
  <c r="I13" i="96" s="1"/>
  <c r="AF76" i="93"/>
  <c r="J32" i="48"/>
  <c r="AR76" i="58"/>
  <c r="O51" i="101"/>
  <c r="Q45" i="95" s="1"/>
  <c r="I29" i="48"/>
  <c r="G36" i="96"/>
  <c r="AT44" i="88" l="1"/>
  <c r="AT46" i="88" s="1"/>
  <c r="R45" i="90"/>
  <c r="R47" i="90" s="1"/>
  <c r="H36" i="96"/>
  <c r="I36" i="91"/>
  <c r="AC17" i="86"/>
  <c r="G17" i="86" s="1"/>
  <c r="AC19" i="86"/>
  <c r="G19" i="86" s="1"/>
  <c r="AB17" i="86"/>
  <c r="F17" i="86" s="1"/>
  <c r="AB19" i="86"/>
  <c r="F19" i="86" s="1"/>
  <c r="Q44" i="95"/>
  <c r="AT44" i="93"/>
  <c r="AT46" i="93" s="1"/>
  <c r="R45" i="95"/>
  <c r="S30" i="95"/>
  <c r="K16" i="91"/>
  <c r="K13" i="91" s="1"/>
  <c r="AI76" i="88"/>
  <c r="J29" i="48"/>
  <c r="BC46" i="88"/>
  <c r="S43" i="90"/>
  <c r="Q50" i="101"/>
  <c r="BB76" i="88"/>
  <c r="I32" i="96"/>
  <c r="I29" i="96" s="1"/>
  <c r="AQ76" i="93"/>
  <c r="V24" i="86"/>
  <c r="U30" i="86"/>
  <c r="F50" i="101"/>
  <c r="F51" i="101" s="1"/>
  <c r="BC76" i="58"/>
  <c r="J32" i="91"/>
  <c r="J29" i="91" s="1"/>
  <c r="AR76" i="88"/>
  <c r="L13" i="48"/>
  <c r="K20" i="48"/>
  <c r="AB38" i="86"/>
  <c r="Q47" i="86"/>
  <c r="AB40" i="86"/>
  <c r="AB33" i="86"/>
  <c r="AB35" i="86"/>
  <c r="AB20" i="86"/>
  <c r="AB26" i="86"/>
  <c r="AB29" i="86"/>
  <c r="AB12" i="86"/>
  <c r="AB24" i="86"/>
  <c r="AB13" i="86"/>
  <c r="AB34" i="86"/>
  <c r="AB15" i="86"/>
  <c r="AB16" i="86"/>
  <c r="AB28" i="86"/>
  <c r="AB21" i="86"/>
  <c r="AB14" i="86"/>
  <c r="AB23" i="86"/>
  <c r="AB18" i="86"/>
  <c r="AB37" i="86"/>
  <c r="AB10" i="86"/>
  <c r="AB11" i="86"/>
  <c r="AB22" i="86"/>
  <c r="AB27" i="86"/>
  <c r="AB39" i="86"/>
  <c r="AB36" i="86"/>
  <c r="AB25" i="86"/>
  <c r="R43" i="95"/>
  <c r="BD46" i="58"/>
  <c r="BE44" i="58"/>
  <c r="BE46" i="58" s="1"/>
  <c r="J16" i="96"/>
  <c r="J13" i="96" s="1"/>
  <c r="AG76" i="93"/>
  <c r="S45" i="86"/>
  <c r="AD40" i="86" s="1"/>
  <c r="H40" i="86" s="1"/>
  <c r="I50" i="48" s="1"/>
  <c r="BD44" i="93"/>
  <c r="BD46" i="93" s="1"/>
  <c r="AS46" i="93"/>
  <c r="U24" i="95"/>
  <c r="I36" i="48"/>
  <c r="Q45" i="90"/>
  <c r="I20" i="96"/>
  <c r="T30" i="90"/>
  <c r="AR46" i="93"/>
  <c r="BC44" i="93"/>
  <c r="T24" i="95"/>
  <c r="R47" i="86"/>
  <c r="AC38" i="86"/>
  <c r="G38" i="86" s="1"/>
  <c r="H49" i="48" s="1"/>
  <c r="AC12" i="86"/>
  <c r="G12" i="86" s="1"/>
  <c r="AC36" i="86"/>
  <c r="G36" i="86" s="1"/>
  <c r="AC15" i="86"/>
  <c r="G15" i="86" s="1"/>
  <c r="AC11" i="86"/>
  <c r="G11" i="86" s="1"/>
  <c r="AC22" i="86"/>
  <c r="G22" i="86" s="1"/>
  <c r="AC21" i="86"/>
  <c r="G21" i="86" s="1"/>
  <c r="AC40" i="86"/>
  <c r="G40" i="86" s="1"/>
  <c r="H50" i="48" s="1"/>
  <c r="AC18" i="86"/>
  <c r="G18" i="86" s="1"/>
  <c r="AC34" i="86"/>
  <c r="G34" i="86" s="1"/>
  <c r="AC20" i="86"/>
  <c r="G20" i="86" s="1"/>
  <c r="AC25" i="86"/>
  <c r="G25" i="86" s="1"/>
  <c r="AC28" i="86"/>
  <c r="G28" i="86" s="1"/>
  <c r="AC24" i="86"/>
  <c r="G24" i="86" s="1"/>
  <c r="AC13" i="86"/>
  <c r="G13" i="86" s="1"/>
  <c r="AC14" i="86"/>
  <c r="G14" i="86" s="1"/>
  <c r="AC10" i="86"/>
  <c r="AC27" i="86"/>
  <c r="G27" i="86" s="1"/>
  <c r="AC39" i="86"/>
  <c r="G39" i="86" s="1"/>
  <c r="H42" i="48" s="1"/>
  <c r="AC37" i="86"/>
  <c r="G37" i="86" s="1"/>
  <c r="AC35" i="86"/>
  <c r="G35" i="86" s="1"/>
  <c r="H44" i="48" s="1"/>
  <c r="AC16" i="86"/>
  <c r="G16" i="86" s="1"/>
  <c r="AC26" i="86"/>
  <c r="G26" i="86" s="1"/>
  <c r="AC29" i="86"/>
  <c r="G29" i="86" s="1"/>
  <c r="AC33" i="86"/>
  <c r="AC23" i="86"/>
  <c r="G23" i="86" s="1"/>
  <c r="BA76" i="93"/>
  <c r="K16" i="96"/>
  <c r="K13" i="96" s="1"/>
  <c r="AH76" i="93"/>
  <c r="AS46" i="88"/>
  <c r="BD44" i="88"/>
  <c r="BD46" i="88" s="1"/>
  <c r="U24" i="90"/>
  <c r="K32" i="48"/>
  <c r="AS76" i="58"/>
  <c r="AT76" i="58" s="1"/>
  <c r="R47" i="95" l="1"/>
  <c r="AB12" i="95"/>
  <c r="F12" i="95" s="1"/>
  <c r="AC11" i="90"/>
  <c r="G11" i="90" s="1"/>
  <c r="AC18" i="90"/>
  <c r="G18" i="90" s="1"/>
  <c r="AC10" i="90"/>
  <c r="G10" i="90" s="1"/>
  <c r="AC24" i="90"/>
  <c r="G24" i="90" s="1"/>
  <c r="AC36" i="90"/>
  <c r="G36" i="90" s="1"/>
  <c r="AC34" i="90"/>
  <c r="G34" i="90" s="1"/>
  <c r="AC21" i="90"/>
  <c r="G21" i="90" s="1"/>
  <c r="AC28" i="90"/>
  <c r="G28" i="90" s="1"/>
  <c r="AC13" i="90"/>
  <c r="G13" i="90" s="1"/>
  <c r="AC26" i="90"/>
  <c r="G26" i="90" s="1"/>
  <c r="AC35" i="90"/>
  <c r="G35" i="90" s="1"/>
  <c r="H44" i="91" s="1"/>
  <c r="AC12" i="90"/>
  <c r="G12" i="90" s="1"/>
  <c r="AC38" i="90"/>
  <c r="G38" i="90" s="1"/>
  <c r="H49" i="91" s="1"/>
  <c r="AC27" i="90"/>
  <c r="G27" i="90" s="1"/>
  <c r="AC22" i="90"/>
  <c r="G22" i="90" s="1"/>
  <c r="AC20" i="90"/>
  <c r="G20" i="90" s="1"/>
  <c r="AC37" i="90"/>
  <c r="G37" i="90" s="1"/>
  <c r="AC16" i="90"/>
  <c r="G16" i="90" s="1"/>
  <c r="AC39" i="90"/>
  <c r="G39" i="90" s="1"/>
  <c r="H42" i="91" s="1"/>
  <c r="AC17" i="90"/>
  <c r="G17" i="90" s="1"/>
  <c r="AC29" i="90"/>
  <c r="G29" i="90" s="1"/>
  <c r="AC23" i="90"/>
  <c r="G23" i="90" s="1"/>
  <c r="AC25" i="90"/>
  <c r="G25" i="90" s="1"/>
  <c r="AC33" i="90"/>
  <c r="G33" i="90" s="1"/>
  <c r="AC40" i="90"/>
  <c r="G40" i="90" s="1"/>
  <c r="H50" i="91" s="1"/>
  <c r="AC15" i="90"/>
  <c r="G15" i="90" s="1"/>
  <c r="AC14" i="90"/>
  <c r="G14" i="90" s="1"/>
  <c r="AC19" i="90"/>
  <c r="G19" i="90" s="1"/>
  <c r="I36" i="96"/>
  <c r="L20" i="48"/>
  <c r="AB17" i="90"/>
  <c r="F17" i="90" s="1"/>
  <c r="AB19" i="90"/>
  <c r="F19" i="90" s="1"/>
  <c r="AC19" i="95"/>
  <c r="G19" i="95" s="1"/>
  <c r="AB19" i="95"/>
  <c r="F19" i="95" s="1"/>
  <c r="AD19" i="86"/>
  <c r="H19" i="86" s="1"/>
  <c r="AC17" i="95"/>
  <c r="G17" i="95" s="1"/>
  <c r="R44" i="95"/>
  <c r="AB17" i="95"/>
  <c r="F17" i="95" s="1"/>
  <c r="AD17" i="86"/>
  <c r="H17" i="86" s="1"/>
  <c r="R13" i="51"/>
  <c r="R27" i="51" s="1"/>
  <c r="AD13" i="86"/>
  <c r="H13" i="86" s="1"/>
  <c r="AB10" i="95"/>
  <c r="F10" i="95" s="1"/>
  <c r="AD23" i="86"/>
  <c r="H23" i="86" s="1"/>
  <c r="AB38" i="95"/>
  <c r="F38" i="95" s="1"/>
  <c r="AD10" i="86"/>
  <c r="H10" i="86" s="1"/>
  <c r="AB15" i="95"/>
  <c r="F15" i="95" s="1"/>
  <c r="AD14" i="86"/>
  <c r="H14" i="86" s="1"/>
  <c r="AB29" i="95"/>
  <c r="F29" i="95" s="1"/>
  <c r="AB37" i="95"/>
  <c r="F37" i="95" s="1"/>
  <c r="AD27" i="86"/>
  <c r="H27" i="86" s="1"/>
  <c r="AD33" i="86"/>
  <c r="H33" i="86" s="1"/>
  <c r="AB23" i="95"/>
  <c r="F23" i="95" s="1"/>
  <c r="T43" i="90"/>
  <c r="AI76" i="93"/>
  <c r="F10" i="86"/>
  <c r="AB30" i="86"/>
  <c r="F12" i="86"/>
  <c r="R50" i="101"/>
  <c r="R51" i="101" s="1"/>
  <c r="BC76" i="88"/>
  <c r="U43" i="86"/>
  <c r="V30" i="86"/>
  <c r="Q51" i="101"/>
  <c r="K29" i="48"/>
  <c r="Q47" i="95"/>
  <c r="H47" i="48"/>
  <c r="H46" i="48"/>
  <c r="T30" i="95"/>
  <c r="Q47" i="90"/>
  <c r="AB40" i="90"/>
  <c r="AB12" i="90"/>
  <c r="AB38" i="90"/>
  <c r="AB36" i="90"/>
  <c r="AB22" i="90"/>
  <c r="AB28" i="90"/>
  <c r="AB29" i="90"/>
  <c r="AB39" i="90"/>
  <c r="AB10" i="90"/>
  <c r="AB16" i="90"/>
  <c r="AB34" i="90"/>
  <c r="AB35" i="90"/>
  <c r="AB11" i="90"/>
  <c r="AB26" i="90"/>
  <c r="AB24" i="90"/>
  <c r="AB13" i="90"/>
  <c r="AB23" i="90"/>
  <c r="AB14" i="90"/>
  <c r="AB15" i="90"/>
  <c r="AB37" i="90"/>
  <c r="AB20" i="90"/>
  <c r="AB25" i="90"/>
  <c r="AB27" i="90"/>
  <c r="AB18" i="90"/>
  <c r="AB33" i="90"/>
  <c r="AB21" i="90"/>
  <c r="J20" i="96"/>
  <c r="L13" i="96"/>
  <c r="AD24" i="86"/>
  <c r="H24" i="86" s="1"/>
  <c r="AD21" i="86"/>
  <c r="H21" i="86" s="1"/>
  <c r="AD11" i="86"/>
  <c r="H11" i="86" s="1"/>
  <c r="AD16" i="86"/>
  <c r="H16" i="86" s="1"/>
  <c r="AD35" i="86"/>
  <c r="H35" i="86" s="1"/>
  <c r="I44" i="48" s="1"/>
  <c r="AD37" i="86"/>
  <c r="H37" i="86" s="1"/>
  <c r="F27" i="86"/>
  <c r="F37" i="86"/>
  <c r="F21" i="86"/>
  <c r="F34" i="86"/>
  <c r="F29" i="86"/>
  <c r="F33" i="86"/>
  <c r="AB41" i="86"/>
  <c r="F38" i="86"/>
  <c r="AB27" i="95"/>
  <c r="AB25" i="95"/>
  <c r="AB16" i="95"/>
  <c r="AB35" i="95"/>
  <c r="AB34" i="95"/>
  <c r="J36" i="91"/>
  <c r="BE44" i="88"/>
  <c r="BE46" i="88" s="1"/>
  <c r="V24" i="95"/>
  <c r="G50" i="101"/>
  <c r="BD76" i="58"/>
  <c r="BE76" i="58" s="1"/>
  <c r="F14" i="86"/>
  <c r="F35" i="86"/>
  <c r="L13" i="91"/>
  <c r="K20" i="91"/>
  <c r="V24" i="90"/>
  <c r="U30" i="90"/>
  <c r="V30" i="90" s="1"/>
  <c r="K20" i="96"/>
  <c r="H48" i="48"/>
  <c r="H51" i="48"/>
  <c r="H40" i="48"/>
  <c r="BC46" i="93"/>
  <c r="BE44" i="93"/>
  <c r="BE46" i="93" s="1"/>
  <c r="AD38" i="86"/>
  <c r="H38" i="86" s="1"/>
  <c r="I49" i="48" s="1"/>
  <c r="S47" i="86"/>
  <c r="AD22" i="86"/>
  <c r="H22" i="86" s="1"/>
  <c r="AD26" i="86"/>
  <c r="H26" i="86" s="1"/>
  <c r="AD15" i="86"/>
  <c r="H15" i="86" s="1"/>
  <c r="AD34" i="86"/>
  <c r="H34" i="86" s="1"/>
  <c r="AD18" i="86"/>
  <c r="H18" i="86" s="1"/>
  <c r="AD39" i="86"/>
  <c r="H39" i="86" s="1"/>
  <c r="I42" i="48" s="1"/>
  <c r="AC40" i="95"/>
  <c r="G40" i="95" s="1"/>
  <c r="H50" i="96" s="1"/>
  <c r="AC38" i="95"/>
  <c r="G38" i="95" s="1"/>
  <c r="H49" i="96" s="1"/>
  <c r="AC39" i="95"/>
  <c r="G39" i="95" s="1"/>
  <c r="H42" i="96" s="1"/>
  <c r="AC18" i="95"/>
  <c r="G18" i="95" s="1"/>
  <c r="AC13" i="95"/>
  <c r="G13" i="95" s="1"/>
  <c r="AC12" i="95"/>
  <c r="G12" i="95" s="1"/>
  <c r="AC36" i="95"/>
  <c r="G36" i="95" s="1"/>
  <c r="AC37" i="95"/>
  <c r="G37" i="95" s="1"/>
  <c r="AC33" i="95"/>
  <c r="AC34" i="95"/>
  <c r="G34" i="95" s="1"/>
  <c r="AC35" i="95"/>
  <c r="G35" i="95" s="1"/>
  <c r="H44" i="96" s="1"/>
  <c r="AC14" i="95"/>
  <c r="G14" i="95" s="1"/>
  <c r="AC15" i="95"/>
  <c r="G15" i="95" s="1"/>
  <c r="AC20" i="95"/>
  <c r="G20" i="95" s="1"/>
  <c r="AC16" i="95"/>
  <c r="G16" i="95" s="1"/>
  <c r="AC10" i="95"/>
  <c r="AC25" i="95"/>
  <c r="G25" i="95" s="1"/>
  <c r="AC26" i="95"/>
  <c r="G26" i="95" s="1"/>
  <c r="AC11" i="95"/>
  <c r="G11" i="95" s="1"/>
  <c r="AC28" i="95"/>
  <c r="G28" i="95" s="1"/>
  <c r="AC22" i="95"/>
  <c r="G22" i="95" s="1"/>
  <c r="AC23" i="95"/>
  <c r="G23" i="95" s="1"/>
  <c r="AC21" i="95"/>
  <c r="G21" i="95" s="1"/>
  <c r="AC29" i="95"/>
  <c r="G29" i="95" s="1"/>
  <c r="AC27" i="95"/>
  <c r="G27" i="95" s="1"/>
  <c r="AC24" i="95"/>
  <c r="G24" i="95" s="1"/>
  <c r="F25" i="86"/>
  <c r="F22" i="86"/>
  <c r="F18" i="86"/>
  <c r="F28" i="86"/>
  <c r="F13" i="86"/>
  <c r="F26" i="86"/>
  <c r="F40" i="86"/>
  <c r="AB24" i="95"/>
  <c r="AB28" i="95"/>
  <c r="AB11" i="95"/>
  <c r="AB20" i="95"/>
  <c r="AB36" i="95"/>
  <c r="AB13" i="95"/>
  <c r="AB40" i="95"/>
  <c r="S43" i="95"/>
  <c r="K32" i="91"/>
  <c r="K29" i="91" s="1"/>
  <c r="AS76" i="88"/>
  <c r="AT76" i="88" s="1"/>
  <c r="K32" i="96"/>
  <c r="K29" i="96" s="1"/>
  <c r="AS76" i="93"/>
  <c r="F39" i="86"/>
  <c r="F15" i="86"/>
  <c r="AC41" i="86"/>
  <c r="G33" i="86"/>
  <c r="G13" i="51"/>
  <c r="G27" i="51" s="1"/>
  <c r="AC30" i="86"/>
  <c r="G10" i="86"/>
  <c r="J32" i="96"/>
  <c r="J29" i="96" s="1"/>
  <c r="AR76" i="93"/>
  <c r="U30" i="95"/>
  <c r="AD29" i="86"/>
  <c r="H29" i="86" s="1"/>
  <c r="AD28" i="86"/>
  <c r="H28" i="86" s="1"/>
  <c r="AD25" i="86"/>
  <c r="H25" i="86" s="1"/>
  <c r="AD20" i="86"/>
  <c r="H20" i="86" s="1"/>
  <c r="AD36" i="86"/>
  <c r="H36" i="86" s="1"/>
  <c r="AD12" i="86"/>
  <c r="H12" i="86" s="1"/>
  <c r="F36" i="86"/>
  <c r="F11" i="86"/>
  <c r="F23" i="86"/>
  <c r="F16" i="86"/>
  <c r="F24" i="86"/>
  <c r="F20" i="86"/>
  <c r="AB21" i="95"/>
  <c r="AB22" i="95"/>
  <c r="AB26" i="95"/>
  <c r="AB14" i="95"/>
  <c r="AB33" i="95"/>
  <c r="AB18" i="95"/>
  <c r="AB39" i="95"/>
  <c r="T45" i="86"/>
  <c r="BB76" i="93"/>
  <c r="J36" i="48"/>
  <c r="H48" i="91" l="1"/>
  <c r="H46" i="91"/>
  <c r="H51" i="91"/>
  <c r="AC41" i="90"/>
  <c r="AC30" i="90"/>
  <c r="H47" i="91"/>
  <c r="H40" i="91"/>
  <c r="T45" i="90"/>
  <c r="T47" i="90" s="1"/>
  <c r="K36" i="91"/>
  <c r="J36" i="96"/>
  <c r="K36" i="96"/>
  <c r="L20" i="91"/>
  <c r="T45" i="95"/>
  <c r="AE17" i="86"/>
  <c r="I17" i="86" s="1"/>
  <c r="AE19" i="86"/>
  <c r="I19" i="86" s="1"/>
  <c r="S44" i="95"/>
  <c r="AC13" i="51"/>
  <c r="AC27" i="51" s="1"/>
  <c r="AT76" i="93"/>
  <c r="L20" i="96"/>
  <c r="I51" i="48"/>
  <c r="I46" i="48"/>
  <c r="AC43" i="86"/>
  <c r="AC44" i="86" s="1"/>
  <c r="F21" i="95"/>
  <c r="F11" i="95"/>
  <c r="G41" i="96" s="1"/>
  <c r="F27" i="90"/>
  <c r="F34" i="90"/>
  <c r="F29" i="90"/>
  <c r="BD76" i="93"/>
  <c r="F13" i="95"/>
  <c r="F28" i="95"/>
  <c r="G47" i="48"/>
  <c r="AC30" i="95"/>
  <c r="G10" i="95"/>
  <c r="G10" i="51"/>
  <c r="AD30" i="86"/>
  <c r="F34" i="95"/>
  <c r="F27" i="95"/>
  <c r="H43" i="91"/>
  <c r="G41" i="90"/>
  <c r="H13" i="51"/>
  <c r="H27" i="51" s="1"/>
  <c r="I48" i="48"/>
  <c r="F21" i="90"/>
  <c r="F25" i="90"/>
  <c r="F14" i="90"/>
  <c r="F26" i="90"/>
  <c r="F16" i="90"/>
  <c r="F28" i="90"/>
  <c r="F12" i="90"/>
  <c r="T43" i="95"/>
  <c r="K36" i="48"/>
  <c r="L29" i="48"/>
  <c r="H41" i="86"/>
  <c r="I43" i="48"/>
  <c r="AB41" i="95"/>
  <c r="F33" i="95"/>
  <c r="G50" i="48"/>
  <c r="AB30" i="95"/>
  <c r="F25" i="95"/>
  <c r="G46" i="48"/>
  <c r="F15" i="90"/>
  <c r="F14" i="95"/>
  <c r="G48" i="48"/>
  <c r="V30" i="95"/>
  <c r="U43" i="95"/>
  <c r="G42" i="48"/>
  <c r="F39" i="95"/>
  <c r="F26" i="95"/>
  <c r="I40" i="48"/>
  <c r="F36" i="95"/>
  <c r="F24" i="95"/>
  <c r="H46" i="96"/>
  <c r="I47" i="48"/>
  <c r="G14" i="51"/>
  <c r="G28" i="51" s="1"/>
  <c r="U43" i="90"/>
  <c r="F35" i="95"/>
  <c r="G43" i="48"/>
  <c r="F41" i="86"/>
  <c r="G51" i="48"/>
  <c r="AB41" i="90"/>
  <c r="F33" i="90"/>
  <c r="F20" i="90"/>
  <c r="F23" i="90"/>
  <c r="F11" i="90"/>
  <c r="AB30" i="90"/>
  <c r="F10" i="90"/>
  <c r="F22" i="90"/>
  <c r="F40" i="90"/>
  <c r="V43" i="86"/>
  <c r="G40" i="48"/>
  <c r="G41" i="48"/>
  <c r="F30" i="86"/>
  <c r="AD41" i="86"/>
  <c r="T47" i="86"/>
  <c r="AE24" i="86"/>
  <c r="AE38" i="86"/>
  <c r="I38" i="86" s="1"/>
  <c r="J49" i="48" s="1"/>
  <c r="AE18" i="86"/>
  <c r="AE37" i="86"/>
  <c r="I37" i="86" s="1"/>
  <c r="AE20" i="86"/>
  <c r="I20" i="86" s="1"/>
  <c r="AE26" i="86"/>
  <c r="AE28" i="86"/>
  <c r="I28" i="86" s="1"/>
  <c r="AE29" i="86"/>
  <c r="I29" i="86" s="1"/>
  <c r="AE12" i="86"/>
  <c r="I12" i="86" s="1"/>
  <c r="AE34" i="86"/>
  <c r="I34" i="86" s="1"/>
  <c r="AE10" i="86"/>
  <c r="AE39" i="86"/>
  <c r="AE13" i="86"/>
  <c r="AE33" i="86"/>
  <c r="AE15" i="86"/>
  <c r="I15" i="86" s="1"/>
  <c r="AE11" i="86"/>
  <c r="AE22" i="86"/>
  <c r="AE14" i="86"/>
  <c r="AE23" i="86"/>
  <c r="AE40" i="86"/>
  <c r="AE36" i="86"/>
  <c r="AE35" i="86"/>
  <c r="AE16" i="86"/>
  <c r="AE25" i="86"/>
  <c r="I25" i="86" s="1"/>
  <c r="AE27" i="86"/>
  <c r="AE21" i="86"/>
  <c r="I21" i="86" s="1"/>
  <c r="G41" i="86"/>
  <c r="H43" i="48"/>
  <c r="F40" i="95"/>
  <c r="AC41" i="95"/>
  <c r="G33" i="95"/>
  <c r="G49" i="96"/>
  <c r="G44" i="48"/>
  <c r="I41" i="48"/>
  <c r="H30" i="86"/>
  <c r="F24" i="90"/>
  <c r="F38" i="90"/>
  <c r="AB43" i="86"/>
  <c r="F18" i="95"/>
  <c r="F22" i="95"/>
  <c r="BC76" i="93"/>
  <c r="H41" i="48"/>
  <c r="G30" i="86"/>
  <c r="S50" i="101"/>
  <c r="S51" i="101" s="1"/>
  <c r="BD76" i="88"/>
  <c r="BE76" i="88" s="1"/>
  <c r="L29" i="96"/>
  <c r="F20" i="95"/>
  <c r="H48" i="96"/>
  <c r="H47" i="96"/>
  <c r="H51" i="96"/>
  <c r="H40" i="96"/>
  <c r="G51" i="101"/>
  <c r="H50" i="101"/>
  <c r="L29" i="91"/>
  <c r="F16" i="95"/>
  <c r="G49" i="48"/>
  <c r="F18" i="90"/>
  <c r="F37" i="90"/>
  <c r="F13" i="90"/>
  <c r="F35" i="90"/>
  <c r="F39" i="90"/>
  <c r="F36" i="90"/>
  <c r="H45" i="48"/>
  <c r="S45" i="90"/>
  <c r="S45" i="95"/>
  <c r="G30" i="90"/>
  <c r="H41" i="91"/>
  <c r="T47" i="95" l="1"/>
  <c r="AD39" i="95"/>
  <c r="H39" i="95" s="1"/>
  <c r="I42" i="96" s="1"/>
  <c r="R14" i="51"/>
  <c r="R28" i="51" s="1"/>
  <c r="H45" i="91"/>
  <c r="AE26" i="90"/>
  <c r="I26" i="90" s="1"/>
  <c r="R10" i="51"/>
  <c r="R24" i="51" s="1"/>
  <c r="AE35" i="90"/>
  <c r="I35" i="90" s="1"/>
  <c r="J44" i="91" s="1"/>
  <c r="AC43" i="90"/>
  <c r="AC44" i="90" s="1"/>
  <c r="AE13" i="90"/>
  <c r="I13" i="90" s="1"/>
  <c r="L36" i="91"/>
  <c r="AE10" i="90"/>
  <c r="I10" i="90" s="1"/>
  <c r="AE15" i="90"/>
  <c r="I15" i="90" s="1"/>
  <c r="AE24" i="90"/>
  <c r="I24" i="90" s="1"/>
  <c r="AE36" i="90"/>
  <c r="I36" i="90" s="1"/>
  <c r="AE29" i="90"/>
  <c r="I29" i="90" s="1"/>
  <c r="AE23" i="90"/>
  <c r="I23" i="90" s="1"/>
  <c r="AE22" i="90"/>
  <c r="I22" i="90" s="1"/>
  <c r="AE34" i="90"/>
  <c r="I34" i="90" s="1"/>
  <c r="AE39" i="90"/>
  <c r="I39" i="90" s="1"/>
  <c r="J42" i="91" s="1"/>
  <c r="AE12" i="90"/>
  <c r="I12" i="90" s="1"/>
  <c r="AE16" i="90"/>
  <c r="I16" i="90" s="1"/>
  <c r="AE17" i="90"/>
  <c r="I17" i="90" s="1"/>
  <c r="AE19" i="90"/>
  <c r="I19" i="90" s="1"/>
  <c r="AE21" i="90"/>
  <c r="I21" i="90" s="1"/>
  <c r="AE11" i="90"/>
  <c r="I11" i="90" s="1"/>
  <c r="AE25" i="90"/>
  <c r="I25" i="90" s="1"/>
  <c r="AE37" i="90"/>
  <c r="I37" i="90" s="1"/>
  <c r="AE38" i="90"/>
  <c r="I38" i="90" s="1"/>
  <c r="J49" i="91" s="1"/>
  <c r="AE14" i="90"/>
  <c r="I14" i="90" s="1"/>
  <c r="AE27" i="90"/>
  <c r="I27" i="90" s="1"/>
  <c r="AE28" i="90"/>
  <c r="I28" i="90" s="1"/>
  <c r="AE20" i="90"/>
  <c r="I20" i="90" s="1"/>
  <c r="AE33" i="90"/>
  <c r="I33" i="90" s="1"/>
  <c r="AE40" i="90"/>
  <c r="I40" i="90" s="1"/>
  <c r="J50" i="91" s="1"/>
  <c r="AE18" i="90"/>
  <c r="I18" i="90" s="1"/>
  <c r="U45" i="90"/>
  <c r="U47" i="90" s="1"/>
  <c r="L36" i="96"/>
  <c r="AE19" i="95"/>
  <c r="I19" i="95" s="1"/>
  <c r="L36" i="48"/>
  <c r="AD17" i="90"/>
  <c r="H17" i="90" s="1"/>
  <c r="AD19" i="90"/>
  <c r="H19" i="90" s="1"/>
  <c r="AD19" i="95"/>
  <c r="H19" i="95" s="1"/>
  <c r="U44" i="95"/>
  <c r="AE17" i="95"/>
  <c r="I17" i="95" s="1"/>
  <c r="T44" i="95"/>
  <c r="AD17" i="95"/>
  <c r="H17" i="95" s="1"/>
  <c r="V43" i="90"/>
  <c r="R12" i="51"/>
  <c r="R26" i="51" s="1"/>
  <c r="AC14" i="51"/>
  <c r="AC28" i="51" s="1"/>
  <c r="T51" i="101"/>
  <c r="G43" i="90"/>
  <c r="G44" i="90" s="1"/>
  <c r="H14" i="51"/>
  <c r="H28" i="51" s="1"/>
  <c r="BE76" i="93"/>
  <c r="T50" i="101"/>
  <c r="AD26" i="95"/>
  <c r="H26" i="95" s="1"/>
  <c r="AD40" i="95"/>
  <c r="H40" i="95" s="1"/>
  <c r="I50" i="96" s="1"/>
  <c r="AD15" i="95"/>
  <c r="H15" i="95" s="1"/>
  <c r="H43" i="86"/>
  <c r="H44" i="86" s="1"/>
  <c r="AD24" i="95"/>
  <c r="H24" i="95" s="1"/>
  <c r="AD34" i="95"/>
  <c r="H34" i="95" s="1"/>
  <c r="AD28" i="95"/>
  <c r="H28" i="95" s="1"/>
  <c r="AD13" i="95"/>
  <c r="H13" i="95" s="1"/>
  <c r="G11" i="51"/>
  <c r="G25" i="51" s="1"/>
  <c r="I11" i="86"/>
  <c r="I24" i="86"/>
  <c r="G44" i="96"/>
  <c r="S47" i="90"/>
  <c r="AD40" i="90"/>
  <c r="AD12" i="90"/>
  <c r="AD33" i="90"/>
  <c r="AD23" i="90"/>
  <c r="AD25" i="90"/>
  <c r="AD29" i="90"/>
  <c r="AD10" i="90"/>
  <c r="AD13" i="90"/>
  <c r="AD11" i="90"/>
  <c r="AD39" i="90"/>
  <c r="AD16" i="90"/>
  <c r="AD14" i="90"/>
  <c r="AD34" i="90"/>
  <c r="AD22" i="90"/>
  <c r="AD28" i="90"/>
  <c r="AD27" i="90"/>
  <c r="AD38" i="90"/>
  <c r="AD18" i="90"/>
  <c r="AD35" i="90"/>
  <c r="AD26" i="90"/>
  <c r="AD15" i="90"/>
  <c r="AD36" i="90"/>
  <c r="AD21" i="90"/>
  <c r="AD37" i="90"/>
  <c r="AD24" i="90"/>
  <c r="AD20" i="90"/>
  <c r="U45" i="95"/>
  <c r="U45" i="86"/>
  <c r="H51" i="101"/>
  <c r="F30" i="95"/>
  <c r="AC10" i="51"/>
  <c r="G43" i="86"/>
  <c r="G44" i="86" s="1"/>
  <c r="AB44" i="86"/>
  <c r="G48" i="91"/>
  <c r="H11" i="51"/>
  <c r="H25" i="51" s="1"/>
  <c r="I27" i="86"/>
  <c r="I36" i="86"/>
  <c r="J51" i="48" s="1"/>
  <c r="I22" i="86"/>
  <c r="I13" i="86"/>
  <c r="I26" i="86"/>
  <c r="F43" i="86"/>
  <c r="F30" i="90"/>
  <c r="G41" i="91"/>
  <c r="G48" i="96"/>
  <c r="G45" i="48"/>
  <c r="AD43" i="86"/>
  <c r="AD44" i="86" s="1"/>
  <c r="AC43" i="95"/>
  <c r="AC44" i="95" s="1"/>
  <c r="AD27" i="95"/>
  <c r="AD11" i="95"/>
  <c r="AD16" i="95"/>
  <c r="AD35" i="95"/>
  <c r="AD37" i="95"/>
  <c r="AD38" i="95"/>
  <c r="G46" i="96"/>
  <c r="F13" i="51"/>
  <c r="I39" i="86"/>
  <c r="F11" i="51"/>
  <c r="AB43" i="90"/>
  <c r="G42" i="96"/>
  <c r="AB43" i="95"/>
  <c r="AE39" i="95"/>
  <c r="I39" i="95" s="1"/>
  <c r="J42" i="96" s="1"/>
  <c r="AE38" i="95"/>
  <c r="I38" i="95" s="1"/>
  <c r="J49" i="96" s="1"/>
  <c r="AE40" i="95"/>
  <c r="I40" i="95" s="1"/>
  <c r="J50" i="96" s="1"/>
  <c r="AE12" i="95"/>
  <c r="I12" i="95" s="1"/>
  <c r="AE13" i="95"/>
  <c r="I13" i="95" s="1"/>
  <c r="AE18" i="95"/>
  <c r="I18" i="95" s="1"/>
  <c r="AE37" i="95"/>
  <c r="I37" i="95" s="1"/>
  <c r="AE34" i="95"/>
  <c r="I34" i="95" s="1"/>
  <c r="AE36" i="95"/>
  <c r="I36" i="95" s="1"/>
  <c r="AE33" i="95"/>
  <c r="AE35" i="95"/>
  <c r="I35" i="95" s="1"/>
  <c r="J44" i="96" s="1"/>
  <c r="AE14" i="95"/>
  <c r="I14" i="95" s="1"/>
  <c r="AE20" i="95"/>
  <c r="I20" i="95" s="1"/>
  <c r="AE15" i="95"/>
  <c r="AE16" i="95"/>
  <c r="I16" i="95" s="1"/>
  <c r="AE10" i="95"/>
  <c r="AE11" i="95"/>
  <c r="I11" i="95" s="1"/>
  <c r="AE25" i="95"/>
  <c r="I25" i="95" s="1"/>
  <c r="AE26" i="95"/>
  <c r="I26" i="95" s="1"/>
  <c r="AE22" i="95"/>
  <c r="I22" i="95" s="1"/>
  <c r="AE28" i="95"/>
  <c r="I28" i="95" s="1"/>
  <c r="AE23" i="95"/>
  <c r="I23" i="95" s="1"/>
  <c r="AE21" i="95"/>
  <c r="I21" i="95" s="1"/>
  <c r="AE27" i="95"/>
  <c r="I27" i="95" s="1"/>
  <c r="AE29" i="95"/>
  <c r="I29" i="95" s="1"/>
  <c r="AE24" i="95"/>
  <c r="G47" i="91"/>
  <c r="R11" i="51"/>
  <c r="G42" i="91"/>
  <c r="G12" i="51"/>
  <c r="G26" i="51" s="1"/>
  <c r="I16" i="86"/>
  <c r="I23" i="86"/>
  <c r="I10" i="86"/>
  <c r="AE30" i="86"/>
  <c r="H45" i="96"/>
  <c r="H10" i="51"/>
  <c r="G47" i="96"/>
  <c r="F41" i="95"/>
  <c r="G43" i="96"/>
  <c r="G46" i="91"/>
  <c r="G51" i="96"/>
  <c r="AD29" i="95"/>
  <c r="AD22" i="95"/>
  <c r="AD25" i="95"/>
  <c r="AD20" i="95"/>
  <c r="AD33" i="95"/>
  <c r="AD18" i="95"/>
  <c r="H43" i="96"/>
  <c r="G41" i="95"/>
  <c r="I40" i="86"/>
  <c r="G50" i="91"/>
  <c r="F41" i="90"/>
  <c r="G43" i="91"/>
  <c r="H12" i="51"/>
  <c r="H26" i="51" s="1"/>
  <c r="H52" i="48"/>
  <c r="V43" i="95"/>
  <c r="V44" i="95" s="1"/>
  <c r="S47" i="95"/>
  <c r="G44" i="91"/>
  <c r="G49" i="91"/>
  <c r="G50" i="96"/>
  <c r="I35" i="86"/>
  <c r="I14" i="86"/>
  <c r="AE41" i="86"/>
  <c r="I33" i="86"/>
  <c r="I18" i="86"/>
  <c r="F10" i="51"/>
  <c r="F14" i="51"/>
  <c r="F12" i="51"/>
  <c r="G40" i="91"/>
  <c r="G40" i="96"/>
  <c r="G24" i="51"/>
  <c r="G30" i="95"/>
  <c r="H41" i="96"/>
  <c r="AD21" i="95"/>
  <c r="AD23" i="95"/>
  <c r="AD10" i="95"/>
  <c r="AD14" i="95"/>
  <c r="AD36" i="95"/>
  <c r="AD12" i="95"/>
  <c r="G51" i="91"/>
  <c r="I45" i="48"/>
  <c r="U47" i="95" l="1"/>
  <c r="H52" i="91"/>
  <c r="T13" i="51"/>
  <c r="T27" i="51" s="1"/>
  <c r="AF11" i="90"/>
  <c r="J11" i="90" s="1"/>
  <c r="AF33" i="90"/>
  <c r="J33" i="90" s="1"/>
  <c r="AF38" i="90"/>
  <c r="J38" i="90" s="1"/>
  <c r="K49" i="91" s="1"/>
  <c r="AF10" i="90"/>
  <c r="J10" i="90" s="1"/>
  <c r="AF39" i="90"/>
  <c r="J39" i="90" s="1"/>
  <c r="K42" i="91" s="1"/>
  <c r="AF29" i="90"/>
  <c r="J29" i="90" s="1"/>
  <c r="AF35" i="90"/>
  <c r="J35" i="90" s="1"/>
  <c r="K44" i="91" s="1"/>
  <c r="AF12" i="90"/>
  <c r="J12" i="90" s="1"/>
  <c r="AF22" i="90"/>
  <c r="J22" i="90" s="1"/>
  <c r="AF14" i="90"/>
  <c r="J14" i="90" s="1"/>
  <c r="AF19" i="90"/>
  <c r="J19" i="90" s="1"/>
  <c r="K19" i="90" s="1"/>
  <c r="V47" i="90"/>
  <c r="V45" i="90"/>
  <c r="J51" i="91"/>
  <c r="J46" i="91"/>
  <c r="J48" i="91"/>
  <c r="AF21" i="90"/>
  <c r="J21" i="90" s="1"/>
  <c r="AF28" i="90"/>
  <c r="J28" i="90" s="1"/>
  <c r="AF34" i="90"/>
  <c r="J34" i="90" s="1"/>
  <c r="AF16" i="90"/>
  <c r="J16" i="90" s="1"/>
  <c r="AF13" i="90"/>
  <c r="J13" i="90" s="1"/>
  <c r="J47" i="91"/>
  <c r="J40" i="91"/>
  <c r="AF24" i="90"/>
  <c r="J24" i="90" s="1"/>
  <c r="AF26" i="90"/>
  <c r="J26" i="90" s="1"/>
  <c r="AF23" i="90"/>
  <c r="J23" i="90" s="1"/>
  <c r="AF36" i="90"/>
  <c r="J36" i="90" s="1"/>
  <c r="AF40" i="90"/>
  <c r="J40" i="90" s="1"/>
  <c r="K50" i="91" s="1"/>
  <c r="AE30" i="90"/>
  <c r="AE41" i="90"/>
  <c r="AF27" i="90"/>
  <c r="J27" i="90" s="1"/>
  <c r="AF25" i="90"/>
  <c r="J25" i="90" s="1"/>
  <c r="AF20" i="90"/>
  <c r="J20" i="90" s="1"/>
  <c r="AF37" i="90"/>
  <c r="J37" i="90" s="1"/>
  <c r="AF15" i="90"/>
  <c r="J15" i="90" s="1"/>
  <c r="AF18" i="90"/>
  <c r="J18" i="90" s="1"/>
  <c r="AF17" i="90"/>
  <c r="AG17" i="90" s="1"/>
  <c r="AB11" i="51"/>
  <c r="AB25" i="51" s="1"/>
  <c r="AF19" i="95"/>
  <c r="J19" i="95" s="1"/>
  <c r="K19" i="95" s="1"/>
  <c r="AF17" i="86"/>
  <c r="J17" i="86" s="1"/>
  <c r="K17" i="86" s="1"/>
  <c r="AF19" i="86"/>
  <c r="AF17" i="95"/>
  <c r="J17" i="95" s="1"/>
  <c r="K17" i="95" s="1"/>
  <c r="I52" i="48"/>
  <c r="AE13" i="51"/>
  <c r="AE27" i="51" s="1"/>
  <c r="AC11" i="51"/>
  <c r="AC25" i="51" s="1"/>
  <c r="AC12" i="51"/>
  <c r="AC26" i="51" s="1"/>
  <c r="AF40" i="95"/>
  <c r="J40" i="95" s="1"/>
  <c r="K50" i="96" s="1"/>
  <c r="AF26" i="95"/>
  <c r="J26" i="95" s="1"/>
  <c r="K26" i="95" s="1"/>
  <c r="G43" i="95"/>
  <c r="G44" i="95" s="1"/>
  <c r="J46" i="48"/>
  <c r="AF24" i="95"/>
  <c r="J24" i="95" s="1"/>
  <c r="AF34" i="95"/>
  <c r="J40" i="48"/>
  <c r="AF28" i="95"/>
  <c r="J28" i="95" s="1"/>
  <c r="K28" i="95" s="1"/>
  <c r="AF18" i="95"/>
  <c r="J18" i="95" s="1"/>
  <c r="V45" i="95"/>
  <c r="AF15" i="95"/>
  <c r="J15" i="95" s="1"/>
  <c r="AF29" i="95"/>
  <c r="J29" i="95" s="1"/>
  <c r="AF25" i="95"/>
  <c r="J25" i="95" s="1"/>
  <c r="AF20" i="95"/>
  <c r="J20" i="95" s="1"/>
  <c r="AF12" i="95"/>
  <c r="J12" i="95" s="1"/>
  <c r="AF39" i="95"/>
  <c r="J39" i="95" s="1"/>
  <c r="K42" i="96" s="1"/>
  <c r="AF23" i="95"/>
  <c r="J23" i="95" s="1"/>
  <c r="AF16" i="95"/>
  <c r="J16" i="95" s="1"/>
  <c r="AF37" i="95"/>
  <c r="J37" i="95" s="1"/>
  <c r="AF13" i="95"/>
  <c r="J13" i="95" s="1"/>
  <c r="K13" i="95" s="1"/>
  <c r="J46" i="96"/>
  <c r="AF11" i="95"/>
  <c r="J11" i="95" s="1"/>
  <c r="AF33" i="95"/>
  <c r="J33" i="95" s="1"/>
  <c r="AF27" i="95"/>
  <c r="J27" i="95" s="1"/>
  <c r="AF14" i="95"/>
  <c r="J14" i="95" s="1"/>
  <c r="AF21" i="95"/>
  <c r="J21" i="95" s="1"/>
  <c r="AF22" i="95"/>
  <c r="J22" i="95" s="1"/>
  <c r="AF10" i="95"/>
  <c r="AG10" i="95" s="1"/>
  <c r="AF35" i="95"/>
  <c r="J35" i="95" s="1"/>
  <c r="K44" i="96" s="1"/>
  <c r="AF36" i="95"/>
  <c r="J36" i="95" s="1"/>
  <c r="AF38" i="95"/>
  <c r="J38" i="95" s="1"/>
  <c r="K49" i="96" s="1"/>
  <c r="H52" i="96"/>
  <c r="Q14" i="51"/>
  <c r="H14" i="95"/>
  <c r="Q10" i="51"/>
  <c r="J43" i="48"/>
  <c r="I41" i="86"/>
  <c r="H20" i="95"/>
  <c r="AB14" i="51"/>
  <c r="AE43" i="86"/>
  <c r="H37" i="95"/>
  <c r="H27" i="95"/>
  <c r="F43" i="90"/>
  <c r="J47" i="48"/>
  <c r="U47" i="86"/>
  <c r="V47" i="86" s="1"/>
  <c r="AF40" i="86"/>
  <c r="AF13" i="86"/>
  <c r="AF33" i="86"/>
  <c r="AF20" i="86"/>
  <c r="AF25" i="86"/>
  <c r="AF23" i="86"/>
  <c r="AF18" i="86"/>
  <c r="AF10" i="86"/>
  <c r="AF39" i="86"/>
  <c r="AF37" i="86"/>
  <c r="AF35" i="86"/>
  <c r="AF16" i="86"/>
  <c r="AF28" i="86"/>
  <c r="AF21" i="86"/>
  <c r="AF24" i="86"/>
  <c r="AF34" i="86"/>
  <c r="AF11" i="86"/>
  <c r="AF38" i="86"/>
  <c r="AF12" i="86"/>
  <c r="AF36" i="86"/>
  <c r="AF15" i="86"/>
  <c r="AF26" i="86"/>
  <c r="AF22" i="86"/>
  <c r="AF27" i="86"/>
  <c r="AF14" i="86"/>
  <c r="AF29" i="86"/>
  <c r="V45" i="86"/>
  <c r="H24" i="90"/>
  <c r="H15" i="90"/>
  <c r="H38" i="90"/>
  <c r="H34" i="90"/>
  <c r="H11" i="90"/>
  <c r="H25" i="90"/>
  <c r="H40" i="90"/>
  <c r="J48" i="48"/>
  <c r="AD30" i="95"/>
  <c r="H10" i="95"/>
  <c r="G15" i="51"/>
  <c r="G16" i="51" s="1"/>
  <c r="F26" i="51"/>
  <c r="F24" i="51"/>
  <c r="F15" i="51"/>
  <c r="J44" i="48"/>
  <c r="V47" i="95"/>
  <c r="Q12" i="51"/>
  <c r="H25" i="95"/>
  <c r="I30" i="86"/>
  <c r="J41" i="48"/>
  <c r="R25" i="51"/>
  <c r="R29" i="51" s="1"/>
  <c r="R15" i="51"/>
  <c r="AE30" i="95"/>
  <c r="I10" i="95"/>
  <c r="J51" i="96"/>
  <c r="G45" i="96"/>
  <c r="H35" i="95"/>
  <c r="AC24" i="51"/>
  <c r="H37" i="90"/>
  <c r="H26" i="90"/>
  <c r="H27" i="90"/>
  <c r="H14" i="90"/>
  <c r="H13" i="90"/>
  <c r="H23" i="90"/>
  <c r="AB13" i="51"/>
  <c r="H12" i="95"/>
  <c r="H23" i="95"/>
  <c r="G29" i="51"/>
  <c r="I14" i="51"/>
  <c r="I28" i="51" s="1"/>
  <c r="Q13" i="51"/>
  <c r="H18" i="95"/>
  <c r="H22" i="95"/>
  <c r="J47" i="96"/>
  <c r="AB44" i="95"/>
  <c r="F25" i="51"/>
  <c r="J42" i="48"/>
  <c r="F27" i="51"/>
  <c r="H16" i="95"/>
  <c r="F43" i="95"/>
  <c r="H20" i="90"/>
  <c r="H21" i="90"/>
  <c r="H35" i="90"/>
  <c r="H28" i="90"/>
  <c r="H16" i="90"/>
  <c r="AD30" i="90"/>
  <c r="H10" i="90"/>
  <c r="AD41" i="90"/>
  <c r="H33" i="90"/>
  <c r="J43" i="91"/>
  <c r="I41" i="90"/>
  <c r="H36" i="95"/>
  <c r="H21" i="95"/>
  <c r="AB10" i="51"/>
  <c r="F28" i="51"/>
  <c r="G52" i="48"/>
  <c r="J50" i="48"/>
  <c r="AD41" i="95"/>
  <c r="H33" i="95"/>
  <c r="H29" i="95"/>
  <c r="G45" i="91"/>
  <c r="AB12" i="51"/>
  <c r="H24" i="51"/>
  <c r="H29" i="51" s="1"/>
  <c r="H15" i="51"/>
  <c r="I24" i="95"/>
  <c r="I15" i="95"/>
  <c r="AE41" i="95"/>
  <c r="I33" i="95"/>
  <c r="AB44" i="90"/>
  <c r="I30" i="90"/>
  <c r="J41" i="91"/>
  <c r="H38" i="95"/>
  <c r="H11" i="95"/>
  <c r="Q11" i="51"/>
  <c r="F44" i="86"/>
  <c r="H36" i="90"/>
  <c r="H18" i="90"/>
  <c r="H22" i="90"/>
  <c r="H39" i="90"/>
  <c r="H29" i="90"/>
  <c r="H12" i="90"/>
  <c r="R16" i="51" l="1"/>
  <c r="T14" i="51"/>
  <c r="T28" i="51" s="1"/>
  <c r="U13" i="51"/>
  <c r="U27" i="51" s="1"/>
  <c r="AG29" i="90"/>
  <c r="K11" i="90"/>
  <c r="AG11" i="90"/>
  <c r="AG13" i="90"/>
  <c r="AG38" i="90"/>
  <c r="AG33" i="90"/>
  <c r="K46" i="91"/>
  <c r="AG22" i="90"/>
  <c r="AG28" i="90"/>
  <c r="K23" i="90"/>
  <c r="AG34" i="90"/>
  <c r="AG19" i="90"/>
  <c r="AG10" i="90"/>
  <c r="AG21" i="90"/>
  <c r="AG12" i="90"/>
  <c r="AG35" i="90"/>
  <c r="K27" i="90"/>
  <c r="AG23" i="90"/>
  <c r="J17" i="90"/>
  <c r="K17" i="90" s="1"/>
  <c r="AG39" i="90"/>
  <c r="K28" i="90"/>
  <c r="K29" i="90"/>
  <c r="K22" i="90"/>
  <c r="K47" i="91"/>
  <c r="K13" i="90"/>
  <c r="AG14" i="90"/>
  <c r="AG25" i="90"/>
  <c r="AG15" i="90"/>
  <c r="AG26" i="90"/>
  <c r="K14" i="90"/>
  <c r="K15" i="90"/>
  <c r="J45" i="91"/>
  <c r="T10" i="51"/>
  <c r="T24" i="51" s="1"/>
  <c r="K51" i="91"/>
  <c r="AF30" i="90"/>
  <c r="AG36" i="90"/>
  <c r="AG16" i="90"/>
  <c r="AG20" i="90"/>
  <c r="K48" i="91"/>
  <c r="AE43" i="90"/>
  <c r="AE44" i="90" s="1"/>
  <c r="K37" i="90"/>
  <c r="K36" i="90"/>
  <c r="K16" i="90"/>
  <c r="K20" i="90"/>
  <c r="AG40" i="90"/>
  <c r="AG24" i="90"/>
  <c r="AF41" i="90"/>
  <c r="AG41" i="90" s="1"/>
  <c r="AG18" i="90"/>
  <c r="K25" i="90"/>
  <c r="K18" i="90"/>
  <c r="AG27" i="90"/>
  <c r="AG37" i="90"/>
  <c r="AG17" i="86"/>
  <c r="AG19" i="95"/>
  <c r="AG19" i="86"/>
  <c r="J19" i="86"/>
  <c r="K19" i="86" s="1"/>
  <c r="AG17" i="95"/>
  <c r="H16" i="51"/>
  <c r="AE14" i="51"/>
  <c r="AE28" i="51" s="1"/>
  <c r="AC29" i="51"/>
  <c r="G52" i="96"/>
  <c r="AF13" i="51"/>
  <c r="AF27" i="51" s="1"/>
  <c r="L42" i="96"/>
  <c r="T12" i="51"/>
  <c r="T26" i="51" s="1"/>
  <c r="T11" i="51"/>
  <c r="T25" i="51" s="1"/>
  <c r="AC15" i="51"/>
  <c r="AG26" i="95"/>
  <c r="AG24" i="95"/>
  <c r="AG40" i="95"/>
  <c r="K40" i="95"/>
  <c r="I43" i="90"/>
  <c r="I44" i="90" s="1"/>
  <c r="K23" i="95"/>
  <c r="AG29" i="95"/>
  <c r="AG36" i="95"/>
  <c r="AG27" i="95"/>
  <c r="K20" i="95"/>
  <c r="K15" i="95"/>
  <c r="AG21" i="95"/>
  <c r="AG23" i="95"/>
  <c r="AG35" i="95"/>
  <c r="K48" i="96"/>
  <c r="K14" i="95"/>
  <c r="K37" i="95"/>
  <c r="AG18" i="95"/>
  <c r="AG16" i="95"/>
  <c r="AG38" i="95"/>
  <c r="K16" i="95"/>
  <c r="K22" i="95"/>
  <c r="AG12" i="95"/>
  <c r="K47" i="96"/>
  <c r="AG39" i="95"/>
  <c r="AG33" i="95"/>
  <c r="K18" i="95"/>
  <c r="AG37" i="95"/>
  <c r="J34" i="95"/>
  <c r="J41" i="95" s="1"/>
  <c r="AG34" i="95"/>
  <c r="R48" i="95"/>
  <c r="AG28" i="95"/>
  <c r="AF30" i="95"/>
  <c r="AG30" i="95" s="1"/>
  <c r="K11" i="95"/>
  <c r="AG15" i="95"/>
  <c r="K40" i="96"/>
  <c r="J10" i="95"/>
  <c r="K41" i="96" s="1"/>
  <c r="AG13" i="95"/>
  <c r="AG20" i="95"/>
  <c r="J40" i="96"/>
  <c r="H53" i="96"/>
  <c r="K29" i="95"/>
  <c r="J45" i="48"/>
  <c r="AF41" i="95"/>
  <c r="K39" i="95"/>
  <c r="K46" i="96"/>
  <c r="AG11" i="95"/>
  <c r="AG22" i="95"/>
  <c r="AG25" i="95"/>
  <c r="AG14" i="95"/>
  <c r="Q25" i="51"/>
  <c r="AB26" i="51"/>
  <c r="I41" i="91"/>
  <c r="H30" i="90"/>
  <c r="K10" i="90"/>
  <c r="K43" i="96"/>
  <c r="AB27" i="51"/>
  <c r="I44" i="96"/>
  <c r="K35" i="95"/>
  <c r="I48" i="96"/>
  <c r="K25" i="95"/>
  <c r="I13" i="51"/>
  <c r="H30" i="95"/>
  <c r="I41" i="96"/>
  <c r="J22" i="86"/>
  <c r="K22" i="86" s="1"/>
  <c r="AG22" i="86"/>
  <c r="J12" i="86"/>
  <c r="AG12" i="86"/>
  <c r="J24" i="86"/>
  <c r="AG24" i="86"/>
  <c r="J35" i="86"/>
  <c r="AG35" i="86"/>
  <c r="J18" i="86"/>
  <c r="K18" i="86" s="1"/>
  <c r="AG18" i="86"/>
  <c r="AF41" i="86"/>
  <c r="AG41" i="86" s="1"/>
  <c r="J33" i="86"/>
  <c r="AG33" i="86"/>
  <c r="F44" i="90"/>
  <c r="K27" i="95"/>
  <c r="I47" i="96"/>
  <c r="H41" i="95"/>
  <c r="I43" i="96"/>
  <c r="K33" i="95"/>
  <c r="I46" i="96"/>
  <c r="K21" i="95"/>
  <c r="I44" i="91"/>
  <c r="K35" i="90"/>
  <c r="I11" i="51"/>
  <c r="F29" i="51"/>
  <c r="I50" i="91"/>
  <c r="K40" i="90"/>
  <c r="I49" i="91"/>
  <c r="K38" i="90"/>
  <c r="I48" i="91"/>
  <c r="K24" i="90"/>
  <c r="J27" i="86"/>
  <c r="K27" i="86" s="1"/>
  <c r="AG27" i="86"/>
  <c r="J36" i="86"/>
  <c r="K36" i="86" s="1"/>
  <c r="AG36" i="86"/>
  <c r="J34" i="86"/>
  <c r="AG34" i="86"/>
  <c r="J16" i="86"/>
  <c r="K16" i="86" s="1"/>
  <c r="AG16" i="86"/>
  <c r="AF30" i="86"/>
  <c r="J10" i="86"/>
  <c r="AG10" i="86"/>
  <c r="J20" i="86"/>
  <c r="K20" i="86" s="1"/>
  <c r="AG20" i="86"/>
  <c r="AE44" i="86"/>
  <c r="K41" i="91"/>
  <c r="I12" i="51"/>
  <c r="Q24" i="51"/>
  <c r="Q15" i="51"/>
  <c r="Q28" i="51"/>
  <c r="I40" i="91"/>
  <c r="K12" i="90"/>
  <c r="I42" i="91"/>
  <c r="K39" i="90"/>
  <c r="J43" i="96"/>
  <c r="I41" i="95"/>
  <c r="AB24" i="51"/>
  <c r="AB15" i="51"/>
  <c r="K36" i="95"/>
  <c r="I51" i="96"/>
  <c r="I43" i="91"/>
  <c r="H41" i="90"/>
  <c r="K33" i="90"/>
  <c r="AD43" i="90"/>
  <c r="I46" i="91"/>
  <c r="K21" i="90"/>
  <c r="F44" i="95"/>
  <c r="J41" i="96"/>
  <c r="I30" i="95"/>
  <c r="AD43" i="95"/>
  <c r="I51" i="91"/>
  <c r="K34" i="90"/>
  <c r="J29" i="86"/>
  <c r="K29" i="86" s="1"/>
  <c r="AG29" i="86"/>
  <c r="J26" i="86"/>
  <c r="AG26" i="86"/>
  <c r="J38" i="86"/>
  <c r="AG38" i="86"/>
  <c r="J21" i="86"/>
  <c r="AG21" i="86"/>
  <c r="J37" i="86"/>
  <c r="K37" i="86" s="1"/>
  <c r="AG37" i="86"/>
  <c r="J23" i="86"/>
  <c r="K23" i="86" s="1"/>
  <c r="AG23" i="86"/>
  <c r="J13" i="86"/>
  <c r="K13" i="86" s="1"/>
  <c r="AG13" i="86"/>
  <c r="K43" i="91"/>
  <c r="J41" i="90"/>
  <c r="I49" i="96"/>
  <c r="K38" i="95"/>
  <c r="J48" i="96"/>
  <c r="K24" i="95"/>
  <c r="Q27" i="51"/>
  <c r="I40" i="96"/>
  <c r="K12" i="95"/>
  <c r="I47" i="91"/>
  <c r="K26" i="90"/>
  <c r="AE43" i="95"/>
  <c r="AE44" i="95" s="1"/>
  <c r="Q26" i="51"/>
  <c r="F16" i="51"/>
  <c r="J14" i="86"/>
  <c r="K14" i="86" s="1"/>
  <c r="AG14" i="86"/>
  <c r="J15" i="86"/>
  <c r="K15" i="86" s="1"/>
  <c r="AG15" i="86"/>
  <c r="J11" i="86"/>
  <c r="K11" i="86" s="1"/>
  <c r="AG11" i="86"/>
  <c r="J28" i="86"/>
  <c r="K28" i="86" s="1"/>
  <c r="AG28" i="86"/>
  <c r="J39" i="86"/>
  <c r="AG39" i="86"/>
  <c r="J25" i="86"/>
  <c r="K25" i="86" s="1"/>
  <c r="AG25" i="86"/>
  <c r="J40" i="86"/>
  <c r="AG40" i="86"/>
  <c r="AB28" i="51"/>
  <c r="I43" i="86"/>
  <c r="G52" i="91"/>
  <c r="I10" i="51"/>
  <c r="U14" i="51" l="1"/>
  <c r="U28" i="51" s="1"/>
  <c r="J52" i="91"/>
  <c r="K45" i="91"/>
  <c r="AF43" i="90"/>
  <c r="AF44" i="90" s="1"/>
  <c r="J30" i="90"/>
  <c r="J43" i="90" s="1"/>
  <c r="J44" i="90" s="1"/>
  <c r="K40" i="91"/>
  <c r="AG30" i="90"/>
  <c r="J45" i="96"/>
  <c r="G53" i="96"/>
  <c r="AC16" i="51"/>
  <c r="Q48" i="95"/>
  <c r="T15" i="51"/>
  <c r="L42" i="91"/>
  <c r="U11" i="51"/>
  <c r="U25" i="51" s="1"/>
  <c r="T29" i="51"/>
  <c r="AE10" i="51"/>
  <c r="AE24" i="51" s="1"/>
  <c r="AE12" i="51"/>
  <c r="AE26" i="51" s="1"/>
  <c r="U12" i="51"/>
  <c r="U26" i="51" s="1"/>
  <c r="AF12" i="51"/>
  <c r="AF26" i="51" s="1"/>
  <c r="AF11" i="51"/>
  <c r="AF25" i="51" s="1"/>
  <c r="I45" i="91"/>
  <c r="K45" i="96"/>
  <c r="J52" i="48"/>
  <c r="AF43" i="95"/>
  <c r="AF44" i="95" s="1"/>
  <c r="AF10" i="51"/>
  <c r="AF24" i="51" s="1"/>
  <c r="J30" i="95"/>
  <c r="J43" i="95" s="1"/>
  <c r="J44" i="95" s="1"/>
  <c r="K10" i="95"/>
  <c r="AG41" i="95"/>
  <c r="K34" i="95"/>
  <c r="K51" i="96"/>
  <c r="K41" i="90"/>
  <c r="K46" i="48"/>
  <c r="K21" i="86"/>
  <c r="K47" i="48"/>
  <c r="K26" i="86"/>
  <c r="S14" i="51"/>
  <c r="L51" i="91"/>
  <c r="AD44" i="95"/>
  <c r="AB16" i="51"/>
  <c r="I26" i="51"/>
  <c r="AD12" i="51"/>
  <c r="L43" i="96"/>
  <c r="K43" i="48"/>
  <c r="J41" i="86"/>
  <c r="K41" i="86" s="1"/>
  <c r="K33" i="86"/>
  <c r="AD13" i="51"/>
  <c r="L44" i="96"/>
  <c r="I15" i="51"/>
  <c r="I24" i="51"/>
  <c r="K50" i="48"/>
  <c r="K40" i="86"/>
  <c r="K42" i="48"/>
  <c r="K39" i="86"/>
  <c r="I43" i="95"/>
  <c r="I44" i="95" s="1"/>
  <c r="S12" i="51"/>
  <c r="L43" i="91"/>
  <c r="Q16" i="51"/>
  <c r="J30" i="86"/>
  <c r="K41" i="48"/>
  <c r="K10" i="86"/>
  <c r="S13" i="51"/>
  <c r="L44" i="91"/>
  <c r="K41" i="95"/>
  <c r="K44" i="48"/>
  <c r="K35" i="86"/>
  <c r="K40" i="48"/>
  <c r="K12" i="86"/>
  <c r="AD11" i="51"/>
  <c r="L41" i="96"/>
  <c r="I27" i="51"/>
  <c r="K49" i="48"/>
  <c r="K38" i="86"/>
  <c r="AE11" i="51"/>
  <c r="AE25" i="51" s="1"/>
  <c r="AD44" i="90"/>
  <c r="AD14" i="51"/>
  <c r="AB29" i="51"/>
  <c r="Q29" i="51"/>
  <c r="AF43" i="86"/>
  <c r="AG30" i="86"/>
  <c r="K51" i="48"/>
  <c r="K34" i="86"/>
  <c r="I25" i="51"/>
  <c r="H43" i="95"/>
  <c r="H43" i="90"/>
  <c r="I44" i="86"/>
  <c r="AD10" i="51"/>
  <c r="L40" i="96"/>
  <c r="S10" i="51"/>
  <c r="I45" i="96"/>
  <c r="K48" i="48"/>
  <c r="K24" i="86"/>
  <c r="S11" i="51"/>
  <c r="L41" i="91"/>
  <c r="T16" i="51" l="1"/>
  <c r="L40" i="91"/>
  <c r="J52" i="96"/>
  <c r="K30" i="90"/>
  <c r="U10" i="51"/>
  <c r="U24" i="51" s="1"/>
  <c r="U29" i="51" s="1"/>
  <c r="AG43" i="90"/>
  <c r="AG44" i="90" s="1"/>
  <c r="K52" i="91"/>
  <c r="L45" i="91"/>
  <c r="AF14" i="51"/>
  <c r="AF28" i="51" s="1"/>
  <c r="I52" i="91"/>
  <c r="K30" i="95"/>
  <c r="L45" i="96"/>
  <c r="L51" i="96"/>
  <c r="AG43" i="95"/>
  <c r="AG44" i="95" s="1"/>
  <c r="K52" i="96"/>
  <c r="AE15" i="51"/>
  <c r="I52" i="96"/>
  <c r="AE29" i="51"/>
  <c r="H44" i="90"/>
  <c r="K43" i="90"/>
  <c r="AF44" i="86"/>
  <c r="AG43" i="86"/>
  <c r="AG44" i="86" s="1"/>
  <c r="AD28" i="51"/>
  <c r="J43" i="86"/>
  <c r="K30" i="86"/>
  <c r="J12" i="51"/>
  <c r="L43" i="48"/>
  <c r="AD26" i="51"/>
  <c r="AG12" i="51"/>
  <c r="S28" i="51"/>
  <c r="V28" i="51" s="1"/>
  <c r="V14" i="51"/>
  <c r="K45" i="48"/>
  <c r="J10" i="51"/>
  <c r="L40" i="48"/>
  <c r="L42" i="48"/>
  <c r="I29" i="51"/>
  <c r="AD27" i="51"/>
  <c r="AG13" i="51"/>
  <c r="S25" i="51"/>
  <c r="V25" i="51" s="1"/>
  <c r="V11" i="51"/>
  <c r="AD24" i="51"/>
  <c r="AD15" i="51"/>
  <c r="AG10" i="51"/>
  <c r="H44" i="95"/>
  <c r="K43" i="95"/>
  <c r="J14" i="51"/>
  <c r="L51" i="48"/>
  <c r="S26" i="51"/>
  <c r="V26" i="51" s="1"/>
  <c r="V12" i="51"/>
  <c r="I16" i="51"/>
  <c r="S24" i="51"/>
  <c r="S15" i="51"/>
  <c r="AD25" i="51"/>
  <c r="AG11" i="51"/>
  <c r="J13" i="51"/>
  <c r="L44" i="48"/>
  <c r="S27" i="51"/>
  <c r="V27" i="51" s="1"/>
  <c r="V13" i="51"/>
  <c r="J11" i="51"/>
  <c r="L41" i="48"/>
  <c r="AG27" i="51" l="1"/>
  <c r="AG25" i="51"/>
  <c r="AF29" i="51"/>
  <c r="AG26" i="51"/>
  <c r="T48" i="95"/>
  <c r="J53" i="96"/>
  <c r="V10" i="51"/>
  <c r="U15" i="51"/>
  <c r="U16" i="51" s="1"/>
  <c r="L52" i="91"/>
  <c r="O53" i="101" s="1"/>
  <c r="U48" i="95"/>
  <c r="S48" i="95"/>
  <c r="K52" i="48"/>
  <c r="L52" i="48" s="1"/>
  <c r="C53" i="101" s="1"/>
  <c r="AG28" i="51"/>
  <c r="AF15" i="51"/>
  <c r="AF16" i="51" s="1"/>
  <c r="AG14" i="51"/>
  <c r="I53" i="96"/>
  <c r="L52" i="96"/>
  <c r="AE16" i="51"/>
  <c r="K53" i="96"/>
  <c r="J25" i="51"/>
  <c r="K25" i="51" s="1"/>
  <c r="K11" i="51"/>
  <c r="S16" i="51"/>
  <c r="J28" i="51"/>
  <c r="K28" i="51" s="1"/>
  <c r="K14" i="51"/>
  <c r="AD16" i="51"/>
  <c r="L45" i="48"/>
  <c r="S29" i="51"/>
  <c r="V24" i="51"/>
  <c r="V29" i="51" s="1"/>
  <c r="AD29" i="51"/>
  <c r="AG24" i="51"/>
  <c r="J24" i="51"/>
  <c r="J15" i="51"/>
  <c r="K10" i="51"/>
  <c r="J26" i="51"/>
  <c r="K26" i="51" s="1"/>
  <c r="K12" i="51"/>
  <c r="J44" i="86"/>
  <c r="K43" i="86"/>
  <c r="J27" i="51"/>
  <c r="K27" i="51" s="1"/>
  <c r="K13" i="51"/>
  <c r="V15" i="51" l="1"/>
  <c r="V16" i="51" s="1"/>
  <c r="AG15" i="51"/>
  <c r="AG16" i="51" s="1"/>
  <c r="L53" i="96"/>
  <c r="AG29" i="51"/>
  <c r="J16" i="51"/>
  <c r="K15" i="51"/>
  <c r="K16" i="51" s="1"/>
  <c r="J29" i="51"/>
  <c r="K24" i="51"/>
  <c r="K29" i="51" s="1"/>
</calcChain>
</file>

<file path=xl/sharedStrings.xml><?xml version="1.0" encoding="utf-8"?>
<sst xmlns="http://schemas.openxmlformats.org/spreadsheetml/2006/main" count="2149" uniqueCount="415">
  <si>
    <t>Mains Augmentation</t>
  </si>
  <si>
    <t>Telemetry</t>
  </si>
  <si>
    <t>Information Technology</t>
  </si>
  <si>
    <t>Large Consumers</t>
  </si>
  <si>
    <t>Growth New Areas</t>
  </si>
  <si>
    <t>New Main - Estate</t>
  </si>
  <si>
    <t>New Main - Existing Domestic</t>
  </si>
  <si>
    <t>New Service - New Home</t>
  </si>
  <si>
    <t>New Service - Exist Home</t>
  </si>
  <si>
    <t>New Service - Multi User</t>
  </si>
  <si>
    <t>New Service - I&amp;C &lt; 10 Tj</t>
  </si>
  <si>
    <t>Check</t>
  </si>
  <si>
    <t>Description of model</t>
  </si>
  <si>
    <t>Sheet Name</t>
  </si>
  <si>
    <t>Sheet Description</t>
  </si>
  <si>
    <t>Service Renewal - Non AMRP</t>
  </si>
  <si>
    <t>New Main - I&amp;C&lt;10TJ</t>
  </si>
  <si>
    <t>Contents!A1</t>
  </si>
  <si>
    <t>Labour</t>
  </si>
  <si>
    <t>Materials</t>
  </si>
  <si>
    <t>Hyperlink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</si>
  <si>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</si>
  <si>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</si>
  <si>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</si>
  <si>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</si>
  <si>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</si>
  <si>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</si>
  <si>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</si>
  <si>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</si>
  <si>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</si>
  <si>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</si>
  <si>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</si>
  <si>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</si>
  <si>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</si>
  <si>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</si>
  <si>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</si>
  <si>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</si>
  <si>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</si>
  <si>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</si>
  <si>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</si>
  <si>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Real Cost Escalation</t>
  </si>
  <si>
    <t>Year-on-Year</t>
  </si>
  <si>
    <t>Cumulative</t>
  </si>
  <si>
    <t>Unit Rate Forecasts</t>
  </si>
  <si>
    <t>Non-Unit Rate Forecasts</t>
  </si>
  <si>
    <t>TOTAL</t>
  </si>
  <si>
    <t>SUBTOTAL</t>
  </si>
  <si>
    <t>Real Cost Escalation'!A1</t>
  </si>
  <si>
    <t>Mains Replacement</t>
  </si>
  <si>
    <t>Meter Replacement</t>
  </si>
  <si>
    <t>Augmentation</t>
  </si>
  <si>
    <t>Regulators</t>
  </si>
  <si>
    <t>IT</t>
  </si>
  <si>
    <t>Growth Assets</t>
  </si>
  <si>
    <t>Mains growth</t>
  </si>
  <si>
    <t>Inlets growth</t>
  </si>
  <si>
    <t>Meters growth</t>
  </si>
  <si>
    <t>Large consumers</t>
  </si>
  <si>
    <t>Growth new areas</t>
  </si>
  <si>
    <t>Other Distribution System</t>
  </si>
  <si>
    <t>Other Non-Distribution System</t>
  </si>
  <si>
    <t>Overheads</t>
  </si>
  <si>
    <t>Historic Overheads</t>
  </si>
  <si>
    <t>Support</t>
  </si>
  <si>
    <t>Total Capex</t>
  </si>
  <si>
    <t>% Overheads to Capex</t>
  </si>
  <si>
    <t>Average</t>
  </si>
  <si>
    <t>BIS Shrapnel</t>
  </si>
  <si>
    <t>Deloitte Access Economics</t>
  </si>
  <si>
    <t>Total Capex - Overheads</t>
  </si>
  <si>
    <t>Inflation</t>
  </si>
  <si>
    <t>Meters</t>
  </si>
  <si>
    <t>Capital Expenditure Forecasts by RAB Category PTRM Input</t>
  </si>
  <si>
    <t>PTRM Input</t>
  </si>
  <si>
    <t>PTRM Input'!A1</t>
  </si>
  <si>
    <t>Total for 
2018-2022</t>
  </si>
  <si>
    <t>Capital Expenditure Forecasts (Escalated), $m 2016</t>
  </si>
  <si>
    <t>Mains Replacement Total</t>
  </si>
  <si>
    <t>Meter Replacement Total</t>
  </si>
  <si>
    <t>Meter Replacement Volumes (units)</t>
  </si>
  <si>
    <t>Input</t>
  </si>
  <si>
    <t>New Mains Total</t>
  </si>
  <si>
    <t>New Services Total</t>
  </si>
  <si>
    <t>New Meters Volumes (units)</t>
  </si>
  <si>
    <t>New Services Volumes (units)</t>
  </si>
  <si>
    <t>New Meters Total</t>
  </si>
  <si>
    <t xml:space="preserve">Total </t>
  </si>
  <si>
    <t>$m, nominal</t>
  </si>
  <si>
    <t>Operations &amp; maintenance</t>
  </si>
  <si>
    <t>Planning &amp; system design</t>
  </si>
  <si>
    <t>Procurement &amp; fleet</t>
  </si>
  <si>
    <t>Technical assurance</t>
  </si>
  <si>
    <t>Network engineering</t>
  </si>
  <si>
    <t>Fixed</t>
  </si>
  <si>
    <t>Variable</t>
  </si>
  <si>
    <t>Weights</t>
  </si>
  <si>
    <t>Total</t>
  </si>
  <si>
    <t>Business Case Summary</t>
  </si>
  <si>
    <t>Code</t>
  </si>
  <si>
    <t>Name</t>
  </si>
  <si>
    <t>Other Assets</t>
  </si>
  <si>
    <t>Augmentation Total</t>
  </si>
  <si>
    <t>Information Technology Total</t>
  </si>
  <si>
    <t>Telemetry Total</t>
  </si>
  <si>
    <t>Source</t>
  </si>
  <si>
    <t>Capital Expenditure (direct costs only)</t>
  </si>
  <si>
    <t>Mains &amp; Services</t>
  </si>
  <si>
    <t>Buildings</t>
  </si>
  <si>
    <t>Equity Raising Costs</t>
  </si>
  <si>
    <t>Land</t>
  </si>
  <si>
    <t>Capital Expenditure Forecasts by RAB Category for PTRM Input $m 2016</t>
  </si>
  <si>
    <t>Capital Expenditure Forecasts by RAB Category for PTRM Input $m 2017</t>
  </si>
  <si>
    <t>Growth Assets (mains, inlets)</t>
  </si>
  <si>
    <t>Growth Assets (meters only)</t>
  </si>
  <si>
    <t>N/A</t>
  </si>
  <si>
    <t>Capital Expenditure Forecasts, $m 2016</t>
  </si>
  <si>
    <t>V13</t>
  </si>
  <si>
    <t>CITY GATE  AND CTM UPGRADES</t>
  </si>
  <si>
    <t>V18</t>
  </si>
  <si>
    <t>H85 ECHUCA HP AUGMENTATION</t>
  </si>
  <si>
    <t>V23</t>
  </si>
  <si>
    <t>TP44 – DANDENONG – CRIB POINT (3.9 KM DN450 )</t>
  </si>
  <si>
    <t>V28</t>
  </si>
  <si>
    <t xml:space="preserve">H07 CRANBOURNE HP AUGMENTATION </t>
  </si>
  <si>
    <t>V54</t>
  </si>
  <si>
    <t>REFURBISH DANDENONG-CRIBB POINT PIPELINE</t>
  </si>
  <si>
    <t>V89</t>
  </si>
  <si>
    <t>MORWLL TRAMWAY ROAD TP MAIN</t>
  </si>
  <si>
    <t>V46</t>
  </si>
  <si>
    <t>V47</t>
  </si>
  <si>
    <t>V48</t>
  </si>
  <si>
    <t>V49</t>
  </si>
  <si>
    <t>V50</t>
  </si>
  <si>
    <t>V01</t>
  </si>
  <si>
    <t>V02</t>
  </si>
  <si>
    <t>V27</t>
  </si>
  <si>
    <t>V91</t>
  </si>
  <si>
    <t>V05</t>
  </si>
  <si>
    <t>V10</t>
  </si>
  <si>
    <t>V34</t>
  </si>
  <si>
    <t>END OF LIFE REPLACEMENT GROVE MODEL 82 REGULATORS</t>
  </si>
  <si>
    <t>V35</t>
  </si>
  <si>
    <t>I&amp;C METERSETS FISHER 298 REPLACEMENT</t>
  </si>
  <si>
    <t>V37</t>
  </si>
  <si>
    <t>END OF LIFE REPLACEMENT WATERBATH HEATER COIL</t>
  </si>
  <si>
    <t>V38</t>
  </si>
  <si>
    <t>CITY GATE REFURBISHMENT - FENCING, WATER TANKS, PLATFORMS, BOLLARDS</t>
  </si>
  <si>
    <t>V41</t>
  </si>
  <si>
    <t>CITY GATE &amp; FIELD REGULATOR PIPEWORK REFURBISHMENT</t>
  </si>
  <si>
    <t>V44</t>
  </si>
  <si>
    <t>TRANSMISSION VALVE REPLACEMENT</t>
  </si>
  <si>
    <t>V62</t>
  </si>
  <si>
    <t>BUSHFIRE PREPAREDNESS</t>
  </si>
  <si>
    <t>V79</t>
  </si>
  <si>
    <t>I&amp;C METERSET REFURBISHMENT PROGRAM</t>
  </si>
  <si>
    <t>V83</t>
  </si>
  <si>
    <t>TRANSMISSION PIPELINE MODIFICATION FOR PIGGABILITY</t>
  </si>
  <si>
    <t>V95</t>
  </si>
  <si>
    <t>CITY GATE REFURBISHMENT VALVE REPLACEMENT</t>
  </si>
  <si>
    <t>V07</t>
  </si>
  <si>
    <t>SCADA END OF LIFE REPLACEMENT</t>
  </si>
  <si>
    <t>V08</t>
  </si>
  <si>
    <t>SCADA REGIONAL TOWNS &amp; FRINGE POINTS</t>
  </si>
  <si>
    <t>V53</t>
  </si>
  <si>
    <t>SCADA HEATER OUTLET TEMPERATURE MONITORING</t>
  </si>
  <si>
    <t>Other  Distribution System</t>
  </si>
  <si>
    <t>Other   Non Distribution System</t>
  </si>
  <si>
    <t>Regulators &amp; Valves</t>
  </si>
  <si>
    <t>Other  Distribution System Total</t>
  </si>
  <si>
    <t>Other  Non Distribution System Total</t>
  </si>
  <si>
    <t>Regulators &amp; Valves Total</t>
  </si>
  <si>
    <t>V102</t>
  </si>
  <si>
    <t>MOE</t>
  </si>
  <si>
    <t>Service Renewal - Volumes</t>
  </si>
  <si>
    <t>Service Renewal Volumes (units)</t>
  </si>
  <si>
    <t>Mains Replacement Volumes (metres)</t>
  </si>
  <si>
    <t>Service Renewal Total</t>
  </si>
  <si>
    <t>Mains Replacement Unit Rates ($/metre)</t>
  </si>
  <si>
    <t>Service Renewal Unit Rates ($/unit)</t>
  </si>
  <si>
    <t>Mains Replacement - Volumes</t>
  </si>
  <si>
    <t>Meter Replacement Unit Rates ($/unit)</t>
  </si>
  <si>
    <t>New Mains Unit Rates ($/metre)</t>
  </si>
  <si>
    <t>New Mains Volumes (metres)</t>
  </si>
  <si>
    <t>New Services Unit Rates ($/unit)</t>
  </si>
  <si>
    <t>New Meters Unit Rates ($/unit)</t>
  </si>
  <si>
    <t>Mains Replacement - Unit Rates ($2016)</t>
  </si>
  <si>
    <t>Service Renewal - Unit Rates ($2016)</t>
  </si>
  <si>
    <t>Meter Replacement - Unit Rates ($2016)</t>
  </si>
  <si>
    <t>New Mains - Unit Rates ($2016)</t>
  </si>
  <si>
    <t>New Services - Unit Rates ($2016)</t>
  </si>
  <si>
    <t>New Meters - Unit Rates ($2016)</t>
  </si>
  <si>
    <t>Meter Replacement - Volumes</t>
  </si>
  <si>
    <t>New Services - Volumes</t>
  </si>
  <si>
    <t>New Meters - Volumes</t>
  </si>
  <si>
    <t>New Mains - Volumes</t>
  </si>
  <si>
    <t>Capital Expenditure (direct costs and real cost escalation)</t>
  </si>
  <si>
    <t>Capital Expenditure (direct costs, real cost escalation and overheads)</t>
  </si>
  <si>
    <t>Average %</t>
  </si>
  <si>
    <t>Fixed Overheads</t>
  </si>
  <si>
    <t>Variable Overheads</t>
  </si>
  <si>
    <t>Total Overheads</t>
  </si>
  <si>
    <t>Average % Overheads to Total Capex</t>
  </si>
  <si>
    <t>Mains Replacement - Forecast ($m 2016)</t>
  </si>
  <si>
    <t>Service Renewal - Forecast ($m 2016)</t>
  </si>
  <si>
    <t>Meter Replacement - Forecast ($m 2016)</t>
  </si>
  <si>
    <t>New Mains - Forecast ($m 2016)</t>
  </si>
  <si>
    <t>New Services - Forecast ($m 2016)</t>
  </si>
  <si>
    <t>New Meters - Forecast ($m 2016)</t>
  </si>
  <si>
    <t>V103</t>
  </si>
  <si>
    <t>Wallan</t>
  </si>
  <si>
    <t>Conversion from Nominal to Real $2016</t>
  </si>
  <si>
    <t>Sept 2014 - Sept 2015</t>
  </si>
  <si>
    <t>Nominal Year</t>
  </si>
  <si>
    <t>Sept 2013 - Sept 2014</t>
  </si>
  <si>
    <t>Sept 2013 - Sept 2015</t>
  </si>
  <si>
    <t>Sept 2014 - Sept 2017</t>
  </si>
  <si>
    <t>Sept 2013 - Sept 2016</t>
  </si>
  <si>
    <t>Sept 2014 - Sept 2018</t>
  </si>
  <si>
    <t>Sept 2013 - Sept 2017</t>
  </si>
  <si>
    <t>Sept 2014 - Sept 2019</t>
  </si>
  <si>
    <t>Sept 2013 - Sept 2018</t>
  </si>
  <si>
    <t>Sept 2014 - Sept 2020</t>
  </si>
  <si>
    <t>Sept 2013 - Sept 2019</t>
  </si>
  <si>
    <t>Sept 2012 - Sept 2013</t>
  </si>
  <si>
    <t>Annual CPI</t>
  </si>
  <si>
    <t>Index</t>
  </si>
  <si>
    <t>Cumulative CPI to $2016</t>
  </si>
  <si>
    <t>Consumer Price Index</t>
  </si>
  <si>
    <t>Total Capex Forecast (with Overheads)</t>
  </si>
  <si>
    <t>$m, $2016</t>
  </si>
  <si>
    <t>Forecast Overheads ($m, $2016)</t>
  </si>
  <si>
    <t>% Split between Overheads</t>
  </si>
  <si>
    <t>Calculation of variable overheads %</t>
  </si>
  <si>
    <t>Capex Forecasts + Real Cost Escalation + Overheads (added as a line item)</t>
  </si>
  <si>
    <t>TOTAL (excluding overheads)</t>
  </si>
  <si>
    <t>TOTAL (including overheads)</t>
  </si>
  <si>
    <t>Overheads (apportioned to capex categories)</t>
  </si>
  <si>
    <t>Capex Forecasts + Real Cost Escalation + Overheads (apportioned across capex categories)</t>
  </si>
  <si>
    <t>CPI used to convert for the next year</t>
  </si>
  <si>
    <t>Unit Rate Categories</t>
  </si>
  <si>
    <t>Non-Unit Rate Categories</t>
  </si>
  <si>
    <t>Meter Replacement - Cost Escalation Applied ($m 2016)</t>
  </si>
  <si>
    <t>Non-Unit Rate - Volumes</t>
  </si>
  <si>
    <t>Non-Unit Rate - Unit Rates ($2016)</t>
  </si>
  <si>
    <t>Non-Unit Rate - Forecast ($m 2016)</t>
  </si>
  <si>
    <t>Non-Unit Rates - Cost Escalation Applied ($m 2016)</t>
  </si>
  <si>
    <t>Weighted Cost Escalation Rate</t>
  </si>
  <si>
    <t>Weighting</t>
  </si>
  <si>
    <t>Victoria - Business Case Costs ($000, $2016)</t>
  </si>
  <si>
    <t>Albury - Business Case Costs ($000, $2016)</t>
  </si>
  <si>
    <t>Total - Business Case Costs ($000, $2016)</t>
  </si>
  <si>
    <t>Total Capex (cost escalation applied)</t>
  </si>
  <si>
    <t>Meter Replacement - Impact of Escalation ($m 2016)</t>
  </si>
  <si>
    <t>Forecast Fixed Overheads</t>
  </si>
  <si>
    <t>Service Renewal - Cost Escalation Applied ($m 2016)</t>
  </si>
  <si>
    <t>New Mains - Cost Escalation Applied ($m 2016)</t>
  </si>
  <si>
    <t>New Meters - Cost Escalation Applied ($m 2016)</t>
  </si>
  <si>
    <t>New Services - Cost Escalation Applied ($m 2016)</t>
  </si>
  <si>
    <t>Mains Replacement - Impact of Escalation ($m 2016)</t>
  </si>
  <si>
    <t>Service Renewal - Impact of Escalation ($m 2016)</t>
  </si>
  <si>
    <t>New Mains - Impact of Escalation ($m 2016)</t>
  </si>
  <si>
    <t>New Meters - Impact of Escalation ($m 2016)</t>
  </si>
  <si>
    <t>New Services - Impact of Escalation ($m 2016)</t>
  </si>
  <si>
    <t>Non-Unit Rates - Impact of Escalation ($m 2016)</t>
  </si>
  <si>
    <t>Not applicable.</t>
  </si>
  <si>
    <t>Total Capex Forecast</t>
  </si>
  <si>
    <t>Total Capex ($m 2016)</t>
  </si>
  <si>
    <t>Victoria</t>
  </si>
  <si>
    <t>Albury</t>
  </si>
  <si>
    <t>V104</t>
  </si>
  <si>
    <t>Capital expenditure model for Australian Gas Networks Victoria &amp; Albury, 2018 - 2022</t>
  </si>
  <si>
    <r>
      <rPr>
        <b/>
        <sz val="14"/>
        <color theme="0"/>
        <rFont val="Arial"/>
        <family val="2"/>
      </rPr>
      <t>Australian Gas Networks</t>
    </r>
    <r>
      <rPr>
        <b/>
        <sz val="11"/>
        <color theme="0"/>
        <rFont val="Arial"/>
        <family val="2"/>
      </rPr>
      <t xml:space="preserve">
Victorian &amp; Albury Access Arrangement
Capital Expenditure Model, 2018 - 2022</t>
    </r>
  </si>
  <si>
    <t>Infrastructure Renewal</t>
  </si>
  <si>
    <t>Applications Renewal</t>
  </si>
  <si>
    <t>Business Intelligence</t>
  </si>
  <si>
    <t>Mobility Integration</t>
  </si>
  <si>
    <t>GIS Upgrade</t>
  </si>
  <si>
    <t>Digital Capabilities</t>
  </si>
  <si>
    <t>Cathodic Protection Systems - Replacement &amp; Installation</t>
  </si>
  <si>
    <t>City Gate Refurbishment - Earthing &amp; Surge Protection</t>
  </si>
  <si>
    <t>Refurbishment of Sleeved Railway Casing Pipes</t>
  </si>
  <si>
    <t>Odorant Injection Station Koonomoo Finley</t>
  </si>
  <si>
    <t>Plant &amp; Equipmnent Upgrade</t>
  </si>
  <si>
    <t>Depot Office Refurbishment</t>
  </si>
  <si>
    <t>Mains Replacement - General Trunk Replacement</t>
  </si>
  <si>
    <t>Mains Replacement - Decommissioned Trunk Replacement</t>
  </si>
  <si>
    <t>Mains Replacement - CBD Block Replacement</t>
  </si>
  <si>
    <t>New Meter - Domestic</t>
  </si>
  <si>
    <t>New Meter - I&amp;C&lt;10TJ</t>
  </si>
  <si>
    <t>Mains Replacement - HDPE Replacement</t>
  </si>
  <si>
    <t>Mains Replacement - Piecemeal Replacement</t>
  </si>
  <si>
    <t>Mapping</t>
  </si>
  <si>
    <t>Introductory</t>
  </si>
  <si>
    <t>Contents</t>
  </si>
  <si>
    <t>Inputs</t>
  </si>
  <si>
    <t>CPI</t>
  </si>
  <si>
    <t>Business Cases</t>
  </si>
  <si>
    <t>Calculation</t>
  </si>
  <si>
    <t>Capex Category Index</t>
  </si>
  <si>
    <t>Number</t>
  </si>
  <si>
    <t>Title</t>
  </si>
  <si>
    <t>Unit Rate Capex Categories</t>
  </si>
  <si>
    <t>Output</t>
  </si>
  <si>
    <t>Capex Category Summary</t>
  </si>
  <si>
    <t>Combined</t>
  </si>
  <si>
    <t>Mapping from Capex Driver Categories to RAB Categories</t>
  </si>
  <si>
    <t>New Residential Connections</t>
  </si>
  <si>
    <t>New Commercial Connections</t>
  </si>
  <si>
    <t>New estate connections</t>
  </si>
  <si>
    <t>Existing homes</t>
  </si>
  <si>
    <t>I&amp;C&lt;10TJ</t>
  </si>
  <si>
    <t>Multi-User connections</t>
  </si>
  <si>
    <t>Volume Forecast for "New Services" Growth Capex</t>
  </si>
  <si>
    <t>Volume of New Services = Number of New Customer Connections</t>
  </si>
  <si>
    <t>Volume Forecast for "New Mains" Growth Capex</t>
  </si>
  <si>
    <t>For those unit rates that have 85% CPI applied:</t>
  </si>
  <si>
    <t>CPI assumption</t>
  </si>
  <si>
    <t>Mains Replacement - Cost Escalation Applied ($m 2016)</t>
  </si>
  <si>
    <t>Derived from Core Energy customer number forecast</t>
  </si>
  <si>
    <t>Total Direct Cost Capex ($m 2016)</t>
  </si>
  <si>
    <t>Historic New Mains (metres)</t>
  </si>
  <si>
    <t>Historic New Services (units)</t>
  </si>
  <si>
    <t>RAB Category</t>
  </si>
  <si>
    <t>Capex Driver Category</t>
  </si>
  <si>
    <t>Capex Model Category</t>
  </si>
  <si>
    <t>Adjusted overheads in $m, 2016 terms</t>
  </si>
  <si>
    <t>Historic Fixed vs Variable Split</t>
  </si>
  <si>
    <t>Annual RINs</t>
  </si>
  <si>
    <t>Total Capex ($m, 2016)</t>
  </si>
  <si>
    <t>Mains Replacement - CBD Trunk Replacement</t>
  </si>
  <si>
    <t>Domestic</t>
  </si>
  <si>
    <t>Non-Domestic</t>
  </si>
  <si>
    <t>Deloitte Access Economics, "Forecast Growth in labour costs in NEM regions of Australia", 22 Feb 2016, page 54.</t>
  </si>
  <si>
    <t>Total new meters</t>
  </si>
  <si>
    <t>New Meter Forecast</t>
  </si>
  <si>
    <t>Derivation of Growth Capex Volume Forecast</t>
  </si>
  <si>
    <t>Historic ratio of metres per new main laid</t>
  </si>
  <si>
    <t>New estate</t>
  </si>
  <si>
    <t>Existing area</t>
  </si>
  <si>
    <t>New Main Forecast</t>
  </si>
  <si>
    <t>Multi user</t>
  </si>
  <si>
    <t>Volume of New Mains (m) = (Number of New Services) x (Historic average number of metres per new service installed)</t>
  </si>
  <si>
    <t>New Services Forecast</t>
  </si>
  <si>
    <t>Assumption of new meters associated with 1 Multi-User new service</t>
  </si>
  <si>
    <t>Implied Forecast of New Meters (with additional residential split)</t>
  </si>
  <si>
    <t>New Services forecast for the purposes of "New Mains" Growth Capex</t>
  </si>
  <si>
    <t>Growth Capex Volumes</t>
  </si>
  <si>
    <t>Lists all Business Cases and associated project costs</t>
  </si>
  <si>
    <t>Derives AGN's proposed growth capex volumes</t>
  </si>
  <si>
    <t>CPI conversion to $2016</t>
  </si>
  <si>
    <t>Maps RAB Categories to Capex Driver Categories and Capex Model Categories</t>
  </si>
  <si>
    <t>Contents of Capital Expenditure Model</t>
  </si>
  <si>
    <t>Capex Model Category Index'!A1</t>
  </si>
  <si>
    <t>Mapping!A1</t>
  </si>
  <si>
    <t>CPI!A1</t>
  </si>
  <si>
    <t>Growth Capex Volumes'!A1</t>
  </si>
  <si>
    <t>Business Cases'!A1</t>
  </si>
  <si>
    <t>Overheads!A1</t>
  </si>
  <si>
    <t>Calculates forecast overheads</t>
  </si>
  <si>
    <t>Impact of Marketing Step Change</t>
  </si>
  <si>
    <t>Number of New Residential Customer Connections due to Marketing Step Change</t>
  </si>
  <si>
    <t>Summarises the capex forecast by Capex Model Category, including real escalation of input costs</t>
  </si>
  <si>
    <t>Applies overheads to Capex Model Categories</t>
  </si>
  <si>
    <t>Consolidated Summary</t>
  </si>
  <si>
    <t>Summarises the capex forecast by Capex Driver Category, including real escalation of input costs and application of overheads</t>
  </si>
  <si>
    <t>Capex Category Summary (Vic)'!A1</t>
  </si>
  <si>
    <t>Capex Category Summary (Alb)'!A1</t>
  </si>
  <si>
    <t>Capex Category Summary (Comb)'!A1</t>
  </si>
  <si>
    <t>Overheads (Vic)'!A1</t>
  </si>
  <si>
    <t>Overheads (Alb)'!A1</t>
  </si>
  <si>
    <t>Overheads (Comb)'!A1</t>
  </si>
  <si>
    <t>Consolidated Summary (Vic)'!A1</t>
  </si>
  <si>
    <t>Consolidated Summary (Alb)'!A1</t>
  </si>
  <si>
    <t>Consolidated Summary (Comb)'!A1</t>
  </si>
  <si>
    <t>Final forecasts provided from BIS Shrapnel 5 October 2016 (see Attachment 7.2)</t>
  </si>
  <si>
    <t>Victoria - Capex Category Summary</t>
  </si>
  <si>
    <t>Albury - Capex Category Summary</t>
  </si>
  <si>
    <t>Combined - Capex Category Summary</t>
  </si>
  <si>
    <t>Mains Replacement - HDICS Block Replacement</t>
  </si>
  <si>
    <t>Mains Replacement - LDS Block Replacement</t>
  </si>
  <si>
    <t>20</t>
  </si>
  <si>
    <t>Attachment 8.4 Unit Rates Forecast</t>
  </si>
  <si>
    <t>Attachment 8.3 Meter Replacement Plan</t>
  </si>
  <si>
    <t xml:space="preserve"> </t>
  </si>
  <si>
    <t>Total Forecast Overheads</t>
  </si>
  <si>
    <t>Inflation from mid-year $2016 to end of year $2017</t>
  </si>
  <si>
    <t>15% of CPI assumption (year on year)</t>
  </si>
  <si>
    <t>15% of CPI assumption (cumulative)</t>
  </si>
  <si>
    <t>Core Forecasts</t>
  </si>
  <si>
    <t>New Meter Forecasts</t>
  </si>
  <si>
    <t>Equivalent to applying the following overheads percentage to total escalated capex</t>
  </si>
  <si>
    <t>Residential</t>
  </si>
  <si>
    <t>Commercial</t>
  </si>
  <si>
    <t>Core Energy, Attachment 13.2</t>
  </si>
  <si>
    <t>Disconnections forecast</t>
  </si>
  <si>
    <t>Net connections forecast</t>
  </si>
  <si>
    <t>Total Connections</t>
  </si>
  <si>
    <t>Disconnections</t>
  </si>
  <si>
    <t>Percentage of Disconnections to Total Connections</t>
  </si>
  <si>
    <t>Residential Disconnections History</t>
  </si>
  <si>
    <t>Commercial Disconnections History</t>
  </si>
  <si>
    <t>Total Connections Forecast</t>
  </si>
  <si>
    <t>Converting Net Customer Connections Forecast to Gross Customer Connections Forecast</t>
  </si>
  <si>
    <t>Gross Connections Forecast</t>
  </si>
  <si>
    <t>Complex</t>
  </si>
  <si>
    <t>Total Capex ($m, 2016))</t>
  </si>
  <si>
    <t>Overheads as reported in the Annual RINs</t>
  </si>
  <si>
    <t>Attachment 8.2 Distribution Mains and Services Integrity Plan</t>
  </si>
  <si>
    <t>Capex Model Category Index</t>
  </si>
  <si>
    <t>Lists Capex Model Categories</t>
  </si>
  <si>
    <t>AGN's real cost escalation rates</t>
  </si>
  <si>
    <t>Converts output of the Capex model for input into the PTRM (in $2017)</t>
  </si>
  <si>
    <r>
      <t>Meter Replacement - Meters &lt; 25m</t>
    </r>
    <r>
      <rPr>
        <vertAlign val="superscript"/>
        <sz val="8"/>
        <rFont val="Arial"/>
        <family val="2"/>
      </rPr>
      <t>3</t>
    </r>
  </si>
  <si>
    <r>
      <t>Meter Replacement - Meters &gt; 25m</t>
    </r>
    <r>
      <rPr>
        <vertAlign val="superscript"/>
        <sz val="8"/>
        <rFont val="Arial"/>
        <family val="2"/>
      </rPr>
      <t>3</t>
    </r>
  </si>
  <si>
    <t>[C-I-C]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</si>
</sst>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?_-;_-@_-"/>
    <numFmt numFmtId="167" formatCode="_-* #,##0.0000_-;\-* #,##0.0000_-;_-* &quot;-&quot;??_-;_-@_-"/>
    <numFmt numFmtId="168" formatCode="_-&quot;$&quot;* #,##0.0_-;\-&quot;$&quot;* #,##0.0_-;_-&quot;$&quot;* &quot;-&quot;??_-;_-@_-"/>
    <numFmt numFmtId="169" formatCode="0.0"/>
    <numFmt numFmtId="170" formatCode="&quot;$&quot;#,##0"/>
    <numFmt numFmtId="171" formatCode="_-&quot;$&quot;* #,##0_-;\-&quot;$&quot;* #,##0_-;_-&quot;$&quot;* &quot;-&quot;??_-;_-@_-"/>
    <numFmt numFmtId="172" formatCode="_-&quot;$&quot;* #,##0.0000000_-;\-&quot;$&quot;* #,##0.0000000_-;_-&quot;$&quot;* &quot;-&quot;??_-;_-@_-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color theme="10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8"/>
      <color rgb="FFFF0000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sz val="7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1">
    <xf numFmtId="0" fontId="0" fillId="0" borderId="0" xfId="0"/>
    <xf numFmtId="0" fontId="0" fillId="0" borderId="0" xfId="0"/>
    <xf numFmtId="0" fontId="7" fillId="3" borderId="0" xfId="0" applyFont="1" applyFill="1" applyAlignment="1">
      <alignment vertical="center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11" fillId="3" borderId="18" xfId="1" applyNumberFormat="1" applyFont="1" applyFill="1" applyBorder="1" applyAlignment="1">
      <alignment vertical="center"/>
    </xf>
    <xf numFmtId="164" fontId="11" fillId="3" borderId="20" xfId="1" applyNumberFormat="1" applyFont="1" applyFill="1" applyBorder="1" applyAlignment="1">
      <alignment vertical="center"/>
    </xf>
    <xf numFmtId="164" fontId="11" fillId="3" borderId="0" xfId="1" applyNumberFormat="1" applyFont="1" applyFill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1" fontId="12" fillId="3" borderId="8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164" fontId="10" fillId="3" borderId="10" xfId="1" applyNumberFormat="1" applyFont="1" applyFill="1" applyBorder="1" applyAlignment="1">
      <alignment vertical="center"/>
    </xf>
    <xf numFmtId="164" fontId="10" fillId="3" borderId="8" xfId="1" applyNumberFormat="1" applyFont="1" applyFill="1" applyBorder="1" applyAlignment="1">
      <alignment vertical="center"/>
    </xf>
    <xf numFmtId="164" fontId="10" fillId="3" borderId="9" xfId="1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9" fillId="3" borderId="3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5" fillId="3" borderId="0" xfId="0" applyFont="1" applyFill="1"/>
    <xf numFmtId="0" fontId="15" fillId="4" borderId="0" xfId="0" applyFont="1" applyFill="1"/>
    <xf numFmtId="0" fontId="15" fillId="5" borderId="0" xfId="0" applyFont="1" applyFill="1"/>
    <xf numFmtId="0" fontId="17" fillId="3" borderId="0" xfId="0" applyFont="1" applyFill="1"/>
    <xf numFmtId="0" fontId="15" fillId="3" borderId="0" xfId="0" applyFont="1" applyFill="1" applyBorder="1"/>
    <xf numFmtId="44" fontId="15" fillId="3" borderId="0" xfId="0" applyNumberFormat="1" applyFont="1" applyFill="1"/>
    <xf numFmtId="0" fontId="15" fillId="3" borderId="20" xfId="0" applyFont="1" applyFill="1" applyBorder="1"/>
    <xf numFmtId="0" fontId="19" fillId="4" borderId="0" xfId="0" applyFont="1" applyFill="1"/>
    <xf numFmtId="0" fontId="18" fillId="4" borderId="0" xfId="0" applyFont="1" applyFill="1"/>
    <xf numFmtId="171" fontId="11" fillId="3" borderId="0" xfId="2" applyNumberFormat="1" applyFont="1" applyFill="1" applyAlignment="1">
      <alignment vertical="center"/>
    </xf>
    <xf numFmtId="171" fontId="11" fillId="3" borderId="1" xfId="2" applyNumberFormat="1" applyFont="1" applyFill="1" applyBorder="1" applyAlignment="1">
      <alignment vertical="center"/>
    </xf>
    <xf numFmtId="171" fontId="11" fillId="3" borderId="0" xfId="2" applyNumberFormat="1" applyFont="1" applyFill="1" applyBorder="1" applyAlignment="1">
      <alignment vertical="center"/>
    </xf>
    <xf numFmtId="0" fontId="15" fillId="2" borderId="0" xfId="0" applyFont="1" applyFill="1"/>
    <xf numFmtId="0" fontId="15" fillId="3" borderId="0" xfId="0" applyFont="1" applyFill="1" applyAlignment="1">
      <alignment vertical="center"/>
    </xf>
    <xf numFmtId="0" fontId="20" fillId="3" borderId="0" xfId="5" applyFont="1" applyFill="1" applyAlignment="1">
      <alignment horizontal="left"/>
    </xf>
    <xf numFmtId="44" fontId="10" fillId="3" borderId="8" xfId="0" applyNumberFormat="1" applyFont="1" applyFill="1" applyBorder="1" applyAlignment="1">
      <alignment vertical="center"/>
    </xf>
    <xf numFmtId="44" fontId="10" fillId="3" borderId="10" xfId="0" applyNumberFormat="1" applyFont="1" applyFill="1" applyBorder="1" applyAlignment="1">
      <alignment vertical="center"/>
    </xf>
    <xf numFmtId="44" fontId="22" fillId="3" borderId="0" xfId="0" applyNumberFormat="1" applyFont="1" applyFill="1" applyBorder="1" applyAlignment="1">
      <alignment horizontal="right" vertical="center"/>
    </xf>
    <xf numFmtId="44" fontId="22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4" fontId="11" fillId="3" borderId="0" xfId="0" applyNumberFormat="1" applyFont="1" applyFill="1" applyAlignment="1">
      <alignment vertical="center"/>
    </xf>
    <xf numFmtId="0" fontId="11" fillId="3" borderId="7" xfId="0" applyFont="1" applyFill="1" applyBorder="1" applyAlignment="1">
      <alignment vertical="center"/>
    </xf>
    <xf numFmtId="44" fontId="11" fillId="3" borderId="0" xfId="0" applyNumberFormat="1" applyFont="1" applyFill="1" applyBorder="1" applyAlignment="1">
      <alignment vertical="center"/>
    </xf>
    <xf numFmtId="44" fontId="11" fillId="3" borderId="1" xfId="0" applyNumberFormat="1" applyFont="1" applyFill="1" applyBorder="1" applyAlignment="1">
      <alignment vertical="center"/>
    </xf>
    <xf numFmtId="44" fontId="11" fillId="3" borderId="7" xfId="2" applyNumberFormat="1" applyFont="1" applyFill="1" applyBorder="1" applyAlignment="1">
      <alignment vertical="center"/>
    </xf>
    <xf numFmtId="44" fontId="10" fillId="3" borderId="0" xfId="0" applyNumberFormat="1" applyFont="1" applyFill="1" applyBorder="1" applyAlignment="1">
      <alignment vertical="center"/>
    </xf>
    <xf numFmtId="164" fontId="10" fillId="3" borderId="1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164" fontId="11" fillId="3" borderId="4" xfId="1" applyNumberFormat="1" applyFont="1" applyFill="1" applyBorder="1" applyAlignment="1">
      <alignment vertical="center"/>
    </xf>
    <xf numFmtId="171" fontId="11" fillId="3" borderId="20" xfId="2" applyNumberFormat="1" applyFont="1" applyFill="1" applyBorder="1" applyAlignment="1">
      <alignment vertical="center"/>
    </xf>
    <xf numFmtId="0" fontId="15" fillId="0" borderId="0" xfId="0" applyFont="1"/>
    <xf numFmtId="0" fontId="5" fillId="5" borderId="0" xfId="0" applyFont="1" applyFill="1" applyAlignment="1">
      <alignment vertical="center"/>
    </xf>
    <xf numFmtId="0" fontId="16" fillId="5" borderId="0" xfId="0" applyFont="1" applyFill="1"/>
    <xf numFmtId="0" fontId="11" fillId="3" borderId="0" xfId="0" applyFont="1" applyFill="1"/>
    <xf numFmtId="0" fontId="11" fillId="2" borderId="0" xfId="0" applyFont="1" applyFill="1"/>
    <xf numFmtId="0" fontId="20" fillId="3" borderId="0" xfId="5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6" fillId="3" borderId="0" xfId="0" applyFont="1" applyFill="1"/>
    <xf numFmtId="0" fontId="12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/>
    <xf numFmtId="0" fontId="10" fillId="3" borderId="0" xfId="0" applyFont="1" applyFill="1"/>
    <xf numFmtId="170" fontId="11" fillId="2" borderId="0" xfId="0" applyNumberFormat="1" applyFont="1" applyFill="1"/>
    <xf numFmtId="0" fontId="11" fillId="3" borderId="0" xfId="0" applyFont="1" applyFill="1" applyBorder="1" applyAlignment="1">
      <alignment vertical="center"/>
    </xf>
    <xf numFmtId="0" fontId="17" fillId="2" borderId="0" xfId="0" applyFont="1" applyFill="1"/>
    <xf numFmtId="0" fontId="26" fillId="2" borderId="0" xfId="0" applyFont="1" applyFill="1"/>
    <xf numFmtId="0" fontId="9" fillId="3" borderId="0" xfId="0" applyFont="1" applyFill="1" applyAlignment="1">
      <alignment vertical="center"/>
    </xf>
    <xf numFmtId="0" fontId="11" fillId="3" borderId="0" xfId="0" applyFont="1" applyFill="1" applyBorder="1"/>
    <xf numFmtId="0" fontId="14" fillId="3" borderId="2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5" borderId="0" xfId="0" applyFont="1" applyFill="1"/>
    <xf numFmtId="44" fontId="11" fillId="3" borderId="7" xfId="0" applyNumberFormat="1" applyFont="1" applyFill="1" applyBorder="1" applyAlignment="1">
      <alignment vertical="center"/>
    </xf>
    <xf numFmtId="0" fontId="11" fillId="0" borderId="0" xfId="0" applyFont="1"/>
    <xf numFmtId="0" fontId="15" fillId="3" borderId="0" xfId="0" applyFont="1" applyFill="1" applyBorder="1" applyAlignment="1">
      <alignment vertical="center"/>
    </xf>
    <xf numFmtId="49" fontId="13" fillId="3" borderId="8" xfId="0" applyNumberFormat="1" applyFont="1" applyFill="1" applyBorder="1"/>
    <xf numFmtId="44" fontId="13" fillId="3" borderId="8" xfId="0" applyNumberFormat="1" applyFont="1" applyFill="1" applyBorder="1" applyAlignment="1">
      <alignment vertical="center"/>
    </xf>
    <xf numFmtId="44" fontId="13" fillId="3" borderId="10" xfId="0" applyNumberFormat="1" applyFont="1" applyFill="1" applyBorder="1" applyAlignment="1">
      <alignment vertical="center"/>
    </xf>
    <xf numFmtId="44" fontId="13" fillId="3" borderId="9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5" fillId="3" borderId="0" xfId="0" applyNumberFormat="1" applyFont="1" applyFill="1"/>
    <xf numFmtId="0" fontId="11" fillId="3" borderId="0" xfId="0" applyNumberFormat="1" applyFont="1" applyFill="1" applyAlignment="1">
      <alignment vertical="center"/>
    </xf>
    <xf numFmtId="49" fontId="17" fillId="3" borderId="0" xfId="0" applyNumberFormat="1" applyFont="1" applyFill="1" applyBorder="1"/>
    <xf numFmtId="0" fontId="17" fillId="3" borderId="0" xfId="0" applyFont="1" applyFill="1" applyBorder="1" applyAlignment="1">
      <alignment vertical="center"/>
    </xf>
    <xf numFmtId="49" fontId="17" fillId="2" borderId="0" xfId="0" applyNumberFormat="1" applyFont="1" applyFill="1" applyBorder="1"/>
    <xf numFmtId="44" fontId="10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9" fontId="15" fillId="2" borderId="0" xfId="0" applyNumberFormat="1" applyFont="1" applyFill="1"/>
    <xf numFmtId="0" fontId="28" fillId="2" borderId="0" xfId="0" applyFont="1" applyFill="1" applyAlignment="1">
      <alignment vertical="center"/>
    </xf>
    <xf numFmtId="44" fontId="2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9" fillId="3" borderId="0" xfId="0" applyNumberFormat="1" applyFont="1" applyFill="1"/>
    <xf numFmtId="0" fontId="15" fillId="8" borderId="0" xfId="0" applyFont="1" applyFill="1"/>
    <xf numFmtId="0" fontId="13" fillId="3" borderId="5" xfId="0" applyFont="1" applyFill="1" applyBorder="1"/>
    <xf numFmtId="0" fontId="23" fillId="3" borderId="0" xfId="0" applyFont="1" applyFill="1"/>
    <xf numFmtId="169" fontId="15" fillId="3" borderId="0" xfId="0" applyNumberFormat="1" applyFont="1" applyFill="1"/>
    <xf numFmtId="2" fontId="15" fillId="3" borderId="0" xfId="0" applyNumberFormat="1" applyFont="1" applyFill="1"/>
    <xf numFmtId="0" fontId="13" fillId="3" borderId="21" xfId="0" applyFont="1" applyFill="1" applyBorder="1" applyAlignment="1">
      <alignment vertical="center"/>
    </xf>
    <xf numFmtId="43" fontId="11" fillId="3" borderId="0" xfId="0" applyNumberFormat="1" applyFont="1" applyFill="1" applyAlignment="1">
      <alignment vertical="center"/>
    </xf>
    <xf numFmtId="10" fontId="10" fillId="3" borderId="21" xfId="3" applyNumberFormat="1" applyFont="1" applyFill="1" applyBorder="1" applyAlignment="1">
      <alignment vertical="center"/>
    </xf>
    <xf numFmtId="10" fontId="10" fillId="3" borderId="16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28" fillId="3" borderId="0" xfId="0" applyFont="1" applyFill="1" applyAlignment="1">
      <alignment vertical="center"/>
    </xf>
    <xf numFmtId="44" fontId="11" fillId="3" borderId="20" xfId="0" applyNumberFormat="1" applyFont="1" applyFill="1" applyBorder="1" applyAlignment="1">
      <alignment vertical="center"/>
    </xf>
    <xf numFmtId="44" fontId="22" fillId="3" borderId="18" xfId="0" applyNumberFormat="1" applyFont="1" applyFill="1" applyBorder="1" applyAlignment="1">
      <alignment vertical="center"/>
    </xf>
    <xf numFmtId="44" fontId="22" fillId="3" borderId="20" xfId="0" applyNumberFormat="1" applyFont="1" applyFill="1" applyBorder="1" applyAlignment="1">
      <alignment vertical="center"/>
    </xf>
    <xf numFmtId="44" fontId="22" fillId="3" borderId="19" xfId="0" applyNumberFormat="1" applyFont="1" applyFill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3" borderId="7" xfId="0" applyNumberFormat="1" applyFont="1" applyFill="1" applyBorder="1" applyAlignment="1">
      <alignment vertical="center"/>
    </xf>
    <xf numFmtId="44" fontId="11" fillId="3" borderId="5" xfId="0" applyNumberFormat="1" applyFont="1" applyFill="1" applyBorder="1" applyAlignment="1">
      <alignment vertical="center"/>
    </xf>
    <xf numFmtId="44" fontId="11" fillId="3" borderId="3" xfId="0" applyNumberFormat="1" applyFont="1" applyFill="1" applyBorder="1" applyAlignment="1">
      <alignment vertical="center"/>
    </xf>
    <xf numFmtId="44" fontId="11" fillId="3" borderId="6" xfId="0" applyNumberFormat="1" applyFont="1" applyFill="1" applyBorder="1" applyAlignment="1">
      <alignment vertical="center"/>
    </xf>
    <xf numFmtId="168" fontId="11" fillId="3" borderId="0" xfId="0" applyNumberFormat="1" applyFont="1" applyFill="1" applyBorder="1" applyAlignment="1">
      <alignment vertical="center"/>
    </xf>
    <xf numFmtId="168" fontId="11" fillId="3" borderId="0" xfId="0" applyNumberFormat="1" applyFont="1" applyFill="1" applyAlignment="1">
      <alignment vertical="center"/>
    </xf>
    <xf numFmtId="168" fontId="11" fillId="3" borderId="20" xfId="0" applyNumberFormat="1" applyFont="1" applyFill="1" applyBorder="1" applyAlignment="1">
      <alignment vertical="center"/>
    </xf>
    <xf numFmtId="168" fontId="11" fillId="3" borderId="5" xfId="0" applyNumberFormat="1" applyFont="1" applyFill="1" applyBorder="1" applyAlignment="1">
      <alignment vertical="center"/>
    </xf>
    <xf numFmtId="44" fontId="17" fillId="3" borderId="0" xfId="0" applyNumberFormat="1" applyFont="1" applyFill="1" applyBorder="1" applyAlignment="1">
      <alignment vertical="center"/>
    </xf>
    <xf numFmtId="44" fontId="30" fillId="3" borderId="0" xfId="0" applyNumberFormat="1" applyFont="1" applyFill="1" applyBorder="1" applyAlignment="1">
      <alignment vertical="center"/>
    </xf>
    <xf numFmtId="44" fontId="11" fillId="3" borderId="16" xfId="0" applyNumberFormat="1" applyFont="1" applyFill="1" applyBorder="1" applyAlignment="1">
      <alignment vertical="center"/>
    </xf>
    <xf numFmtId="44" fontId="11" fillId="3" borderId="21" xfId="0" applyNumberFormat="1" applyFont="1" applyFill="1" applyBorder="1" applyAlignment="1">
      <alignment vertical="center"/>
    </xf>
    <xf numFmtId="44" fontId="11" fillId="3" borderId="17" xfId="0" applyNumberFormat="1" applyFont="1" applyFill="1" applyBorder="1" applyAlignment="1">
      <alignment vertical="center"/>
    </xf>
    <xf numFmtId="44" fontId="13" fillId="3" borderId="12" xfId="0" applyNumberFormat="1" applyFont="1" applyFill="1" applyBorder="1" applyAlignment="1">
      <alignment vertical="center"/>
    </xf>
    <xf numFmtId="44" fontId="13" fillId="3" borderId="11" xfId="0" applyNumberFormat="1" applyFont="1" applyFill="1" applyBorder="1" applyAlignment="1">
      <alignment vertical="center"/>
    </xf>
    <xf numFmtId="167" fontId="11" fillId="6" borderId="14" xfId="1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9" fontId="13" fillId="3" borderId="8" xfId="0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/>
    </xf>
    <xf numFmtId="49" fontId="22" fillId="3" borderId="20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49" fontId="22" fillId="3" borderId="5" xfId="0" applyNumberFormat="1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vertical="center"/>
    </xf>
    <xf numFmtId="0" fontId="10" fillId="6" borderId="17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 wrapText="1"/>
    </xf>
    <xf numFmtId="10" fontId="22" fillId="3" borderId="1" xfId="3" applyNumberFormat="1" applyFont="1" applyFill="1" applyBorder="1" applyAlignment="1">
      <alignment horizontal="right" vertical="center"/>
    </xf>
    <xf numFmtId="10" fontId="22" fillId="3" borderId="0" xfId="3" applyNumberFormat="1" applyFont="1" applyFill="1" applyBorder="1" applyAlignment="1">
      <alignment horizontal="right" vertical="center"/>
    </xf>
    <xf numFmtId="10" fontId="22" fillId="3" borderId="7" xfId="3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65" fontId="11" fillId="3" borderId="5" xfId="3" applyNumberFormat="1" applyFont="1" applyFill="1" applyBorder="1" applyAlignment="1">
      <alignment vertical="center"/>
    </xf>
    <xf numFmtId="165" fontId="11" fillId="3" borderId="3" xfId="3" applyNumberFormat="1" applyFont="1" applyFill="1" applyBorder="1" applyAlignment="1">
      <alignment vertical="center"/>
    </xf>
    <xf numFmtId="165" fontId="11" fillId="3" borderId="6" xfId="3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/>
    </xf>
    <xf numFmtId="43" fontId="11" fillId="3" borderId="7" xfId="1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21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3" fillId="3" borderId="3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23" fillId="3" borderId="6" xfId="0" applyFont="1" applyFill="1" applyBorder="1"/>
    <xf numFmtId="10" fontId="10" fillId="3" borderId="16" xfId="3" applyNumberFormat="1" applyFont="1" applyFill="1" applyBorder="1" applyAlignment="1">
      <alignment vertical="center"/>
    </xf>
    <xf numFmtId="10" fontId="10" fillId="3" borderId="17" xfId="3" applyNumberFormat="1" applyFont="1" applyFill="1" applyBorder="1" applyAlignment="1">
      <alignment vertical="center"/>
    </xf>
    <xf numFmtId="10" fontId="10" fillId="3" borderId="0" xfId="3" applyNumberFormat="1" applyFont="1" applyFill="1" applyBorder="1" applyAlignment="1">
      <alignment vertical="center"/>
    </xf>
    <xf numFmtId="10" fontId="10" fillId="3" borderId="0" xfId="0" applyNumberFormat="1" applyFont="1" applyFill="1" applyBorder="1" applyAlignment="1">
      <alignment vertical="center"/>
    </xf>
    <xf numFmtId="10" fontId="10" fillId="3" borderId="9" xfId="3" applyNumberFormat="1" applyFont="1" applyFill="1" applyBorder="1" applyAlignment="1">
      <alignment vertical="center"/>
    </xf>
    <xf numFmtId="10" fontId="10" fillId="3" borderId="10" xfId="3" applyNumberFormat="1" applyFont="1" applyFill="1" applyBorder="1" applyAlignment="1">
      <alignment vertical="center"/>
    </xf>
    <xf numFmtId="2" fontId="11" fillId="3" borderId="0" xfId="0" applyNumberFormat="1" applyFont="1" applyFill="1"/>
    <xf numFmtId="44" fontId="11" fillId="3" borderId="18" xfId="0" applyNumberFormat="1" applyFont="1" applyFill="1" applyBorder="1" applyAlignment="1">
      <alignment vertical="center"/>
    </xf>
    <xf numFmtId="169" fontId="11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7" fillId="8" borderId="0" xfId="0" applyFont="1" applyFill="1"/>
    <xf numFmtId="0" fontId="25" fillId="8" borderId="0" xfId="0" applyFont="1" applyFill="1" applyAlignment="1">
      <alignment vertical="center"/>
    </xf>
    <xf numFmtId="10" fontId="23" fillId="8" borderId="0" xfId="3" applyNumberFormat="1" applyFont="1" applyFill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0" fontId="33" fillId="8" borderId="0" xfId="0" applyFont="1" applyFill="1"/>
    <xf numFmtId="44" fontId="11" fillId="3" borderId="1" xfId="2" applyNumberFormat="1" applyFont="1" applyFill="1" applyBorder="1" applyAlignment="1">
      <alignment vertical="center"/>
    </xf>
    <xf numFmtId="44" fontId="11" fillId="3" borderId="0" xfId="2" applyNumberFormat="1" applyFont="1" applyFill="1" applyBorder="1" applyAlignment="1">
      <alignment vertical="center"/>
    </xf>
    <xf numFmtId="44" fontId="10" fillId="3" borderId="10" xfId="2" applyNumberFormat="1" applyFont="1" applyFill="1" applyBorder="1" applyAlignment="1">
      <alignment vertical="center"/>
    </xf>
    <xf numFmtId="44" fontId="10" fillId="3" borderId="8" xfId="2" applyNumberFormat="1" applyFont="1" applyFill="1" applyBorder="1" applyAlignment="1">
      <alignment vertical="center"/>
    </xf>
    <xf numFmtId="44" fontId="10" fillId="3" borderId="9" xfId="2" applyNumberFormat="1" applyFont="1" applyFill="1" applyBorder="1" applyAlignment="1">
      <alignment vertical="center"/>
    </xf>
    <xf numFmtId="44" fontId="11" fillId="3" borderId="0" xfId="2" applyNumberFormat="1" applyFont="1" applyFill="1" applyAlignment="1">
      <alignment vertical="center"/>
    </xf>
    <xf numFmtId="44" fontId="11" fillId="3" borderId="20" xfId="2" applyNumberFormat="1" applyFont="1" applyFill="1" applyBorder="1" applyAlignment="1">
      <alignment vertical="center"/>
    </xf>
    <xf numFmtId="44" fontId="11" fillId="3" borderId="19" xfId="2" applyNumberFormat="1" applyFont="1" applyFill="1" applyBorder="1" applyAlignment="1">
      <alignment vertical="center"/>
    </xf>
    <xf numFmtId="44" fontId="11" fillId="3" borderId="3" xfId="2" applyNumberFormat="1" applyFont="1" applyFill="1" applyBorder="1" applyAlignment="1">
      <alignment vertical="center"/>
    </xf>
    <xf numFmtId="44" fontId="11" fillId="3" borderId="5" xfId="2" applyNumberFormat="1" applyFont="1" applyFill="1" applyBorder="1" applyAlignment="1">
      <alignment vertical="center"/>
    </xf>
    <xf numFmtId="44" fontId="11" fillId="3" borderId="6" xfId="2" applyNumberFormat="1" applyFont="1" applyFill="1" applyBorder="1" applyAlignment="1">
      <alignment vertical="center"/>
    </xf>
    <xf numFmtId="43" fontId="15" fillId="8" borderId="0" xfId="1" applyFont="1" applyFill="1"/>
    <xf numFmtId="10" fontId="15" fillId="8" borderId="0" xfId="3" applyNumberFormat="1" applyFont="1" applyFill="1"/>
    <xf numFmtId="10" fontId="15" fillId="8" borderId="0" xfId="0" applyNumberFormat="1" applyFont="1" applyFill="1"/>
    <xf numFmtId="44" fontId="15" fillId="2" borderId="0" xfId="0" applyNumberFormat="1" applyFont="1" applyFill="1"/>
    <xf numFmtId="43" fontId="11" fillId="3" borderId="18" xfId="1" applyFont="1" applyFill="1" applyBorder="1" applyAlignment="1">
      <alignment horizontal="center" vertical="center"/>
    </xf>
    <xf numFmtId="43" fontId="11" fillId="3" borderId="20" xfId="1" applyFont="1" applyFill="1" applyBorder="1" applyAlignment="1">
      <alignment horizontal="center" vertical="center"/>
    </xf>
    <xf numFmtId="43" fontId="11" fillId="3" borderId="19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vertical="center"/>
    </xf>
    <xf numFmtId="43" fontId="9" fillId="3" borderId="5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43" fontId="9" fillId="3" borderId="16" xfId="1" applyFont="1" applyFill="1" applyBorder="1" applyAlignment="1">
      <alignment vertical="center"/>
    </xf>
    <xf numFmtId="43" fontId="9" fillId="3" borderId="21" xfId="1" applyFont="1" applyFill="1" applyBorder="1" applyAlignment="1">
      <alignment vertical="center"/>
    </xf>
    <xf numFmtId="43" fontId="9" fillId="3" borderId="17" xfId="1" applyFont="1" applyFill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5" fontId="11" fillId="3" borderId="20" xfId="3" applyNumberFormat="1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vertical="center"/>
    </xf>
    <xf numFmtId="10" fontId="11" fillId="3" borderId="1" xfId="3" applyNumberFormat="1" applyFont="1" applyFill="1" applyBorder="1" applyAlignment="1">
      <alignment vertical="center"/>
    </xf>
    <xf numFmtId="10" fontId="11" fillId="3" borderId="7" xfId="3" applyNumberFormat="1" applyFont="1" applyFill="1" applyBorder="1" applyAlignment="1">
      <alignment vertical="center"/>
    </xf>
    <xf numFmtId="10" fontId="11" fillId="3" borderId="20" xfId="3" applyNumberFormat="1" applyFont="1" applyFill="1" applyBorder="1" applyAlignment="1">
      <alignment vertical="center"/>
    </xf>
    <xf numFmtId="10" fontId="11" fillId="3" borderId="18" xfId="3" applyNumberFormat="1" applyFont="1" applyFill="1" applyBorder="1" applyAlignment="1">
      <alignment vertical="center"/>
    </xf>
    <xf numFmtId="10" fontId="11" fillId="3" borderId="19" xfId="3" applyNumberFormat="1" applyFont="1" applyFill="1" applyBorder="1" applyAlignment="1">
      <alignment vertical="center"/>
    </xf>
    <xf numFmtId="10" fontId="10" fillId="3" borderId="20" xfId="3" applyNumberFormat="1" applyFont="1" applyFill="1" applyBorder="1" applyAlignment="1">
      <alignment vertical="center"/>
    </xf>
    <xf numFmtId="10" fontId="10" fillId="3" borderId="18" xfId="3" applyNumberFormat="1" applyFont="1" applyFill="1" applyBorder="1" applyAlignment="1">
      <alignment vertical="center"/>
    </xf>
    <xf numFmtId="10" fontId="10" fillId="3" borderId="19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5" fontId="10" fillId="3" borderId="5" xfId="3" applyNumberFormat="1" applyFont="1" applyFill="1" applyBorder="1" applyAlignment="1">
      <alignment vertical="center"/>
    </xf>
    <xf numFmtId="165" fontId="10" fillId="3" borderId="3" xfId="3" applyNumberFormat="1" applyFont="1" applyFill="1" applyBorder="1" applyAlignment="1">
      <alignment vertical="center"/>
    </xf>
    <xf numFmtId="165" fontId="10" fillId="3" borderId="6" xfId="3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4" fontId="7" fillId="3" borderId="0" xfId="1" applyNumberFormat="1" applyFont="1" applyFill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164" fontId="8" fillId="3" borderId="9" xfId="1" applyNumberFormat="1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44" fontId="11" fillId="3" borderId="0" xfId="2" applyFont="1" applyFill="1" applyBorder="1" applyAlignment="1">
      <alignment horizontal="center" vertical="center"/>
    </xf>
    <xf numFmtId="44" fontId="11" fillId="3" borderId="7" xfId="2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horizontal="center" vertical="center"/>
    </xf>
    <xf numFmtId="44" fontId="10" fillId="3" borderId="8" xfId="2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3" borderId="9" xfId="2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10" fontId="11" fillId="3" borderId="2" xfId="3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0" fontId="11" fillId="3" borderId="0" xfId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0" fontId="11" fillId="3" borderId="15" xfId="0" applyNumberFormat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>
      <alignment horizontal="center" vertical="center"/>
    </xf>
    <xf numFmtId="10" fontId="14" fillId="3" borderId="2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10" fontId="13" fillId="3" borderId="0" xfId="3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/>
    <xf numFmtId="10" fontId="2" fillId="3" borderId="0" xfId="3" applyNumberFormat="1" applyFont="1" applyFill="1"/>
    <xf numFmtId="10" fontId="2" fillId="3" borderId="0" xfId="0" applyNumberFormat="1" applyFont="1" applyFill="1"/>
    <xf numFmtId="0" fontId="13" fillId="3" borderId="6" xfId="0" applyFont="1" applyFill="1" applyBorder="1"/>
    <xf numFmtId="43" fontId="11" fillId="3" borderId="0" xfId="1" applyFont="1" applyFill="1"/>
    <xf numFmtId="10" fontId="10" fillId="3" borderId="21" xfId="0" applyNumberFormat="1" applyFont="1" applyFill="1" applyBorder="1" applyAlignment="1">
      <alignment vertical="center"/>
    </xf>
    <xf numFmtId="10" fontId="10" fillId="3" borderId="17" xfId="0" applyNumberFormat="1" applyFont="1" applyFill="1" applyBorder="1" applyAlignment="1">
      <alignment vertical="center"/>
    </xf>
    <xf numFmtId="43" fontId="10" fillId="3" borderId="16" xfId="1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0" fontId="11" fillId="3" borderId="5" xfId="0" applyFont="1" applyFill="1" applyBorder="1" applyAlignment="1">
      <alignment vertical="center"/>
    </xf>
    <xf numFmtId="0" fontId="15" fillId="3" borderId="5" xfId="0" applyFont="1" applyFill="1" applyBorder="1"/>
    <xf numFmtId="44" fontId="13" fillId="3" borderId="13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wrapText="1"/>
    </xf>
    <xf numFmtId="0" fontId="29" fillId="3" borderId="0" xfId="0" applyFont="1" applyFill="1" applyBorder="1"/>
    <xf numFmtId="0" fontId="9" fillId="3" borderId="2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49" fontId="22" fillId="3" borderId="0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3" fillId="9" borderId="16" xfId="0" applyFont="1" applyFill="1" applyBorder="1" applyAlignment="1">
      <alignment vertical="center"/>
    </xf>
    <xf numFmtId="0" fontId="11" fillId="9" borderId="21" xfId="0" applyFont="1" applyFill="1" applyBorder="1"/>
    <xf numFmtId="0" fontId="11" fillId="9" borderId="17" xfId="0" applyFont="1" applyFill="1" applyBorder="1"/>
    <xf numFmtId="10" fontId="10" fillId="9" borderId="16" xfId="3" applyNumberFormat="1" applyFont="1" applyFill="1" applyBorder="1" applyAlignment="1">
      <alignment horizontal="right" vertical="center"/>
    </xf>
    <xf numFmtId="10" fontId="10" fillId="9" borderId="21" xfId="3" applyNumberFormat="1" applyFont="1" applyFill="1" applyBorder="1" applyAlignment="1">
      <alignment horizontal="right" vertical="center"/>
    </xf>
    <xf numFmtId="10" fontId="10" fillId="9" borderId="17" xfId="3" applyNumberFormat="1" applyFont="1" applyFill="1" applyBorder="1" applyAlignment="1">
      <alignment horizontal="right" vertical="center"/>
    </xf>
    <xf numFmtId="0" fontId="21" fillId="10" borderId="0" xfId="5" applyFont="1" applyFill="1" applyAlignment="1">
      <alignment horizontal="left" vertical="center"/>
    </xf>
    <xf numFmtId="0" fontId="21" fillId="10" borderId="0" xfId="0" applyFont="1" applyFill="1" applyAlignment="1">
      <alignment vertical="center"/>
    </xf>
    <xf numFmtId="0" fontId="21" fillId="10" borderId="0" xfId="0" applyFont="1" applyFill="1"/>
    <xf numFmtId="9" fontId="15" fillId="3" borderId="0" xfId="3" applyFont="1" applyFill="1"/>
    <xf numFmtId="166" fontId="15" fillId="3" borderId="0" xfId="0" applyNumberFormat="1" applyFont="1" applyFill="1"/>
    <xf numFmtId="9" fontId="11" fillId="3" borderId="19" xfId="0" applyNumberFormat="1" applyFont="1" applyFill="1" applyBorder="1" applyAlignment="1">
      <alignment horizontal="right" vertical="center"/>
    </xf>
    <xf numFmtId="9" fontId="11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5" fillId="3" borderId="8" xfId="0" applyFont="1" applyFill="1" applyBorder="1"/>
    <xf numFmtId="44" fontId="10" fillId="3" borderId="11" xfId="2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43" fontId="10" fillId="3" borderId="8" xfId="0" applyNumberFormat="1" applyFont="1" applyFill="1" applyBorder="1" applyAlignment="1">
      <alignment vertical="center"/>
    </xf>
    <xf numFmtId="164" fontId="11" fillId="2" borderId="0" xfId="0" applyNumberFormat="1" applyFont="1" applyFill="1"/>
    <xf numFmtId="1" fontId="9" fillId="3" borderId="5" xfId="0" applyNumberFormat="1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44" fontId="7" fillId="3" borderId="0" xfId="0" applyNumberFormat="1" applyFont="1" applyFill="1"/>
    <xf numFmtId="2" fontId="11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vertical="center"/>
    </xf>
    <xf numFmtId="44" fontId="11" fillId="3" borderId="0" xfId="0" applyNumberFormat="1" applyFont="1" applyFill="1"/>
    <xf numFmtId="164" fontId="15" fillId="2" borderId="0" xfId="0" applyNumberFormat="1" applyFont="1" applyFill="1"/>
    <xf numFmtId="168" fontId="17" fillId="3" borderId="0" xfId="0" applyNumberFormat="1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16" fillId="12" borderId="0" xfId="0" applyFont="1" applyFill="1"/>
    <xf numFmtId="0" fontId="34" fillId="3" borderId="0" xfId="0" applyFont="1" applyFill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6" fillId="3" borderId="0" xfId="0" applyFont="1" applyFill="1"/>
    <xf numFmtId="0" fontId="34" fillId="2" borderId="0" xfId="0" applyFont="1" applyFill="1"/>
    <xf numFmtId="0" fontId="37" fillId="0" borderId="0" xfId="0" applyFont="1" applyAlignment="1">
      <alignment vertical="center"/>
    </xf>
    <xf numFmtId="0" fontId="37" fillId="3" borderId="0" xfId="0" applyFont="1" applyFill="1" applyAlignment="1">
      <alignment vertical="center"/>
    </xf>
    <xf numFmtId="0" fontId="37" fillId="3" borderId="0" xfId="0" applyFont="1" applyFill="1"/>
    <xf numFmtId="0" fontId="37" fillId="2" borderId="0" xfId="0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vertical="center" wrapText="1"/>
    </xf>
    <xf numFmtId="0" fontId="5" fillId="12" borderId="0" xfId="0" applyFont="1" applyFill="1"/>
    <xf numFmtId="0" fontId="21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vertical="center"/>
    </xf>
    <xf numFmtId="1" fontId="14" fillId="3" borderId="20" xfId="0" applyNumberFormat="1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vertical="center"/>
    </xf>
    <xf numFmtId="44" fontId="11" fillId="3" borderId="0" xfId="2" applyFont="1" applyFill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6" fillId="11" borderId="0" xfId="0" applyFont="1" applyFill="1"/>
    <xf numFmtId="0" fontId="18" fillId="3" borderId="0" xfId="0" applyFont="1" applyFill="1" applyBorder="1" applyAlignment="1">
      <alignment vertical="center"/>
    </xf>
    <xf numFmtId="0" fontId="27" fillId="3" borderId="0" xfId="5" quotePrefix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horizontal="left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0" fontId="1" fillId="3" borderId="0" xfId="0" applyFont="1" applyFill="1"/>
    <xf numFmtId="0" fontId="12" fillId="3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49" fontId="17" fillId="3" borderId="5" xfId="0" applyNumberFormat="1" applyFont="1" applyFill="1" applyBorder="1" applyAlignment="1">
      <alignment horizontal="left" vertical="center"/>
    </xf>
    <xf numFmtId="49" fontId="39" fillId="3" borderId="0" xfId="0" applyNumberFormat="1" applyFont="1" applyFill="1" applyBorder="1" applyAlignment="1">
      <alignment horizontal="right" vertical="center"/>
    </xf>
    <xf numFmtId="49" fontId="39" fillId="3" borderId="5" xfId="0" applyNumberFormat="1" applyFont="1" applyFill="1" applyBorder="1" applyAlignment="1">
      <alignment horizontal="right" vertical="center"/>
    </xf>
    <xf numFmtId="49" fontId="17" fillId="3" borderId="21" xfId="0" applyNumberFormat="1" applyFont="1" applyFill="1" applyBorder="1" applyAlignment="1">
      <alignment horizontal="left" vertical="center"/>
    </xf>
    <xf numFmtId="0" fontId="18" fillId="3" borderId="21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7" fillId="3" borderId="21" xfId="5" quotePrefix="1" applyFont="1" applyFill="1" applyBorder="1" applyAlignment="1">
      <alignment horizontal="left" vertical="center"/>
    </xf>
    <xf numFmtId="0" fontId="27" fillId="3" borderId="0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 wrapText="1"/>
    </xf>
    <xf numFmtId="0" fontId="21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2" fillId="3" borderId="0" xfId="0" applyFont="1" applyFill="1" applyBorder="1" applyAlignment="1">
      <alignment vertical="center"/>
    </xf>
    <xf numFmtId="164" fontId="22" fillId="3" borderId="0" xfId="1" applyNumberFormat="1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0" fontId="11" fillId="3" borderId="5" xfId="3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0" fontId="11" fillId="3" borderId="3" xfId="3" applyNumberFormat="1" applyFont="1" applyFill="1" applyBorder="1" applyAlignment="1">
      <alignment vertical="center"/>
    </xf>
    <xf numFmtId="10" fontId="11" fillId="3" borderId="6" xfId="3" applyNumberFormat="1" applyFont="1" applyFill="1" applyBorder="1" applyAlignment="1">
      <alignment vertical="center"/>
    </xf>
    <xf numFmtId="0" fontId="17" fillId="6" borderId="16" xfId="0" applyFont="1" applyFill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164" fontId="22" fillId="3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9" fontId="10" fillId="3" borderId="0" xfId="0" applyNumberFormat="1" applyFont="1" applyFill="1" applyBorder="1" applyAlignment="1">
      <alignment vertical="center"/>
    </xf>
    <xf numFmtId="9" fontId="10" fillId="3" borderId="0" xfId="3" applyFont="1" applyFill="1" applyBorder="1" applyAlignment="1">
      <alignment vertical="center"/>
    </xf>
    <xf numFmtId="1" fontId="11" fillId="3" borderId="21" xfId="0" applyNumberFormat="1" applyFont="1" applyFill="1" applyBorder="1" applyAlignment="1">
      <alignment vertical="center"/>
    </xf>
    <xf numFmtId="1" fontId="11" fillId="3" borderId="5" xfId="0" applyNumberFormat="1" applyFont="1" applyFill="1" applyBorder="1" applyAlignment="1">
      <alignment vertical="center"/>
    </xf>
    <xf numFmtId="1" fontId="11" fillId="3" borderId="20" xfId="0" applyNumberFormat="1" applyFont="1" applyFill="1" applyBorder="1" applyAlignment="1">
      <alignment vertical="center"/>
    </xf>
    <xf numFmtId="1" fontId="11" fillId="3" borderId="0" xfId="0" applyNumberFormat="1" applyFont="1" applyFill="1" applyBorder="1" applyAlignment="1">
      <alignment vertical="center"/>
    </xf>
    <xf numFmtId="0" fontId="21" fillId="11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1" fillId="3" borderId="0" xfId="3" applyNumberFormat="1" applyFont="1" applyFill="1" applyBorder="1"/>
    <xf numFmtId="10" fontId="11" fillId="3" borderId="0" xfId="0" applyNumberFormat="1" applyFont="1" applyFill="1" applyBorder="1"/>
    <xf numFmtId="43" fontId="11" fillId="3" borderId="0" xfId="1" applyFont="1" applyFill="1" applyAlignment="1">
      <alignment vertical="center"/>
    </xf>
    <xf numFmtId="0" fontId="13" fillId="3" borderId="9" xfId="0" applyFont="1" applyFill="1" applyBorder="1" applyAlignment="1">
      <alignment vertical="center"/>
    </xf>
    <xf numFmtId="9" fontId="11" fillId="3" borderId="1" xfId="3" applyNumberFormat="1" applyFont="1" applyFill="1" applyBorder="1" applyAlignment="1">
      <alignment horizontal="center" vertical="center"/>
    </xf>
    <xf numFmtId="9" fontId="11" fillId="3" borderId="3" xfId="3" applyNumberFormat="1" applyFont="1" applyFill="1" applyBorder="1" applyAlignment="1">
      <alignment horizontal="center" vertical="center"/>
    </xf>
    <xf numFmtId="9" fontId="10" fillId="3" borderId="21" xfId="0" applyNumberFormat="1" applyFont="1" applyFill="1" applyBorder="1" applyAlignment="1">
      <alignment horizontal="center" vertical="center"/>
    </xf>
    <xf numFmtId="0" fontId="41" fillId="3" borderId="0" xfId="0" applyFont="1" applyFill="1"/>
    <xf numFmtId="43" fontId="41" fillId="3" borderId="0" xfId="0" applyNumberFormat="1" applyFont="1" applyFill="1"/>
    <xf numFmtId="0" fontId="42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43" fontId="41" fillId="3" borderId="0" xfId="0" applyNumberFormat="1" applyFont="1" applyFill="1" applyAlignment="1">
      <alignment vertical="center"/>
    </xf>
    <xf numFmtId="0" fontId="41" fillId="8" borderId="0" xfId="0" applyFont="1" applyFill="1" applyAlignment="1">
      <alignment vertical="center"/>
    </xf>
    <xf numFmtId="43" fontId="10" fillId="3" borderId="14" xfId="1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44" fontId="10" fillId="9" borderId="14" xfId="2" applyFont="1" applyFill="1" applyBorder="1" applyAlignment="1">
      <alignment vertical="center"/>
    </xf>
    <xf numFmtId="10" fontId="10" fillId="9" borderId="14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/>
    </xf>
    <xf numFmtId="0" fontId="24" fillId="3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3" fontId="10" fillId="3" borderId="11" xfId="1" applyFont="1" applyFill="1" applyBorder="1"/>
    <xf numFmtId="43" fontId="9" fillId="3" borderId="14" xfId="1" applyFont="1" applyFill="1" applyBorder="1" applyAlignment="1">
      <alignment vertical="center"/>
    </xf>
    <xf numFmtId="169" fontId="11" fillId="3" borderId="1" xfId="0" applyNumberFormat="1" applyFont="1" applyFill="1" applyBorder="1" applyAlignment="1">
      <alignment vertical="center"/>
    </xf>
    <xf numFmtId="49" fontId="41" fillId="3" borderId="0" xfId="0" applyNumberFormat="1" applyFont="1" applyFill="1" applyBorder="1"/>
    <xf numFmtId="44" fontId="41" fillId="3" borderId="0" xfId="0" applyNumberFormat="1" applyFont="1" applyFill="1" applyBorder="1" applyAlignment="1">
      <alignment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49" fontId="43" fillId="3" borderId="20" xfId="0" applyNumberFormat="1" applyFont="1" applyFill="1" applyBorder="1" applyAlignment="1">
      <alignment horizontal="center" vertical="center"/>
    </xf>
    <xf numFmtId="49" fontId="4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vertical="center"/>
    </xf>
    <xf numFmtId="49" fontId="10" fillId="3" borderId="5" xfId="0" applyNumberFormat="1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5" xfId="0" applyFont="1" applyFill="1" applyBorder="1" applyAlignment="1">
      <alignment vertical="center"/>
    </xf>
    <xf numFmtId="9" fontId="10" fillId="3" borderId="10" xfId="3" applyFont="1" applyFill="1" applyBorder="1" applyAlignment="1">
      <alignment vertical="center"/>
    </xf>
    <xf numFmtId="9" fontId="10" fillId="3" borderId="8" xfId="3" applyFont="1" applyFill="1" applyBorder="1" applyAlignment="1">
      <alignment vertical="center"/>
    </xf>
    <xf numFmtId="44" fontId="11" fillId="3" borderId="20" xfId="2" applyFont="1" applyFill="1" applyBorder="1" applyAlignment="1">
      <alignment vertical="center"/>
    </xf>
    <xf numFmtId="44" fontId="11" fillId="3" borderId="3" xfId="2" applyFont="1" applyFill="1" applyBorder="1" applyAlignment="1">
      <alignment vertical="center"/>
    </xf>
    <xf numFmtId="44" fontId="11" fillId="3" borderId="5" xfId="2" applyFont="1" applyFill="1" applyBorder="1" applyAlignment="1">
      <alignment vertical="center"/>
    </xf>
    <xf numFmtId="44" fontId="11" fillId="3" borderId="0" xfId="2" applyFont="1" applyFill="1" applyBorder="1" applyAlignment="1">
      <alignment vertical="center"/>
    </xf>
    <xf numFmtId="44" fontId="11" fillId="3" borderId="1" xfId="2" applyFont="1" applyFill="1" applyBorder="1" applyAlignment="1">
      <alignment vertical="center"/>
    </xf>
    <xf numFmtId="164" fontId="11" fillId="3" borderId="0" xfId="0" applyNumberFormat="1" applyFont="1" applyFill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3" fontId="15" fillId="2" borderId="0" xfId="1" applyFont="1" applyFill="1"/>
    <xf numFmtId="0" fontId="10" fillId="3" borderId="9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43" fontId="11" fillId="3" borderId="0" xfId="0" applyNumberFormat="1" applyFont="1" applyFill="1" applyBorder="1" applyAlignment="1">
      <alignment vertical="center"/>
    </xf>
    <xf numFmtId="43" fontId="11" fillId="3" borderId="3" xfId="0" applyNumberFormat="1" applyFont="1" applyFill="1" applyBorder="1" applyAlignment="1">
      <alignment vertical="center"/>
    </xf>
    <xf numFmtId="43" fontId="11" fillId="3" borderId="5" xfId="0" applyNumberFormat="1" applyFont="1" applyFill="1" applyBorder="1" applyAlignment="1">
      <alignment vertical="center"/>
    </xf>
    <xf numFmtId="43" fontId="11" fillId="3" borderId="7" xfId="0" applyNumberFormat="1" applyFont="1" applyFill="1" applyBorder="1" applyAlignment="1">
      <alignment vertical="center"/>
    </xf>
    <xf numFmtId="43" fontId="11" fillId="3" borderId="6" xfId="0" applyNumberFormat="1" applyFont="1" applyFill="1" applyBorder="1" applyAlignment="1">
      <alignment vertical="center"/>
    </xf>
    <xf numFmtId="43" fontId="11" fillId="3" borderId="5" xfId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9" fontId="11" fillId="3" borderId="0" xfId="3" applyFont="1" applyFill="1" applyAlignment="1">
      <alignment vertical="center"/>
    </xf>
    <xf numFmtId="9" fontId="11" fillId="3" borderId="1" xfId="3" applyFont="1" applyFill="1" applyBorder="1" applyAlignment="1">
      <alignment vertical="center"/>
    </xf>
    <xf numFmtId="164" fontId="8" fillId="3" borderId="12" xfId="1" applyNumberFormat="1" applyFont="1" applyFill="1" applyBorder="1" applyAlignment="1">
      <alignment vertical="center"/>
    </xf>
    <xf numFmtId="164" fontId="8" fillId="3" borderId="11" xfId="1" applyNumberFormat="1" applyFont="1" applyFill="1" applyBorder="1" applyAlignment="1">
      <alignment vertical="center"/>
    </xf>
    <xf numFmtId="164" fontId="8" fillId="3" borderId="13" xfId="1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171" fontId="11" fillId="3" borderId="0" xfId="0" applyNumberFormat="1" applyFont="1" applyFill="1" applyAlignment="1">
      <alignment vertical="center"/>
    </xf>
    <xf numFmtId="0" fontId="22" fillId="3" borderId="0" xfId="0" applyFont="1" applyFill="1"/>
    <xf numFmtId="164" fontId="22" fillId="3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7" fillId="3" borderId="5" xfId="5" applyFont="1" applyFill="1" applyBorder="1" applyAlignment="1">
      <alignment horizontal="left" vertical="center"/>
    </xf>
    <xf numFmtId="0" fontId="27" fillId="3" borderId="0" xfId="5" applyFont="1" applyFill="1" applyBorder="1" applyAlignment="1">
      <alignment horizontal="left" vertical="center"/>
    </xf>
    <xf numFmtId="49" fontId="39" fillId="3" borderId="21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10" fontId="11" fillId="3" borderId="4" xfId="3" applyNumberFormat="1" applyFont="1" applyFill="1" applyBorder="1" applyAlignment="1">
      <alignment horizontal="center" vertical="center"/>
    </xf>
    <xf numFmtId="10" fontId="11" fillId="3" borderId="5" xfId="1" applyNumberFormat="1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44" fontId="44" fillId="3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 wrapText="1"/>
    </xf>
    <xf numFmtId="171" fontId="11" fillId="3" borderId="5" xfId="2" applyNumberFormat="1" applyFont="1" applyFill="1" applyBorder="1" applyAlignment="1">
      <alignment vertical="center"/>
    </xf>
    <xf numFmtId="171" fontId="11" fillId="3" borderId="3" xfId="2" applyNumberFormat="1" applyFont="1" applyFill="1" applyBorder="1" applyAlignment="1">
      <alignment vertical="center"/>
    </xf>
    <xf numFmtId="164" fontId="22" fillId="3" borderId="3" xfId="1" applyNumberFormat="1" applyFont="1" applyFill="1" applyBorder="1" applyAlignment="1">
      <alignment vertical="center"/>
    </xf>
    <xf numFmtId="1" fontId="14" fillId="3" borderId="21" xfId="0" applyNumberFormat="1" applyFont="1" applyFill="1" applyBorder="1" applyAlignment="1">
      <alignment vertical="center"/>
    </xf>
    <xf numFmtId="171" fontId="11" fillId="3" borderId="21" xfId="2" applyNumberFormat="1" applyFont="1" applyFill="1" applyBorder="1" applyAlignment="1">
      <alignment vertical="center"/>
    </xf>
    <xf numFmtId="164" fontId="22" fillId="3" borderId="16" xfId="1" applyNumberFormat="1" applyFont="1" applyFill="1" applyBorder="1" applyAlignment="1">
      <alignment vertical="center"/>
    </xf>
    <xf numFmtId="0" fontId="39" fillId="3" borderId="0" xfId="0" applyFont="1" applyFill="1"/>
    <xf numFmtId="44" fontId="22" fillId="3" borderId="0" xfId="0" applyNumberFormat="1" applyFont="1" applyFill="1"/>
    <xf numFmtId="172" fontId="22" fillId="3" borderId="0" xfId="0" applyNumberFormat="1" applyFont="1" applyFill="1" applyBorder="1" applyAlignment="1">
      <alignment vertical="center"/>
    </xf>
    <xf numFmtId="44" fontId="11" fillId="3" borderId="18" xfId="2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44" fontId="11" fillId="3" borderId="18" xfId="2" applyFont="1" applyFill="1" applyBorder="1" applyAlignment="1">
      <alignment vertical="center"/>
    </xf>
    <xf numFmtId="44" fontId="13" fillId="3" borderId="10" xfId="2" applyFont="1" applyFill="1" applyBorder="1" applyAlignment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center"/>
    </xf>
    <xf numFmtId="43" fontId="15" fillId="3" borderId="0" xfId="1" applyFont="1" applyFill="1"/>
    <xf numFmtId="43" fontId="23" fillId="0" borderId="0" xfId="1" applyFont="1" applyAlignment="1">
      <alignment vertical="center"/>
    </xf>
    <xf numFmtId="43" fontId="15" fillId="3" borderId="0" xfId="1" applyFont="1" applyFill="1" applyAlignment="1">
      <alignment vertical="center"/>
    </xf>
    <xf numFmtId="43" fontId="17" fillId="3" borderId="0" xfId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" fontId="12" fillId="3" borderId="0" xfId="0" applyNumberFormat="1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vertical="center"/>
    </xf>
    <xf numFmtId="44" fontId="10" fillId="3" borderId="0" xfId="2" applyNumberFormat="1" applyFont="1" applyFill="1" applyBorder="1" applyAlignment="1">
      <alignment vertical="center"/>
    </xf>
    <xf numFmtId="164" fontId="22" fillId="3" borderId="0" xfId="0" applyNumberFormat="1" applyFont="1" applyFill="1" applyBorder="1" applyAlignment="1">
      <alignment vertical="center"/>
    </xf>
    <xf numFmtId="44" fontId="22" fillId="3" borderId="0" xfId="2" applyNumberFormat="1" applyFont="1" applyFill="1" applyBorder="1" applyAlignment="1">
      <alignment vertical="center"/>
    </xf>
    <xf numFmtId="1" fontId="31" fillId="3" borderId="0" xfId="0" applyNumberFormat="1" applyFont="1" applyFill="1" applyBorder="1" applyAlignment="1">
      <alignment vertical="center"/>
    </xf>
    <xf numFmtId="44" fontId="15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43" fontId="15" fillId="2" borderId="0" xfId="0" applyNumberFormat="1" applyFont="1" applyFill="1"/>
    <xf numFmtId="44" fontId="11" fillId="0" borderId="1" xfId="2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7" fillId="2" borderId="0" xfId="0" applyFont="1" applyFill="1" applyAlignment="1">
      <alignment horizontal="right"/>
    </xf>
    <xf numFmtId="0" fontId="1" fillId="9" borderId="14" xfId="0" applyFont="1" applyFill="1" applyBorder="1" applyAlignment="1">
      <alignment vertical="center"/>
    </xf>
    <xf numFmtId="10" fontId="10" fillId="2" borderId="0" xfId="3" applyNumberFormat="1" applyFont="1" applyFill="1" applyBorder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31" fillId="3" borderId="0" xfId="5" applyFont="1" applyFill="1" applyAlignment="1">
      <alignment horizontal="left" vertical="center"/>
    </xf>
    <xf numFmtId="0" fontId="14" fillId="3" borderId="5" xfId="5" applyFont="1" applyFill="1" applyBorder="1" applyAlignment="1">
      <alignment horizontal="left" vertical="center"/>
    </xf>
    <xf numFmtId="0" fontId="21" fillId="3" borderId="5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9" fillId="3" borderId="8" xfId="5" applyFont="1" applyFill="1" applyBorder="1" applyAlignment="1">
      <alignment horizontal="left" vertical="center"/>
    </xf>
    <xf numFmtId="164" fontId="14" fillId="3" borderId="0" xfId="1" applyNumberFormat="1" applyFont="1" applyFill="1" applyAlignment="1">
      <alignment vertical="center"/>
    </xf>
    <xf numFmtId="164" fontId="14" fillId="3" borderId="18" xfId="1" applyNumberFormat="1" applyFont="1" applyFill="1" applyBorder="1" applyAlignment="1">
      <alignment vertical="center"/>
    </xf>
    <xf numFmtId="164" fontId="14" fillId="3" borderId="20" xfId="1" applyNumberFormat="1" applyFont="1" applyFill="1" applyBorder="1" applyAlignment="1">
      <alignment vertical="center"/>
    </xf>
    <xf numFmtId="164" fontId="14" fillId="3" borderId="3" xfId="1" applyNumberFormat="1" applyFont="1" applyFill="1" applyBorder="1" applyAlignment="1">
      <alignment vertical="center"/>
    </xf>
    <xf numFmtId="164" fontId="14" fillId="3" borderId="5" xfId="1" applyNumberFormat="1" applyFont="1" applyFill="1" applyBorder="1" applyAlignment="1">
      <alignment vertical="center"/>
    </xf>
    <xf numFmtId="10" fontId="9" fillId="3" borderId="10" xfId="3" applyNumberFormat="1" applyFont="1" applyFill="1" applyBorder="1" applyAlignment="1">
      <alignment horizontal="right" vertical="center"/>
    </xf>
    <xf numFmtId="10" fontId="9" fillId="3" borderId="8" xfId="3" applyNumberFormat="1" applyFont="1" applyFill="1" applyBorder="1" applyAlignment="1">
      <alignment horizontal="right" vertical="center"/>
    </xf>
    <xf numFmtId="10" fontId="9" fillId="3" borderId="10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164" fontId="14" fillId="3" borderId="19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/>
    </xf>
    <xf numFmtId="164" fontId="14" fillId="3" borderId="1" xfId="1" applyNumberFormat="1" applyFont="1" applyFill="1" applyBorder="1" applyAlignment="1">
      <alignment vertical="center"/>
    </xf>
    <xf numFmtId="164" fontId="14" fillId="3" borderId="0" xfId="1" applyNumberFormat="1" applyFont="1" applyFill="1" applyBorder="1" applyAlignment="1">
      <alignment vertical="center"/>
    </xf>
    <xf numFmtId="164" fontId="14" fillId="3" borderId="7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horizontal="left" vertical="center"/>
    </xf>
    <xf numFmtId="164" fontId="9" fillId="3" borderId="10" xfId="1" applyNumberFormat="1" applyFont="1" applyFill="1" applyBorder="1" applyAlignment="1">
      <alignment horizontal="left" vertical="center"/>
    </xf>
    <xf numFmtId="164" fontId="9" fillId="3" borderId="9" xfId="1" applyNumberFormat="1" applyFont="1" applyFill="1" applyBorder="1" applyAlignment="1">
      <alignment horizontal="left" vertical="center"/>
    </xf>
    <xf numFmtId="164" fontId="9" fillId="3" borderId="8" xfId="5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/>
    </xf>
    <xf numFmtId="0" fontId="31" fillId="3" borderId="0" xfId="0" applyFont="1" applyFill="1" applyAlignment="1">
      <alignment horizontal="left" vertical="center"/>
    </xf>
    <xf numFmtId="0" fontId="11" fillId="3" borderId="21" xfId="0" applyFont="1" applyFill="1" applyBorder="1" applyAlignment="1">
      <alignment vertical="center"/>
    </xf>
    <xf numFmtId="164" fontId="11" fillId="3" borderId="21" xfId="1" applyNumberFormat="1" applyFont="1" applyFill="1" applyBorder="1" applyAlignment="1">
      <alignment vertical="center"/>
    </xf>
    <xf numFmtId="164" fontId="11" fillId="3" borderId="16" xfId="1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0" fontId="31" fillId="13" borderId="0" xfId="0" applyFont="1" applyFill="1" applyBorder="1" applyAlignment="1">
      <alignment vertical="center"/>
    </xf>
    <xf numFmtId="164" fontId="31" fillId="13" borderId="0" xfId="1" applyNumberFormat="1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9" fontId="10" fillId="13" borderId="0" xfId="0" applyNumberFormat="1" applyFont="1" applyFill="1" applyBorder="1" applyAlignment="1">
      <alignment vertical="center"/>
    </xf>
    <xf numFmtId="0" fontId="45" fillId="13" borderId="0" xfId="0" applyFont="1" applyFill="1" applyAlignment="1">
      <alignment vertical="center"/>
    </xf>
    <xf numFmtId="43" fontId="10" fillId="13" borderId="0" xfId="1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44" fontId="11" fillId="3" borderId="0" xfId="2" applyFont="1" applyFill="1"/>
    <xf numFmtId="44" fontId="14" fillId="3" borderId="0" xfId="2" applyFont="1" applyFill="1" applyAlignment="1">
      <alignment vertical="center"/>
    </xf>
    <xf numFmtId="44" fontId="11" fillId="0" borderId="0" xfId="2" applyFont="1" applyAlignment="1">
      <alignment vertical="center"/>
    </xf>
    <xf numFmtId="44" fontId="13" fillId="3" borderId="8" xfId="2" applyFont="1" applyFill="1" applyBorder="1" applyAlignment="1">
      <alignment vertical="center"/>
    </xf>
    <xf numFmtId="44" fontId="21" fillId="11" borderId="0" xfId="0" applyNumberFormat="1" applyFont="1" applyFill="1" applyAlignment="1">
      <alignment vertical="center"/>
    </xf>
    <xf numFmtId="171" fontId="11" fillId="3" borderId="0" xfId="0" applyNumberFormat="1" applyFont="1" applyFill="1"/>
    <xf numFmtId="0" fontId="25" fillId="3" borderId="16" xfId="0" applyFont="1" applyFill="1" applyBorder="1" applyAlignment="1">
      <alignment vertical="center"/>
    </xf>
    <xf numFmtId="0" fontId="24" fillId="3" borderId="21" xfId="0" applyFont="1" applyFill="1" applyBorder="1" applyAlignment="1">
      <alignment vertical="center"/>
    </xf>
    <xf numFmtId="169" fontId="11" fillId="3" borderId="16" xfId="0" applyNumberFormat="1" applyFont="1" applyFill="1" applyBorder="1" applyAlignment="1">
      <alignment vertical="center"/>
    </xf>
    <xf numFmtId="43" fontId="10" fillId="3" borderId="15" xfId="1" applyFont="1" applyFill="1" applyBorder="1" applyAlignment="1">
      <alignment vertical="center"/>
    </xf>
    <xf numFmtId="10" fontId="10" fillId="3" borderId="14" xfId="0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horizontal="left" vertical="center"/>
    </xf>
    <xf numFmtId="171" fontId="11" fillId="7" borderId="1" xfId="2" applyNumberFormat="1" applyFont="1" applyFill="1" applyBorder="1" applyAlignment="1">
      <alignment vertical="center"/>
    </xf>
    <xf numFmtId="171" fontId="11" fillId="7" borderId="0" xfId="2" applyNumberFormat="1" applyFont="1" applyFill="1" applyBorder="1" applyAlignment="1">
      <alignment vertical="center"/>
    </xf>
    <xf numFmtId="171" fontId="11" fillId="7" borderId="7" xfId="2" applyNumberFormat="1" applyFont="1" applyFill="1" applyBorder="1" applyAlignment="1">
      <alignment vertical="center"/>
    </xf>
    <xf numFmtId="171" fontId="11" fillId="7" borderId="3" xfId="2" applyNumberFormat="1" applyFont="1" applyFill="1" applyBorder="1" applyAlignment="1">
      <alignment vertical="center"/>
    </xf>
    <xf numFmtId="171" fontId="11" fillId="7" borderId="5" xfId="2" applyNumberFormat="1" applyFont="1" applyFill="1" applyBorder="1" applyAlignment="1">
      <alignment vertical="center"/>
    </xf>
    <xf numFmtId="171" fontId="11" fillId="7" borderId="6" xfId="2" applyNumberFormat="1" applyFont="1" applyFill="1" applyBorder="1" applyAlignment="1">
      <alignment vertical="center"/>
    </xf>
    <xf numFmtId="171" fontId="11" fillId="7" borderId="16" xfId="2" applyNumberFormat="1" applyFont="1" applyFill="1" applyBorder="1" applyAlignment="1">
      <alignment vertical="center"/>
    </xf>
    <xf numFmtId="171" fontId="11" fillId="7" borderId="21" xfId="2" applyNumberFormat="1" applyFont="1" applyFill="1" applyBorder="1" applyAlignment="1">
      <alignment vertical="center"/>
    </xf>
    <xf numFmtId="171" fontId="11" fillId="7" borderId="17" xfId="2" applyNumberFormat="1" applyFont="1" applyFill="1" applyBorder="1" applyAlignment="1">
      <alignment vertical="center"/>
    </xf>
    <xf numFmtId="164" fontId="11" fillId="7" borderId="18" xfId="1" applyNumberFormat="1" applyFont="1" applyFill="1" applyBorder="1" applyAlignment="1">
      <alignment vertical="center"/>
    </xf>
    <xf numFmtId="164" fontId="11" fillId="7" borderId="20" xfId="1" applyNumberFormat="1" applyFont="1" applyFill="1" applyBorder="1" applyAlignment="1">
      <alignment vertical="center"/>
    </xf>
    <xf numFmtId="164" fontId="11" fillId="7" borderId="19" xfId="1" applyNumberFormat="1" applyFont="1" applyFill="1" applyBorder="1" applyAlignment="1">
      <alignment vertical="center"/>
    </xf>
    <xf numFmtId="164" fontId="11" fillId="7" borderId="1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164" fontId="11" fillId="7" borderId="3" xfId="1" applyNumberFormat="1" applyFont="1" applyFill="1" applyBorder="1" applyAlignment="1">
      <alignment vertical="center"/>
    </xf>
    <xf numFmtId="164" fontId="11" fillId="7" borderId="5" xfId="1" applyNumberFormat="1" applyFont="1" applyFill="1" applyBorder="1" applyAlignment="1">
      <alignment vertical="center"/>
    </xf>
    <xf numFmtId="164" fontId="11" fillId="7" borderId="6" xfId="1" applyNumberFormat="1" applyFont="1" applyFill="1" applyBorder="1" applyAlignment="1">
      <alignment vertical="center"/>
    </xf>
    <xf numFmtId="164" fontId="11" fillId="7" borderId="7" xfId="1" applyNumberFormat="1" applyFont="1" applyFill="1" applyBorder="1" applyAlignment="1">
      <alignment vertical="center"/>
    </xf>
    <xf numFmtId="164" fontId="11" fillId="7" borderId="0" xfId="0" applyNumberFormat="1" applyFont="1" applyFill="1" applyAlignment="1">
      <alignment vertical="center"/>
    </xf>
    <xf numFmtId="164" fontId="10" fillId="7" borderId="10" xfId="0" applyNumberFormat="1" applyFont="1" applyFill="1" applyBorder="1" applyAlignment="1">
      <alignment vertical="center"/>
    </xf>
    <xf numFmtId="164" fontId="10" fillId="7" borderId="8" xfId="0" applyNumberFormat="1" applyFont="1" applyFill="1" applyBorder="1" applyAlignment="1">
      <alignment vertical="center"/>
    </xf>
    <xf numFmtId="164" fontId="10" fillId="7" borderId="9" xfId="0" applyNumberFormat="1" applyFont="1" applyFill="1" applyBorder="1" applyAlignment="1">
      <alignment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38" fillId="11" borderId="0" xfId="0" applyFont="1" applyFill="1" applyBorder="1" applyAlignment="1">
      <alignment horizontal="left" vertical="center" wrapText="1"/>
    </xf>
    <xf numFmtId="49" fontId="38" fillId="11" borderId="0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21" fillId="11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</cellXfs>
  <cellStyles count="6">
    <cellStyle name="Comma" xfId="1" builtinId="3"/>
    <cellStyle name="Comma 2 2" xfId="4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3C71"/>
      <color rgb="FF00A3E0"/>
      <color rgb="FF00FFFF"/>
      <color rgb="FFE35205"/>
      <color rgb="FF9C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66675</xdr:colOff>
      <xdr:row>52</xdr:row>
      <xdr:rowOff>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72275" cy="990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Plan Attachment 8.8 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Capital Expenditure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December 2016</a:t>
          </a:r>
          <a:endParaRPr lang="en-AU" sz="12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83343</xdr:rowOff>
    </xdr:from>
    <xdr:to>
      <xdr:col>2</xdr:col>
      <xdr:colOff>357187</xdr:colOff>
      <xdr:row>1</xdr:row>
      <xdr:rowOff>785811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61937"/>
          <a:ext cx="1869281" cy="70246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%20Albury%20AA%20General\Expenditure\02.%20Expenditure%20Library\C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Other/Capex%20Gross%20Connections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Copy%20of%20Costs%20and%20demand%20projections%20for%20the%203DB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Historic%20Split%20of%20New%20Mains%20&amp;%20Serv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BIS%20Shrapnel%20Real%20Cost%20Escalato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3/Final%20sent%20to%20the%20AER/Vic/AGN%20Victoria%20%20-%20Appendix%20B%20(Financial%20Template)%20to%20Annual%20Reporting%20RIN%20-%2023%20February%202015%20-%20CY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4/Finals%20sent%20to%20the%20AER/Vic/AGN%20Victoria%20%20-%20Appendix%20B%20(Financial%20Template)%20to%20Annual%20Reporting%20RIN%20-%2023%20February%202015%20-%20C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5/AGN%20Victoria%20%20-%20Appendix%20B%20(Financial%20Template)%20to%20Annual%20Reporting%20RIN%20-%2023%20February%202015%20-%20CY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AGN%20Albury%20-%20Appendix%20B%20(Financial%20Template)%20to%20Annual%20Reporting%20RIN%20-%2023%20February%202015%20-%20CY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AGN%20Albury%20-%20Appendix%20B%20(Financial%20Template)%20to%20Annual%20Reporting%20RIN%20-%2023%20February%202015%20-%20CY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6.12.14%20Final%20Final%20Numbers/Supporting%20Files/AGN%20Albury%20-%20Appendix%20B%20(Financial%20Template)%20to%20Annual%20Reporting%20RIN%20-%2023%20February%202015%20-%20C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$2016"/>
    </sheetNames>
    <sheetDataSet>
      <sheetData sheetId="0" refreshError="1">
        <row r="7">
          <cell r="Y7">
            <v>1.0609037328094302</v>
          </cell>
        </row>
        <row r="11">
          <cell r="N11">
            <v>80.900000000000006</v>
          </cell>
        </row>
        <row r="12">
          <cell r="N12">
            <v>83.4</v>
          </cell>
        </row>
        <row r="13">
          <cell r="N13">
            <v>86.7</v>
          </cell>
        </row>
        <row r="14">
          <cell r="N14">
            <v>88.3</v>
          </cell>
        </row>
        <row r="15">
          <cell r="N15">
            <v>92.7</v>
          </cell>
        </row>
        <row r="16">
          <cell r="N16">
            <v>93.8</v>
          </cell>
        </row>
        <row r="17">
          <cell r="N17">
            <v>96.5</v>
          </cell>
        </row>
        <row r="18">
          <cell r="N18">
            <v>99.8</v>
          </cell>
        </row>
        <row r="19">
          <cell r="N19">
            <v>101.8</v>
          </cell>
        </row>
        <row r="20">
          <cell r="N20">
            <v>104</v>
          </cell>
        </row>
        <row r="21">
          <cell r="N21">
            <v>106.4</v>
          </cell>
        </row>
        <row r="22">
          <cell r="N22">
            <v>108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 Historical_Data"/>
      <sheetName val="Vic Historical_Data | Annual"/>
      <sheetName val="Sheet1"/>
      <sheetName val="Victoria"/>
      <sheetName val="Albury"/>
    </sheetNames>
    <sheetDataSet>
      <sheetData sheetId="0"/>
      <sheetData sheetId="1"/>
      <sheetData sheetId="2">
        <row r="19">
          <cell r="L19">
            <v>1164</v>
          </cell>
          <cell r="M19">
            <v>2639.2383561643983</v>
          </cell>
          <cell r="N19">
            <v>2374.7150684931548</v>
          </cell>
        </row>
        <row r="20">
          <cell r="L20">
            <v>570138.53424657532</v>
          </cell>
          <cell r="M20">
            <v>582017.39178082184</v>
          </cell>
          <cell r="N20">
            <v>594516.32876712328</v>
          </cell>
        </row>
        <row r="33">
          <cell r="L33">
            <v>161</v>
          </cell>
          <cell r="M33">
            <v>196</v>
          </cell>
          <cell r="N33">
            <v>198</v>
          </cell>
        </row>
        <row r="34">
          <cell r="L34">
            <v>22779.57808219178</v>
          </cell>
          <cell r="M34">
            <v>23012.046575342465</v>
          </cell>
          <cell r="N34">
            <v>23443.476712328767</v>
          </cell>
        </row>
        <row r="50">
          <cell r="L50">
            <v>31.682191780819267</v>
          </cell>
          <cell r="M50">
            <v>89.556164383564465</v>
          </cell>
          <cell r="N50">
            <v>22.213698630137515</v>
          </cell>
        </row>
        <row r="51">
          <cell r="L51">
            <v>19795.882191780824</v>
          </cell>
          <cell r="M51">
            <v>20194.326027397259</v>
          </cell>
          <cell r="N51">
            <v>20689.112328767122</v>
          </cell>
        </row>
        <row r="64">
          <cell r="L64">
            <v>-0.27123287671236085</v>
          </cell>
          <cell r="M64">
            <v>16.087671232876687</v>
          </cell>
          <cell r="N64">
            <v>41.553424657534606</v>
          </cell>
        </row>
        <row r="65">
          <cell r="L65">
            <v>913.47899543378992</v>
          </cell>
          <cell r="M65">
            <v>920.39132420091323</v>
          </cell>
          <cell r="N65">
            <v>927.83789954337863</v>
          </cell>
        </row>
      </sheetData>
      <sheetData sheetId="3">
        <row r="3">
          <cell r="E3">
            <v>608184.26606452512</v>
          </cell>
          <cell r="G3">
            <v>635076.70111133833</v>
          </cell>
          <cell r="H3">
            <v>647566.46558638115</v>
          </cell>
          <cell r="I3">
            <v>660195.72564996965</v>
          </cell>
          <cell r="J3">
            <v>673039.88902241096</v>
          </cell>
          <cell r="K3">
            <v>686098.27722916182</v>
          </cell>
        </row>
        <row r="4">
          <cell r="G4">
            <v>23862.296907240932</v>
          </cell>
          <cell r="H4">
            <v>24003.551997969127</v>
          </cell>
          <cell r="I4">
            <v>24145.642528274599</v>
          </cell>
          <cell r="J4">
            <v>24288.575374519882</v>
          </cell>
          <cell r="K4">
            <v>24432.357495114418</v>
          </cell>
        </row>
        <row r="14">
          <cell r="G14">
            <v>140.42644677308863</v>
          </cell>
          <cell r="H14">
            <v>141.25509072819312</v>
          </cell>
          <cell r="I14">
            <v>142.09053030547108</v>
          </cell>
          <cell r="J14">
            <v>142.93284624528712</v>
          </cell>
          <cell r="K14">
            <v>143.78212059453335</v>
          </cell>
        </row>
        <row r="57">
          <cell r="G57">
            <v>13026.777664917528</v>
          </cell>
          <cell r="H57">
            <v>12489.764475042635</v>
          </cell>
          <cell r="I57">
            <v>12629.260063588577</v>
          </cell>
          <cell r="J57">
            <v>12844.163372441417</v>
          </cell>
          <cell r="K57">
            <v>13058.388206750589</v>
          </cell>
        </row>
      </sheetData>
      <sheetData sheetId="4">
        <row r="3">
          <cell r="E3">
            <v>21072.769881662349</v>
          </cell>
          <cell r="G3">
            <v>21861.560480756787</v>
          </cell>
          <cell r="H3">
            <v>22266.959835897607</v>
          </cell>
          <cell r="I3">
            <v>22679.876890303</v>
          </cell>
          <cell r="J3">
            <v>23100.45105169899</v>
          </cell>
          <cell r="K3">
            <v>23528.824312979406</v>
          </cell>
        </row>
        <row r="4">
          <cell r="G4">
            <v>938.62336330032122</v>
          </cell>
          <cell r="H4">
            <v>944.0630195271068</v>
          </cell>
          <cell r="I4">
            <v>949.53420049642762</v>
          </cell>
          <cell r="J4">
            <v>955.03708890537894</v>
          </cell>
          <cell r="K4">
            <v>960.57186850985079</v>
          </cell>
        </row>
        <row r="81">
          <cell r="G81">
            <v>398.01852550085823</v>
          </cell>
          <cell r="H81">
            <v>405.39935514082026</v>
          </cell>
          <cell r="I81">
            <v>412.91705440539226</v>
          </cell>
          <cell r="J81">
            <v>420.57416139599081</v>
          </cell>
          <cell r="K81">
            <v>428.37326128041605</v>
          </cell>
        </row>
        <row r="86">
          <cell r="G86">
            <v>5.439656226785587</v>
          </cell>
          <cell r="H86">
            <v>5.4711809693208124</v>
          </cell>
          <cell r="I86">
            <v>5.5028884089513213</v>
          </cell>
          <cell r="J86">
            <v>5.5347796044718507</v>
          </cell>
          <cell r="K86">
            <v>5.5668556208129303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int Program"/>
      <sheetName val="AGN"/>
      <sheetName val="AusNet"/>
      <sheetName val="Multinet"/>
    </sheetNames>
    <sheetDataSet>
      <sheetData sheetId="0"/>
      <sheetData sheetId="1">
        <row r="13">
          <cell r="B13">
            <v>4239577.2180149499</v>
          </cell>
        </row>
        <row r="26">
          <cell r="B26">
            <v>50.532387366853527</v>
          </cell>
          <cell r="C26">
            <v>50.532387366853527</v>
          </cell>
          <cell r="D26">
            <v>50.532387366853527</v>
          </cell>
          <cell r="E26">
            <v>50.532387366853527</v>
          </cell>
          <cell r="F26">
            <v>50.532387366853527</v>
          </cell>
        </row>
        <row r="27">
          <cell r="B27">
            <v>7.0749404242974796</v>
          </cell>
          <cell r="C27">
            <v>7.0749404242974796</v>
          </cell>
          <cell r="D27">
            <v>7.0749404242974796</v>
          </cell>
          <cell r="E27">
            <v>7.0749404242974796</v>
          </cell>
          <cell r="F27">
            <v>7.0749404242974796</v>
          </cell>
        </row>
        <row r="28">
          <cell r="B28">
            <v>0.72701109465591085</v>
          </cell>
          <cell r="C28">
            <v>0.72701109465591085</v>
          </cell>
          <cell r="D28">
            <v>0.72701109465591085</v>
          </cell>
          <cell r="E28">
            <v>0.72701109465591085</v>
          </cell>
          <cell r="F28">
            <v>0.72701109465591085</v>
          </cell>
        </row>
        <row r="29">
          <cell r="B29">
            <v>0.36011389011443184</v>
          </cell>
          <cell r="C29">
            <v>0.36011389011443184</v>
          </cell>
          <cell r="D29">
            <v>0.36011389011443184</v>
          </cell>
          <cell r="E29">
            <v>0.36011389011443184</v>
          </cell>
          <cell r="F29">
            <v>0.36011389011443184</v>
          </cell>
        </row>
        <row r="30">
          <cell r="B30">
            <v>2.0444691163143647</v>
          </cell>
          <cell r="C30">
            <v>2.0444691163143647</v>
          </cell>
          <cell r="D30">
            <v>2.0444691163143647</v>
          </cell>
          <cell r="E30">
            <v>2.0444691163143647</v>
          </cell>
          <cell r="F30">
            <v>2.0444691163143647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Historic Split of New Mains &amp; S"/>
    </sheetNames>
    <sheetDataSet>
      <sheetData sheetId="0">
        <row r="9">
          <cell r="D9">
            <v>5763</v>
          </cell>
          <cell r="E9">
            <v>5506</v>
          </cell>
          <cell r="F9">
            <v>3852</v>
          </cell>
        </row>
        <row r="10">
          <cell r="D10">
            <v>0</v>
          </cell>
          <cell r="E10">
            <v>0</v>
          </cell>
          <cell r="F10">
            <v>28</v>
          </cell>
        </row>
        <row r="11">
          <cell r="D11">
            <v>430</v>
          </cell>
          <cell r="E11">
            <v>0</v>
          </cell>
          <cell r="F11">
            <v>241</v>
          </cell>
        </row>
        <row r="12">
          <cell r="D12">
            <v>27</v>
          </cell>
          <cell r="E12">
            <v>29</v>
          </cell>
          <cell r="F12">
            <v>21</v>
          </cell>
        </row>
        <row r="13">
          <cell r="D13">
            <v>16</v>
          </cell>
          <cell r="E13">
            <v>6</v>
          </cell>
          <cell r="F13">
            <v>20</v>
          </cell>
        </row>
        <row r="14">
          <cell r="D14">
            <v>6</v>
          </cell>
          <cell r="E14">
            <v>7</v>
          </cell>
          <cell r="F14">
            <v>22</v>
          </cell>
        </row>
        <row r="15">
          <cell r="D15">
            <v>274</v>
          </cell>
          <cell r="E15">
            <v>420</v>
          </cell>
          <cell r="F15">
            <v>412</v>
          </cell>
        </row>
        <row r="35">
          <cell r="D35">
            <v>92540</v>
          </cell>
          <cell r="E35">
            <v>115948</v>
          </cell>
          <cell r="F35">
            <v>155621</v>
          </cell>
        </row>
        <row r="36">
          <cell r="D36">
            <v>1642</v>
          </cell>
          <cell r="E36">
            <v>3398</v>
          </cell>
          <cell r="F36">
            <v>13645</v>
          </cell>
        </row>
        <row r="37">
          <cell r="D37">
            <v>3431</v>
          </cell>
          <cell r="E37">
            <v>1627</v>
          </cell>
          <cell r="F37">
            <v>4830</v>
          </cell>
        </row>
        <row r="38">
          <cell r="D38">
            <v>762</v>
          </cell>
          <cell r="E38">
            <v>551</v>
          </cell>
          <cell r="F38">
            <v>634</v>
          </cell>
        </row>
        <row r="39">
          <cell r="D39">
            <v>186</v>
          </cell>
          <cell r="E39">
            <v>191</v>
          </cell>
          <cell r="F39">
            <v>221</v>
          </cell>
        </row>
        <row r="40">
          <cell r="D40">
            <v>546</v>
          </cell>
          <cell r="E40">
            <v>566</v>
          </cell>
          <cell r="F40">
            <v>486</v>
          </cell>
        </row>
        <row r="41">
          <cell r="D41">
            <v>10038</v>
          </cell>
          <cell r="E41">
            <v>10950</v>
          </cell>
          <cell r="F41">
            <v>12947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Escalators - VGDs"/>
    </sheetNames>
    <sheetDataSet>
      <sheetData sheetId="0">
        <row r="39">
          <cell r="I39">
            <v>0.75718629860027642</v>
          </cell>
          <cell r="J39">
            <v>1.1099159267859817</v>
          </cell>
          <cell r="K39">
            <v>0.9362358969405582</v>
          </cell>
          <cell r="L39">
            <v>1.1612381045686604</v>
          </cell>
          <cell r="M39">
            <v>1.6648054076963419</v>
          </cell>
          <cell r="N39">
            <v>1.9808592945414452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. Provision Reconciliation"/>
      <sheetName val="5. Cost categories"/>
      <sheetName val="6. Related parties"/>
      <sheetName val="7. Incentives"/>
      <sheetName val="Indexation"/>
      <sheetName val="8.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6346.0660468191854</v>
          </cell>
        </row>
        <row r="39">
          <cell r="C39">
            <v>10512.148919052719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. Provision Reconciliation"/>
      <sheetName val="5. Cost categories"/>
      <sheetName val="6. Related parties"/>
      <sheetName val="7. Incentives"/>
      <sheetName val="Indexation"/>
      <sheetName val="8. Deman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6629.5199557282631</v>
          </cell>
        </row>
        <row r="39">
          <cell r="C39">
            <v>11213.730112148391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5. Cost categories"/>
      <sheetName val="6. Related parties"/>
      <sheetName val="7. Incentives"/>
      <sheetName val="Indexation"/>
      <sheetName val="8. Deman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5457.065254060406</v>
          </cell>
        </row>
        <row r="39">
          <cell r="C39">
            <v>11145.232128004716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 Provisions - Reconciliation"/>
      <sheetName val="5. Cost categories"/>
      <sheetName val="6. Related parties"/>
      <sheetName val="7. Incentives"/>
      <sheetName val="Indexation"/>
      <sheetName val="8.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111.85890096972268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 Provisions - Reconciliation"/>
      <sheetName val="5. Cost categories"/>
      <sheetName val="6. Related parties"/>
      <sheetName val="7. Incentives"/>
      <sheetName val="Indexation"/>
      <sheetName val="8. Demand"/>
      <sheetName val="AGN Albury - Appendix B (Fin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97.361946702428355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5. Cost categories"/>
      <sheetName val="6. Related parties"/>
      <sheetName val="7. Incentives"/>
      <sheetName val="Indexation"/>
      <sheetName val="8. Demand"/>
      <sheetName val="AGN Albury - Appendix B (Fin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93.865602574229953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L1" sqref="L1:XFD1048576"/>
    </sheetView>
  </sheetViews>
  <sheetFormatPr defaultColWidth="0" defaultRowHeight="15" customHeight="1" zeroHeight="1" x14ac:dyDescent="0.25"/>
  <cols>
    <col min="1" max="11" width="9.140625" style="1" customWidth="1"/>
    <col min="12" max="16384" width="9.140625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="80" zoomScaleNormal="80" workbookViewId="0">
      <selection activeCell="C2" sqref="C2"/>
    </sheetView>
  </sheetViews>
  <sheetFormatPr defaultRowHeight="14.25" x14ac:dyDescent="0.2"/>
  <cols>
    <col min="1" max="1" width="2.28515625" style="33" customWidth="1"/>
    <col min="2" max="2" width="24.7109375" style="33" customWidth="1"/>
    <col min="3" max="3" width="12.42578125" style="33" bestFit="1" customWidth="1"/>
    <col min="4" max="4" width="86.7109375" style="33" bestFit="1" customWidth="1"/>
    <col min="5" max="5" width="39.28515625" style="33" bestFit="1" customWidth="1"/>
    <col min="6" max="6" width="2.42578125" style="33" customWidth="1"/>
    <col min="7" max="16384" width="9.140625" style="33"/>
  </cols>
  <sheetData>
    <row r="1" spans="1:6" x14ac:dyDescent="0.2">
      <c r="A1" s="32"/>
      <c r="B1" s="32"/>
      <c r="C1" s="32"/>
      <c r="D1" s="32"/>
      <c r="E1" s="32"/>
      <c r="F1" s="32"/>
    </row>
    <row r="2" spans="1:6" ht="69" customHeight="1" x14ac:dyDescent="0.2">
      <c r="A2" s="32"/>
      <c r="B2" s="354"/>
      <c r="C2" s="354"/>
      <c r="D2" s="355" t="s">
        <v>271</v>
      </c>
      <c r="E2" s="355"/>
      <c r="F2" s="32"/>
    </row>
    <row r="3" spans="1:6" x14ac:dyDescent="0.2">
      <c r="A3" s="32"/>
      <c r="B3" s="32"/>
      <c r="C3" s="32"/>
      <c r="D3" s="32"/>
      <c r="E3" s="32"/>
      <c r="F3" s="32"/>
    </row>
    <row r="4" spans="1:6" ht="28.5" customHeight="1" x14ac:dyDescent="0.2">
      <c r="A4" s="32"/>
      <c r="B4" s="410" t="s">
        <v>12</v>
      </c>
      <c r="C4" s="411"/>
      <c r="D4" s="618" t="s">
        <v>270</v>
      </c>
      <c r="E4" s="619"/>
      <c r="F4" s="32"/>
    </row>
    <row r="5" spans="1:6" ht="15" x14ac:dyDescent="0.25">
      <c r="A5" s="32"/>
      <c r="B5" s="35"/>
      <c r="C5" s="35"/>
      <c r="D5" s="32"/>
      <c r="E5" s="32"/>
      <c r="F5" s="32"/>
    </row>
    <row r="6" spans="1:6" ht="21.75" customHeight="1" x14ac:dyDescent="0.2">
      <c r="A6" s="32"/>
      <c r="B6" s="370" t="s">
        <v>13</v>
      </c>
      <c r="C6" s="370"/>
      <c r="D6" s="371" t="s">
        <v>14</v>
      </c>
      <c r="E6" s="387" t="s">
        <v>20</v>
      </c>
      <c r="F6" s="32"/>
    </row>
    <row r="7" spans="1:6" ht="21.75" customHeight="1" x14ac:dyDescent="0.2">
      <c r="A7" s="32"/>
      <c r="B7" s="32"/>
      <c r="C7" s="32"/>
      <c r="D7" s="32"/>
      <c r="E7" s="32"/>
      <c r="F7" s="32"/>
    </row>
    <row r="8" spans="1:6" ht="21.75" customHeight="1" x14ac:dyDescent="0.2">
      <c r="A8" s="32"/>
      <c r="B8" s="620" t="s">
        <v>292</v>
      </c>
      <c r="C8" s="620"/>
      <c r="D8" s="620"/>
      <c r="E8" s="620"/>
      <c r="F8" s="32"/>
    </row>
    <row r="9" spans="1:6" ht="21.95" customHeight="1" x14ac:dyDescent="0.2">
      <c r="A9" s="32"/>
      <c r="B9" s="373" t="s">
        <v>293</v>
      </c>
      <c r="C9" s="373"/>
      <c r="D9" s="368" t="s">
        <v>351</v>
      </c>
      <c r="E9" s="388" t="s">
        <v>114</v>
      </c>
      <c r="F9" s="32"/>
    </row>
    <row r="10" spans="1:6" ht="21.95" customHeight="1" x14ac:dyDescent="0.2">
      <c r="A10" s="32"/>
      <c r="B10" s="384" t="s">
        <v>408</v>
      </c>
      <c r="C10" s="384"/>
      <c r="D10" s="385" t="s">
        <v>409</v>
      </c>
      <c r="E10" s="389" t="s">
        <v>352</v>
      </c>
      <c r="F10" s="32"/>
    </row>
    <row r="11" spans="1:6" ht="21.95" customHeight="1" x14ac:dyDescent="0.2">
      <c r="A11" s="32"/>
      <c r="B11" s="381" t="s">
        <v>291</v>
      </c>
      <c r="C11" s="381"/>
      <c r="D11" s="372" t="s">
        <v>350</v>
      </c>
      <c r="E11" s="502" t="s">
        <v>353</v>
      </c>
      <c r="F11" s="32"/>
    </row>
    <row r="12" spans="1:6" ht="21.75" customHeight="1" x14ac:dyDescent="0.2">
      <c r="A12" s="32"/>
      <c r="B12" s="32"/>
      <c r="C12" s="32"/>
      <c r="D12" s="32"/>
      <c r="E12" s="32"/>
      <c r="F12" s="32"/>
    </row>
    <row r="13" spans="1:6" ht="21.75" customHeight="1" x14ac:dyDescent="0.2">
      <c r="A13" s="32"/>
      <c r="B13" s="621" t="s">
        <v>294</v>
      </c>
      <c r="C13" s="621"/>
      <c r="D13" s="621"/>
      <c r="E13" s="621"/>
      <c r="F13" s="32"/>
    </row>
    <row r="14" spans="1:6" ht="21.95" customHeight="1" x14ac:dyDescent="0.2">
      <c r="A14" s="32"/>
      <c r="B14" s="373" t="s">
        <v>295</v>
      </c>
      <c r="C14" s="373"/>
      <c r="D14" s="368" t="s">
        <v>349</v>
      </c>
      <c r="E14" s="503" t="s">
        <v>354</v>
      </c>
      <c r="F14" s="32"/>
    </row>
    <row r="15" spans="1:6" ht="21.95" customHeight="1" x14ac:dyDescent="0.2">
      <c r="A15" s="32"/>
      <c r="B15" s="384" t="s">
        <v>346</v>
      </c>
      <c r="C15" s="384"/>
      <c r="D15" s="385" t="s">
        <v>348</v>
      </c>
      <c r="E15" s="389" t="s">
        <v>355</v>
      </c>
      <c r="F15" s="32"/>
    </row>
    <row r="16" spans="1:6" ht="21.95" customHeight="1" x14ac:dyDescent="0.2">
      <c r="A16" s="32"/>
      <c r="B16" s="373" t="s">
        <v>296</v>
      </c>
      <c r="C16" s="373"/>
      <c r="D16" s="368" t="s">
        <v>347</v>
      </c>
      <c r="E16" s="390" t="s">
        <v>356</v>
      </c>
      <c r="F16" s="32"/>
    </row>
    <row r="17" spans="1:6" ht="21.95" customHeight="1" x14ac:dyDescent="0.2">
      <c r="A17" s="32"/>
      <c r="B17" s="384" t="s">
        <v>40</v>
      </c>
      <c r="C17" s="384"/>
      <c r="D17" s="385" t="s">
        <v>410</v>
      </c>
      <c r="E17" s="389" t="s">
        <v>47</v>
      </c>
      <c r="F17" s="32"/>
    </row>
    <row r="18" spans="1:6" ht="21.95" customHeight="1" x14ac:dyDescent="0.2">
      <c r="A18" s="32"/>
      <c r="B18" s="384" t="s">
        <v>61</v>
      </c>
      <c r="C18" s="504"/>
      <c r="D18" s="385" t="s">
        <v>358</v>
      </c>
      <c r="E18" s="389" t="s">
        <v>357</v>
      </c>
      <c r="F18" s="32"/>
    </row>
    <row r="19" spans="1:6" ht="18" customHeight="1" x14ac:dyDescent="0.2">
      <c r="A19" s="32"/>
      <c r="B19" s="32"/>
      <c r="C19" s="32"/>
      <c r="D19" s="32"/>
      <c r="E19" s="32"/>
      <c r="F19" s="32"/>
    </row>
    <row r="20" spans="1:6" ht="24.75" customHeight="1" x14ac:dyDescent="0.2">
      <c r="A20" s="32"/>
      <c r="B20" s="621" t="s">
        <v>297</v>
      </c>
      <c r="C20" s="621"/>
      <c r="D20" s="621"/>
      <c r="E20" s="621"/>
      <c r="F20" s="32"/>
    </row>
    <row r="21" spans="1:6" ht="21.95" customHeight="1" x14ac:dyDescent="0.2">
      <c r="A21" s="32"/>
      <c r="B21" s="622" t="s">
        <v>303</v>
      </c>
      <c r="C21" s="382" t="s">
        <v>267</v>
      </c>
      <c r="D21" s="624" t="s">
        <v>361</v>
      </c>
      <c r="E21" s="390" t="s">
        <v>365</v>
      </c>
      <c r="F21" s="32"/>
    </row>
    <row r="22" spans="1:6" ht="21.95" customHeight="1" x14ac:dyDescent="0.2">
      <c r="A22" s="32"/>
      <c r="B22" s="622"/>
      <c r="C22" s="382" t="s">
        <v>268</v>
      </c>
      <c r="D22" s="624"/>
      <c r="E22" s="390" t="s">
        <v>366</v>
      </c>
      <c r="F22" s="32"/>
    </row>
    <row r="23" spans="1:6" ht="21.95" customHeight="1" x14ac:dyDescent="0.2">
      <c r="A23" s="32"/>
      <c r="B23" s="623"/>
      <c r="C23" s="383" t="s">
        <v>304</v>
      </c>
      <c r="D23" s="625"/>
      <c r="E23" s="391" t="s">
        <v>367</v>
      </c>
      <c r="F23" s="32"/>
    </row>
    <row r="24" spans="1:6" ht="21.95" customHeight="1" x14ac:dyDescent="0.2">
      <c r="A24" s="32"/>
      <c r="B24" s="622" t="s">
        <v>61</v>
      </c>
      <c r="C24" s="382" t="s">
        <v>267</v>
      </c>
      <c r="D24" s="626" t="s">
        <v>362</v>
      </c>
      <c r="E24" s="390" t="s">
        <v>368</v>
      </c>
      <c r="F24" s="32"/>
    </row>
    <row r="25" spans="1:6" ht="21.95" customHeight="1" x14ac:dyDescent="0.2">
      <c r="A25" s="32"/>
      <c r="B25" s="622"/>
      <c r="C25" s="382" t="s">
        <v>268</v>
      </c>
      <c r="D25" s="626"/>
      <c r="E25" s="390" t="s">
        <v>369</v>
      </c>
      <c r="F25" s="32"/>
    </row>
    <row r="26" spans="1:6" ht="21.95" customHeight="1" x14ac:dyDescent="0.2">
      <c r="A26" s="32"/>
      <c r="B26" s="623"/>
      <c r="C26" s="383" t="s">
        <v>304</v>
      </c>
      <c r="D26" s="627"/>
      <c r="E26" s="391" t="s">
        <v>370</v>
      </c>
      <c r="F26" s="32"/>
    </row>
    <row r="27" spans="1:6" ht="21.95" customHeight="1" x14ac:dyDescent="0.2">
      <c r="A27" s="32"/>
      <c r="B27" s="622" t="s">
        <v>363</v>
      </c>
      <c r="C27" s="382" t="s">
        <v>267</v>
      </c>
      <c r="D27" s="624" t="s">
        <v>364</v>
      </c>
      <c r="E27" s="390" t="s">
        <v>371</v>
      </c>
      <c r="F27" s="32"/>
    </row>
    <row r="28" spans="1:6" ht="21.95" customHeight="1" x14ac:dyDescent="0.2">
      <c r="A28" s="32"/>
      <c r="B28" s="622"/>
      <c r="C28" s="382" t="s">
        <v>268</v>
      </c>
      <c r="D28" s="624"/>
      <c r="E28" s="390" t="s">
        <v>372</v>
      </c>
      <c r="F28" s="32"/>
    </row>
    <row r="29" spans="1:6" ht="21.95" customHeight="1" x14ac:dyDescent="0.2">
      <c r="A29" s="32"/>
      <c r="B29" s="623"/>
      <c r="C29" s="383" t="s">
        <v>304</v>
      </c>
      <c r="D29" s="625"/>
      <c r="E29" s="391" t="s">
        <v>373</v>
      </c>
      <c r="F29" s="32"/>
    </row>
    <row r="30" spans="1:6" ht="18" customHeight="1" x14ac:dyDescent="0.2">
      <c r="A30" s="32"/>
      <c r="B30" s="32"/>
      <c r="C30" s="382"/>
      <c r="D30" s="368"/>
      <c r="E30" s="369"/>
      <c r="F30" s="32"/>
    </row>
    <row r="31" spans="1:6" ht="22.5" customHeight="1" x14ac:dyDescent="0.2">
      <c r="A31" s="32"/>
      <c r="B31" s="621" t="s">
        <v>302</v>
      </c>
      <c r="C31" s="621"/>
      <c r="D31" s="621"/>
      <c r="E31" s="621"/>
      <c r="F31" s="32"/>
    </row>
    <row r="32" spans="1:6" ht="21.95" customHeight="1" x14ac:dyDescent="0.2">
      <c r="A32" s="32"/>
      <c r="B32" s="381" t="s">
        <v>73</v>
      </c>
      <c r="C32" s="381"/>
      <c r="D32" s="386" t="s">
        <v>411</v>
      </c>
      <c r="E32" s="392" t="s">
        <v>74</v>
      </c>
      <c r="F32" s="32"/>
    </row>
    <row r="33" spans="1:10" ht="18" customHeight="1" x14ac:dyDescent="0.25">
      <c r="A33" s="32"/>
      <c r="B33" s="35"/>
      <c r="C33" s="35"/>
      <c r="D33" s="32"/>
      <c r="E33" s="32"/>
      <c r="F33" s="32"/>
    </row>
    <row r="34" spans="1:10" ht="15" x14ac:dyDescent="0.25">
      <c r="B34" s="39"/>
      <c r="C34" s="39"/>
      <c r="D34" s="39"/>
      <c r="E34" s="39"/>
      <c r="F34" s="40"/>
      <c r="H34" s="40"/>
      <c r="I34" s="40"/>
      <c r="J34" s="40"/>
    </row>
  </sheetData>
  <mergeCells count="11">
    <mergeCell ref="D4:E4"/>
    <mergeCell ref="B8:E8"/>
    <mergeCell ref="B13:E13"/>
    <mergeCell ref="B20:E20"/>
    <mergeCell ref="B31:E31"/>
    <mergeCell ref="B21:B23"/>
    <mergeCell ref="B24:B26"/>
    <mergeCell ref="D21:D23"/>
    <mergeCell ref="D24:D26"/>
    <mergeCell ref="B27:B29"/>
    <mergeCell ref="D27:D29"/>
  </mergeCells>
  <hyperlinks>
    <hyperlink ref="E17" location="'Real Cost Escalation'!A1" display="'Real Cost Escalation'!A1"/>
    <hyperlink ref="E32" location="'PTRM Input'!A1" display="'PTRM Input'!A1"/>
    <hyperlink ref="E10" location="'Capex Model Category Index'!A1" display="'Capex Model Category Index'!A1"/>
    <hyperlink ref="E11" location="Mapping!A1" display="Mapping!A1"/>
    <hyperlink ref="E14" location="CPI!A1" display="CPI!A1"/>
    <hyperlink ref="E15" location="'Growth Capex Volumes'!A1" display="'Growth Capex Volumes'!A1"/>
    <hyperlink ref="E16" location="'Business Cases'!A1" display="'Business Cases'!A1"/>
    <hyperlink ref="E18" location="Overheads!A1" display="Overheads!A1"/>
    <hyperlink ref="E21" location="'Capex Category Summary (Vic)'!A1" display="'Capex Category Summary (Vic)'!A1"/>
    <hyperlink ref="E22" location="'Capex Category Summary (Alb)'!A1" display="'Capex Category Summary (Alb)'!A1"/>
    <hyperlink ref="E23" location="'Capex Category Summary (Comb)'!A1" display="'Capex Category Summary (Comb)'!A1"/>
    <hyperlink ref="E24" location="'Overheads (Vic)'!A1" display="'Overheads (Vic)'!A1"/>
    <hyperlink ref="E25" location="'Overheads (Alb)'!A1" display="'Overheads (Alb)'!A1"/>
    <hyperlink ref="E26" location="'Overheads (Comb)'!A1" display="'Overheads (Comb)'!A1"/>
    <hyperlink ref="E27" location="'Consolidated Summary (Vic)'!A1" display="'Consolidated Summary (Vic)'!A1"/>
    <hyperlink ref="E28" location="'Consolidated Summary (Alb)'!A1" display="'Consolidated Summary (Alb)'!A1"/>
    <hyperlink ref="E29" location="'Consolidated Summary (Comb)'!A1" display="'Consolidated Summary (Comb)'!A1"/>
  </hyperlink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B2" sqref="B2"/>
    </sheetView>
  </sheetViews>
  <sheetFormatPr defaultRowHeight="14.25" x14ac:dyDescent="0.2"/>
  <cols>
    <col min="1" max="1" width="2.28515625" style="33" customWidth="1"/>
    <col min="2" max="2" width="10.28515625" style="33" customWidth="1"/>
    <col min="3" max="3" width="49.5703125" style="33" customWidth="1"/>
    <col min="4" max="4" width="3.7109375" style="33" customWidth="1"/>
    <col min="5" max="16384" width="9.140625" style="33"/>
  </cols>
  <sheetData>
    <row r="1" spans="1:4" x14ac:dyDescent="0.2">
      <c r="A1" s="32"/>
      <c r="B1" s="32"/>
      <c r="C1" s="32"/>
      <c r="D1" s="32"/>
    </row>
    <row r="2" spans="1:4" ht="30" customHeight="1" x14ac:dyDescent="0.2">
      <c r="A2" s="32"/>
      <c r="B2" s="343" t="s">
        <v>298</v>
      </c>
      <c r="C2" s="355"/>
      <c r="D2" s="32"/>
    </row>
    <row r="3" spans="1:4" ht="15" customHeight="1" x14ac:dyDescent="0.2">
      <c r="A3" s="32"/>
      <c r="B3" s="46" t="s">
        <v>17</v>
      </c>
      <c r="C3" s="511"/>
      <c r="D3" s="32"/>
    </row>
    <row r="4" spans="1:4" x14ac:dyDescent="0.2">
      <c r="A4" s="32"/>
      <c r="B4" s="32"/>
      <c r="C4" s="32"/>
      <c r="D4" s="32"/>
    </row>
    <row r="5" spans="1:4" ht="21.75" customHeight="1" x14ac:dyDescent="0.2">
      <c r="A5" s="32"/>
      <c r="B5" s="376" t="s">
        <v>301</v>
      </c>
      <c r="C5" s="376"/>
      <c r="D5" s="32"/>
    </row>
    <row r="6" spans="1:4" x14ac:dyDescent="0.2">
      <c r="A6" s="32"/>
      <c r="B6" s="377"/>
      <c r="C6" s="377"/>
      <c r="D6" s="32"/>
    </row>
    <row r="7" spans="1:4" x14ac:dyDescent="0.2">
      <c r="A7" s="32"/>
      <c r="B7" s="378" t="s">
        <v>299</v>
      </c>
      <c r="C7" s="75" t="s">
        <v>300</v>
      </c>
      <c r="D7" s="32"/>
    </row>
    <row r="8" spans="1:4" x14ac:dyDescent="0.2">
      <c r="A8" s="32"/>
      <c r="B8" s="374" t="s">
        <v>21</v>
      </c>
      <c r="C8" s="88" t="s">
        <v>412</v>
      </c>
      <c r="D8" s="32"/>
    </row>
    <row r="9" spans="1:4" x14ac:dyDescent="0.2">
      <c r="A9" s="32"/>
      <c r="B9" s="374" t="s">
        <v>22</v>
      </c>
      <c r="C9" s="88" t="s">
        <v>413</v>
      </c>
      <c r="D9" s="32"/>
    </row>
    <row r="10" spans="1:4" x14ac:dyDescent="0.2">
      <c r="A10" s="32"/>
      <c r="B10" s="374" t="s">
        <v>23</v>
      </c>
      <c r="C10" s="88" t="s">
        <v>284</v>
      </c>
      <c r="D10" s="32"/>
    </row>
    <row r="11" spans="1:4" x14ac:dyDescent="0.2">
      <c r="A11" s="32"/>
      <c r="B11" s="374" t="s">
        <v>24</v>
      </c>
      <c r="C11" s="88" t="s">
        <v>285</v>
      </c>
      <c r="D11" s="32"/>
    </row>
    <row r="12" spans="1:4" x14ac:dyDescent="0.2">
      <c r="A12" s="32"/>
      <c r="B12" s="374" t="s">
        <v>25</v>
      </c>
      <c r="C12" s="88" t="s">
        <v>290</v>
      </c>
      <c r="D12" s="32"/>
    </row>
    <row r="13" spans="1:4" x14ac:dyDescent="0.2">
      <c r="A13" s="32"/>
      <c r="B13" s="374" t="s">
        <v>26</v>
      </c>
      <c r="C13" s="88" t="s">
        <v>289</v>
      </c>
      <c r="D13" s="32"/>
    </row>
    <row r="14" spans="1:4" x14ac:dyDescent="0.2">
      <c r="A14" s="32"/>
      <c r="B14" s="374" t="s">
        <v>27</v>
      </c>
      <c r="C14" s="88" t="s">
        <v>378</v>
      </c>
      <c r="D14" s="32"/>
    </row>
    <row r="15" spans="1:4" x14ac:dyDescent="0.2">
      <c r="A15" s="32"/>
      <c r="B15" s="374" t="s">
        <v>28</v>
      </c>
      <c r="C15" s="88" t="s">
        <v>379</v>
      </c>
      <c r="D15" s="32"/>
    </row>
    <row r="16" spans="1:4" x14ac:dyDescent="0.2">
      <c r="A16" s="32"/>
      <c r="B16" s="374" t="s">
        <v>29</v>
      </c>
      <c r="C16" s="88" t="s">
        <v>286</v>
      </c>
      <c r="D16" s="32"/>
    </row>
    <row r="17" spans="1:4" x14ac:dyDescent="0.2">
      <c r="A17" s="32"/>
      <c r="B17" s="374" t="s">
        <v>30</v>
      </c>
      <c r="C17" s="88" t="s">
        <v>329</v>
      </c>
      <c r="D17" s="32"/>
    </row>
    <row r="18" spans="1:4" x14ac:dyDescent="0.2">
      <c r="A18" s="32"/>
      <c r="B18" s="374" t="s">
        <v>31</v>
      </c>
      <c r="C18" s="88" t="s">
        <v>15</v>
      </c>
      <c r="D18" s="32"/>
    </row>
    <row r="19" spans="1:4" x14ac:dyDescent="0.2">
      <c r="A19" s="32"/>
      <c r="B19" s="374" t="s">
        <v>32</v>
      </c>
      <c r="C19" s="88" t="s">
        <v>5</v>
      </c>
      <c r="D19" s="32"/>
    </row>
    <row r="20" spans="1:4" x14ac:dyDescent="0.2">
      <c r="A20" s="32"/>
      <c r="B20" s="374" t="s">
        <v>33</v>
      </c>
      <c r="C20" s="88" t="s">
        <v>6</v>
      </c>
      <c r="D20" s="32"/>
    </row>
    <row r="21" spans="1:4" x14ac:dyDescent="0.2">
      <c r="A21" s="32"/>
      <c r="B21" s="374" t="s">
        <v>34</v>
      </c>
      <c r="C21" s="88" t="s">
        <v>16</v>
      </c>
      <c r="D21" s="32"/>
    </row>
    <row r="22" spans="1:4" x14ac:dyDescent="0.2">
      <c r="A22" s="32"/>
      <c r="B22" s="374" t="s">
        <v>35</v>
      </c>
      <c r="C22" s="88" t="s">
        <v>287</v>
      </c>
      <c r="D22" s="32"/>
    </row>
    <row r="23" spans="1:4" x14ac:dyDescent="0.2">
      <c r="A23" s="32"/>
      <c r="B23" s="374" t="s">
        <v>36</v>
      </c>
      <c r="C23" s="88" t="s">
        <v>288</v>
      </c>
      <c r="D23" s="32"/>
    </row>
    <row r="24" spans="1:4" x14ac:dyDescent="0.2">
      <c r="A24" s="32"/>
      <c r="B24" s="374" t="s">
        <v>37</v>
      </c>
      <c r="C24" s="88" t="s">
        <v>7</v>
      </c>
      <c r="D24" s="32"/>
    </row>
    <row r="25" spans="1:4" x14ac:dyDescent="0.2">
      <c r="A25" s="32"/>
      <c r="B25" s="374" t="s">
        <v>38</v>
      </c>
      <c r="C25" s="88" t="s">
        <v>8</v>
      </c>
      <c r="D25" s="32"/>
    </row>
    <row r="26" spans="1:4" x14ac:dyDescent="0.2">
      <c r="A26" s="32"/>
      <c r="B26" s="374" t="s">
        <v>39</v>
      </c>
      <c r="C26" s="88" t="s">
        <v>9</v>
      </c>
      <c r="D26" s="32"/>
    </row>
    <row r="27" spans="1:4" x14ac:dyDescent="0.2">
      <c r="A27" s="32"/>
      <c r="B27" s="375" t="s">
        <v>380</v>
      </c>
      <c r="C27" s="89" t="s">
        <v>10</v>
      </c>
      <c r="D27" s="32"/>
    </row>
    <row r="28" spans="1:4" ht="18" customHeight="1" x14ac:dyDescent="0.2">
      <c r="A28" s="32"/>
      <c r="B28" s="36"/>
      <c r="C28" s="36"/>
      <c r="D28" s="32"/>
    </row>
    <row r="29" spans="1:4" ht="21" customHeight="1" x14ac:dyDescent="0.2">
      <c r="A29" s="32"/>
      <c r="B29" s="376" t="s">
        <v>240</v>
      </c>
      <c r="C29" s="376"/>
      <c r="D29" s="32"/>
    </row>
    <row r="30" spans="1:4" x14ac:dyDescent="0.2">
      <c r="A30" s="32"/>
      <c r="B30" s="377"/>
      <c r="C30" s="377"/>
      <c r="D30" s="32"/>
    </row>
    <row r="31" spans="1:4" x14ac:dyDescent="0.2">
      <c r="A31" s="32"/>
      <c r="B31" s="378" t="s">
        <v>299</v>
      </c>
      <c r="C31" s="75" t="s">
        <v>300</v>
      </c>
      <c r="D31" s="32"/>
    </row>
    <row r="32" spans="1:4" x14ac:dyDescent="0.2">
      <c r="A32" s="32"/>
      <c r="B32" s="374">
        <v>21</v>
      </c>
      <c r="C32" s="88" t="s">
        <v>1</v>
      </c>
      <c r="D32" s="32"/>
    </row>
    <row r="33" spans="1:8" x14ac:dyDescent="0.2">
      <c r="A33" s="32"/>
      <c r="B33" s="374">
        <v>22</v>
      </c>
      <c r="C33" s="88" t="s">
        <v>51</v>
      </c>
      <c r="D33" s="32"/>
    </row>
    <row r="34" spans="1:8" x14ac:dyDescent="0.2">
      <c r="A34" s="32"/>
      <c r="B34" s="374">
        <v>23</v>
      </c>
      <c r="C34" s="88" t="s">
        <v>2</v>
      </c>
      <c r="D34" s="32"/>
    </row>
    <row r="35" spans="1:8" x14ac:dyDescent="0.2">
      <c r="A35" s="32"/>
      <c r="B35" s="374">
        <v>24</v>
      </c>
      <c r="C35" s="88" t="s">
        <v>59</v>
      </c>
      <c r="D35" s="32"/>
    </row>
    <row r="36" spans="1:8" x14ac:dyDescent="0.2">
      <c r="A36" s="32"/>
      <c r="B36" s="374">
        <v>25</v>
      </c>
      <c r="C36" s="379" t="s">
        <v>60</v>
      </c>
      <c r="D36" s="32"/>
    </row>
    <row r="37" spans="1:8" x14ac:dyDescent="0.2">
      <c r="A37" s="32"/>
      <c r="B37" s="374">
        <v>26</v>
      </c>
      <c r="C37" s="379" t="s">
        <v>3</v>
      </c>
      <c r="D37" s="32"/>
    </row>
    <row r="38" spans="1:8" x14ac:dyDescent="0.2">
      <c r="A38" s="32"/>
      <c r="B38" s="374">
        <v>27</v>
      </c>
      <c r="C38" s="379" t="s">
        <v>0</v>
      </c>
      <c r="D38" s="32"/>
    </row>
    <row r="39" spans="1:8" x14ac:dyDescent="0.2">
      <c r="A39" s="32"/>
      <c r="B39" s="375">
        <v>28</v>
      </c>
      <c r="C39" s="380" t="s">
        <v>4</v>
      </c>
      <c r="D39" s="32"/>
    </row>
    <row r="40" spans="1:8" ht="18" customHeight="1" x14ac:dyDescent="0.25">
      <c r="A40" s="32"/>
      <c r="B40" s="35"/>
      <c r="C40" s="32"/>
      <c r="D40" s="32"/>
    </row>
    <row r="41" spans="1:8" ht="15" x14ac:dyDescent="0.25">
      <c r="B41" s="39"/>
      <c r="C41" s="39"/>
      <c r="D41" s="40"/>
      <c r="F41" s="40"/>
      <c r="G41" s="40"/>
      <c r="H41" s="40"/>
    </row>
  </sheetData>
  <hyperlinks>
    <hyperlink ref="B3" location="Contents!A1" display="Contents!A1"/>
  </hyperlink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20" style="44" customWidth="1"/>
    <col min="3" max="3" width="33.5703125" style="44" customWidth="1"/>
    <col min="4" max="4" width="3.7109375" style="44" customWidth="1"/>
    <col min="5" max="5" width="41" style="44" customWidth="1"/>
    <col min="6" max="6" width="4" style="44" customWidth="1"/>
    <col min="7" max="11" width="10.7109375" style="44" customWidth="1"/>
    <col min="12" max="16384" width="9.140625" style="44"/>
  </cols>
  <sheetData>
    <row r="1" spans="1:12" x14ac:dyDescent="0.2">
      <c r="A1" s="32"/>
      <c r="B1" s="32"/>
      <c r="C1" s="32"/>
      <c r="D1" s="32"/>
      <c r="E1" s="32"/>
      <c r="F1" s="32"/>
    </row>
    <row r="2" spans="1:12" ht="27.95" customHeight="1" x14ac:dyDescent="0.25">
      <c r="A2" s="63"/>
      <c r="B2" s="343" t="s">
        <v>305</v>
      </c>
      <c r="C2" s="343"/>
      <c r="D2" s="344"/>
      <c r="E2" s="344"/>
      <c r="F2" s="32"/>
    </row>
    <row r="3" spans="1:12" s="67" customFormat="1" ht="17.25" customHeight="1" x14ac:dyDescent="0.2">
      <c r="A3" s="66"/>
      <c r="B3" s="46" t="s">
        <v>17</v>
      </c>
      <c r="C3" s="46"/>
      <c r="D3" s="66"/>
      <c r="E3" s="66"/>
      <c r="F3" s="32"/>
      <c r="G3" s="44"/>
      <c r="H3" s="44"/>
      <c r="I3" s="44"/>
      <c r="J3" s="44"/>
      <c r="K3" s="44"/>
      <c r="L3" s="44"/>
    </row>
    <row r="4" spans="1:12" s="67" customFormat="1" ht="18" customHeight="1" x14ac:dyDescent="0.2">
      <c r="A4" s="66"/>
      <c r="B4" s="46"/>
      <c r="C4" s="46"/>
      <c r="D4" s="66"/>
      <c r="E4" s="66"/>
      <c r="F4" s="32"/>
      <c r="G4" s="44"/>
      <c r="H4" s="44"/>
      <c r="I4" s="44"/>
      <c r="J4" s="44"/>
      <c r="K4" s="44"/>
      <c r="L4" s="44"/>
    </row>
    <row r="5" spans="1:12" s="83" customFormat="1" ht="21.75" customHeight="1" x14ac:dyDescent="0.2">
      <c r="A5" s="74"/>
      <c r="B5" s="420" t="s">
        <v>322</v>
      </c>
      <c r="C5" s="421" t="s">
        <v>323</v>
      </c>
      <c r="D5" s="628" t="s">
        <v>324</v>
      </c>
      <c r="E5" s="628"/>
      <c r="F5" s="74"/>
    </row>
    <row r="6" spans="1:12" s="67" customFormat="1" x14ac:dyDescent="0.2">
      <c r="A6" s="66"/>
      <c r="B6" s="84" t="s">
        <v>106</v>
      </c>
      <c r="C6" s="51" t="s">
        <v>48</v>
      </c>
      <c r="D6" s="496" t="str">
        <f>'Capex Model Category Index'!B10</f>
        <v>03</v>
      </c>
      <c r="E6" s="339" t="str">
        <f>'Capex Model Category Index'!C10</f>
        <v>Mains Replacement - General Trunk Replacement</v>
      </c>
      <c r="F6" s="32"/>
      <c r="G6" s="44"/>
      <c r="H6" s="44"/>
      <c r="I6" s="44"/>
      <c r="J6" s="44"/>
      <c r="K6" s="44"/>
      <c r="L6" s="44"/>
    </row>
    <row r="7" spans="1:12" s="67" customFormat="1" x14ac:dyDescent="0.2">
      <c r="A7" s="66"/>
      <c r="B7" s="84"/>
      <c r="C7" s="51"/>
      <c r="D7" s="496" t="str">
        <f>'Capex Model Category Index'!B11</f>
        <v>04</v>
      </c>
      <c r="E7" s="339" t="str">
        <f>'Capex Model Category Index'!C11</f>
        <v>Mains Replacement - Decommissioned Trunk Replacement</v>
      </c>
      <c r="F7" s="32"/>
      <c r="G7" s="44"/>
      <c r="H7" s="44"/>
      <c r="I7" s="44"/>
      <c r="J7" s="44"/>
      <c r="K7" s="44"/>
      <c r="L7" s="44"/>
    </row>
    <row r="8" spans="1:12" s="67" customFormat="1" x14ac:dyDescent="0.2">
      <c r="A8" s="66"/>
      <c r="B8" s="84"/>
      <c r="C8" s="51"/>
      <c r="D8" s="496" t="str">
        <f>'Capex Model Category Index'!B12</f>
        <v>05</v>
      </c>
      <c r="E8" s="339" t="str">
        <f>'Capex Model Category Index'!C12</f>
        <v>Mains Replacement - Piecemeal Replacement</v>
      </c>
      <c r="F8" s="32"/>
      <c r="G8" s="44"/>
      <c r="H8" s="44"/>
      <c r="I8" s="44"/>
      <c r="J8" s="44"/>
      <c r="K8" s="44"/>
      <c r="L8" s="44"/>
    </row>
    <row r="9" spans="1:12" s="67" customFormat="1" x14ac:dyDescent="0.2">
      <c r="A9" s="66"/>
      <c r="B9" s="84"/>
      <c r="C9" s="51"/>
      <c r="D9" s="496" t="str">
        <f>'Capex Model Category Index'!B13</f>
        <v>06</v>
      </c>
      <c r="E9" s="339" t="str">
        <f>'Capex Model Category Index'!C13</f>
        <v>Mains Replacement - HDPE Replacement</v>
      </c>
      <c r="F9" s="32"/>
      <c r="G9" s="44"/>
      <c r="H9" s="44"/>
      <c r="I9" s="44"/>
      <c r="J9" s="44"/>
      <c r="K9" s="44"/>
      <c r="L9" s="44"/>
    </row>
    <row r="10" spans="1:12" s="67" customFormat="1" x14ac:dyDescent="0.2">
      <c r="A10" s="66"/>
      <c r="B10" s="84"/>
      <c r="C10" s="51"/>
      <c r="D10" s="496" t="str">
        <f>'Capex Model Category Index'!B14</f>
        <v>07</v>
      </c>
      <c r="E10" s="339" t="str">
        <f>'Capex Model Category Index'!C14</f>
        <v>Mains Replacement - HDICS Block Replacement</v>
      </c>
      <c r="F10" s="32"/>
      <c r="G10" s="44"/>
      <c r="H10" s="44"/>
      <c r="I10" s="44"/>
      <c r="J10" s="44"/>
      <c r="K10" s="44"/>
      <c r="L10" s="44"/>
    </row>
    <row r="11" spans="1:12" s="67" customFormat="1" x14ac:dyDescent="0.2">
      <c r="A11" s="66"/>
      <c r="B11" s="84"/>
      <c r="C11" s="51"/>
      <c r="D11" s="496" t="str">
        <f>'Capex Model Category Index'!B15</f>
        <v>08</v>
      </c>
      <c r="E11" s="339" t="str">
        <f>'Capex Model Category Index'!C15</f>
        <v>Mains Replacement - LDS Block Replacement</v>
      </c>
      <c r="F11" s="32"/>
      <c r="G11" s="44"/>
      <c r="H11" s="44"/>
      <c r="I11" s="44"/>
      <c r="J11" s="44"/>
      <c r="K11" s="44"/>
      <c r="L11" s="44"/>
    </row>
    <row r="12" spans="1:12" s="67" customFormat="1" x14ac:dyDescent="0.2">
      <c r="A12" s="66"/>
      <c r="B12" s="84"/>
      <c r="C12" s="51"/>
      <c r="D12" s="496" t="str">
        <f>'Capex Model Category Index'!B16</f>
        <v>09</v>
      </c>
      <c r="E12" s="339" t="str">
        <f>'Capex Model Category Index'!C16</f>
        <v>Mains Replacement - CBD Block Replacement</v>
      </c>
      <c r="F12" s="32"/>
      <c r="G12" s="44"/>
      <c r="H12" s="44"/>
      <c r="I12" s="44"/>
      <c r="J12" s="44"/>
      <c r="K12" s="44"/>
      <c r="L12" s="44"/>
    </row>
    <row r="13" spans="1:12" s="67" customFormat="1" x14ac:dyDescent="0.2">
      <c r="A13" s="66"/>
      <c r="B13" s="84"/>
      <c r="C13" s="51"/>
      <c r="D13" s="496" t="str">
        <f>'Capex Model Category Index'!B17</f>
        <v>10</v>
      </c>
      <c r="E13" s="339" t="str">
        <f>'Capex Model Category Index'!C17</f>
        <v>Mains Replacement - CBD Trunk Replacement</v>
      </c>
      <c r="F13" s="32"/>
      <c r="G13" s="44"/>
      <c r="H13" s="44"/>
      <c r="I13" s="44"/>
      <c r="J13" s="44"/>
      <c r="K13" s="44"/>
      <c r="L13" s="44"/>
    </row>
    <row r="14" spans="1:12" s="67" customFormat="1" x14ac:dyDescent="0.2">
      <c r="A14" s="66"/>
      <c r="B14" s="84"/>
      <c r="C14" s="51"/>
      <c r="D14" s="496" t="str">
        <f>'Capex Model Category Index'!B18</f>
        <v>11</v>
      </c>
      <c r="E14" s="339" t="str">
        <f>'Capex Model Category Index'!C18</f>
        <v>Service Renewal - Non AMRP</v>
      </c>
      <c r="F14" s="32"/>
      <c r="G14" s="44"/>
      <c r="H14" s="44"/>
      <c r="I14" s="44"/>
      <c r="J14" s="44"/>
      <c r="K14" s="44"/>
      <c r="L14" s="44"/>
    </row>
    <row r="15" spans="1:12" s="67" customFormat="1" x14ac:dyDescent="0.2">
      <c r="A15" s="66"/>
      <c r="B15" s="84"/>
      <c r="C15" s="86" t="s">
        <v>50</v>
      </c>
      <c r="D15" s="497">
        <f>'Capex Model Category Index'!B38</f>
        <v>27</v>
      </c>
      <c r="E15" s="416" t="str">
        <f>'Capex Model Category Index'!C38</f>
        <v>Mains Augmentation</v>
      </c>
      <c r="F15" s="32"/>
      <c r="G15" s="44"/>
      <c r="H15" s="44"/>
      <c r="I15" s="44"/>
      <c r="J15" s="44"/>
      <c r="K15" s="44"/>
      <c r="L15" s="44"/>
    </row>
    <row r="16" spans="1:12" s="67" customFormat="1" x14ac:dyDescent="0.2">
      <c r="A16" s="66"/>
      <c r="B16" s="84"/>
      <c r="C16" s="87" t="s">
        <v>112</v>
      </c>
      <c r="D16" s="496" t="str">
        <f>'Capex Model Category Index'!B19</f>
        <v>12</v>
      </c>
      <c r="E16" s="339" t="str">
        <f>'Capex Model Category Index'!C19</f>
        <v>New Main - Estate</v>
      </c>
      <c r="F16" s="32"/>
      <c r="G16" s="44"/>
      <c r="H16" s="44"/>
      <c r="I16" s="44"/>
      <c r="J16" s="44"/>
      <c r="K16" s="44"/>
      <c r="L16" s="44"/>
    </row>
    <row r="17" spans="1:12" s="67" customFormat="1" x14ac:dyDescent="0.2">
      <c r="A17" s="66"/>
      <c r="B17" s="84"/>
      <c r="C17" s="88"/>
      <c r="D17" s="496" t="str">
        <f>'Capex Model Category Index'!B20</f>
        <v>13</v>
      </c>
      <c r="E17" s="339" t="str">
        <f>'Capex Model Category Index'!C20</f>
        <v>New Main - Existing Domestic</v>
      </c>
      <c r="F17" s="32"/>
      <c r="G17" s="44"/>
      <c r="H17" s="44"/>
      <c r="I17" s="44"/>
      <c r="J17" s="44"/>
      <c r="K17" s="44"/>
      <c r="L17" s="44"/>
    </row>
    <row r="18" spans="1:12" s="67" customFormat="1" x14ac:dyDescent="0.2">
      <c r="A18" s="66"/>
      <c r="B18" s="84"/>
      <c r="C18" s="88"/>
      <c r="D18" s="496" t="str">
        <f>'Capex Model Category Index'!B21</f>
        <v>14</v>
      </c>
      <c r="E18" s="339" t="str">
        <f>'Capex Model Category Index'!C21</f>
        <v>New Main - I&amp;C&lt;10TJ</v>
      </c>
      <c r="F18" s="32"/>
      <c r="G18" s="44"/>
      <c r="H18" s="44"/>
      <c r="I18" s="44"/>
      <c r="J18" s="44"/>
      <c r="K18" s="44"/>
      <c r="L18" s="44"/>
    </row>
    <row r="19" spans="1:12" s="67" customFormat="1" x14ac:dyDescent="0.2">
      <c r="A19" s="66"/>
      <c r="B19" s="84"/>
      <c r="C19" s="88"/>
      <c r="D19" s="496" t="str">
        <f>'Capex Model Category Index'!B24</f>
        <v>17</v>
      </c>
      <c r="E19" s="339" t="str">
        <f>'Capex Model Category Index'!C24</f>
        <v>New Service - New Home</v>
      </c>
      <c r="F19" s="32"/>
      <c r="G19" s="44"/>
      <c r="H19" s="44"/>
      <c r="I19" s="44"/>
      <c r="J19" s="44"/>
      <c r="K19" s="44"/>
      <c r="L19" s="44"/>
    </row>
    <row r="20" spans="1:12" s="67" customFormat="1" x14ac:dyDescent="0.2">
      <c r="A20" s="66"/>
      <c r="B20" s="84"/>
      <c r="C20" s="88"/>
      <c r="D20" s="496" t="str">
        <f>'Capex Model Category Index'!B25</f>
        <v>18</v>
      </c>
      <c r="E20" s="339" t="str">
        <f>'Capex Model Category Index'!C25</f>
        <v>New Service - Exist Home</v>
      </c>
      <c r="F20" s="32"/>
      <c r="G20" s="44"/>
      <c r="H20" s="44"/>
      <c r="I20" s="44"/>
      <c r="J20" s="44"/>
      <c r="K20" s="44"/>
      <c r="L20" s="44"/>
    </row>
    <row r="21" spans="1:12" s="67" customFormat="1" x14ac:dyDescent="0.2">
      <c r="A21" s="66"/>
      <c r="B21" s="84"/>
      <c r="C21" s="88"/>
      <c r="D21" s="496" t="str">
        <f>'Capex Model Category Index'!B26</f>
        <v>19</v>
      </c>
      <c r="E21" s="339" t="str">
        <f>'Capex Model Category Index'!C26</f>
        <v>New Service - Multi User</v>
      </c>
      <c r="F21" s="32"/>
      <c r="G21" s="44"/>
      <c r="H21" s="44"/>
      <c r="I21" s="44"/>
      <c r="J21" s="44"/>
      <c r="K21" s="44"/>
      <c r="L21" s="44"/>
    </row>
    <row r="22" spans="1:12" s="67" customFormat="1" x14ac:dyDescent="0.2">
      <c r="A22" s="66"/>
      <c r="B22" s="84"/>
      <c r="C22" s="89"/>
      <c r="D22" s="498" t="str">
        <f>'Capex Model Category Index'!B27</f>
        <v>20</v>
      </c>
      <c r="E22" s="417" t="str">
        <f>'Capex Model Category Index'!C27</f>
        <v>New Service - I&amp;C &lt; 10 Tj</v>
      </c>
      <c r="F22" s="32"/>
      <c r="G22" s="44"/>
      <c r="H22" s="44"/>
      <c r="I22" s="44"/>
      <c r="J22" s="44"/>
      <c r="K22" s="44"/>
      <c r="L22" s="44"/>
    </row>
    <row r="23" spans="1:12" s="67" customFormat="1" x14ac:dyDescent="0.2">
      <c r="A23" s="66"/>
      <c r="B23" s="90" t="s">
        <v>71</v>
      </c>
      <c r="C23" s="88" t="s">
        <v>49</v>
      </c>
      <c r="D23" s="496" t="str">
        <f>'Capex Model Category Index'!B8</f>
        <v>01</v>
      </c>
      <c r="E23" s="339" t="str">
        <f>'Capex Model Category Index'!C8</f>
        <v>Meter Replacement - Meters &lt; 25m3</v>
      </c>
      <c r="F23" s="32"/>
      <c r="G23" s="44"/>
      <c r="H23" s="44"/>
      <c r="I23" s="44"/>
      <c r="J23" s="44"/>
      <c r="K23" s="44"/>
      <c r="L23" s="44"/>
    </row>
    <row r="24" spans="1:12" s="67" customFormat="1" x14ac:dyDescent="0.2">
      <c r="A24" s="66"/>
      <c r="B24" s="91"/>
      <c r="C24" s="89"/>
      <c r="D24" s="496" t="str">
        <f>'Capex Model Category Index'!B9</f>
        <v>02</v>
      </c>
      <c r="E24" s="339" t="str">
        <f>'Capex Model Category Index'!C9</f>
        <v>Meter Replacement - Meters &gt; 25m3</v>
      </c>
      <c r="F24" s="32"/>
      <c r="G24" s="44"/>
      <c r="H24" s="44"/>
      <c r="I24" s="44"/>
      <c r="J24" s="44"/>
      <c r="K24" s="44"/>
      <c r="L24" s="44"/>
    </row>
    <row r="25" spans="1:12" s="67" customFormat="1" x14ac:dyDescent="0.2">
      <c r="A25" s="66"/>
      <c r="B25" s="91"/>
      <c r="C25" s="88" t="s">
        <v>113</v>
      </c>
      <c r="D25" s="499" t="str">
        <f>'Capex Model Category Index'!B22</f>
        <v>15</v>
      </c>
      <c r="E25" s="418" t="str">
        <f>'Capex Model Category Index'!C22</f>
        <v>New Meter - Domestic</v>
      </c>
      <c r="F25" s="32"/>
      <c r="G25" s="44"/>
      <c r="H25" s="44"/>
      <c r="I25" s="44"/>
      <c r="J25" s="44"/>
      <c r="K25" s="44"/>
      <c r="L25" s="44"/>
    </row>
    <row r="26" spans="1:12" s="67" customFormat="1" x14ac:dyDescent="0.2">
      <c r="A26" s="66"/>
      <c r="B26" s="92"/>
      <c r="C26" s="89"/>
      <c r="D26" s="498" t="str">
        <f>'Capex Model Category Index'!B23</f>
        <v>16</v>
      </c>
      <c r="E26" s="417" t="str">
        <f>'Capex Model Category Index'!C23</f>
        <v>New Meter - I&amp;C&lt;10TJ</v>
      </c>
      <c r="F26" s="32"/>
      <c r="G26" s="44"/>
      <c r="H26" s="44"/>
      <c r="I26" s="44"/>
      <c r="J26" s="44"/>
      <c r="K26" s="44"/>
      <c r="L26" s="44"/>
    </row>
    <row r="27" spans="1:12" s="67" customFormat="1" x14ac:dyDescent="0.2">
      <c r="A27" s="66"/>
      <c r="B27" s="90" t="s">
        <v>1</v>
      </c>
      <c r="C27" s="87" t="s">
        <v>1</v>
      </c>
      <c r="D27" s="498">
        <f>'Capex Model Category Index'!B32</f>
        <v>21</v>
      </c>
      <c r="E27" s="417" t="str">
        <f>'Capex Model Category Index'!C32</f>
        <v>Telemetry</v>
      </c>
      <c r="F27" s="32"/>
      <c r="G27" s="44"/>
      <c r="H27" s="44"/>
      <c r="I27" s="44"/>
      <c r="J27" s="44"/>
      <c r="K27" s="44"/>
      <c r="L27" s="44"/>
    </row>
    <row r="28" spans="1:12" s="67" customFormat="1" x14ac:dyDescent="0.2">
      <c r="A28" s="66"/>
      <c r="B28" s="90" t="s">
        <v>2</v>
      </c>
      <c r="C28" s="87" t="s">
        <v>2</v>
      </c>
      <c r="D28" s="498">
        <f>'Capex Model Category Index'!B34</f>
        <v>23</v>
      </c>
      <c r="E28" s="417" t="str">
        <f>'Capex Model Category Index'!C34</f>
        <v>Information Technology</v>
      </c>
      <c r="F28" s="32"/>
      <c r="G28" s="44"/>
      <c r="H28" s="44"/>
      <c r="I28" s="44"/>
      <c r="J28" s="44"/>
      <c r="K28" s="44"/>
      <c r="L28" s="44"/>
    </row>
    <row r="29" spans="1:12" s="67" customFormat="1" x14ac:dyDescent="0.2">
      <c r="A29" s="66"/>
      <c r="B29" s="90" t="s">
        <v>100</v>
      </c>
      <c r="C29" s="87" t="s">
        <v>100</v>
      </c>
      <c r="D29" s="500">
        <f>'Capex Model Category Index'!B35</f>
        <v>24</v>
      </c>
      <c r="E29" s="419" t="str">
        <f>'Capex Model Category Index'!C35</f>
        <v>Other Distribution System</v>
      </c>
      <c r="F29" s="32"/>
      <c r="G29" s="44"/>
      <c r="H29" s="44"/>
      <c r="I29" s="44"/>
      <c r="J29" s="44"/>
      <c r="K29" s="44"/>
      <c r="L29" s="44"/>
    </row>
    <row r="30" spans="1:12" s="67" customFormat="1" x14ac:dyDescent="0.2">
      <c r="A30" s="66"/>
      <c r="B30" s="91"/>
      <c r="C30" s="88"/>
      <c r="D30" s="500">
        <f>'Capex Model Category Index'!B36</f>
        <v>25</v>
      </c>
      <c r="E30" s="419" t="str">
        <f>'Capex Model Category Index'!C36</f>
        <v>Other Non-Distribution System</v>
      </c>
      <c r="F30" s="32"/>
      <c r="G30" s="44"/>
      <c r="H30" s="44"/>
      <c r="I30" s="44"/>
      <c r="J30" s="44"/>
      <c r="K30" s="44"/>
      <c r="L30" s="44"/>
    </row>
    <row r="31" spans="1:12" s="67" customFormat="1" x14ac:dyDescent="0.2">
      <c r="A31" s="66"/>
      <c r="B31" s="92"/>
      <c r="C31" s="89"/>
      <c r="D31" s="498">
        <f>'Capex Model Category Index'!B33</f>
        <v>22</v>
      </c>
      <c r="E31" s="417" t="str">
        <f>'Capex Model Category Index'!C33</f>
        <v>Regulators</v>
      </c>
      <c r="F31" s="32"/>
      <c r="G31" s="44"/>
      <c r="H31" s="44"/>
      <c r="I31" s="44"/>
      <c r="J31" s="44"/>
      <c r="K31" s="44"/>
      <c r="L31" s="44"/>
    </row>
    <row r="32" spans="1:12" s="67" customFormat="1" x14ac:dyDescent="0.2">
      <c r="A32" s="66"/>
      <c r="B32" s="92" t="s">
        <v>108</v>
      </c>
      <c r="C32" s="89" t="s">
        <v>114</v>
      </c>
      <c r="D32" s="501" t="s">
        <v>114</v>
      </c>
      <c r="E32" s="89" t="s">
        <v>114</v>
      </c>
      <c r="F32" s="32"/>
      <c r="G32" s="44"/>
      <c r="H32" s="44"/>
      <c r="I32" s="44"/>
      <c r="J32" s="44"/>
      <c r="K32" s="44"/>
      <c r="L32" s="44"/>
    </row>
    <row r="33" spans="1:12" s="67" customFormat="1" x14ac:dyDescent="0.2">
      <c r="A33" s="66"/>
      <c r="B33" s="92" t="s">
        <v>109</v>
      </c>
      <c r="C33" s="89" t="s">
        <v>114</v>
      </c>
      <c r="D33" s="501" t="s">
        <v>114</v>
      </c>
      <c r="E33" s="89" t="s">
        <v>114</v>
      </c>
      <c r="F33" s="32"/>
      <c r="G33" s="44"/>
      <c r="H33" s="44"/>
      <c r="I33" s="44"/>
      <c r="J33" s="44"/>
      <c r="K33" s="44"/>
      <c r="L33" s="44"/>
    </row>
    <row r="34" spans="1:12" s="67" customFormat="1" x14ac:dyDescent="0.2">
      <c r="A34" s="66"/>
      <c r="B34" s="92" t="s">
        <v>107</v>
      </c>
      <c r="C34" s="89" t="s">
        <v>114</v>
      </c>
      <c r="D34" s="501" t="s">
        <v>114</v>
      </c>
      <c r="E34" s="89" t="s">
        <v>114</v>
      </c>
      <c r="F34" s="32"/>
      <c r="G34" s="44"/>
      <c r="H34" s="44"/>
      <c r="I34" s="44"/>
      <c r="J34" s="44"/>
      <c r="K34" s="44"/>
      <c r="L34" s="44"/>
    </row>
    <row r="35" spans="1:12" s="67" customFormat="1" x14ac:dyDescent="0.2">
      <c r="A35" s="66"/>
      <c r="B35" s="93"/>
      <c r="C35" s="46"/>
      <c r="D35" s="66"/>
      <c r="E35" s="66"/>
      <c r="F35" s="32"/>
      <c r="G35" s="44"/>
      <c r="H35" s="44"/>
      <c r="I35" s="44"/>
      <c r="J35" s="44"/>
      <c r="K35" s="44"/>
      <c r="L35" s="44"/>
    </row>
  </sheetData>
  <mergeCells count="1">
    <mergeCell ref="D5:E5"/>
  </mergeCells>
  <hyperlinks>
    <hyperlink ref="B3" location="Contents!A1" display="Contents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/>
  </sheetViews>
  <sheetFormatPr defaultRowHeight="15" x14ac:dyDescent="0.25"/>
  <sheetData>
    <row r="32" spans="28:28" x14ac:dyDescent="0.25">
      <c r="AB3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2" sqref="B2"/>
    </sheetView>
  </sheetViews>
  <sheetFormatPr defaultRowHeight="14.25" x14ac:dyDescent="0.2"/>
  <cols>
    <col min="1" max="1" width="2.28515625" style="115" customWidth="1"/>
    <col min="2" max="2" width="16" style="115" customWidth="1"/>
    <col min="3" max="3" width="20.5703125" style="115" customWidth="1"/>
    <col min="4" max="4" width="8.42578125" style="115" customWidth="1"/>
    <col min="5" max="5" width="12.42578125" style="115" customWidth="1"/>
    <col min="6" max="6" width="15.5703125" style="115" customWidth="1"/>
    <col min="7" max="7" width="5" style="115" customWidth="1"/>
    <col min="8" max="8" width="3.7109375" style="115" customWidth="1"/>
    <col min="9" max="12" width="9.140625" style="115"/>
    <col min="13" max="13" width="26.42578125" style="115" bestFit="1" customWidth="1"/>
    <col min="14" max="16384" width="9.140625" style="115"/>
  </cols>
  <sheetData>
    <row r="1" spans="1:22" x14ac:dyDescent="0.2">
      <c r="A1" s="32"/>
      <c r="B1" s="32"/>
      <c r="C1" s="32"/>
      <c r="D1" s="32"/>
      <c r="E1" s="32"/>
      <c r="F1" s="32"/>
      <c r="G1" s="32"/>
      <c r="H1" s="32"/>
    </row>
    <row r="2" spans="1:22" ht="23.25" customHeight="1" x14ac:dyDescent="0.25">
      <c r="A2" s="32"/>
      <c r="B2" s="343" t="s">
        <v>227</v>
      </c>
      <c r="C2" s="356"/>
      <c r="D2" s="356"/>
      <c r="E2" s="356"/>
      <c r="F2" s="344"/>
      <c r="G2" s="344"/>
      <c r="H2" s="32"/>
    </row>
    <row r="3" spans="1:22" x14ac:dyDescent="0.2">
      <c r="A3" s="32"/>
      <c r="B3" s="46" t="s">
        <v>17</v>
      </c>
      <c r="C3" s="66"/>
      <c r="D3" s="66"/>
      <c r="E3" s="66"/>
      <c r="F3" s="66"/>
      <c r="G3" s="66"/>
      <c r="H3" s="32"/>
    </row>
    <row r="4" spans="1:22" x14ac:dyDescent="0.2">
      <c r="A4" s="32"/>
      <c r="B4" s="68"/>
      <c r="C4" s="12"/>
      <c r="D4" s="12"/>
      <c r="E4" s="12"/>
      <c r="F4" s="12"/>
      <c r="G4" s="12"/>
      <c r="H4" s="32"/>
    </row>
    <row r="5" spans="1:22" ht="18" customHeight="1" x14ac:dyDescent="0.25">
      <c r="A5" s="32"/>
      <c r="B5" s="357" t="s">
        <v>210</v>
      </c>
      <c r="C5" s="357"/>
      <c r="D5" s="357"/>
      <c r="E5" s="357"/>
      <c r="F5" s="358"/>
      <c r="G5" s="358"/>
      <c r="H5" s="32"/>
      <c r="Q5" s="204"/>
      <c r="R5" s="204"/>
      <c r="S5" s="204"/>
      <c r="T5" s="204"/>
      <c r="U5" s="204"/>
      <c r="V5" s="204"/>
    </row>
    <row r="6" spans="1:22" ht="15" x14ac:dyDescent="0.25">
      <c r="A6" s="32"/>
      <c r="B6" s="272"/>
      <c r="C6" s="272"/>
      <c r="D6" s="272"/>
      <c r="E6" s="272"/>
      <c r="F6" s="273"/>
      <c r="G6" s="273"/>
      <c r="H6" s="32"/>
      <c r="M6" s="208"/>
      <c r="Q6" s="204"/>
      <c r="R6" s="204"/>
      <c r="S6" s="204"/>
      <c r="T6" s="204"/>
      <c r="U6" s="204"/>
      <c r="V6" s="204"/>
    </row>
    <row r="7" spans="1:22" ht="26.25" x14ac:dyDescent="0.25">
      <c r="A7" s="32"/>
      <c r="B7" s="288" t="s">
        <v>212</v>
      </c>
      <c r="C7" s="309" t="s">
        <v>238</v>
      </c>
      <c r="D7" s="286" t="s">
        <v>225</v>
      </c>
      <c r="E7" s="310" t="s">
        <v>224</v>
      </c>
      <c r="F7" s="311" t="s">
        <v>226</v>
      </c>
      <c r="G7" s="273"/>
      <c r="H7" s="32"/>
      <c r="M7" s="208"/>
      <c r="Q7" s="204"/>
      <c r="R7" s="204"/>
      <c r="S7" s="204"/>
      <c r="T7" s="204"/>
      <c r="U7" s="204"/>
      <c r="V7" s="204"/>
    </row>
    <row r="8" spans="1:22" ht="18" customHeight="1" x14ac:dyDescent="0.25">
      <c r="A8" s="32"/>
      <c r="B8" s="279">
        <v>2015</v>
      </c>
      <c r="C8" s="280" t="s">
        <v>211</v>
      </c>
      <c r="D8" s="207">
        <f>'[1]Inflation key'!$N$22</f>
        <v>108</v>
      </c>
      <c r="E8" s="283">
        <f>D8/D9-1</f>
        <v>1.5037593984962294E-2</v>
      </c>
      <c r="F8" s="274">
        <f>D$8/D9-1</f>
        <v>1.5037593984962294E-2</v>
      </c>
      <c r="G8" s="287"/>
      <c r="H8" s="32"/>
      <c r="M8" s="204"/>
      <c r="Q8" s="204"/>
      <c r="R8" s="204"/>
      <c r="S8" s="204"/>
      <c r="T8" s="204"/>
      <c r="U8" s="204"/>
      <c r="V8" s="204"/>
    </row>
    <row r="9" spans="1:22" ht="18" customHeight="1" x14ac:dyDescent="0.2">
      <c r="A9" s="32"/>
      <c r="B9" s="279">
        <v>2014</v>
      </c>
      <c r="C9" s="277" t="s">
        <v>213</v>
      </c>
      <c r="D9" s="207">
        <f>'[1]Inflation key'!$N$21</f>
        <v>106.4</v>
      </c>
      <c r="E9" s="284">
        <f t="shared" ref="E9:E19" si="0">D9/D10-1</f>
        <v>2.3076923076923217E-2</v>
      </c>
      <c r="F9" s="281">
        <f t="shared" ref="F9:F19" si="1">D$8/D10-1</f>
        <v>3.8461538461538547E-2</v>
      </c>
      <c r="G9" s="287"/>
      <c r="H9" s="32"/>
      <c r="N9" s="205"/>
      <c r="O9" s="206"/>
      <c r="T9" s="221"/>
      <c r="U9" s="221"/>
      <c r="V9" s="221"/>
    </row>
    <row r="10" spans="1:22" ht="18" customHeight="1" x14ac:dyDescent="0.2">
      <c r="A10" s="32"/>
      <c r="B10" s="279">
        <v>2013</v>
      </c>
      <c r="C10" s="282" t="s">
        <v>223</v>
      </c>
      <c r="D10" s="207">
        <f>'[1]Inflation key'!$N$20</f>
        <v>104</v>
      </c>
      <c r="E10" s="284">
        <f t="shared" si="0"/>
        <v>2.16110019646365E-2</v>
      </c>
      <c r="F10" s="281">
        <f t="shared" si="1"/>
        <v>6.0903732809430178E-2</v>
      </c>
      <c r="G10" s="287"/>
      <c r="H10" s="32"/>
      <c r="N10" s="205"/>
      <c r="O10" s="206"/>
      <c r="T10" s="221"/>
      <c r="U10" s="221"/>
      <c r="V10" s="221"/>
    </row>
    <row r="11" spans="1:22" ht="18" customHeight="1" x14ac:dyDescent="0.2">
      <c r="A11" s="32"/>
      <c r="B11" s="279">
        <v>2012</v>
      </c>
      <c r="C11" s="277" t="s">
        <v>214</v>
      </c>
      <c r="D11" s="207">
        <f>'[1]Inflation key'!$N$19</f>
        <v>101.8</v>
      </c>
      <c r="E11" s="284">
        <f t="shared" si="0"/>
        <v>2.0040080160320661E-2</v>
      </c>
      <c r="F11" s="281">
        <f t="shared" si="1"/>
        <v>8.21643286573146E-2</v>
      </c>
      <c r="G11" s="287"/>
      <c r="H11" s="32"/>
      <c r="N11" s="205"/>
      <c r="O11" s="206"/>
      <c r="T11" s="221"/>
      <c r="U11" s="221"/>
      <c r="V11" s="221"/>
    </row>
    <row r="12" spans="1:22" ht="18" customHeight="1" x14ac:dyDescent="0.2">
      <c r="A12" s="32"/>
      <c r="B12" s="279">
        <v>2011</v>
      </c>
      <c r="C12" s="282" t="s">
        <v>215</v>
      </c>
      <c r="D12" s="207">
        <f>'[1]Inflation key'!$N$18</f>
        <v>99.8</v>
      </c>
      <c r="E12" s="284">
        <f t="shared" si="0"/>
        <v>3.4196891191709877E-2</v>
      </c>
      <c r="F12" s="281">
        <f t="shared" si="1"/>
        <v>0.11917098445595853</v>
      </c>
      <c r="G12" s="287"/>
      <c r="H12" s="32"/>
      <c r="N12" s="205"/>
      <c r="O12" s="206"/>
      <c r="T12" s="221"/>
      <c r="U12" s="221"/>
      <c r="V12" s="221"/>
    </row>
    <row r="13" spans="1:22" ht="18" customHeight="1" x14ac:dyDescent="0.2">
      <c r="A13" s="32"/>
      <c r="B13" s="279">
        <v>2010</v>
      </c>
      <c r="C13" s="277" t="s">
        <v>216</v>
      </c>
      <c r="D13" s="207">
        <f>'[1]Inflation key'!$N$17</f>
        <v>96.5</v>
      </c>
      <c r="E13" s="284">
        <f t="shared" si="0"/>
        <v>2.8784648187633266E-2</v>
      </c>
      <c r="F13" s="281">
        <f t="shared" si="1"/>
        <v>0.15138592750533042</v>
      </c>
      <c r="G13" s="287"/>
      <c r="H13" s="32"/>
      <c r="N13" s="205"/>
      <c r="O13" s="206"/>
      <c r="T13" s="221"/>
      <c r="U13" s="221"/>
      <c r="V13" s="221"/>
    </row>
    <row r="14" spans="1:22" ht="18" customHeight="1" x14ac:dyDescent="0.2">
      <c r="A14" s="32"/>
      <c r="B14" s="279">
        <v>2009</v>
      </c>
      <c r="C14" s="282" t="s">
        <v>217</v>
      </c>
      <c r="D14" s="207">
        <f>'[1]Inflation key'!$N$16</f>
        <v>93.8</v>
      </c>
      <c r="E14" s="284">
        <f t="shared" si="0"/>
        <v>1.1866235167206085E-2</v>
      </c>
      <c r="F14" s="281">
        <f t="shared" si="1"/>
        <v>0.16504854368932032</v>
      </c>
      <c r="G14" s="287"/>
      <c r="H14" s="32"/>
      <c r="N14" s="205"/>
      <c r="O14" s="206"/>
      <c r="T14" s="221"/>
      <c r="U14" s="221"/>
      <c r="V14" s="221"/>
    </row>
    <row r="15" spans="1:22" ht="18" customHeight="1" x14ac:dyDescent="0.2">
      <c r="A15" s="32"/>
      <c r="B15" s="279">
        <v>2008</v>
      </c>
      <c r="C15" s="277" t="s">
        <v>218</v>
      </c>
      <c r="D15" s="207">
        <f>'[1]Inflation key'!$N$15</f>
        <v>92.7</v>
      </c>
      <c r="E15" s="285">
        <f t="shared" si="0"/>
        <v>4.9830124575311441E-2</v>
      </c>
      <c r="F15" s="281">
        <f t="shared" si="1"/>
        <v>0.2231030577576445</v>
      </c>
      <c r="G15" s="287"/>
      <c r="H15" s="32"/>
      <c r="N15" s="205"/>
      <c r="O15" s="206"/>
      <c r="T15" s="221"/>
      <c r="U15" s="221"/>
      <c r="V15" s="221"/>
    </row>
    <row r="16" spans="1:22" ht="18" customHeight="1" x14ac:dyDescent="0.2">
      <c r="A16" s="32"/>
      <c r="B16" s="279">
        <v>2007</v>
      </c>
      <c r="C16" s="282" t="s">
        <v>219</v>
      </c>
      <c r="D16" s="207">
        <f>'[1]Inflation key'!$N$14</f>
        <v>88.3</v>
      </c>
      <c r="E16" s="285">
        <f t="shared" si="0"/>
        <v>1.8454440599769306E-2</v>
      </c>
      <c r="F16" s="281">
        <f t="shared" si="1"/>
        <v>0.24567474048442905</v>
      </c>
      <c r="G16" s="287"/>
      <c r="H16" s="32"/>
      <c r="N16" s="205"/>
      <c r="O16" s="206"/>
      <c r="T16" s="222"/>
      <c r="U16" s="222"/>
      <c r="V16" s="222"/>
    </row>
    <row r="17" spans="1:22" ht="18" customHeight="1" x14ac:dyDescent="0.25">
      <c r="A17" s="32"/>
      <c r="B17" s="279">
        <v>2006</v>
      </c>
      <c r="C17" s="277" t="s">
        <v>220</v>
      </c>
      <c r="D17" s="207">
        <f>'[1]Inflation key'!$N$13</f>
        <v>86.7</v>
      </c>
      <c r="E17" s="285">
        <f t="shared" si="0"/>
        <v>3.9568345323740983E-2</v>
      </c>
      <c r="F17" s="281">
        <f t="shared" si="1"/>
        <v>0.29496402877697836</v>
      </c>
      <c r="G17" s="287"/>
      <c r="H17" s="32"/>
      <c r="N17" s="205"/>
      <c r="O17" s="206"/>
      <c r="Q17" s="204"/>
    </row>
    <row r="18" spans="1:22" ht="18" customHeight="1" x14ac:dyDescent="0.2">
      <c r="A18" s="32"/>
      <c r="B18" s="279">
        <v>2005</v>
      </c>
      <c r="C18" s="282" t="s">
        <v>221</v>
      </c>
      <c r="D18" s="207">
        <f>'[1]Inflation key'!$N$12</f>
        <v>83.4</v>
      </c>
      <c r="E18" s="278">
        <f t="shared" si="0"/>
        <v>3.0902348578492056E-2</v>
      </c>
      <c r="F18" s="281">
        <f t="shared" si="1"/>
        <v>0.33498145859085282</v>
      </c>
      <c r="G18" s="287"/>
      <c r="H18" s="119"/>
      <c r="N18" s="205"/>
      <c r="O18" s="206"/>
    </row>
    <row r="19" spans="1:22" ht="18" customHeight="1" x14ac:dyDescent="0.25">
      <c r="A19" s="32"/>
      <c r="B19" s="505">
        <v>2004</v>
      </c>
      <c r="C19" s="506" t="s">
        <v>222</v>
      </c>
      <c r="D19" s="230">
        <f>'[1]Inflation key'!$N$11</f>
        <v>80.900000000000006</v>
      </c>
      <c r="E19" s="507" t="e">
        <f t="shared" si="0"/>
        <v>#DIV/0!</v>
      </c>
      <c r="F19" s="508" t="e">
        <f t="shared" si="1"/>
        <v>#DIV/0!</v>
      </c>
      <c r="G19" s="287"/>
      <c r="H19" s="32"/>
      <c r="N19" s="205"/>
      <c r="O19" s="206"/>
      <c r="Q19" s="204"/>
      <c r="R19" s="204"/>
      <c r="S19" s="204"/>
      <c r="T19" s="204"/>
      <c r="U19" s="204"/>
      <c r="V19" s="204"/>
    </row>
    <row r="20" spans="1:22" ht="18" customHeight="1" x14ac:dyDescent="0.2">
      <c r="A20" s="32"/>
      <c r="B20" s="275"/>
      <c r="C20" s="276"/>
      <c r="D20" s="276"/>
      <c r="E20" s="276"/>
      <c r="F20" s="271"/>
      <c r="G20" s="271"/>
      <c r="H20" s="36"/>
      <c r="N20" s="205"/>
      <c r="O20" s="206"/>
      <c r="T20" s="220"/>
      <c r="U20" s="220"/>
      <c r="V20" s="220"/>
    </row>
    <row r="21" spans="1:22" ht="18" customHeight="1" x14ac:dyDescent="0.2">
      <c r="N21" s="205"/>
      <c r="O21" s="206"/>
      <c r="T21" s="220"/>
      <c r="U21" s="220"/>
      <c r="V21" s="220"/>
    </row>
    <row r="22" spans="1:22" x14ac:dyDescent="0.2">
      <c r="N22" s="205"/>
      <c r="O22" s="206"/>
    </row>
    <row r="23" spans="1:22" x14ac:dyDescent="0.2">
      <c r="N23" s="205"/>
      <c r="O23" s="206"/>
    </row>
    <row r="34" ht="18" customHeight="1" x14ac:dyDescent="0.2"/>
  </sheetData>
  <hyperlinks>
    <hyperlink ref="B3" location="Contents!A1" display="Contents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4"/>
  <sheetViews>
    <sheetView zoomScale="80" zoomScaleNormal="8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44.5703125" style="44" customWidth="1"/>
    <col min="3" max="3" width="24.42578125" style="44" customWidth="1"/>
    <col min="4" max="4" width="10.7109375" style="44" bestFit="1" customWidth="1"/>
    <col min="5" max="5" width="9.85546875" style="44" bestFit="1" customWidth="1"/>
    <col min="6" max="6" width="10.7109375" style="44" customWidth="1"/>
    <col min="7" max="10" width="9.85546875" style="44" bestFit="1" customWidth="1"/>
    <col min="11" max="11" width="9.85546875" style="44" customWidth="1"/>
    <col min="12" max="12" width="3.42578125" style="44" customWidth="1"/>
    <col min="13" max="13" width="43.28515625" style="44" customWidth="1"/>
    <col min="14" max="14" width="26.28515625" style="44" customWidth="1"/>
    <col min="15" max="20" width="9.140625" style="44"/>
    <col min="21" max="22" width="9.7109375" style="44" customWidth="1"/>
    <col min="23" max="23" width="4.28515625" style="44" customWidth="1"/>
    <col min="24" max="30" width="9.140625" style="44"/>
    <col min="31" max="31" width="4.28515625" style="44" customWidth="1"/>
    <col min="32" max="32" width="30.42578125" style="44" customWidth="1"/>
    <col min="33" max="39" width="9.140625" style="44"/>
    <col min="40" max="40" width="4.85546875" style="44" customWidth="1"/>
    <col min="41" max="16384" width="9.140625" style="44"/>
  </cols>
  <sheetData>
    <row r="1" spans="1:2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7.95" customHeight="1" x14ac:dyDescent="0.25">
      <c r="A2" s="63"/>
      <c r="B2" s="343" t="s">
        <v>335</v>
      </c>
      <c r="C2" s="343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2"/>
    </row>
    <row r="3" spans="1:23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32"/>
    </row>
    <row r="4" spans="1:23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32"/>
    </row>
    <row r="5" spans="1:23" s="67" customFormat="1" ht="27" customHeight="1" x14ac:dyDescent="0.2">
      <c r="A5" s="66"/>
      <c r="B5" s="476" t="s">
        <v>267</v>
      </c>
      <c r="C5" s="393"/>
      <c r="D5" s="394"/>
      <c r="E5" s="394"/>
      <c r="F5" s="394"/>
      <c r="G5" s="394"/>
      <c r="H5" s="394"/>
      <c r="I5" s="394"/>
      <c r="J5" s="394"/>
      <c r="K5" s="394"/>
      <c r="L5" s="12"/>
      <c r="M5" s="476" t="s">
        <v>268</v>
      </c>
      <c r="N5" s="393"/>
      <c r="O5" s="394"/>
      <c r="P5" s="394"/>
      <c r="Q5" s="394"/>
      <c r="R5" s="394"/>
      <c r="S5" s="394"/>
      <c r="T5" s="394"/>
      <c r="U5" s="394"/>
      <c r="V5" s="394"/>
      <c r="W5" s="32"/>
    </row>
    <row r="6" spans="1:23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68"/>
      <c r="N6" s="68"/>
      <c r="O6" s="12"/>
      <c r="P6" s="12"/>
      <c r="Q6" s="12"/>
      <c r="R6" s="12"/>
      <c r="S6" s="12"/>
      <c r="T6" s="12"/>
      <c r="U6" s="12"/>
      <c r="V6" s="12"/>
      <c r="W6" s="32"/>
    </row>
    <row r="7" spans="1:23" s="67" customFormat="1" ht="26.25" customHeight="1" x14ac:dyDescent="0.2">
      <c r="A7" s="66"/>
      <c r="B7" s="357" t="s">
        <v>402</v>
      </c>
      <c r="C7" s="357"/>
      <c r="D7" s="358"/>
      <c r="E7" s="358"/>
      <c r="F7" s="358"/>
      <c r="G7" s="358"/>
      <c r="H7" s="358"/>
      <c r="I7" s="358"/>
      <c r="J7" s="358"/>
      <c r="K7" s="358"/>
      <c r="L7" s="12"/>
      <c r="M7" s="357" t="str">
        <f>B7</f>
        <v>Converting Net Customer Connections Forecast to Gross Customer Connections Forecast</v>
      </c>
      <c r="N7" s="357"/>
      <c r="O7" s="358"/>
      <c r="P7" s="358"/>
      <c r="Q7" s="358"/>
      <c r="R7" s="358"/>
      <c r="S7" s="358"/>
      <c r="T7" s="358"/>
      <c r="U7" s="358"/>
      <c r="V7" s="358"/>
      <c r="W7" s="32"/>
    </row>
    <row r="8" spans="1:23" s="67" customFormat="1" ht="20.100000000000001" customHeight="1" x14ac:dyDescent="0.2">
      <c r="A8" s="66"/>
      <c r="B8" s="189"/>
      <c r="C8" s="189"/>
      <c r="D8" s="190"/>
      <c r="E8" s="190"/>
      <c r="F8" s="190"/>
      <c r="G8" s="190"/>
      <c r="H8" s="190"/>
      <c r="I8" s="190"/>
      <c r="J8" s="190"/>
      <c r="K8" s="190"/>
      <c r="L8" s="12"/>
      <c r="M8" s="189"/>
      <c r="N8" s="189"/>
      <c r="O8" s="190"/>
      <c r="P8" s="190"/>
      <c r="Q8" s="190"/>
      <c r="R8" s="190"/>
      <c r="S8" s="190"/>
      <c r="T8" s="190"/>
      <c r="U8" s="190"/>
      <c r="V8" s="190"/>
      <c r="W8" s="32"/>
    </row>
    <row r="9" spans="1:23" s="67" customFormat="1" ht="20.100000000000001" customHeight="1" x14ac:dyDescent="0.2">
      <c r="A9" s="66"/>
      <c r="B9" s="180" t="s">
        <v>399</v>
      </c>
      <c r="C9" s="185"/>
      <c r="D9" s="423"/>
      <c r="E9" s="424"/>
      <c r="F9" s="425">
        <v>2013</v>
      </c>
      <c r="G9" s="424">
        <v>2014</v>
      </c>
      <c r="H9" s="424">
        <v>2015</v>
      </c>
      <c r="I9" s="425" t="s">
        <v>66</v>
      </c>
      <c r="J9" s="190"/>
      <c r="K9" s="190"/>
      <c r="L9" s="12"/>
      <c r="M9" s="180" t="s">
        <v>399</v>
      </c>
      <c r="N9" s="185"/>
      <c r="O9" s="423"/>
      <c r="P9" s="424"/>
      <c r="Q9" s="425">
        <v>2013</v>
      </c>
      <c r="R9" s="424">
        <v>2014</v>
      </c>
      <c r="S9" s="424">
        <v>2015</v>
      </c>
      <c r="T9" s="425" t="s">
        <v>66</v>
      </c>
      <c r="U9" s="190"/>
      <c r="V9" s="190"/>
      <c r="W9" s="32"/>
    </row>
    <row r="10" spans="1:23" s="67" customFormat="1" ht="20.100000000000001" customHeight="1" x14ac:dyDescent="0.2">
      <c r="A10" s="66"/>
      <c r="B10" s="547" t="s">
        <v>396</v>
      </c>
      <c r="C10" s="189"/>
      <c r="D10" s="190"/>
      <c r="E10" s="190"/>
      <c r="F10" s="554">
        <f>[2]Sheet1!L20</f>
        <v>570138.53424657532</v>
      </c>
      <c r="G10" s="555">
        <f>[2]Sheet1!M20</f>
        <v>582017.39178082184</v>
      </c>
      <c r="H10" s="555">
        <f>[2]Sheet1!N20</f>
        <v>594516.32876712328</v>
      </c>
      <c r="I10" s="448"/>
      <c r="J10" s="190"/>
      <c r="K10" s="190"/>
      <c r="L10" s="12"/>
      <c r="M10" s="547" t="s">
        <v>396</v>
      </c>
      <c r="N10" s="189"/>
      <c r="O10" s="190"/>
      <c r="P10" s="190"/>
      <c r="Q10" s="554">
        <f>[2]Sheet1!L51</f>
        <v>19795.882191780824</v>
      </c>
      <c r="R10" s="555">
        <f>[2]Sheet1!M51</f>
        <v>20194.326027397259</v>
      </c>
      <c r="S10" s="555">
        <f>[2]Sheet1!N51</f>
        <v>20689.112328767122</v>
      </c>
      <c r="T10" s="448"/>
      <c r="U10" s="190"/>
      <c r="V10" s="190"/>
      <c r="W10" s="32"/>
    </row>
    <row r="11" spans="1:23" s="67" customFormat="1" ht="20.100000000000001" customHeight="1" x14ac:dyDescent="0.2">
      <c r="A11" s="66"/>
      <c r="B11" s="549" t="s">
        <v>397</v>
      </c>
      <c r="C11" s="550"/>
      <c r="D11" s="450"/>
      <c r="E11" s="450"/>
      <c r="F11" s="556">
        <f>[2]Sheet1!L19</f>
        <v>1164</v>
      </c>
      <c r="G11" s="557">
        <f>[2]Sheet1!M19</f>
        <v>2639.2383561643983</v>
      </c>
      <c r="H11" s="557">
        <f>[2]Sheet1!N19</f>
        <v>2374.7150684931548</v>
      </c>
      <c r="I11" s="551"/>
      <c r="J11" s="190"/>
      <c r="K11" s="190"/>
      <c r="L11" s="12"/>
      <c r="M11" s="549" t="s">
        <v>397</v>
      </c>
      <c r="N11" s="550"/>
      <c r="O11" s="450"/>
      <c r="P11" s="450"/>
      <c r="Q11" s="556">
        <f>[2]Sheet1!L50</f>
        <v>31.682191780819267</v>
      </c>
      <c r="R11" s="557">
        <f>[2]Sheet1!M50</f>
        <v>89.556164383564465</v>
      </c>
      <c r="S11" s="557">
        <f>[2]Sheet1!N50</f>
        <v>22.213698630137515</v>
      </c>
      <c r="T11" s="551"/>
      <c r="U11" s="190"/>
      <c r="V11" s="190"/>
      <c r="W11" s="32"/>
    </row>
    <row r="12" spans="1:23" s="67" customFormat="1" ht="20.100000000000001" customHeight="1" thickBot="1" x14ac:dyDescent="0.25">
      <c r="A12" s="66"/>
      <c r="B12" s="552" t="s">
        <v>398</v>
      </c>
      <c r="C12" s="552"/>
      <c r="D12" s="552"/>
      <c r="E12" s="552"/>
      <c r="F12" s="558">
        <f>F11/F10</f>
        <v>2.0416090653093614E-3</v>
      </c>
      <c r="G12" s="559">
        <f t="shared" ref="G12:H12" si="0">G11/G10</f>
        <v>4.5346383002216059E-3</v>
      </c>
      <c r="H12" s="559">
        <f t="shared" si="0"/>
        <v>3.9943647526346571E-3</v>
      </c>
      <c r="I12" s="560">
        <f>AVERAGE(F12:H12)</f>
        <v>3.5235373727218744E-3</v>
      </c>
      <c r="J12" s="190"/>
      <c r="K12" s="190"/>
      <c r="L12" s="12"/>
      <c r="M12" s="552" t="s">
        <v>398</v>
      </c>
      <c r="N12" s="552"/>
      <c r="O12" s="552"/>
      <c r="P12" s="552"/>
      <c r="Q12" s="558">
        <f>Q11/Q10</f>
        <v>1.6004435404234521E-3</v>
      </c>
      <c r="R12" s="559">
        <f t="shared" ref="R12" si="1">R11/R10</f>
        <v>4.4347191514123975E-3</v>
      </c>
      <c r="S12" s="559">
        <f t="shared" ref="S12" si="2">S11/S10</f>
        <v>1.0736902713438573E-3</v>
      </c>
      <c r="T12" s="560">
        <f>AVERAGE(Q12:S12)</f>
        <v>2.3696176543932354E-3</v>
      </c>
      <c r="U12" s="190"/>
      <c r="V12" s="190"/>
      <c r="W12" s="32"/>
    </row>
    <row r="13" spans="1:23" s="67" customFormat="1" ht="20.100000000000001" customHeight="1" x14ac:dyDescent="0.2">
      <c r="A13" s="66"/>
      <c r="B13" s="189"/>
      <c r="C13" s="189"/>
      <c r="D13" s="190"/>
      <c r="E13" s="190"/>
      <c r="F13" s="190"/>
      <c r="G13" s="190"/>
      <c r="H13" s="190"/>
      <c r="I13" s="190"/>
      <c r="J13" s="190"/>
      <c r="K13" s="190"/>
      <c r="L13" s="12"/>
      <c r="M13" s="189"/>
      <c r="N13" s="189"/>
      <c r="O13" s="190"/>
      <c r="P13" s="190"/>
      <c r="Q13" s="190"/>
      <c r="R13" s="190"/>
      <c r="S13" s="190"/>
      <c r="T13" s="190"/>
      <c r="U13" s="190"/>
      <c r="V13" s="190"/>
      <c r="W13" s="32"/>
    </row>
    <row r="14" spans="1:23" s="67" customFormat="1" ht="20.100000000000001" customHeight="1" x14ac:dyDescent="0.2">
      <c r="A14" s="66"/>
      <c r="B14" s="180" t="s">
        <v>400</v>
      </c>
      <c r="C14" s="185"/>
      <c r="D14" s="423"/>
      <c r="E14" s="424"/>
      <c r="F14" s="425">
        <v>2013</v>
      </c>
      <c r="G14" s="424">
        <v>2014</v>
      </c>
      <c r="H14" s="424">
        <v>2015</v>
      </c>
      <c r="I14" s="425" t="s">
        <v>66</v>
      </c>
      <c r="J14" s="190"/>
      <c r="K14" s="190"/>
      <c r="L14" s="12"/>
      <c r="M14" s="180" t="s">
        <v>400</v>
      </c>
      <c r="N14" s="185"/>
      <c r="O14" s="423"/>
      <c r="P14" s="424"/>
      <c r="Q14" s="425">
        <v>2013</v>
      </c>
      <c r="R14" s="424">
        <v>2014</v>
      </c>
      <c r="S14" s="424">
        <v>2015</v>
      </c>
      <c r="T14" s="425" t="s">
        <v>66</v>
      </c>
      <c r="U14" s="190"/>
      <c r="V14" s="190"/>
      <c r="W14" s="32"/>
    </row>
    <row r="15" spans="1:23" s="67" customFormat="1" ht="20.100000000000001" customHeight="1" x14ac:dyDescent="0.2">
      <c r="A15" s="66"/>
      <c r="B15" s="547" t="s">
        <v>396</v>
      </c>
      <c r="C15" s="189"/>
      <c r="D15" s="190"/>
      <c r="E15" s="190"/>
      <c r="F15" s="554">
        <f>[2]Sheet1!L34</f>
        <v>22779.57808219178</v>
      </c>
      <c r="G15" s="555">
        <f>[2]Sheet1!M34</f>
        <v>23012.046575342465</v>
      </c>
      <c r="H15" s="555">
        <f>[2]Sheet1!N34</f>
        <v>23443.476712328767</v>
      </c>
      <c r="I15" s="448"/>
      <c r="J15" s="190"/>
      <c r="K15" s="190"/>
      <c r="L15" s="12"/>
      <c r="M15" s="547" t="s">
        <v>396</v>
      </c>
      <c r="N15" s="189"/>
      <c r="O15" s="190"/>
      <c r="P15" s="190"/>
      <c r="Q15" s="554">
        <f>[2]Sheet1!L65</f>
        <v>913.47899543378992</v>
      </c>
      <c r="R15" s="555">
        <f>[2]Sheet1!M65</f>
        <v>920.39132420091323</v>
      </c>
      <c r="S15" s="555">
        <f>[2]Sheet1!N65</f>
        <v>927.83789954337863</v>
      </c>
      <c r="T15" s="448"/>
      <c r="U15" s="190"/>
      <c r="V15" s="190"/>
      <c r="W15" s="32"/>
    </row>
    <row r="16" spans="1:23" s="67" customFormat="1" ht="20.100000000000001" customHeight="1" x14ac:dyDescent="0.2">
      <c r="A16" s="66"/>
      <c r="B16" s="549" t="s">
        <v>397</v>
      </c>
      <c r="C16" s="550"/>
      <c r="D16" s="450"/>
      <c r="E16" s="450"/>
      <c r="F16" s="556">
        <f>[2]Sheet1!L33</f>
        <v>161</v>
      </c>
      <c r="G16" s="557">
        <f>[2]Sheet1!M33</f>
        <v>196</v>
      </c>
      <c r="H16" s="557">
        <f>[2]Sheet1!N33</f>
        <v>198</v>
      </c>
      <c r="I16" s="551"/>
      <c r="J16" s="190"/>
      <c r="K16" s="190"/>
      <c r="L16" s="12"/>
      <c r="M16" s="549" t="s">
        <v>397</v>
      </c>
      <c r="N16" s="550"/>
      <c r="O16" s="450"/>
      <c r="P16" s="450"/>
      <c r="Q16" s="556">
        <f>[2]Sheet1!L64</f>
        <v>-0.27123287671236085</v>
      </c>
      <c r="R16" s="557">
        <f>[2]Sheet1!M64</f>
        <v>16.087671232876687</v>
      </c>
      <c r="S16" s="557">
        <f>[2]Sheet1!N64</f>
        <v>41.553424657534606</v>
      </c>
      <c r="T16" s="551"/>
      <c r="U16" s="190"/>
      <c r="V16" s="190"/>
      <c r="W16" s="32"/>
    </row>
    <row r="17" spans="1:29" s="67" customFormat="1" ht="20.100000000000001" customHeight="1" thickBot="1" x14ac:dyDescent="0.25">
      <c r="A17" s="66"/>
      <c r="B17" s="552" t="s">
        <v>398</v>
      </c>
      <c r="C17" s="552"/>
      <c r="D17" s="552"/>
      <c r="E17" s="552"/>
      <c r="F17" s="558">
        <f>F16/F15</f>
        <v>7.067734065095076E-3</v>
      </c>
      <c r="G17" s="559">
        <f t="shared" ref="G17" si="3">G16/G15</f>
        <v>8.5172780855578088E-3</v>
      </c>
      <c r="H17" s="559">
        <f t="shared" ref="H17" si="4">H16/H15</f>
        <v>8.4458462552132098E-3</v>
      </c>
      <c r="I17" s="560">
        <f>AVERAGE(F17:H17)</f>
        <v>8.0102861352886971E-3</v>
      </c>
      <c r="J17" s="190"/>
      <c r="K17" s="190"/>
      <c r="L17" s="12"/>
      <c r="M17" s="552" t="s">
        <v>398</v>
      </c>
      <c r="N17" s="552"/>
      <c r="O17" s="552"/>
      <c r="P17" s="552"/>
      <c r="Q17" s="558">
        <f>Q16/Q15</f>
        <v>-2.969229484949007E-4</v>
      </c>
      <c r="R17" s="559">
        <f t="shared" ref="R17" si="5">R16/R15</f>
        <v>1.747916436179367E-2</v>
      </c>
      <c r="S17" s="559">
        <f t="shared" ref="S17" si="6">S16/S15</f>
        <v>4.4785220217868328E-2</v>
      </c>
      <c r="T17" s="560">
        <f>AVERAGE(Q17:S17)</f>
        <v>2.0655820543722364E-2</v>
      </c>
      <c r="U17" s="190"/>
      <c r="V17" s="190"/>
      <c r="W17" s="32"/>
    </row>
    <row r="18" spans="1:29" s="67" customFormat="1" ht="20.100000000000001" customHeight="1" x14ac:dyDescent="0.2">
      <c r="A18" s="66"/>
      <c r="B18" s="189"/>
      <c r="C18" s="189"/>
      <c r="D18" s="190"/>
      <c r="E18" s="190"/>
      <c r="F18" s="190"/>
      <c r="G18" s="190"/>
      <c r="H18" s="190"/>
      <c r="I18" s="190"/>
      <c r="J18" s="190"/>
      <c r="K18" s="190"/>
      <c r="L18" s="12"/>
      <c r="M18" s="189"/>
      <c r="N18" s="189"/>
      <c r="O18" s="190"/>
      <c r="P18" s="190"/>
      <c r="Q18" s="190"/>
      <c r="R18" s="190"/>
      <c r="S18" s="190"/>
      <c r="T18" s="190"/>
      <c r="U18" s="190"/>
      <c r="V18" s="190"/>
      <c r="W18" s="32"/>
    </row>
    <row r="19" spans="1:29" s="67" customFormat="1" ht="20.100000000000001" customHeight="1" x14ac:dyDescent="0.2">
      <c r="A19" s="66"/>
      <c r="B19" s="180" t="s">
        <v>401</v>
      </c>
      <c r="C19" s="571" t="s">
        <v>104</v>
      </c>
      <c r="D19" s="423"/>
      <c r="E19" s="424"/>
      <c r="F19" s="425">
        <v>2018</v>
      </c>
      <c r="G19" s="424">
        <v>2019</v>
      </c>
      <c r="H19" s="424">
        <v>2020</v>
      </c>
      <c r="I19" s="424">
        <v>2021</v>
      </c>
      <c r="J19" s="561">
        <v>2022</v>
      </c>
      <c r="K19" s="190"/>
      <c r="L19" s="12"/>
      <c r="M19" s="180" t="s">
        <v>401</v>
      </c>
      <c r="N19" s="571" t="s">
        <v>104</v>
      </c>
      <c r="O19" s="423"/>
      <c r="P19" s="424"/>
      <c r="Q19" s="425">
        <v>2018</v>
      </c>
      <c r="R19" s="424">
        <v>2019</v>
      </c>
      <c r="S19" s="424">
        <v>2020</v>
      </c>
      <c r="T19" s="424">
        <v>2021</v>
      </c>
      <c r="U19" s="561">
        <v>2022</v>
      </c>
      <c r="V19" s="190"/>
      <c r="W19" s="32"/>
    </row>
    <row r="20" spans="1:29" s="67" customFormat="1" ht="20.100000000000001" customHeight="1" x14ac:dyDescent="0.2">
      <c r="A20" s="66"/>
      <c r="B20" s="547" t="s">
        <v>391</v>
      </c>
      <c r="C20" s="572" t="s">
        <v>393</v>
      </c>
      <c r="D20" s="553"/>
      <c r="E20" s="553"/>
      <c r="F20" s="554">
        <f>[2]Victoria!G3</f>
        <v>635076.70111133833</v>
      </c>
      <c r="G20" s="555">
        <f>[2]Victoria!H3</f>
        <v>647566.46558638115</v>
      </c>
      <c r="H20" s="555">
        <f>[2]Victoria!I3</f>
        <v>660195.72564996965</v>
      </c>
      <c r="I20" s="555">
        <f>[2]Victoria!J3</f>
        <v>673039.88902241096</v>
      </c>
      <c r="J20" s="562">
        <f>[2]Victoria!K3</f>
        <v>686098.27722916182</v>
      </c>
      <c r="K20" s="190"/>
      <c r="L20" s="12"/>
      <c r="M20" s="547" t="s">
        <v>391</v>
      </c>
      <c r="N20" s="572" t="s">
        <v>393</v>
      </c>
      <c r="O20" s="553"/>
      <c r="P20" s="553"/>
      <c r="Q20" s="554">
        <f>[2]Albury!G3</f>
        <v>21861.560480756787</v>
      </c>
      <c r="R20" s="555">
        <f>[2]Albury!H3</f>
        <v>22266.959835897607</v>
      </c>
      <c r="S20" s="555">
        <f>[2]Albury!I3</f>
        <v>22679.876890303</v>
      </c>
      <c r="T20" s="555">
        <f>[2]Albury!J3</f>
        <v>23100.45105169899</v>
      </c>
      <c r="U20" s="562">
        <f>[2]Albury!K3</f>
        <v>23528.824312979406</v>
      </c>
      <c r="V20" s="190"/>
      <c r="W20" s="32"/>
    </row>
    <row r="21" spans="1:29" s="67" customFormat="1" ht="20.100000000000001" customHeight="1" x14ac:dyDescent="0.2">
      <c r="A21" s="66"/>
      <c r="B21" s="549" t="s">
        <v>392</v>
      </c>
      <c r="C21" s="583" t="s">
        <v>393</v>
      </c>
      <c r="D21" s="557"/>
      <c r="E21" s="557"/>
      <c r="F21" s="556">
        <f>[2]Victoria!G4</f>
        <v>23862.296907240932</v>
      </c>
      <c r="G21" s="557">
        <f>[2]Victoria!H4</f>
        <v>24003.551997969127</v>
      </c>
      <c r="H21" s="557">
        <f>[2]Victoria!I4</f>
        <v>24145.642528274599</v>
      </c>
      <c r="I21" s="557">
        <f>[2]Victoria!J4</f>
        <v>24288.575374519882</v>
      </c>
      <c r="J21" s="563">
        <f>[2]Victoria!K4</f>
        <v>24432.357495114418</v>
      </c>
      <c r="K21" s="190"/>
      <c r="L21" s="12"/>
      <c r="M21" s="549" t="s">
        <v>392</v>
      </c>
      <c r="N21" s="583" t="str">
        <f>C21</f>
        <v>Core Energy, Attachment 13.2</v>
      </c>
      <c r="O21" s="557"/>
      <c r="P21" s="557"/>
      <c r="Q21" s="556">
        <f>[2]Albury!G4</f>
        <v>938.62336330032122</v>
      </c>
      <c r="R21" s="557">
        <f>[2]Albury!H4</f>
        <v>944.0630195271068</v>
      </c>
      <c r="S21" s="557">
        <f>[2]Albury!I4</f>
        <v>949.53420049642762</v>
      </c>
      <c r="T21" s="557">
        <f>[2]Albury!J4</f>
        <v>955.03708890537894</v>
      </c>
      <c r="U21" s="563">
        <f>[2]Albury!K4</f>
        <v>960.57186850985079</v>
      </c>
      <c r="V21" s="190"/>
      <c r="W21" s="32"/>
    </row>
    <row r="22" spans="1:29" s="67" customFormat="1" ht="20.100000000000001" customHeight="1" x14ac:dyDescent="0.2">
      <c r="A22" s="66"/>
      <c r="B22" s="547"/>
      <c r="C22" s="547"/>
      <c r="D22" s="547"/>
      <c r="E22" s="547"/>
      <c r="F22" s="547"/>
      <c r="G22" s="547"/>
      <c r="H22" s="547"/>
      <c r="I22" s="547"/>
      <c r="J22" s="547"/>
      <c r="K22" s="547"/>
      <c r="L22" s="12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32"/>
    </row>
    <row r="23" spans="1:29" s="67" customFormat="1" ht="20.100000000000001" customHeight="1" x14ac:dyDescent="0.2">
      <c r="A23" s="66"/>
      <c r="B23" s="180" t="s">
        <v>391</v>
      </c>
      <c r="C23" s="571" t="s">
        <v>104</v>
      </c>
      <c r="D23" s="423"/>
      <c r="E23" s="424"/>
      <c r="F23" s="425">
        <v>2018</v>
      </c>
      <c r="G23" s="424">
        <v>2019</v>
      </c>
      <c r="H23" s="424">
        <v>2020</v>
      </c>
      <c r="I23" s="424">
        <v>2021</v>
      </c>
      <c r="J23" s="424">
        <v>2022</v>
      </c>
      <c r="K23" s="425" t="s">
        <v>96</v>
      </c>
      <c r="L23" s="12"/>
      <c r="M23" s="180" t="s">
        <v>391</v>
      </c>
      <c r="N23" s="571" t="s">
        <v>104</v>
      </c>
      <c r="O23" s="423"/>
      <c r="P23" s="424"/>
      <c r="Q23" s="425">
        <v>2018</v>
      </c>
      <c r="R23" s="424">
        <v>2019</v>
      </c>
      <c r="S23" s="424">
        <v>2020</v>
      </c>
      <c r="T23" s="424">
        <v>2021</v>
      </c>
      <c r="U23" s="424">
        <v>2022</v>
      </c>
      <c r="V23" s="425" t="s">
        <v>96</v>
      </c>
      <c r="W23" s="32"/>
    </row>
    <row r="24" spans="1:29" s="67" customFormat="1" ht="20.100000000000001" customHeight="1" x14ac:dyDescent="0.2">
      <c r="A24" s="66"/>
      <c r="B24" s="547" t="s">
        <v>395</v>
      </c>
      <c r="C24" s="548" t="s">
        <v>393</v>
      </c>
      <c r="D24" s="553"/>
      <c r="E24" s="553"/>
      <c r="F24" s="554">
        <f>[2]Victoria!G57</f>
        <v>13026.777664917528</v>
      </c>
      <c r="G24" s="555">
        <f>[2]Victoria!H57</f>
        <v>12489.764475042635</v>
      </c>
      <c r="H24" s="555">
        <f>[2]Victoria!I57</f>
        <v>12629.260063588577</v>
      </c>
      <c r="I24" s="555">
        <f>[2]Victoria!J57</f>
        <v>12844.163372441417</v>
      </c>
      <c r="J24" s="562">
        <f>[2]Victoria!K57</f>
        <v>13058.388206750589</v>
      </c>
      <c r="K24" s="553">
        <f>SUM(F24:J24)</f>
        <v>64048.353782740742</v>
      </c>
      <c r="L24" s="12"/>
      <c r="M24" s="547" t="s">
        <v>395</v>
      </c>
      <c r="N24" s="548" t="s">
        <v>393</v>
      </c>
      <c r="O24" s="553"/>
      <c r="P24" s="553"/>
      <c r="Q24" s="554">
        <f>[2]Albury!G81</f>
        <v>398.01852550085823</v>
      </c>
      <c r="R24" s="555">
        <f>[2]Albury!H81</f>
        <v>405.39935514082026</v>
      </c>
      <c r="S24" s="555">
        <f>[2]Albury!I81</f>
        <v>412.91705440539226</v>
      </c>
      <c r="T24" s="555">
        <f>[2]Albury!J81</f>
        <v>420.57416139599081</v>
      </c>
      <c r="U24" s="562">
        <f>[2]Albury!K81</f>
        <v>428.37326128041605</v>
      </c>
      <c r="V24" s="553">
        <f>SUM(Q24:U24)</f>
        <v>2065.2823577234776</v>
      </c>
      <c r="W24" s="32"/>
    </row>
    <row r="25" spans="1:29" s="67" customFormat="1" ht="20.100000000000001" customHeight="1" x14ac:dyDescent="0.2">
      <c r="A25" s="66"/>
      <c r="B25" s="547" t="s">
        <v>394</v>
      </c>
      <c r="C25" s="548" t="s">
        <v>297</v>
      </c>
      <c r="D25" s="553"/>
      <c r="E25" s="553"/>
      <c r="F25" s="564">
        <f t="shared" ref="F25:J25" si="7">F20*$I$12</f>
        <v>2237.71649091072</v>
      </c>
      <c r="G25" s="565">
        <f t="shared" si="7"/>
        <v>2281.7246428150274</v>
      </c>
      <c r="H25" s="565">
        <f t="shared" si="7"/>
        <v>2326.2243126389053</v>
      </c>
      <c r="I25" s="565">
        <f t="shared" si="7"/>
        <v>2371.4812023030477</v>
      </c>
      <c r="J25" s="566">
        <f t="shared" si="7"/>
        <v>2417.492921177045</v>
      </c>
      <c r="K25" s="553">
        <f>SUM(F25:J25)</f>
        <v>11634.639569844747</v>
      </c>
      <c r="L25" s="12"/>
      <c r="M25" s="547" t="s">
        <v>394</v>
      </c>
      <c r="N25" s="548" t="s">
        <v>297</v>
      </c>
      <c r="O25" s="553"/>
      <c r="P25" s="553"/>
      <c r="Q25" s="564">
        <f t="shared" ref="Q25:U25" si="8">Q20*$T$12</f>
        <v>51.803539667786751</v>
      </c>
      <c r="R25" s="565">
        <f t="shared" si="8"/>
        <v>52.76418113680807</v>
      </c>
      <c r="S25" s="565">
        <f t="shared" si="8"/>
        <v>53.742636678727138</v>
      </c>
      <c r="T25" s="565">
        <f t="shared" si="8"/>
        <v>54.739236636552711</v>
      </c>
      <c r="U25" s="566">
        <f t="shared" si="8"/>
        <v>55.754317479152789</v>
      </c>
      <c r="V25" s="553">
        <f>SUM(Q25:U25)</f>
        <v>268.80391159902746</v>
      </c>
      <c r="W25" s="32"/>
    </row>
    <row r="26" spans="1:29" s="67" customFormat="1" ht="20.100000000000001" customHeight="1" thickBot="1" x14ac:dyDescent="0.25">
      <c r="A26" s="66"/>
      <c r="B26" s="552" t="s">
        <v>403</v>
      </c>
      <c r="C26" s="552"/>
      <c r="D26" s="567"/>
      <c r="E26" s="567"/>
      <c r="F26" s="568">
        <f t="shared" ref="F26:K26" si="9">SUM(F24:F25)</f>
        <v>15264.494155828248</v>
      </c>
      <c r="G26" s="567">
        <f t="shared" si="9"/>
        <v>14771.489117857662</v>
      </c>
      <c r="H26" s="567">
        <f t="shared" si="9"/>
        <v>14955.484376227483</v>
      </c>
      <c r="I26" s="567">
        <f t="shared" si="9"/>
        <v>15215.644574744465</v>
      </c>
      <c r="J26" s="569">
        <f t="shared" si="9"/>
        <v>15475.881127927634</v>
      </c>
      <c r="K26" s="567">
        <f t="shared" si="9"/>
        <v>75682.993352585487</v>
      </c>
      <c r="L26" s="12"/>
      <c r="M26" s="552" t="s">
        <v>403</v>
      </c>
      <c r="N26" s="552"/>
      <c r="O26" s="567"/>
      <c r="P26" s="567"/>
      <c r="Q26" s="568">
        <f t="shared" ref="Q26" si="10">SUM(Q24:Q25)</f>
        <v>449.822065168645</v>
      </c>
      <c r="R26" s="567">
        <f t="shared" ref="R26" si="11">SUM(R24:R25)</f>
        <v>458.16353627762834</v>
      </c>
      <c r="S26" s="567">
        <f t="shared" ref="S26" si="12">SUM(S24:S25)</f>
        <v>466.6596910841194</v>
      </c>
      <c r="T26" s="567">
        <f t="shared" ref="T26" si="13">SUM(T24:T25)</f>
        <v>475.31339803254355</v>
      </c>
      <c r="U26" s="569">
        <f t="shared" ref="U26" si="14">SUM(U24:U25)</f>
        <v>484.12757875956885</v>
      </c>
      <c r="V26" s="567">
        <f t="shared" ref="V26" si="15">SUM(V24:V25)</f>
        <v>2334.0862693225049</v>
      </c>
      <c r="W26" s="32"/>
    </row>
    <row r="27" spans="1:29" s="67" customFormat="1" ht="20.100000000000001" customHeight="1" x14ac:dyDescent="0.2">
      <c r="A27" s="66"/>
      <c r="B27" s="547"/>
      <c r="C27" s="547"/>
      <c r="D27" s="547"/>
      <c r="E27" s="547"/>
      <c r="F27" s="547"/>
      <c r="G27" s="547"/>
      <c r="H27" s="547"/>
      <c r="I27" s="547"/>
      <c r="J27" s="547"/>
      <c r="K27" s="547"/>
      <c r="L27" s="12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32"/>
    </row>
    <row r="28" spans="1:29" s="67" customFormat="1" ht="20.100000000000001" customHeight="1" x14ac:dyDescent="0.2">
      <c r="A28" s="66"/>
      <c r="B28" s="180" t="s">
        <v>392</v>
      </c>
      <c r="C28" s="571" t="s">
        <v>104</v>
      </c>
      <c r="D28" s="423"/>
      <c r="E28" s="424"/>
      <c r="F28" s="425">
        <v>2018</v>
      </c>
      <c r="G28" s="424">
        <v>2019</v>
      </c>
      <c r="H28" s="424">
        <v>2020</v>
      </c>
      <c r="I28" s="424">
        <v>2021</v>
      </c>
      <c r="J28" s="424">
        <v>2022</v>
      </c>
      <c r="K28" s="425" t="s">
        <v>96</v>
      </c>
      <c r="L28" s="12"/>
      <c r="M28" s="180" t="s">
        <v>392</v>
      </c>
      <c r="N28" s="571" t="s">
        <v>104</v>
      </c>
      <c r="O28" s="423"/>
      <c r="P28" s="424"/>
      <c r="Q28" s="425">
        <v>2018</v>
      </c>
      <c r="R28" s="424">
        <v>2019</v>
      </c>
      <c r="S28" s="424">
        <v>2020</v>
      </c>
      <c r="T28" s="424">
        <v>2021</v>
      </c>
      <c r="U28" s="424">
        <v>2022</v>
      </c>
      <c r="V28" s="425" t="s">
        <v>96</v>
      </c>
      <c r="W28" s="32"/>
    </row>
    <row r="29" spans="1:29" s="67" customFormat="1" ht="20.100000000000001" customHeight="1" x14ac:dyDescent="0.2">
      <c r="A29" s="66"/>
      <c r="B29" s="547" t="s">
        <v>395</v>
      </c>
      <c r="C29" s="548" t="s">
        <v>393</v>
      </c>
      <c r="D29" s="553"/>
      <c r="E29" s="553"/>
      <c r="F29" s="554">
        <f>[2]Victoria!G14</f>
        <v>140.42644677308863</v>
      </c>
      <c r="G29" s="555">
        <f>[2]Victoria!H14</f>
        <v>141.25509072819312</v>
      </c>
      <c r="H29" s="555">
        <f>[2]Victoria!I14</f>
        <v>142.09053030547108</v>
      </c>
      <c r="I29" s="555">
        <f>[2]Victoria!J14</f>
        <v>142.93284624528712</v>
      </c>
      <c r="J29" s="562">
        <f>[2]Victoria!K14</f>
        <v>143.78212059453335</v>
      </c>
      <c r="K29" s="553">
        <f>SUM(F29:J29)</f>
        <v>710.48703464657331</v>
      </c>
      <c r="L29" s="12"/>
      <c r="M29" s="547" t="s">
        <v>395</v>
      </c>
      <c r="N29" s="548" t="s">
        <v>393</v>
      </c>
      <c r="O29" s="553"/>
      <c r="P29" s="553"/>
      <c r="Q29" s="554">
        <f>[2]Albury!G86</f>
        <v>5.439656226785587</v>
      </c>
      <c r="R29" s="555">
        <f>[2]Albury!H86</f>
        <v>5.4711809693208124</v>
      </c>
      <c r="S29" s="555">
        <f>[2]Albury!I86</f>
        <v>5.5028884089513213</v>
      </c>
      <c r="T29" s="555">
        <f>[2]Albury!J86</f>
        <v>5.5347796044718507</v>
      </c>
      <c r="U29" s="562">
        <f>[2]Albury!K86</f>
        <v>5.5668556208129303</v>
      </c>
      <c r="V29" s="553">
        <f>SUM(Q29:U29)</f>
        <v>27.515360830342502</v>
      </c>
      <c r="W29" s="32"/>
    </row>
    <row r="30" spans="1:29" s="67" customFormat="1" ht="20.100000000000001" customHeight="1" x14ac:dyDescent="0.2">
      <c r="A30" s="66"/>
      <c r="B30" s="547" t="s">
        <v>394</v>
      </c>
      <c r="C30" s="548" t="s">
        <v>297</v>
      </c>
      <c r="D30" s="553"/>
      <c r="E30" s="553"/>
      <c r="F30" s="564">
        <f t="shared" ref="F30:J30" si="16">F21*$I$17</f>
        <v>191.14382607221441</v>
      </c>
      <c r="G30" s="565">
        <f t="shared" si="16"/>
        <v>192.2753197670134</v>
      </c>
      <c r="H30" s="565">
        <f t="shared" si="16"/>
        <v>193.41350557187513</v>
      </c>
      <c r="I30" s="565">
        <f t="shared" si="16"/>
        <v>194.55843856843109</v>
      </c>
      <c r="J30" s="566">
        <f t="shared" si="16"/>
        <v>195.7101744955319</v>
      </c>
      <c r="K30" s="553">
        <f>SUM(F30:J30)</f>
        <v>967.10126447506582</v>
      </c>
      <c r="L30" s="12"/>
      <c r="M30" s="547" t="s">
        <v>394</v>
      </c>
      <c r="N30" s="548" t="s">
        <v>297</v>
      </c>
      <c r="O30" s="553"/>
      <c r="P30" s="553"/>
      <c r="Q30" s="564">
        <f t="shared" ref="Q30:U30" si="17">Q21*$T$17</f>
        <v>19.388035750476554</v>
      </c>
      <c r="R30" s="565">
        <f t="shared" si="17"/>
        <v>19.500396313316578</v>
      </c>
      <c r="S30" s="565">
        <f t="shared" si="17"/>
        <v>19.6134080455811</v>
      </c>
      <c r="T30" s="565">
        <f t="shared" si="17"/>
        <v>19.727074721028529</v>
      </c>
      <c r="U30" s="566">
        <f t="shared" si="17"/>
        <v>19.841400135287554</v>
      </c>
      <c r="V30" s="553">
        <f>SUM(Q30:U30)</f>
        <v>98.070314965690315</v>
      </c>
      <c r="W30" s="32"/>
    </row>
    <row r="31" spans="1:29" s="67" customFormat="1" ht="20.100000000000001" customHeight="1" thickBot="1" x14ac:dyDescent="0.25">
      <c r="A31" s="66"/>
      <c r="B31" s="552" t="s">
        <v>403</v>
      </c>
      <c r="C31" s="552"/>
      <c r="D31" s="570"/>
      <c r="E31" s="567"/>
      <c r="F31" s="568">
        <f t="shared" ref="F31:K31" si="18">SUM(F29:F30)</f>
        <v>331.57027284530307</v>
      </c>
      <c r="G31" s="567">
        <f t="shared" si="18"/>
        <v>333.53041049520652</v>
      </c>
      <c r="H31" s="567">
        <f t="shared" si="18"/>
        <v>335.50403587734621</v>
      </c>
      <c r="I31" s="567">
        <f t="shared" si="18"/>
        <v>337.49128481371821</v>
      </c>
      <c r="J31" s="569">
        <f t="shared" si="18"/>
        <v>339.49229509006523</v>
      </c>
      <c r="K31" s="567">
        <f t="shared" si="18"/>
        <v>1677.588299121639</v>
      </c>
      <c r="L31" s="12"/>
      <c r="M31" s="552" t="s">
        <v>403</v>
      </c>
      <c r="N31" s="552"/>
      <c r="O31" s="570"/>
      <c r="P31" s="567"/>
      <c r="Q31" s="568">
        <f t="shared" ref="Q31" si="19">SUM(Q29:Q30)</f>
        <v>24.827691977262141</v>
      </c>
      <c r="R31" s="567">
        <f t="shared" ref="R31" si="20">SUM(R29:R30)</f>
        <v>24.971577282637391</v>
      </c>
      <c r="S31" s="567">
        <f t="shared" ref="S31" si="21">SUM(S29:S30)</f>
        <v>25.116296454532421</v>
      </c>
      <c r="T31" s="567">
        <f t="shared" ref="T31" si="22">SUM(T29:T30)</f>
        <v>25.26185432550038</v>
      </c>
      <c r="U31" s="569">
        <f t="shared" ref="U31" si="23">SUM(U29:U30)</f>
        <v>25.408255756100484</v>
      </c>
      <c r="V31" s="567">
        <f t="shared" ref="V31" si="24">SUM(V29:V30)</f>
        <v>125.58567579603282</v>
      </c>
      <c r="W31" s="32"/>
    </row>
    <row r="32" spans="1:29" s="67" customFormat="1" ht="20.100000000000001" customHeight="1" x14ac:dyDescent="0.2">
      <c r="A32" s="66"/>
      <c r="B32" s="68"/>
      <c r="C32" s="68"/>
      <c r="D32" s="12"/>
      <c r="E32" s="12"/>
      <c r="F32" s="472">
        <f>F26+F31</f>
        <v>15596.064428673551</v>
      </c>
      <c r="G32" s="472">
        <f t="shared" ref="G32:J32" si="25">G26+G31</f>
        <v>15105.019528352868</v>
      </c>
      <c r="H32" s="472">
        <f t="shared" si="25"/>
        <v>15290.988412104829</v>
      </c>
      <c r="I32" s="472">
        <f t="shared" si="25"/>
        <v>15553.135859558182</v>
      </c>
      <c r="J32" s="472">
        <f t="shared" si="25"/>
        <v>15815.3734230177</v>
      </c>
      <c r="K32" s="12"/>
      <c r="L32" s="12"/>
      <c r="M32" s="68"/>
      <c r="N32" s="68"/>
      <c r="O32" s="12"/>
      <c r="P32" s="12"/>
      <c r="Q32" s="472">
        <f>Q26+Q31</f>
        <v>474.64975714590713</v>
      </c>
      <c r="R32" s="472">
        <f t="shared" ref="R32:U32" si="26">R26+R31</f>
        <v>483.13511356026572</v>
      </c>
      <c r="S32" s="472">
        <f t="shared" si="26"/>
        <v>491.7759875386518</v>
      </c>
      <c r="T32" s="472">
        <f t="shared" si="26"/>
        <v>500.57525235804394</v>
      </c>
      <c r="U32" s="472">
        <f t="shared" si="26"/>
        <v>509.53583451566931</v>
      </c>
      <c r="V32" s="12"/>
      <c r="W32" s="32"/>
      <c r="X32" s="331"/>
      <c r="Y32" s="331"/>
      <c r="Z32" s="331"/>
      <c r="AA32" s="331"/>
      <c r="AB32" s="331"/>
      <c r="AC32" s="331"/>
    </row>
    <row r="33" spans="1:23" s="67" customFormat="1" ht="27" customHeight="1" x14ac:dyDescent="0.2">
      <c r="A33" s="66"/>
      <c r="B33" s="357" t="s">
        <v>334</v>
      </c>
      <c r="C33" s="357"/>
      <c r="D33" s="358"/>
      <c r="E33" s="358"/>
      <c r="F33" s="358"/>
      <c r="G33" s="358"/>
      <c r="H33" s="358"/>
      <c r="I33" s="358"/>
      <c r="J33" s="358"/>
      <c r="K33" s="358"/>
      <c r="L33" s="12"/>
      <c r="M33" s="357" t="s">
        <v>334</v>
      </c>
      <c r="N33" s="357"/>
      <c r="O33" s="358"/>
      <c r="P33" s="358"/>
      <c r="Q33" s="358"/>
      <c r="R33" s="358"/>
      <c r="S33" s="358"/>
      <c r="T33" s="358"/>
      <c r="U33" s="358"/>
      <c r="V33" s="358"/>
      <c r="W33" s="32"/>
    </row>
    <row r="34" spans="1:23" s="67" customFormat="1" ht="20.100000000000001" customHeight="1" x14ac:dyDescent="0.2">
      <c r="A34" s="66"/>
      <c r="B34" s="68"/>
      <c r="C34" s="68"/>
      <c r="D34" s="12"/>
      <c r="E34" s="12"/>
      <c r="F34" s="12"/>
      <c r="G34" s="12"/>
      <c r="H34" s="12"/>
      <c r="I34" s="12"/>
      <c r="J34" s="12"/>
      <c r="K34" s="12"/>
      <c r="L34" s="12"/>
      <c r="M34" s="68"/>
      <c r="N34" s="68"/>
      <c r="O34" s="12"/>
      <c r="P34" s="12"/>
      <c r="Q34" s="12"/>
      <c r="R34" s="12"/>
      <c r="S34" s="12"/>
      <c r="T34" s="12"/>
      <c r="U34" s="12"/>
      <c r="V34" s="32"/>
      <c r="W34" s="32"/>
    </row>
    <row r="35" spans="1:23" s="67" customFormat="1" ht="20.100000000000001" customHeight="1" x14ac:dyDescent="0.2">
      <c r="A35" s="66"/>
      <c r="B35" s="180" t="s">
        <v>388</v>
      </c>
      <c r="C35" s="185"/>
      <c r="D35" s="423"/>
      <c r="E35" s="424"/>
      <c r="F35" s="425">
        <v>2018</v>
      </c>
      <c r="G35" s="424">
        <v>2019</v>
      </c>
      <c r="H35" s="424">
        <v>2020</v>
      </c>
      <c r="I35" s="424">
        <v>2021</v>
      </c>
      <c r="J35" s="424">
        <v>2022</v>
      </c>
      <c r="K35" s="425" t="s">
        <v>96</v>
      </c>
      <c r="L35" s="12"/>
      <c r="M35" s="180" t="str">
        <f>B35</f>
        <v>Core Forecasts</v>
      </c>
      <c r="N35" s="185"/>
      <c r="O35" s="423"/>
      <c r="P35" s="424"/>
      <c r="Q35" s="425">
        <v>2018</v>
      </c>
      <c r="R35" s="424">
        <v>2019</v>
      </c>
      <c r="S35" s="424">
        <v>2020</v>
      </c>
      <c r="T35" s="424">
        <v>2021</v>
      </c>
      <c r="U35" s="424">
        <v>2022</v>
      </c>
      <c r="V35" s="425" t="s">
        <v>96</v>
      </c>
      <c r="W35" s="32"/>
    </row>
    <row r="36" spans="1:23" s="67" customFormat="1" ht="20.100000000000001" customHeight="1" x14ac:dyDescent="0.2">
      <c r="A36" s="66"/>
      <c r="B36" s="12" t="s">
        <v>306</v>
      </c>
      <c r="C36" s="12"/>
      <c r="D36" s="15"/>
      <c r="E36" s="15"/>
      <c r="F36" s="16">
        <f t="shared" ref="F36:J36" si="27">F26</f>
        <v>15264.494155828248</v>
      </c>
      <c r="G36" s="17">
        <f t="shared" si="27"/>
        <v>14771.489117857662</v>
      </c>
      <c r="H36" s="17">
        <f t="shared" si="27"/>
        <v>14955.484376227483</v>
      </c>
      <c r="I36" s="17">
        <f t="shared" si="27"/>
        <v>15215.644574744465</v>
      </c>
      <c r="J36" s="17">
        <f t="shared" si="27"/>
        <v>15475.881127927634</v>
      </c>
      <c r="K36" s="16">
        <f>SUM(F36:J36)</f>
        <v>75682.993352585501</v>
      </c>
      <c r="L36" s="12"/>
      <c r="M36" s="12" t="str">
        <f>B36</f>
        <v>New Residential Connections</v>
      </c>
      <c r="N36" s="12"/>
      <c r="O36" s="15"/>
      <c r="P36" s="15"/>
      <c r="Q36" s="16">
        <f t="shared" ref="Q36:U36" si="28">Q26</f>
        <v>449.822065168645</v>
      </c>
      <c r="R36" s="17">
        <f t="shared" si="28"/>
        <v>458.16353627762834</v>
      </c>
      <c r="S36" s="17">
        <f t="shared" si="28"/>
        <v>466.6596910841194</v>
      </c>
      <c r="T36" s="17">
        <f t="shared" si="28"/>
        <v>475.31339803254355</v>
      </c>
      <c r="U36" s="17">
        <f t="shared" si="28"/>
        <v>484.12757875956885</v>
      </c>
      <c r="V36" s="16">
        <f>SUM(Q36:U36)</f>
        <v>2334.0862693225049</v>
      </c>
      <c r="W36" s="32"/>
    </row>
    <row r="37" spans="1:23" s="67" customFormat="1" ht="20.100000000000001" customHeight="1" x14ac:dyDescent="0.2">
      <c r="A37" s="66"/>
      <c r="B37" s="12" t="s">
        <v>307</v>
      </c>
      <c r="C37" s="12"/>
      <c r="D37" s="15"/>
      <c r="E37" s="15"/>
      <c r="F37" s="16">
        <f t="shared" ref="F37:J37" si="29">F31</f>
        <v>331.57027284530307</v>
      </c>
      <c r="G37" s="17">
        <f t="shared" si="29"/>
        <v>333.53041049520652</v>
      </c>
      <c r="H37" s="17">
        <f t="shared" si="29"/>
        <v>335.50403587734621</v>
      </c>
      <c r="I37" s="17">
        <f t="shared" si="29"/>
        <v>337.49128481371821</v>
      </c>
      <c r="J37" s="17">
        <f t="shared" si="29"/>
        <v>339.49229509006523</v>
      </c>
      <c r="K37" s="16">
        <f>SUM(F37:J37)</f>
        <v>1677.5882991216392</v>
      </c>
      <c r="L37" s="12"/>
      <c r="M37" s="12" t="str">
        <f>B37</f>
        <v>New Commercial Connections</v>
      </c>
      <c r="N37" s="12"/>
      <c r="O37" s="15"/>
      <c r="P37" s="15"/>
      <c r="Q37" s="16">
        <f t="shared" ref="Q37:U37" si="30">Q31</f>
        <v>24.827691977262141</v>
      </c>
      <c r="R37" s="17">
        <f t="shared" si="30"/>
        <v>24.971577282637391</v>
      </c>
      <c r="S37" s="17">
        <f t="shared" si="30"/>
        <v>25.116296454532421</v>
      </c>
      <c r="T37" s="17">
        <f t="shared" si="30"/>
        <v>25.26185432550038</v>
      </c>
      <c r="U37" s="17">
        <f t="shared" si="30"/>
        <v>25.408255756100484</v>
      </c>
      <c r="V37" s="16">
        <f>SUM(Q37:U37)</f>
        <v>125.58567579603282</v>
      </c>
      <c r="W37" s="32"/>
    </row>
    <row r="38" spans="1:23" s="67" customFormat="1" ht="20.100000000000001" customHeight="1" thickBot="1" x14ac:dyDescent="0.25">
      <c r="A38" s="66"/>
      <c r="B38" s="25" t="s">
        <v>86</v>
      </c>
      <c r="C38" s="25"/>
      <c r="D38" s="27"/>
      <c r="E38" s="27"/>
      <c r="F38" s="26">
        <f t="shared" ref="F38:J38" si="31">SUM(F36:F37)</f>
        <v>15596.064428673551</v>
      </c>
      <c r="G38" s="27">
        <f t="shared" si="31"/>
        <v>15105.019528352868</v>
      </c>
      <c r="H38" s="27">
        <f t="shared" si="31"/>
        <v>15290.988412104829</v>
      </c>
      <c r="I38" s="27">
        <f t="shared" si="31"/>
        <v>15553.135859558182</v>
      </c>
      <c r="J38" s="27">
        <f t="shared" si="31"/>
        <v>15815.3734230177</v>
      </c>
      <c r="K38" s="26">
        <f>SUM(K36:K37)</f>
        <v>77360.581651707136</v>
      </c>
      <c r="L38" s="12"/>
      <c r="M38" s="25" t="s">
        <v>86</v>
      </c>
      <c r="N38" s="25"/>
      <c r="O38" s="27"/>
      <c r="P38" s="27"/>
      <c r="Q38" s="26">
        <f t="shared" ref="Q38:U38" si="32">SUM(Q36:Q37)</f>
        <v>474.64975714590713</v>
      </c>
      <c r="R38" s="27">
        <f t="shared" si="32"/>
        <v>483.13511356026572</v>
      </c>
      <c r="S38" s="27">
        <f t="shared" si="32"/>
        <v>491.7759875386518</v>
      </c>
      <c r="T38" s="27">
        <f t="shared" si="32"/>
        <v>500.57525235804394</v>
      </c>
      <c r="U38" s="27">
        <f t="shared" si="32"/>
        <v>509.53583451566931</v>
      </c>
      <c r="V38" s="26">
        <f>SUM(Q38:U38)</f>
        <v>2459.6719451185377</v>
      </c>
      <c r="W38" s="32"/>
    </row>
    <row r="39" spans="1:23" s="67" customFormat="1" ht="20.100000000000001" customHeight="1" x14ac:dyDescent="0.2">
      <c r="A39" s="6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2"/>
      <c r="W39" s="32"/>
    </row>
    <row r="40" spans="1:23" s="67" customFormat="1" ht="20.100000000000001" customHeight="1" x14ac:dyDescent="0.2">
      <c r="A40" s="12"/>
      <c r="B40" s="180" t="s">
        <v>389</v>
      </c>
      <c r="C40" s="185"/>
      <c r="D40" s="423"/>
      <c r="E40" s="424"/>
      <c r="F40" s="425">
        <v>2018</v>
      </c>
      <c r="G40" s="424">
        <v>2109</v>
      </c>
      <c r="H40" s="424">
        <v>2020</v>
      </c>
      <c r="I40" s="424">
        <v>2021</v>
      </c>
      <c r="J40" s="424">
        <v>2022</v>
      </c>
      <c r="K40" s="425" t="s">
        <v>96</v>
      </c>
      <c r="L40" s="12"/>
      <c r="M40" s="180" t="str">
        <f>B40</f>
        <v>New Meter Forecasts</v>
      </c>
      <c r="N40" s="185"/>
      <c r="O40" s="423"/>
      <c r="P40" s="424"/>
      <c r="Q40" s="425">
        <v>2018</v>
      </c>
      <c r="R40" s="424">
        <v>2109</v>
      </c>
      <c r="S40" s="424">
        <v>2020</v>
      </c>
      <c r="T40" s="424">
        <v>2021</v>
      </c>
      <c r="U40" s="424">
        <v>2022</v>
      </c>
      <c r="V40" s="425" t="s">
        <v>96</v>
      </c>
      <c r="W40" s="32"/>
    </row>
    <row r="41" spans="1:23" s="67" customFormat="1" ht="20.100000000000001" customHeight="1" x14ac:dyDescent="0.2">
      <c r="A41" s="12"/>
      <c r="B41" s="81" t="s">
        <v>330</v>
      </c>
      <c r="C41" s="81"/>
      <c r="D41" s="17"/>
      <c r="E41" s="18"/>
      <c r="F41" s="472">
        <f t="shared" ref="F41:J42" si="33">F36</f>
        <v>15264.494155828248</v>
      </c>
      <c r="G41" s="472">
        <f t="shared" si="33"/>
        <v>14771.489117857662</v>
      </c>
      <c r="H41" s="472">
        <f t="shared" si="33"/>
        <v>14955.484376227483</v>
      </c>
      <c r="I41" s="472">
        <f t="shared" si="33"/>
        <v>15215.644574744465</v>
      </c>
      <c r="J41" s="472">
        <f t="shared" si="33"/>
        <v>15475.881127927634</v>
      </c>
      <c r="K41" s="16">
        <f>SUM(F41:J41)</f>
        <v>75682.993352585501</v>
      </c>
      <c r="L41" s="12"/>
      <c r="M41" s="81" t="str">
        <f>B41</f>
        <v>Domestic</v>
      </c>
      <c r="N41" s="81"/>
      <c r="O41" s="17"/>
      <c r="P41" s="18"/>
      <c r="Q41" s="472">
        <f t="shared" ref="Q41:U42" si="34">Q36</f>
        <v>449.822065168645</v>
      </c>
      <c r="R41" s="472">
        <f t="shared" si="34"/>
        <v>458.16353627762834</v>
      </c>
      <c r="S41" s="472">
        <f t="shared" si="34"/>
        <v>466.6596910841194</v>
      </c>
      <c r="T41" s="472">
        <f t="shared" si="34"/>
        <v>475.31339803254355</v>
      </c>
      <c r="U41" s="472">
        <f t="shared" si="34"/>
        <v>484.12757875956885</v>
      </c>
      <c r="V41" s="16">
        <f>SUM(Q41:U41)</f>
        <v>2334.0862693225049</v>
      </c>
      <c r="W41" s="32"/>
    </row>
    <row r="42" spans="1:23" s="67" customFormat="1" ht="20.100000000000001" customHeight="1" x14ac:dyDescent="0.2">
      <c r="A42" s="12"/>
      <c r="B42" s="81" t="s">
        <v>331</v>
      </c>
      <c r="C42" s="81"/>
      <c r="D42" s="17"/>
      <c r="E42" s="18"/>
      <c r="F42" s="472">
        <f t="shared" si="33"/>
        <v>331.57027284530307</v>
      </c>
      <c r="G42" s="472">
        <f t="shared" si="33"/>
        <v>333.53041049520652</v>
      </c>
      <c r="H42" s="472">
        <f t="shared" si="33"/>
        <v>335.50403587734621</v>
      </c>
      <c r="I42" s="472">
        <f t="shared" si="33"/>
        <v>337.49128481371821</v>
      </c>
      <c r="J42" s="472">
        <f t="shared" si="33"/>
        <v>339.49229509006523</v>
      </c>
      <c r="K42" s="16">
        <f>SUM(F42:J42)</f>
        <v>1677.5882991216392</v>
      </c>
      <c r="L42" s="12"/>
      <c r="M42" s="81" t="str">
        <f>B42</f>
        <v>Non-Domestic</v>
      </c>
      <c r="N42" s="81"/>
      <c r="O42" s="17"/>
      <c r="P42" s="18"/>
      <c r="Q42" s="472">
        <f t="shared" si="34"/>
        <v>24.827691977262141</v>
      </c>
      <c r="R42" s="472">
        <f t="shared" si="34"/>
        <v>24.971577282637391</v>
      </c>
      <c r="S42" s="472">
        <f t="shared" si="34"/>
        <v>25.116296454532421</v>
      </c>
      <c r="T42" s="472">
        <f t="shared" si="34"/>
        <v>25.26185432550038</v>
      </c>
      <c r="U42" s="472">
        <f t="shared" si="34"/>
        <v>25.408255756100484</v>
      </c>
      <c r="V42" s="16">
        <f>SUM(Q42:U42)</f>
        <v>125.58567579603282</v>
      </c>
      <c r="W42" s="32"/>
    </row>
    <row r="43" spans="1:23" s="67" customFormat="1" ht="20.100000000000001" customHeight="1" thickBot="1" x14ac:dyDescent="0.25">
      <c r="A43" s="66"/>
      <c r="B43" s="25" t="s">
        <v>333</v>
      </c>
      <c r="C43" s="25"/>
      <c r="D43" s="27"/>
      <c r="E43" s="27"/>
      <c r="F43" s="26">
        <f>SUM(F41:F42)</f>
        <v>15596.064428673551</v>
      </c>
      <c r="G43" s="27">
        <f t="shared" ref="G43:J43" si="35">SUM(G41:G42)</f>
        <v>15105.019528352868</v>
      </c>
      <c r="H43" s="27">
        <f t="shared" si="35"/>
        <v>15290.988412104829</v>
      </c>
      <c r="I43" s="27">
        <f t="shared" si="35"/>
        <v>15553.135859558182</v>
      </c>
      <c r="J43" s="27">
        <f t="shared" si="35"/>
        <v>15815.3734230177</v>
      </c>
      <c r="K43" s="26">
        <f>SUM(K41:K42)</f>
        <v>77360.581651707136</v>
      </c>
      <c r="L43" s="12"/>
      <c r="M43" s="25" t="str">
        <f>B43</f>
        <v>Total new meters</v>
      </c>
      <c r="N43" s="25"/>
      <c r="O43" s="27"/>
      <c r="P43" s="27"/>
      <c r="Q43" s="26">
        <f>SUM(Q41:Q42)</f>
        <v>474.64975714590713</v>
      </c>
      <c r="R43" s="27">
        <f t="shared" ref="R43:U43" si="36">SUM(R41:R42)</f>
        <v>483.13511356026572</v>
      </c>
      <c r="S43" s="27">
        <f t="shared" si="36"/>
        <v>491.7759875386518</v>
      </c>
      <c r="T43" s="27">
        <f t="shared" si="36"/>
        <v>500.57525235804394</v>
      </c>
      <c r="U43" s="27">
        <f t="shared" si="36"/>
        <v>509.53583451566931</v>
      </c>
      <c r="V43" s="26">
        <f>SUM(V41:V42)</f>
        <v>2459.6719451185377</v>
      </c>
      <c r="W43" s="32"/>
    </row>
    <row r="44" spans="1:23" s="67" customFormat="1" ht="20.100000000000001" customHeight="1" x14ac:dyDescent="0.2">
      <c r="A44" s="66"/>
      <c r="B44" s="395" t="s">
        <v>11</v>
      </c>
      <c r="C44" s="395"/>
      <c r="D44" s="396"/>
      <c r="E44" s="396"/>
      <c r="F44" s="396">
        <f t="shared" ref="F44:K44" si="37">F43-F38</f>
        <v>0</v>
      </c>
      <c r="G44" s="396">
        <f t="shared" si="37"/>
        <v>0</v>
      </c>
      <c r="H44" s="396">
        <f t="shared" si="37"/>
        <v>0</v>
      </c>
      <c r="I44" s="396">
        <f t="shared" si="37"/>
        <v>0</v>
      </c>
      <c r="J44" s="396">
        <f t="shared" si="37"/>
        <v>0</v>
      </c>
      <c r="K44" s="396">
        <f t="shared" si="37"/>
        <v>0</v>
      </c>
      <c r="L44" s="12"/>
      <c r="M44" s="395" t="s">
        <v>11</v>
      </c>
      <c r="N44" s="395"/>
      <c r="O44" s="396"/>
      <c r="P44" s="396"/>
      <c r="Q44" s="396">
        <f t="shared" ref="Q44:V44" si="38">Q43-Q38</f>
        <v>0</v>
      </c>
      <c r="R44" s="396">
        <f t="shared" si="38"/>
        <v>0</v>
      </c>
      <c r="S44" s="396">
        <f t="shared" si="38"/>
        <v>0</v>
      </c>
      <c r="T44" s="396">
        <f t="shared" si="38"/>
        <v>0</v>
      </c>
      <c r="U44" s="396">
        <f t="shared" si="38"/>
        <v>0</v>
      </c>
      <c r="V44" s="396">
        <f t="shared" si="38"/>
        <v>0</v>
      </c>
      <c r="W44" s="32"/>
    </row>
    <row r="45" spans="1:23" s="67" customFormat="1" ht="20.100000000000001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32"/>
    </row>
    <row r="46" spans="1:23" s="67" customFormat="1" ht="20.100000000000001" customHeight="1" x14ac:dyDescent="0.2">
      <c r="A46" s="66"/>
      <c r="B46" s="180" t="s">
        <v>359</v>
      </c>
      <c r="C46" s="185"/>
      <c r="D46" s="423"/>
      <c r="E46" s="424"/>
      <c r="F46" s="425">
        <v>2018</v>
      </c>
      <c r="G46" s="424">
        <v>2019</v>
      </c>
      <c r="H46" s="424">
        <v>2020</v>
      </c>
      <c r="I46" s="424">
        <v>2021</v>
      </c>
      <c r="J46" s="424">
        <v>2022</v>
      </c>
      <c r="K46" s="425" t="s">
        <v>96</v>
      </c>
      <c r="L46" s="66"/>
      <c r="M46" s="180" t="s">
        <v>359</v>
      </c>
      <c r="N46" s="185"/>
      <c r="O46" s="423"/>
      <c r="P46" s="424"/>
      <c r="Q46" s="425">
        <v>2018</v>
      </c>
      <c r="R46" s="424">
        <v>2019</v>
      </c>
      <c r="S46" s="424">
        <v>2020</v>
      </c>
      <c r="T46" s="424">
        <v>2021</v>
      </c>
      <c r="U46" s="424">
        <v>2022</v>
      </c>
      <c r="V46" s="425" t="s">
        <v>96</v>
      </c>
      <c r="W46" s="32"/>
    </row>
    <row r="47" spans="1:23" s="67" customFormat="1" ht="20.100000000000001" customHeight="1" x14ac:dyDescent="0.2">
      <c r="A47" s="66"/>
      <c r="B47" s="573" t="s">
        <v>360</v>
      </c>
      <c r="C47" s="573"/>
      <c r="D47" s="574"/>
      <c r="E47" s="574"/>
      <c r="F47" s="575">
        <f>SUM([3]AGN!B26:B29)</f>
        <v>58.694452775921356</v>
      </c>
      <c r="G47" s="574">
        <f>SUM([3]AGN!C26:C29)</f>
        <v>58.694452775921356</v>
      </c>
      <c r="H47" s="574">
        <f>SUM([3]AGN!D26:D29)</f>
        <v>58.694452775921356</v>
      </c>
      <c r="I47" s="574">
        <f>SUM([3]AGN!E26:E29)</f>
        <v>58.694452775921356</v>
      </c>
      <c r="J47" s="574">
        <f>SUM([3]AGN!F26:F29)</f>
        <v>58.694452775921356</v>
      </c>
      <c r="K47" s="575">
        <f>SUM(F47:J47)</f>
        <v>293.47226387960677</v>
      </c>
      <c r="L47" s="66"/>
      <c r="M47" s="573" t="s">
        <v>360</v>
      </c>
      <c r="N47" s="573"/>
      <c r="O47" s="574"/>
      <c r="P47" s="574"/>
      <c r="Q47" s="575">
        <f>[3]AGN!B30</f>
        <v>2.0444691163143647</v>
      </c>
      <c r="R47" s="574">
        <f>[3]AGN!C30</f>
        <v>2.0444691163143647</v>
      </c>
      <c r="S47" s="574">
        <f>[3]AGN!D30</f>
        <v>2.0444691163143647</v>
      </c>
      <c r="T47" s="574">
        <f>[3]AGN!E30</f>
        <v>2.0444691163143647</v>
      </c>
      <c r="U47" s="574">
        <f>[3]AGN!F30</f>
        <v>2.0444691163143647</v>
      </c>
      <c r="V47" s="575">
        <f>SUM(Q47:U47)</f>
        <v>10.222345581571822</v>
      </c>
      <c r="W47" s="32"/>
    </row>
    <row r="48" spans="1:23" s="67" customFormat="1" ht="20.100000000000001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32"/>
    </row>
    <row r="49" spans="1:23" s="67" customFormat="1" ht="20.100000000000001" customHeight="1" x14ac:dyDescent="0.2">
      <c r="A49" s="66"/>
      <c r="B49" s="180" t="s">
        <v>389</v>
      </c>
      <c r="C49" s="185"/>
      <c r="D49" s="423"/>
      <c r="E49" s="424"/>
      <c r="F49" s="425">
        <v>2018</v>
      </c>
      <c r="G49" s="424">
        <v>2109</v>
      </c>
      <c r="H49" s="424">
        <v>2020</v>
      </c>
      <c r="I49" s="424">
        <v>2021</v>
      </c>
      <c r="J49" s="424">
        <v>2022</v>
      </c>
      <c r="K49" s="425" t="s">
        <v>96</v>
      </c>
      <c r="L49" s="12"/>
      <c r="M49" s="180" t="str">
        <f>B49</f>
        <v>New Meter Forecasts</v>
      </c>
      <c r="N49" s="185"/>
      <c r="O49" s="423"/>
      <c r="P49" s="424"/>
      <c r="Q49" s="425">
        <v>2018</v>
      </c>
      <c r="R49" s="424">
        <v>2109</v>
      </c>
      <c r="S49" s="424">
        <v>2020</v>
      </c>
      <c r="T49" s="424">
        <v>2021</v>
      </c>
      <c r="U49" s="424">
        <v>2022</v>
      </c>
      <c r="V49" s="425" t="s">
        <v>96</v>
      </c>
      <c r="W49" s="32"/>
    </row>
    <row r="50" spans="1:23" s="67" customFormat="1" ht="20.100000000000001" customHeight="1" x14ac:dyDescent="0.2">
      <c r="A50" s="66"/>
      <c r="B50" s="81" t="s">
        <v>330</v>
      </c>
      <c r="C50" s="81"/>
      <c r="D50" s="17"/>
      <c r="E50" s="18"/>
      <c r="F50" s="614" t="s">
        <v>414</v>
      </c>
      <c r="G50" s="614" t="s">
        <v>414</v>
      </c>
      <c r="H50" s="614" t="s">
        <v>414</v>
      </c>
      <c r="I50" s="614" t="s">
        <v>414</v>
      </c>
      <c r="J50" s="614" t="s">
        <v>414</v>
      </c>
      <c r="K50" s="16">
        <v>75976.465616465095</v>
      </c>
      <c r="L50" s="12"/>
      <c r="M50" s="81" t="str">
        <f>B50</f>
        <v>Domestic</v>
      </c>
      <c r="N50" s="81"/>
      <c r="O50" s="17"/>
      <c r="P50" s="18"/>
      <c r="Q50" s="614" t="s">
        <v>414</v>
      </c>
      <c r="R50" s="614" t="s">
        <v>414</v>
      </c>
      <c r="S50" s="614" t="s">
        <v>414</v>
      </c>
      <c r="T50" s="614" t="s">
        <v>414</v>
      </c>
      <c r="U50" s="614" t="s">
        <v>414</v>
      </c>
      <c r="V50" s="16">
        <v>2344.3086149040769</v>
      </c>
      <c r="W50" s="32"/>
    </row>
    <row r="51" spans="1:23" s="67" customFormat="1" ht="20.100000000000001" customHeight="1" x14ac:dyDescent="0.2">
      <c r="A51" s="66"/>
      <c r="B51" s="81" t="s">
        <v>331</v>
      </c>
      <c r="C51" s="81"/>
      <c r="D51" s="17"/>
      <c r="E51" s="18"/>
      <c r="F51" s="614" t="s">
        <v>414</v>
      </c>
      <c r="G51" s="614" t="s">
        <v>414</v>
      </c>
      <c r="H51" s="614" t="s">
        <v>414</v>
      </c>
      <c r="I51" s="614" t="s">
        <v>414</v>
      </c>
      <c r="J51" s="614" t="s">
        <v>414</v>
      </c>
      <c r="K51" s="16">
        <v>1677.5882991216392</v>
      </c>
      <c r="L51" s="12"/>
      <c r="M51" s="81" t="str">
        <f>B51</f>
        <v>Non-Domestic</v>
      </c>
      <c r="N51" s="81"/>
      <c r="O51" s="17"/>
      <c r="P51" s="18"/>
      <c r="Q51" s="614" t="s">
        <v>414</v>
      </c>
      <c r="R51" s="614" t="s">
        <v>414</v>
      </c>
      <c r="S51" s="614" t="s">
        <v>414</v>
      </c>
      <c r="T51" s="614" t="s">
        <v>414</v>
      </c>
      <c r="U51" s="614" t="s">
        <v>414</v>
      </c>
      <c r="V51" s="16">
        <v>125.58567579603282</v>
      </c>
      <c r="W51" s="32"/>
    </row>
    <row r="52" spans="1:23" s="67" customFormat="1" ht="20.100000000000001" customHeight="1" thickBot="1" x14ac:dyDescent="0.25">
      <c r="A52" s="66"/>
      <c r="B52" s="25" t="s">
        <v>333</v>
      </c>
      <c r="C52" s="25"/>
      <c r="D52" s="27"/>
      <c r="E52" s="27"/>
      <c r="F52" s="26">
        <v>15654.758881449472</v>
      </c>
      <c r="G52" s="27">
        <v>15163.713981128789</v>
      </c>
      <c r="H52" s="27">
        <v>15349.68286488075</v>
      </c>
      <c r="I52" s="27">
        <v>15611.830312334103</v>
      </c>
      <c r="J52" s="27">
        <v>15874.06787579362</v>
      </c>
      <c r="K52" s="26">
        <v>77654.05391558673</v>
      </c>
      <c r="L52" s="12"/>
      <c r="M52" s="25" t="str">
        <f>B52</f>
        <v>Total new meters</v>
      </c>
      <c r="N52" s="25"/>
      <c r="O52" s="27"/>
      <c r="P52" s="27"/>
      <c r="Q52" s="26">
        <v>476.69422626222149</v>
      </c>
      <c r="R52" s="27">
        <v>485.17958267658008</v>
      </c>
      <c r="S52" s="27">
        <v>493.82045665496616</v>
      </c>
      <c r="T52" s="27">
        <v>502.6197214743583</v>
      </c>
      <c r="U52" s="27">
        <v>511.58030363198367</v>
      </c>
      <c r="V52" s="26">
        <v>2469.8942907001097</v>
      </c>
      <c r="W52" s="32"/>
    </row>
    <row r="53" spans="1:23" s="67" customFormat="1" ht="20.100000000000001" customHeight="1" x14ac:dyDescent="0.2">
      <c r="A53" s="66"/>
      <c r="B53" s="395" t="s">
        <v>11</v>
      </c>
      <c r="C53" s="395"/>
      <c r="D53" s="396"/>
      <c r="E53" s="396"/>
      <c r="F53" s="396">
        <f>F52-F47-F43</f>
        <v>0</v>
      </c>
      <c r="G53" s="396">
        <f t="shared" ref="G53:K53" si="39">G52-G47-G43</f>
        <v>0</v>
      </c>
      <c r="H53" s="396">
        <f t="shared" si="39"/>
        <v>0</v>
      </c>
      <c r="I53" s="396">
        <f t="shared" si="39"/>
        <v>0</v>
      </c>
      <c r="J53" s="396">
        <f t="shared" si="39"/>
        <v>0</v>
      </c>
      <c r="K53" s="396">
        <f t="shared" si="39"/>
        <v>0</v>
      </c>
      <c r="L53" s="12"/>
      <c r="M53" s="395" t="s">
        <v>11</v>
      </c>
      <c r="N53" s="395"/>
      <c r="O53" s="396"/>
      <c r="P53" s="396"/>
      <c r="Q53" s="396">
        <f>Q52-Q47-Q43</f>
        <v>0</v>
      </c>
      <c r="R53" s="396">
        <f t="shared" ref="R53" si="40">R52-R47-R43</f>
        <v>0</v>
      </c>
      <c r="S53" s="396">
        <f t="shared" ref="S53" si="41">S52-S47-S43</f>
        <v>0</v>
      </c>
      <c r="T53" s="396">
        <f t="shared" ref="T53" si="42">T52-T47-T43</f>
        <v>0</v>
      </c>
      <c r="U53" s="396">
        <f t="shared" ref="U53" si="43">U52-U47-U43</f>
        <v>0</v>
      </c>
      <c r="V53" s="396">
        <f t="shared" ref="V53" si="44">V52-V47-V43</f>
        <v>0</v>
      </c>
      <c r="W53" s="32"/>
    </row>
    <row r="54" spans="1:23" s="67" customFormat="1" ht="20.100000000000001" customHeight="1" x14ac:dyDescent="0.2">
      <c r="A54" s="66"/>
      <c r="B54" s="186"/>
      <c r="C54" s="186"/>
      <c r="D54" s="473"/>
      <c r="E54" s="473"/>
      <c r="F54" s="473"/>
      <c r="G54" s="473"/>
      <c r="H54" s="473"/>
      <c r="I54" s="473"/>
      <c r="J54" s="473"/>
      <c r="K54" s="473"/>
      <c r="L54" s="12"/>
      <c r="M54" s="186"/>
      <c r="N54" s="186"/>
      <c r="O54" s="473"/>
      <c r="P54" s="473"/>
      <c r="Q54" s="473"/>
      <c r="R54" s="473"/>
      <c r="S54" s="473"/>
      <c r="T54" s="473"/>
      <c r="U54" s="473"/>
      <c r="V54" s="473"/>
      <c r="W54" s="32"/>
    </row>
    <row r="55" spans="1:23" s="67" customFormat="1" ht="29.25" customHeight="1" x14ac:dyDescent="0.2">
      <c r="A55" s="66"/>
      <c r="B55" s="357" t="s">
        <v>342</v>
      </c>
      <c r="C55" s="357"/>
      <c r="D55" s="358"/>
      <c r="E55" s="358"/>
      <c r="F55" s="358"/>
      <c r="G55" s="358"/>
      <c r="H55" s="358"/>
      <c r="I55" s="358"/>
      <c r="J55" s="358"/>
      <c r="K55" s="358"/>
      <c r="L55" s="12"/>
      <c r="M55" s="357" t="s">
        <v>342</v>
      </c>
      <c r="N55" s="357"/>
      <c r="O55" s="358"/>
      <c r="P55" s="358"/>
      <c r="Q55" s="358"/>
      <c r="R55" s="358"/>
      <c r="S55" s="358"/>
      <c r="T55" s="358"/>
      <c r="U55" s="358"/>
      <c r="V55" s="358"/>
      <c r="W55" s="32"/>
    </row>
    <row r="56" spans="1:23" s="67" customFormat="1" ht="20.100000000000001" customHeight="1" x14ac:dyDescent="0.2">
      <c r="A56" s="6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2"/>
    </row>
    <row r="57" spans="1:23" s="67" customFormat="1" ht="20.100000000000001" customHeight="1" x14ac:dyDescent="0.2">
      <c r="A57" s="66"/>
      <c r="B57" s="10" t="s">
        <v>321</v>
      </c>
      <c r="C57" s="301"/>
      <c r="D57" s="301"/>
      <c r="E57" s="329"/>
      <c r="F57" s="424">
        <v>2013</v>
      </c>
      <c r="G57" s="424">
        <v>2014</v>
      </c>
      <c r="H57" s="424">
        <v>2015</v>
      </c>
      <c r="I57" s="484" t="s">
        <v>66</v>
      </c>
      <c r="J57" s="12"/>
      <c r="K57" s="12"/>
      <c r="L57" s="12"/>
      <c r="M57" s="10" t="str">
        <f>B57</f>
        <v>Historic New Services (units)</v>
      </c>
      <c r="N57" s="301"/>
      <c r="O57" s="301"/>
      <c r="P57" s="329"/>
      <c r="Q57" s="424">
        <v>2013</v>
      </c>
      <c r="R57" s="424">
        <v>2014</v>
      </c>
      <c r="S57" s="424">
        <v>2015</v>
      </c>
      <c r="T57" s="484" t="s">
        <v>66</v>
      </c>
      <c r="U57" s="12"/>
      <c r="V57" s="12"/>
      <c r="W57" s="32"/>
    </row>
    <row r="58" spans="1:23" s="67" customFormat="1" ht="20.100000000000001" customHeight="1" x14ac:dyDescent="0.2">
      <c r="A58" s="66"/>
      <c r="B58" s="12" t="s">
        <v>337</v>
      </c>
      <c r="C58" s="12"/>
      <c r="D58" s="12"/>
      <c r="E58" s="53"/>
      <c r="F58" s="15">
        <f>[4]Sheet1!D41</f>
        <v>10038</v>
      </c>
      <c r="G58" s="15">
        <f>[4]Sheet1!E41</f>
        <v>10950</v>
      </c>
      <c r="H58" s="15">
        <f>[4]Sheet1!F41</f>
        <v>12947</v>
      </c>
      <c r="I58" s="16">
        <f>AVERAGE(F58:H58)</f>
        <v>11311.666666666666</v>
      </c>
      <c r="J58" s="12"/>
      <c r="K58" s="121"/>
      <c r="L58" s="12"/>
      <c r="M58" s="12" t="str">
        <f t="shared" ref="M58:M62" si="45">B58</f>
        <v>New estate</v>
      </c>
      <c r="N58" s="12"/>
      <c r="O58" s="12"/>
      <c r="P58" s="53"/>
      <c r="Q58" s="15">
        <f>[4]Sheet1!D15</f>
        <v>274</v>
      </c>
      <c r="R58" s="15">
        <f>[4]Sheet1!E15</f>
        <v>420</v>
      </c>
      <c r="S58" s="15">
        <f>[4]Sheet1!F15</f>
        <v>412</v>
      </c>
      <c r="T58" s="16">
        <f>AVERAGE(Q58:S58)</f>
        <v>368.66666666666669</v>
      </c>
      <c r="U58" s="12"/>
      <c r="V58" s="12"/>
      <c r="W58" s="32"/>
    </row>
    <row r="59" spans="1:23" s="67" customFormat="1" ht="20.100000000000001" customHeight="1" x14ac:dyDescent="0.2">
      <c r="A59" s="66"/>
      <c r="B59" s="12" t="s">
        <v>338</v>
      </c>
      <c r="C59" s="12"/>
      <c r="D59" s="12"/>
      <c r="E59" s="53"/>
      <c r="F59" s="15">
        <f>[4]Sheet1!D38</f>
        <v>762</v>
      </c>
      <c r="G59" s="15">
        <f>[4]Sheet1!E38</f>
        <v>551</v>
      </c>
      <c r="H59" s="15">
        <f>[4]Sheet1!F38</f>
        <v>634</v>
      </c>
      <c r="I59" s="16">
        <f t="shared" ref="I59:I61" si="46">AVERAGE(F59:H59)</f>
        <v>649</v>
      </c>
      <c r="J59" s="12"/>
      <c r="K59" s="121"/>
      <c r="L59" s="12"/>
      <c r="M59" s="12" t="str">
        <f t="shared" si="45"/>
        <v>Existing area</v>
      </c>
      <c r="N59" s="12"/>
      <c r="O59" s="12"/>
      <c r="P59" s="53"/>
      <c r="Q59" s="15">
        <f>[4]Sheet1!D12</f>
        <v>27</v>
      </c>
      <c r="R59" s="15">
        <f>[4]Sheet1!E12</f>
        <v>29</v>
      </c>
      <c r="S59" s="15">
        <f>[4]Sheet1!F12</f>
        <v>21</v>
      </c>
      <c r="T59" s="16">
        <f t="shared" ref="T59:T61" si="47">AVERAGE(Q59:S59)</f>
        <v>25.666666666666668</v>
      </c>
      <c r="U59" s="12"/>
      <c r="V59" s="12"/>
      <c r="W59" s="32"/>
    </row>
    <row r="60" spans="1:23" s="67" customFormat="1" ht="20.100000000000001" customHeight="1" x14ac:dyDescent="0.2">
      <c r="A60" s="66"/>
      <c r="B60" s="12" t="s">
        <v>340</v>
      </c>
      <c r="C60" s="12"/>
      <c r="D60" s="12"/>
      <c r="E60" s="53"/>
      <c r="F60" s="15">
        <f>[4]Sheet1!D40</f>
        <v>546</v>
      </c>
      <c r="G60" s="15">
        <f>[4]Sheet1!E40</f>
        <v>566</v>
      </c>
      <c r="H60" s="15">
        <f>[4]Sheet1!F40</f>
        <v>486</v>
      </c>
      <c r="I60" s="16">
        <f t="shared" si="46"/>
        <v>532.66666666666663</v>
      </c>
      <c r="J60" s="12"/>
      <c r="K60" s="121"/>
      <c r="L60" s="12"/>
      <c r="M60" s="12" t="str">
        <f t="shared" si="45"/>
        <v>Multi user</v>
      </c>
      <c r="N60" s="12"/>
      <c r="O60" s="12"/>
      <c r="P60" s="53"/>
      <c r="Q60" s="15">
        <f>[4]Sheet1!D14</f>
        <v>6</v>
      </c>
      <c r="R60" s="15">
        <f>[4]Sheet1!E14</f>
        <v>7</v>
      </c>
      <c r="S60" s="15">
        <f>[4]Sheet1!F14</f>
        <v>22</v>
      </c>
      <c r="T60" s="16">
        <f t="shared" si="47"/>
        <v>11.666666666666666</v>
      </c>
      <c r="U60" s="12"/>
      <c r="V60" s="12"/>
      <c r="W60" s="32"/>
    </row>
    <row r="61" spans="1:23" s="67" customFormat="1" ht="20.100000000000001" customHeight="1" x14ac:dyDescent="0.2">
      <c r="A61" s="66"/>
      <c r="B61" s="301" t="s">
        <v>310</v>
      </c>
      <c r="C61" s="12"/>
      <c r="D61" s="12"/>
      <c r="E61" s="53"/>
      <c r="F61" s="15">
        <f>[4]Sheet1!D39</f>
        <v>186</v>
      </c>
      <c r="G61" s="15">
        <f>[4]Sheet1!E39</f>
        <v>191</v>
      </c>
      <c r="H61" s="15">
        <f>[4]Sheet1!F39</f>
        <v>221</v>
      </c>
      <c r="I61" s="16">
        <f t="shared" si="46"/>
        <v>199.33333333333334</v>
      </c>
      <c r="J61" s="12"/>
      <c r="K61" s="121"/>
      <c r="L61" s="12"/>
      <c r="M61" s="301" t="str">
        <f t="shared" si="45"/>
        <v>I&amp;C&lt;10TJ</v>
      </c>
      <c r="N61" s="12"/>
      <c r="O61" s="12"/>
      <c r="P61" s="53"/>
      <c r="Q61" s="15">
        <f>[4]Sheet1!D13</f>
        <v>16</v>
      </c>
      <c r="R61" s="15">
        <f>[4]Sheet1!E13</f>
        <v>6</v>
      </c>
      <c r="S61" s="15">
        <f>[4]Sheet1!F13</f>
        <v>20</v>
      </c>
      <c r="T61" s="16">
        <f t="shared" si="47"/>
        <v>14</v>
      </c>
      <c r="U61" s="12"/>
      <c r="V61" s="12"/>
      <c r="W61" s="32"/>
    </row>
    <row r="62" spans="1:23" s="67" customFormat="1" ht="20.100000000000001" customHeight="1" thickBot="1" x14ac:dyDescent="0.25">
      <c r="A62" s="66"/>
      <c r="B62" s="25" t="s">
        <v>96</v>
      </c>
      <c r="C62" s="25"/>
      <c r="D62" s="25"/>
      <c r="E62" s="475"/>
      <c r="F62" s="27">
        <f>SUM(F58:F61)</f>
        <v>11532</v>
      </c>
      <c r="G62" s="27">
        <f t="shared" ref="G62:I62" si="48">SUM(G58:G61)</f>
        <v>12258</v>
      </c>
      <c r="H62" s="27">
        <f t="shared" si="48"/>
        <v>14288</v>
      </c>
      <c r="I62" s="26">
        <f t="shared" si="48"/>
        <v>12692.666666666666</v>
      </c>
      <c r="J62" s="12"/>
      <c r="K62" s="12"/>
      <c r="L62" s="12"/>
      <c r="M62" s="25" t="str">
        <f t="shared" si="45"/>
        <v>Total</v>
      </c>
      <c r="N62" s="25"/>
      <c r="O62" s="25"/>
      <c r="P62" s="475"/>
      <c r="Q62" s="27">
        <f>SUM(Q58:Q61)</f>
        <v>323</v>
      </c>
      <c r="R62" s="27">
        <f t="shared" ref="R62:T62" si="49">SUM(R58:R61)</f>
        <v>462</v>
      </c>
      <c r="S62" s="27">
        <f t="shared" si="49"/>
        <v>475</v>
      </c>
      <c r="T62" s="26">
        <f t="shared" si="49"/>
        <v>420.00000000000006</v>
      </c>
      <c r="U62" s="12"/>
      <c r="V62" s="12"/>
      <c r="W62" s="32"/>
    </row>
    <row r="63" spans="1:23" s="67" customFormat="1" ht="20.100000000000001" customHeight="1" x14ac:dyDescent="0.2">
      <c r="A63" s="6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32"/>
    </row>
    <row r="64" spans="1:23" s="67" customFormat="1" ht="20.100000000000001" customHeight="1" x14ac:dyDescent="0.2">
      <c r="A64" s="66"/>
      <c r="B64" s="10" t="s">
        <v>321</v>
      </c>
      <c r="C64" s="301"/>
      <c r="D64" s="301"/>
      <c r="E64" s="329"/>
      <c r="F64" s="424">
        <v>2013</v>
      </c>
      <c r="G64" s="424">
        <v>2014</v>
      </c>
      <c r="H64" s="424">
        <v>2015</v>
      </c>
      <c r="I64" s="484" t="s">
        <v>66</v>
      </c>
      <c r="J64" s="12"/>
      <c r="K64" s="12"/>
      <c r="L64" s="12"/>
      <c r="M64" s="10" t="str">
        <f>B64</f>
        <v>Historic New Services (units)</v>
      </c>
      <c r="N64" s="301"/>
      <c r="O64" s="301"/>
      <c r="P64" s="329"/>
      <c r="Q64" s="424">
        <v>2013</v>
      </c>
      <c r="R64" s="424">
        <v>2014</v>
      </c>
      <c r="S64" s="424">
        <v>2015</v>
      </c>
      <c r="T64" s="484" t="s">
        <v>66</v>
      </c>
      <c r="U64" s="12"/>
      <c r="V64" s="12"/>
      <c r="W64" s="32"/>
    </row>
    <row r="65" spans="1:23" s="67" customFormat="1" ht="20.100000000000001" customHeight="1" x14ac:dyDescent="0.2">
      <c r="A65" s="66"/>
      <c r="B65" s="12" t="s">
        <v>337</v>
      </c>
      <c r="C65" s="12"/>
      <c r="D65" s="12"/>
      <c r="E65" s="53"/>
      <c r="F65" s="485">
        <f>F58/(F$58+F$59+F$60)</f>
        <v>0.88471708090957168</v>
      </c>
      <c r="G65" s="485">
        <f t="shared" ref="G65:H65" si="50">G58/(G$58+G$59+G$60)</f>
        <v>0.90743349631225656</v>
      </c>
      <c r="H65" s="485">
        <f t="shared" si="50"/>
        <v>0.92038103362479562</v>
      </c>
      <c r="I65" s="486">
        <f>AVERAGE(F65:H65)</f>
        <v>0.90417720361554121</v>
      </c>
      <c r="J65" s="12"/>
      <c r="K65" s="12"/>
      <c r="L65" s="12"/>
      <c r="M65" s="12" t="str">
        <f t="shared" ref="M65:M68" si="51">B65</f>
        <v>New estate</v>
      </c>
      <c r="N65" s="12"/>
      <c r="O65" s="12"/>
      <c r="P65" s="53"/>
      <c r="Q65" s="485">
        <f>Q58/(Q$58+Q$59+Q$60)</f>
        <v>0.89250814332247552</v>
      </c>
      <c r="R65" s="485">
        <f t="shared" ref="R65:S65" si="52">R58/(R$58+R$59+R$60)</f>
        <v>0.92105263157894735</v>
      </c>
      <c r="S65" s="485">
        <f t="shared" si="52"/>
        <v>0.9054945054945055</v>
      </c>
      <c r="T65" s="486">
        <f>AVERAGE(Q65:S65)</f>
        <v>0.90635176013197605</v>
      </c>
      <c r="U65" s="12"/>
      <c r="V65" s="12"/>
      <c r="W65" s="32"/>
    </row>
    <row r="66" spans="1:23" s="67" customFormat="1" ht="20.100000000000001" customHeight="1" x14ac:dyDescent="0.2">
      <c r="A66" s="66"/>
      <c r="B66" s="12" t="s">
        <v>338</v>
      </c>
      <c r="C66" s="12"/>
      <c r="D66" s="12"/>
      <c r="E66" s="53"/>
      <c r="F66" s="485">
        <f t="shared" ref="F66:H66" si="53">F59/(F$58+F$59+F$60)</f>
        <v>6.7160232681121104E-2</v>
      </c>
      <c r="G66" s="485">
        <f t="shared" si="53"/>
        <v>4.5661722051877018E-2</v>
      </c>
      <c r="H66" s="485">
        <f t="shared" si="53"/>
        <v>4.5070022037392479E-2</v>
      </c>
      <c r="I66" s="486">
        <f t="shared" ref="I66:I67" si="54">AVERAGE(F66:H66)</f>
        <v>5.2630658923463532E-2</v>
      </c>
      <c r="J66" s="12"/>
      <c r="K66" s="12"/>
      <c r="L66" s="12"/>
      <c r="M66" s="12" t="str">
        <f t="shared" si="51"/>
        <v>Existing area</v>
      </c>
      <c r="N66" s="12"/>
      <c r="O66" s="12"/>
      <c r="P66" s="53"/>
      <c r="Q66" s="485">
        <f t="shared" ref="Q66:S66" si="55">Q59/(Q$58+Q$59+Q$60)</f>
        <v>8.7947882736156349E-2</v>
      </c>
      <c r="R66" s="485">
        <f t="shared" si="55"/>
        <v>6.3596491228070179E-2</v>
      </c>
      <c r="S66" s="485">
        <f t="shared" si="55"/>
        <v>4.6153846153846156E-2</v>
      </c>
      <c r="T66" s="486">
        <f t="shared" ref="T66:T67" si="56">AVERAGE(Q66:S66)</f>
        <v>6.5899406706024233E-2</v>
      </c>
      <c r="U66" s="12"/>
      <c r="V66" s="12"/>
      <c r="W66" s="32"/>
    </row>
    <row r="67" spans="1:23" s="67" customFormat="1" ht="20.100000000000001" customHeight="1" x14ac:dyDescent="0.2">
      <c r="A67" s="66"/>
      <c r="B67" s="12" t="s">
        <v>340</v>
      </c>
      <c r="C67" s="12"/>
      <c r="D67" s="12"/>
      <c r="E67" s="53"/>
      <c r="F67" s="485">
        <f t="shared" ref="F67:H67" si="57">F60/(F$58+F$59+F$60)</f>
        <v>4.8122686409307246E-2</v>
      </c>
      <c r="G67" s="485">
        <f t="shared" si="57"/>
        <v>4.6904781635866415E-2</v>
      </c>
      <c r="H67" s="485">
        <f t="shared" si="57"/>
        <v>3.4548944337811902E-2</v>
      </c>
      <c r="I67" s="486">
        <f t="shared" si="54"/>
        <v>4.3192137460995185E-2</v>
      </c>
      <c r="J67" s="12"/>
      <c r="K67" s="12"/>
      <c r="L67" s="12"/>
      <c r="M67" s="12" t="str">
        <f t="shared" si="51"/>
        <v>Multi user</v>
      </c>
      <c r="N67" s="12"/>
      <c r="O67" s="12"/>
      <c r="P67" s="53"/>
      <c r="Q67" s="485">
        <f t="shared" ref="Q67:S67" si="58">Q60/(Q$58+Q$59+Q$60)</f>
        <v>1.9543973941368076E-2</v>
      </c>
      <c r="R67" s="485">
        <f t="shared" si="58"/>
        <v>1.5350877192982455E-2</v>
      </c>
      <c r="S67" s="485">
        <f t="shared" si="58"/>
        <v>4.8351648351648353E-2</v>
      </c>
      <c r="T67" s="486">
        <f t="shared" si="56"/>
        <v>2.7748833161999626E-2</v>
      </c>
      <c r="U67" s="12"/>
      <c r="V67" s="12"/>
      <c r="W67" s="32"/>
    </row>
    <row r="68" spans="1:23" s="67" customFormat="1" ht="20.100000000000001" customHeight="1" thickBot="1" x14ac:dyDescent="0.25">
      <c r="A68" s="66"/>
      <c r="B68" s="25" t="s">
        <v>96</v>
      </c>
      <c r="C68" s="25"/>
      <c r="D68" s="25"/>
      <c r="E68" s="475"/>
      <c r="F68" s="466">
        <f>SUM(F65:F67)</f>
        <v>1</v>
      </c>
      <c r="G68" s="466">
        <f>SUM(G65:G67)</f>
        <v>1</v>
      </c>
      <c r="H68" s="466">
        <f>SUM(H65:H67)</f>
        <v>1</v>
      </c>
      <c r="I68" s="465">
        <f>SUM(I65:I67)</f>
        <v>0.99999999999999989</v>
      </c>
      <c r="J68" s="12"/>
      <c r="K68" s="12"/>
      <c r="L68" s="12"/>
      <c r="M68" s="25" t="str">
        <f t="shared" si="51"/>
        <v>Total</v>
      </c>
      <c r="N68" s="25"/>
      <c r="O68" s="25"/>
      <c r="P68" s="475"/>
      <c r="Q68" s="466">
        <f>SUM(Q65:Q67)</f>
        <v>1</v>
      </c>
      <c r="R68" s="466">
        <f>SUM(R65:R67)</f>
        <v>1</v>
      </c>
      <c r="S68" s="466">
        <f>SUM(S65:S67)</f>
        <v>1</v>
      </c>
      <c r="T68" s="465">
        <f>SUM(T65:T67)</f>
        <v>0.99999999999999989</v>
      </c>
      <c r="U68" s="12"/>
      <c r="V68" s="12"/>
      <c r="W68" s="32"/>
    </row>
    <row r="69" spans="1:23" s="67" customFormat="1" ht="20.100000000000001" customHeight="1" x14ac:dyDescent="0.2">
      <c r="A69" s="6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32"/>
    </row>
    <row r="70" spans="1:23" s="67" customFormat="1" ht="20.100000000000001" customHeight="1" x14ac:dyDescent="0.2">
      <c r="A70" s="66"/>
      <c r="B70" s="576" t="s">
        <v>313</v>
      </c>
      <c r="C70" s="579"/>
      <c r="D70" s="579"/>
      <c r="E70" s="579"/>
      <c r="F70" s="580"/>
      <c r="G70" s="415"/>
      <c r="H70" s="415"/>
      <c r="I70" s="415"/>
      <c r="J70" s="12"/>
      <c r="K70" s="12"/>
      <c r="L70" s="12"/>
      <c r="M70" s="576" t="s">
        <v>313</v>
      </c>
      <c r="N70" s="579"/>
      <c r="O70" s="579"/>
      <c r="P70" s="579"/>
      <c r="Q70" s="580"/>
      <c r="R70" s="415"/>
      <c r="S70" s="415"/>
      <c r="T70" s="415"/>
      <c r="U70" s="12"/>
      <c r="V70" s="12"/>
      <c r="W70" s="32"/>
    </row>
    <row r="71" spans="1:23" s="67" customFormat="1" ht="20.100000000000001" customHeight="1" x14ac:dyDescent="0.2">
      <c r="A71" s="66"/>
      <c r="B71" s="581" t="s">
        <v>343</v>
      </c>
      <c r="C71" s="579"/>
      <c r="D71" s="579"/>
      <c r="E71" s="579"/>
      <c r="F71" s="582">
        <v>4</v>
      </c>
      <c r="G71" s="415"/>
      <c r="H71" s="415"/>
      <c r="I71" s="415"/>
      <c r="J71" s="12"/>
      <c r="K71" s="12"/>
      <c r="L71" s="12"/>
      <c r="M71" s="581" t="s">
        <v>343</v>
      </c>
      <c r="N71" s="579"/>
      <c r="O71" s="579"/>
      <c r="P71" s="579"/>
      <c r="Q71" s="582">
        <f>F71</f>
        <v>4</v>
      </c>
      <c r="R71" s="415"/>
      <c r="S71" s="415"/>
      <c r="T71" s="415"/>
      <c r="U71" s="12"/>
      <c r="V71" s="12"/>
      <c r="W71" s="32"/>
    </row>
    <row r="72" spans="1:23" s="67" customFormat="1" ht="20.100000000000001" customHeight="1" x14ac:dyDescent="0.2">
      <c r="A72" s="66"/>
      <c r="B72" s="397"/>
      <c r="C72" s="186"/>
      <c r="D72" s="186"/>
      <c r="E72" s="186"/>
      <c r="F72" s="414"/>
      <c r="G72" s="415"/>
      <c r="H72" s="415"/>
      <c r="I72" s="415"/>
      <c r="J72" s="12"/>
      <c r="K72" s="12"/>
      <c r="L72" s="12"/>
      <c r="M72" s="397"/>
      <c r="N72" s="186"/>
      <c r="O72" s="186"/>
      <c r="P72" s="186"/>
      <c r="Q72" s="414"/>
      <c r="R72" s="415"/>
      <c r="S72" s="415"/>
      <c r="T72" s="415"/>
      <c r="U72" s="12"/>
      <c r="V72" s="12"/>
      <c r="W72" s="32"/>
    </row>
    <row r="73" spans="1:23" s="67" customFormat="1" ht="20.100000000000001" customHeight="1" x14ac:dyDescent="0.2">
      <c r="A73" s="66"/>
      <c r="B73" s="10" t="s">
        <v>344</v>
      </c>
      <c r="C73" s="301"/>
      <c r="D73" s="423"/>
      <c r="E73" s="424"/>
      <c r="F73" s="425">
        <v>2018</v>
      </c>
      <c r="G73" s="424">
        <v>2019</v>
      </c>
      <c r="H73" s="424">
        <v>2020</v>
      </c>
      <c r="I73" s="424">
        <v>2021</v>
      </c>
      <c r="J73" s="424">
        <v>2022</v>
      </c>
      <c r="K73" s="495" t="s">
        <v>96</v>
      </c>
      <c r="L73" s="12"/>
      <c r="M73" s="10" t="str">
        <f>B73</f>
        <v>Implied Forecast of New Meters (with additional residential split)</v>
      </c>
      <c r="N73" s="301"/>
      <c r="O73" s="423"/>
      <c r="P73" s="424"/>
      <c r="Q73" s="425">
        <v>2018</v>
      </c>
      <c r="R73" s="424">
        <v>2019</v>
      </c>
      <c r="S73" s="424">
        <v>2020</v>
      </c>
      <c r="T73" s="424">
        <v>2021</v>
      </c>
      <c r="U73" s="424">
        <v>2022</v>
      </c>
      <c r="V73" s="495" t="s">
        <v>96</v>
      </c>
      <c r="W73" s="32"/>
    </row>
    <row r="74" spans="1:23" s="67" customFormat="1" ht="20.100000000000001" customHeight="1" x14ac:dyDescent="0.2">
      <c r="A74" s="66"/>
      <c r="B74" s="12" t="s">
        <v>306</v>
      </c>
      <c r="C74" s="12" t="s">
        <v>308</v>
      </c>
      <c r="D74" s="15"/>
      <c r="E74" s="15"/>
      <c r="F74" s="16">
        <f>F52-F75-F76-F77</f>
        <v>11869.354020430474</v>
      </c>
      <c r="G74" s="17">
        <f t="shared" ref="G74:J74" si="59">G52-G75-G76-G77</f>
        <v>11487.471927936822</v>
      </c>
      <c r="H74" s="17">
        <f t="shared" si="59"/>
        <v>11629.994800653123</v>
      </c>
      <c r="I74" s="17">
        <f t="shared" si="59"/>
        <v>11831.515096271596</v>
      </c>
      <c r="J74" s="17">
        <f t="shared" si="59"/>
        <v>12033.094536274912</v>
      </c>
      <c r="K74" s="13">
        <f>SUM(F74:J74)</f>
        <v>58851.430381566934</v>
      </c>
      <c r="L74" s="12"/>
      <c r="M74" s="12" t="str">
        <f t="shared" ref="M74:M78" si="60">B74</f>
        <v>New Residential Connections</v>
      </c>
      <c r="N74" s="12" t="str">
        <f t="shared" ref="N74:N77" si="61">C74</f>
        <v>New estate connections</v>
      </c>
      <c r="O74" s="15"/>
      <c r="P74" s="15"/>
      <c r="Q74" s="16">
        <f>Q52-Q75-Q76-Q77</f>
        <v>371.93372147981586</v>
      </c>
      <c r="R74" s="17">
        <f t="shared" ref="R74" si="62">R52-R75-R76-R77</f>
        <v>378.79963023114652</v>
      </c>
      <c r="S74" s="17">
        <f t="shared" ref="S74" si="63">S52-S75-S76-S77</f>
        <v>385.79285994763194</v>
      </c>
      <c r="T74" s="17">
        <f t="shared" ref="T74" si="64">T52-T75-T76-T77</f>
        <v>392.91577166096846</v>
      </c>
      <c r="U74" s="17">
        <f t="shared" ref="U74" si="65">U52-U75-U76-U77</f>
        <v>400.17077018566738</v>
      </c>
      <c r="V74" s="13">
        <f>SUM(Q74:U74)</f>
        <v>1929.6127535052301</v>
      </c>
      <c r="W74" s="32"/>
    </row>
    <row r="75" spans="1:23" s="67" customFormat="1" ht="20.100000000000001" customHeight="1" x14ac:dyDescent="0.2">
      <c r="A75" s="66"/>
      <c r="B75" s="12"/>
      <c r="C75" s="12" t="s">
        <v>309</v>
      </c>
      <c r="D75" s="15"/>
      <c r="E75" s="15"/>
      <c r="F75" s="16">
        <v>806.46951327934778</v>
      </c>
      <c r="G75" s="17">
        <v>780.52233327836859</v>
      </c>
      <c r="H75" s="17">
        <v>790.20612496516526</v>
      </c>
      <c r="I75" s="17">
        <v>803.89852763877309</v>
      </c>
      <c r="J75" s="17">
        <v>817.5949489087742</v>
      </c>
      <c r="K75" s="16">
        <f t="shared" ref="K75:K77" si="66">SUM(F75:J75)</f>
        <v>3998.691448070429</v>
      </c>
      <c r="L75" s="12"/>
      <c r="M75" s="12"/>
      <c r="N75" s="12" t="str">
        <f t="shared" si="61"/>
        <v>Existing homes</v>
      </c>
      <c r="O75" s="15"/>
      <c r="P75" s="15"/>
      <c r="Q75" s="16">
        <v>29.777736519686179</v>
      </c>
      <c r="R75" s="17">
        <v>30.327434516823622</v>
      </c>
      <c r="S75" s="17">
        <v>30.88732607785392</v>
      </c>
      <c r="T75" s="17">
        <v>31.457600231562871</v>
      </c>
      <c r="U75" s="17">
        <v>32.038449512073512</v>
      </c>
      <c r="V75" s="16">
        <f t="shared" ref="V75:V77" si="67">SUM(Q75:U75)</f>
        <v>154.48854685800012</v>
      </c>
      <c r="W75" s="32"/>
    </row>
    <row r="76" spans="1:23" s="67" customFormat="1" ht="20.100000000000001" customHeight="1" x14ac:dyDescent="0.2">
      <c r="A76" s="66"/>
      <c r="B76" s="12"/>
      <c r="C76" s="12" t="s">
        <v>311</v>
      </c>
      <c r="D76" s="15"/>
      <c r="E76" s="15"/>
      <c r="F76" s="16">
        <v>2647.3650748943473</v>
      </c>
      <c r="G76" s="17">
        <v>2562.1893094183924</v>
      </c>
      <c r="H76" s="17">
        <v>2593.977903385115</v>
      </c>
      <c r="I76" s="17">
        <v>2638.925403610016</v>
      </c>
      <c r="J76" s="17">
        <v>2683.8860955198684</v>
      </c>
      <c r="K76" s="16">
        <f t="shared" si="66"/>
        <v>13126.34378682774</v>
      </c>
      <c r="L76" s="12"/>
      <c r="M76" s="12"/>
      <c r="N76" s="12" t="str">
        <f t="shared" si="61"/>
        <v>Multi-User connections</v>
      </c>
      <c r="O76" s="15"/>
      <c r="P76" s="15"/>
      <c r="Q76" s="16">
        <v>50.155076285457284</v>
      </c>
      <c r="R76" s="17">
        <v>51.080940645972561</v>
      </c>
      <c r="S76" s="17">
        <v>52.023974174947924</v>
      </c>
      <c r="T76" s="17">
        <v>52.984495256326561</v>
      </c>
      <c r="U76" s="17">
        <v>53.96282817814231</v>
      </c>
      <c r="V76" s="16">
        <f t="shared" si="67"/>
        <v>260.20731454084665</v>
      </c>
      <c r="W76" s="32"/>
    </row>
    <row r="77" spans="1:23" s="67" customFormat="1" ht="20.100000000000001" customHeight="1" x14ac:dyDescent="0.2">
      <c r="A77" s="66"/>
      <c r="B77" s="12" t="s">
        <v>307</v>
      </c>
      <c r="C77" s="12" t="s">
        <v>310</v>
      </c>
      <c r="D77" s="15"/>
      <c r="E77" s="15"/>
      <c r="F77" s="16">
        <v>331.57027284530307</v>
      </c>
      <c r="G77" s="17">
        <v>333.53041049520652</v>
      </c>
      <c r="H77" s="17">
        <v>335.50403587734621</v>
      </c>
      <c r="I77" s="17">
        <v>337.49128481371821</v>
      </c>
      <c r="J77" s="17">
        <v>339.49229509006523</v>
      </c>
      <c r="K77" s="59">
        <f t="shared" si="66"/>
        <v>1677.5882991216392</v>
      </c>
      <c r="L77" s="12"/>
      <c r="M77" s="12" t="str">
        <f t="shared" si="60"/>
        <v>New Commercial Connections</v>
      </c>
      <c r="N77" s="12" t="str">
        <f t="shared" si="61"/>
        <v>I&amp;C&lt;10TJ</v>
      </c>
      <c r="O77" s="15"/>
      <c r="P77" s="15"/>
      <c r="Q77" s="16">
        <v>24.827691977262141</v>
      </c>
      <c r="R77" s="17">
        <v>24.971577282637391</v>
      </c>
      <c r="S77" s="17">
        <v>25.116296454532421</v>
      </c>
      <c r="T77" s="17">
        <v>25.26185432550038</v>
      </c>
      <c r="U77" s="17">
        <v>25.408255756100484</v>
      </c>
      <c r="V77" s="59">
        <f t="shared" si="67"/>
        <v>125.58567579603282</v>
      </c>
      <c r="W77" s="32"/>
    </row>
    <row r="78" spans="1:23" s="67" customFormat="1" ht="20.100000000000001" customHeight="1" thickBot="1" x14ac:dyDescent="0.25">
      <c r="A78" s="66"/>
      <c r="B78" s="25" t="s">
        <v>86</v>
      </c>
      <c r="C78" s="25"/>
      <c r="D78" s="27"/>
      <c r="E78" s="27"/>
      <c r="F78" s="26">
        <f>SUM(F74:F77)</f>
        <v>15654.758881449472</v>
      </c>
      <c r="G78" s="27">
        <f t="shared" ref="G78:K78" si="68">SUM(G74:G77)</f>
        <v>15163.713981128789</v>
      </c>
      <c r="H78" s="27">
        <f t="shared" si="68"/>
        <v>15349.68286488075</v>
      </c>
      <c r="I78" s="27">
        <f t="shared" si="68"/>
        <v>15611.830312334103</v>
      </c>
      <c r="J78" s="27">
        <f t="shared" si="68"/>
        <v>15874.06787579362</v>
      </c>
      <c r="K78" s="26">
        <f t="shared" si="68"/>
        <v>77654.053915586745</v>
      </c>
      <c r="L78" s="12"/>
      <c r="M78" s="25" t="str">
        <f t="shared" si="60"/>
        <v xml:space="preserve">Total </v>
      </c>
      <c r="N78" s="25"/>
      <c r="O78" s="27"/>
      <c r="P78" s="27"/>
      <c r="Q78" s="26">
        <f>SUM(Q74:Q77)</f>
        <v>476.69422626222149</v>
      </c>
      <c r="R78" s="27">
        <f t="shared" ref="R78:V78" si="69">SUM(R74:R77)</f>
        <v>485.17958267658008</v>
      </c>
      <c r="S78" s="27">
        <f t="shared" si="69"/>
        <v>493.82045665496616</v>
      </c>
      <c r="T78" s="27">
        <f t="shared" si="69"/>
        <v>502.6197214743583</v>
      </c>
      <c r="U78" s="27">
        <f t="shared" si="69"/>
        <v>511.58030363198367</v>
      </c>
      <c r="V78" s="26">
        <f t="shared" si="69"/>
        <v>2469.8942907001097</v>
      </c>
      <c r="W78" s="32"/>
    </row>
    <row r="79" spans="1:23" s="67" customFormat="1" ht="20.100000000000001" customHeight="1" x14ac:dyDescent="0.2">
      <c r="A79" s="66"/>
      <c r="B79" s="493" t="s">
        <v>11</v>
      </c>
      <c r="C79" s="493"/>
      <c r="D79" s="494"/>
      <c r="E79" s="494"/>
      <c r="F79" s="494">
        <f>F78-F52</f>
        <v>0</v>
      </c>
      <c r="G79" s="494">
        <f t="shared" ref="G79:K79" si="70">G78-G52</f>
        <v>0</v>
      </c>
      <c r="H79" s="494">
        <f t="shared" si="70"/>
        <v>0</v>
      </c>
      <c r="I79" s="494">
        <f t="shared" si="70"/>
        <v>0</v>
      </c>
      <c r="J79" s="494">
        <f t="shared" si="70"/>
        <v>0</v>
      </c>
      <c r="K79" s="494">
        <f t="shared" si="70"/>
        <v>0</v>
      </c>
      <c r="L79" s="66"/>
      <c r="M79" s="493" t="s">
        <v>11</v>
      </c>
      <c r="N79" s="493"/>
      <c r="O79" s="494"/>
      <c r="P79" s="494"/>
      <c r="Q79" s="494">
        <f>Q78-Q52</f>
        <v>0</v>
      </c>
      <c r="R79" s="494">
        <f t="shared" ref="R79" si="71">R78-R52</f>
        <v>0</v>
      </c>
      <c r="S79" s="494">
        <f t="shared" ref="S79" si="72">S78-S52</f>
        <v>0</v>
      </c>
      <c r="T79" s="494">
        <f t="shared" ref="T79" si="73">T78-T52</f>
        <v>0</v>
      </c>
      <c r="U79" s="494">
        <f t="shared" ref="U79" si="74">U78-U52</f>
        <v>0</v>
      </c>
      <c r="V79" s="494">
        <f t="shared" ref="V79" si="75">V78-V52</f>
        <v>0</v>
      </c>
      <c r="W79" s="32"/>
    </row>
    <row r="80" spans="1:23" s="67" customFormat="1" ht="20.100000000000001" customHeight="1" x14ac:dyDescent="0.2">
      <c r="A80" s="66"/>
      <c r="B80" s="397"/>
      <c r="C80" s="186"/>
      <c r="D80" s="186"/>
      <c r="E80" s="186"/>
      <c r="F80" s="414"/>
      <c r="G80" s="415"/>
      <c r="H80" s="415"/>
      <c r="I80" s="415"/>
      <c r="J80" s="12"/>
      <c r="K80" s="12"/>
      <c r="L80" s="12"/>
      <c r="M80" s="397"/>
      <c r="N80" s="186"/>
      <c r="O80" s="186"/>
      <c r="P80" s="186"/>
      <c r="Q80" s="414"/>
      <c r="R80" s="415"/>
      <c r="S80" s="415"/>
      <c r="T80" s="415"/>
      <c r="U80" s="12"/>
      <c r="V80" s="12"/>
      <c r="W80" s="32"/>
    </row>
    <row r="81" spans="1:23" s="67" customFormat="1" ht="20.100000000000001" customHeight="1" x14ac:dyDescent="0.2">
      <c r="A81" s="12"/>
      <c r="B81" s="10" t="s">
        <v>312</v>
      </c>
      <c r="C81" s="301"/>
      <c r="D81" s="423"/>
      <c r="E81" s="424"/>
      <c r="F81" s="425">
        <v>2018</v>
      </c>
      <c r="G81" s="424">
        <v>2019</v>
      </c>
      <c r="H81" s="424">
        <v>2020</v>
      </c>
      <c r="I81" s="424">
        <v>2021</v>
      </c>
      <c r="J81" s="424">
        <v>2022</v>
      </c>
      <c r="K81" s="495" t="s">
        <v>96</v>
      </c>
      <c r="L81" s="12"/>
      <c r="M81" s="10" t="str">
        <f>B81</f>
        <v>Volume Forecast for "New Services" Growth Capex</v>
      </c>
      <c r="N81" s="301"/>
      <c r="O81" s="423"/>
      <c r="P81" s="424"/>
      <c r="Q81" s="425">
        <v>2018</v>
      </c>
      <c r="R81" s="424">
        <v>2019</v>
      </c>
      <c r="S81" s="424">
        <v>2020</v>
      </c>
      <c r="T81" s="424">
        <v>2021</v>
      </c>
      <c r="U81" s="424">
        <v>2022</v>
      </c>
      <c r="V81" s="495" t="s">
        <v>96</v>
      </c>
      <c r="W81" s="32"/>
    </row>
    <row r="82" spans="1:23" s="67" customFormat="1" ht="20.100000000000001" customHeight="1" x14ac:dyDescent="0.2">
      <c r="A82" s="66"/>
      <c r="B82" s="12" t="s">
        <v>306</v>
      </c>
      <c r="C82" s="12" t="s">
        <v>308</v>
      </c>
      <c r="D82" s="15"/>
      <c r="E82" s="15"/>
      <c r="F82" s="608" t="s">
        <v>414</v>
      </c>
      <c r="G82" s="609" t="s">
        <v>414</v>
      </c>
      <c r="H82" s="609" t="s">
        <v>414</v>
      </c>
      <c r="I82" s="609" t="s">
        <v>414</v>
      </c>
      <c r="J82" s="609" t="s">
        <v>414</v>
      </c>
      <c r="K82" s="13">
        <v>58851.430381566934</v>
      </c>
      <c r="L82" s="12"/>
      <c r="M82" s="12" t="str">
        <f t="shared" ref="M82:M86" si="76">B82</f>
        <v>New Residential Connections</v>
      </c>
      <c r="N82" s="12" t="str">
        <f t="shared" ref="N82:N85" si="77">C82</f>
        <v>New estate connections</v>
      </c>
      <c r="O82" s="15"/>
      <c r="P82" s="15"/>
      <c r="Q82" s="608" t="s">
        <v>414</v>
      </c>
      <c r="R82" s="609" t="s">
        <v>414</v>
      </c>
      <c r="S82" s="609" t="s">
        <v>414</v>
      </c>
      <c r="T82" s="609" t="s">
        <v>414</v>
      </c>
      <c r="U82" s="609" t="s">
        <v>414</v>
      </c>
      <c r="V82" s="13">
        <v>1929.6127535052301</v>
      </c>
      <c r="W82" s="32"/>
    </row>
    <row r="83" spans="1:23" s="67" customFormat="1" ht="20.100000000000001" customHeight="1" x14ac:dyDescent="0.2">
      <c r="A83" s="66"/>
      <c r="B83" s="12"/>
      <c r="C83" s="12" t="s">
        <v>309</v>
      </c>
      <c r="D83" s="15"/>
      <c r="E83" s="15"/>
      <c r="F83" s="608" t="s">
        <v>414</v>
      </c>
      <c r="G83" s="609" t="s">
        <v>414</v>
      </c>
      <c r="H83" s="609" t="s">
        <v>414</v>
      </c>
      <c r="I83" s="609" t="s">
        <v>414</v>
      </c>
      <c r="J83" s="609" t="s">
        <v>414</v>
      </c>
      <c r="K83" s="16">
        <v>3998.691448070429</v>
      </c>
      <c r="L83" s="12"/>
      <c r="M83" s="12"/>
      <c r="N83" s="12" t="str">
        <f t="shared" si="77"/>
        <v>Existing homes</v>
      </c>
      <c r="O83" s="15"/>
      <c r="P83" s="15"/>
      <c r="Q83" s="608" t="s">
        <v>414</v>
      </c>
      <c r="R83" s="609" t="s">
        <v>414</v>
      </c>
      <c r="S83" s="609" t="s">
        <v>414</v>
      </c>
      <c r="T83" s="609" t="s">
        <v>414</v>
      </c>
      <c r="U83" s="609" t="s">
        <v>414</v>
      </c>
      <c r="V83" s="16">
        <v>154.48854685800012</v>
      </c>
      <c r="W83" s="32"/>
    </row>
    <row r="84" spans="1:23" s="67" customFormat="1" ht="20.100000000000001" customHeight="1" x14ac:dyDescent="0.2">
      <c r="A84" s="66"/>
      <c r="B84" s="12"/>
      <c r="C84" s="12" t="s">
        <v>311</v>
      </c>
      <c r="D84" s="15"/>
      <c r="E84" s="15"/>
      <c r="F84" s="608" t="s">
        <v>414</v>
      </c>
      <c r="G84" s="609" t="s">
        <v>414</v>
      </c>
      <c r="H84" s="609" t="s">
        <v>414</v>
      </c>
      <c r="I84" s="609" t="s">
        <v>414</v>
      </c>
      <c r="J84" s="609" t="s">
        <v>414</v>
      </c>
      <c r="K84" s="16">
        <v>3281.5859467069349</v>
      </c>
      <c r="L84" s="12"/>
      <c r="M84" s="12"/>
      <c r="N84" s="12" t="str">
        <f t="shared" si="77"/>
        <v>Multi-User connections</v>
      </c>
      <c r="O84" s="15"/>
      <c r="P84" s="15"/>
      <c r="Q84" s="608" t="s">
        <v>414</v>
      </c>
      <c r="R84" s="609" t="s">
        <v>414</v>
      </c>
      <c r="S84" s="609" t="s">
        <v>414</v>
      </c>
      <c r="T84" s="609" t="s">
        <v>414</v>
      </c>
      <c r="U84" s="609" t="s">
        <v>414</v>
      </c>
      <c r="V84" s="16">
        <v>65.051828635211663</v>
      </c>
      <c r="W84" s="32"/>
    </row>
    <row r="85" spans="1:23" s="67" customFormat="1" ht="20.100000000000001" customHeight="1" x14ac:dyDescent="0.2">
      <c r="A85" s="66"/>
      <c r="B85" s="12" t="s">
        <v>307</v>
      </c>
      <c r="C85" s="12" t="s">
        <v>310</v>
      </c>
      <c r="D85" s="15"/>
      <c r="E85" s="15"/>
      <c r="F85" s="608" t="s">
        <v>414</v>
      </c>
      <c r="G85" s="609" t="s">
        <v>414</v>
      </c>
      <c r="H85" s="609" t="s">
        <v>414</v>
      </c>
      <c r="I85" s="609" t="s">
        <v>414</v>
      </c>
      <c r="J85" s="609" t="s">
        <v>414</v>
      </c>
      <c r="K85" s="59">
        <v>1677.5882991216392</v>
      </c>
      <c r="L85" s="12"/>
      <c r="M85" s="12" t="str">
        <f t="shared" si="76"/>
        <v>New Commercial Connections</v>
      </c>
      <c r="N85" s="12" t="str">
        <f t="shared" si="77"/>
        <v>I&amp;C&lt;10TJ</v>
      </c>
      <c r="O85" s="15"/>
      <c r="P85" s="15"/>
      <c r="Q85" s="608" t="s">
        <v>414</v>
      </c>
      <c r="R85" s="609" t="s">
        <v>414</v>
      </c>
      <c r="S85" s="609" t="s">
        <v>414</v>
      </c>
      <c r="T85" s="609" t="s">
        <v>414</v>
      </c>
      <c r="U85" s="609" t="s">
        <v>414</v>
      </c>
      <c r="V85" s="59">
        <v>125.58567579603282</v>
      </c>
      <c r="W85" s="32"/>
    </row>
    <row r="86" spans="1:23" s="67" customFormat="1" ht="20.100000000000001" customHeight="1" thickBot="1" x14ac:dyDescent="0.25">
      <c r="A86" s="66"/>
      <c r="B86" s="25" t="s">
        <v>86</v>
      </c>
      <c r="C86" s="25"/>
      <c r="D86" s="27"/>
      <c r="E86" s="27"/>
      <c r="F86" s="26">
        <v>13669.235075278712</v>
      </c>
      <c r="G86" s="27">
        <v>13242.071999064994</v>
      </c>
      <c r="H86" s="27">
        <v>13404.199437341913</v>
      </c>
      <c r="I86" s="27">
        <v>13632.636259626592</v>
      </c>
      <c r="J86" s="27">
        <v>13861.153304153719</v>
      </c>
      <c r="K86" s="26">
        <v>67809.296075465929</v>
      </c>
      <c r="L86" s="12"/>
      <c r="M86" s="25" t="str">
        <f t="shared" si="76"/>
        <v xml:space="preserve">Total </v>
      </c>
      <c r="N86" s="25"/>
      <c r="O86" s="27"/>
      <c r="P86" s="27"/>
      <c r="Q86" s="26">
        <v>439.07791904812848</v>
      </c>
      <c r="R86" s="27">
        <v>446.86887719210068</v>
      </c>
      <c r="S86" s="27">
        <v>454.80247602375522</v>
      </c>
      <c r="T86" s="27">
        <v>462.88135003211335</v>
      </c>
      <c r="U86" s="27">
        <v>471.10818249837689</v>
      </c>
      <c r="V86" s="26">
        <v>2274.7388047944746</v>
      </c>
      <c r="W86" s="32"/>
    </row>
    <row r="87" spans="1:23" s="67" customFormat="1" ht="20.100000000000001" customHeight="1" x14ac:dyDescent="0.2">
      <c r="A87" s="6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32"/>
    </row>
    <row r="88" spans="1:23" s="67" customFormat="1" ht="29.25" customHeight="1" x14ac:dyDescent="0.2">
      <c r="A88" s="66"/>
      <c r="B88" s="357" t="s">
        <v>339</v>
      </c>
      <c r="C88" s="357"/>
      <c r="D88" s="358"/>
      <c r="E88" s="358"/>
      <c r="F88" s="358"/>
      <c r="G88" s="358"/>
      <c r="H88" s="358"/>
      <c r="I88" s="358"/>
      <c r="J88" s="358"/>
      <c r="K88" s="358"/>
      <c r="L88" s="12"/>
      <c r="M88" s="357" t="s">
        <v>339</v>
      </c>
      <c r="N88" s="357"/>
      <c r="O88" s="358"/>
      <c r="P88" s="358"/>
      <c r="Q88" s="358"/>
      <c r="R88" s="358"/>
      <c r="S88" s="358"/>
      <c r="T88" s="358"/>
      <c r="U88" s="358"/>
      <c r="V88" s="358"/>
      <c r="W88" s="32"/>
    </row>
    <row r="89" spans="1:23" s="67" customFormat="1" ht="20.100000000000001" customHeight="1" x14ac:dyDescent="0.2">
      <c r="A89" s="6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32"/>
    </row>
    <row r="90" spans="1:23" s="67" customFormat="1" ht="20.100000000000001" customHeight="1" x14ac:dyDescent="0.2">
      <c r="A90" s="66"/>
      <c r="B90" s="10" t="s">
        <v>320</v>
      </c>
      <c r="C90" s="301"/>
      <c r="D90" s="301"/>
      <c r="E90" s="329"/>
      <c r="F90" s="424">
        <v>2013</v>
      </c>
      <c r="G90" s="424">
        <v>2014</v>
      </c>
      <c r="H90" s="424">
        <v>2015</v>
      </c>
      <c r="I90" s="484" t="s">
        <v>66</v>
      </c>
      <c r="J90" s="12"/>
      <c r="K90" s="12"/>
      <c r="L90" s="12"/>
      <c r="M90" s="10" t="str">
        <f>B90</f>
        <v>Historic New Mains (metres)</v>
      </c>
      <c r="N90" s="301"/>
      <c r="O90" s="301"/>
      <c r="P90" s="329"/>
      <c r="Q90" s="424">
        <v>2013</v>
      </c>
      <c r="R90" s="424">
        <v>2014</v>
      </c>
      <c r="S90" s="424">
        <v>2015</v>
      </c>
      <c r="T90" s="484" t="s">
        <v>66</v>
      </c>
      <c r="U90" s="12"/>
      <c r="V90" s="12"/>
      <c r="W90" s="32"/>
    </row>
    <row r="91" spans="1:23" s="67" customFormat="1" ht="20.100000000000001" customHeight="1" x14ac:dyDescent="0.2">
      <c r="A91" s="66"/>
      <c r="B91" s="12" t="s">
        <v>337</v>
      </c>
      <c r="C91" s="12"/>
      <c r="D91" s="12"/>
      <c r="E91" s="53"/>
      <c r="F91" s="15">
        <f>[4]Sheet1!D35</f>
        <v>92540</v>
      </c>
      <c r="G91" s="15">
        <f>[4]Sheet1!E35</f>
        <v>115948</v>
      </c>
      <c r="H91" s="15">
        <f>[4]Sheet1!F35</f>
        <v>155621</v>
      </c>
      <c r="I91" s="16">
        <f t="shared" ref="I91" si="78">AVERAGEIF(F91:H91,"&gt;0")</f>
        <v>121369.66666666667</v>
      </c>
      <c r="J91" s="12"/>
      <c r="K91" s="12"/>
      <c r="L91" s="12"/>
      <c r="M91" s="12" t="str">
        <f t="shared" ref="M91:M93" si="79">B91</f>
        <v>New estate</v>
      </c>
      <c r="N91" s="12"/>
      <c r="O91" s="12"/>
      <c r="P91" s="53"/>
      <c r="Q91" s="15">
        <f>[4]Sheet1!D9</f>
        <v>5763</v>
      </c>
      <c r="R91" s="15">
        <f>[4]Sheet1!E9</f>
        <v>5506</v>
      </c>
      <c r="S91" s="15">
        <f>[4]Sheet1!F9</f>
        <v>3852</v>
      </c>
      <c r="T91" s="16">
        <f t="shared" ref="T91" si="80">AVERAGEIF(Q91:S91,"&gt;0")</f>
        <v>5040.333333333333</v>
      </c>
      <c r="U91" s="12"/>
      <c r="V91" s="12"/>
      <c r="W91" s="32"/>
    </row>
    <row r="92" spans="1:23" s="67" customFormat="1" ht="20.100000000000001" customHeight="1" x14ac:dyDescent="0.2">
      <c r="A92" s="66"/>
      <c r="B92" s="12" t="s">
        <v>338</v>
      </c>
      <c r="C92" s="12"/>
      <c r="D92" s="12"/>
      <c r="E92" s="53"/>
      <c r="F92" s="15">
        <f>[4]Sheet1!D36</f>
        <v>1642</v>
      </c>
      <c r="G92" s="15">
        <f>[4]Sheet1!E36</f>
        <v>3398</v>
      </c>
      <c r="H92" s="15">
        <f>[4]Sheet1!F36</f>
        <v>13645</v>
      </c>
      <c r="I92" s="16">
        <f>AVERAGEIF(F92:H92,"&gt;0")</f>
        <v>6228.333333333333</v>
      </c>
      <c r="J92" s="12"/>
      <c r="K92" s="12"/>
      <c r="L92" s="12"/>
      <c r="M92" s="12" t="str">
        <f t="shared" si="79"/>
        <v>Existing area</v>
      </c>
      <c r="N92" s="12"/>
      <c r="O92" s="12"/>
      <c r="P92" s="53"/>
      <c r="Q92" s="15">
        <f>[4]Sheet1!D10</f>
        <v>0</v>
      </c>
      <c r="R92" s="15">
        <f>[4]Sheet1!E10</f>
        <v>0</v>
      </c>
      <c r="S92" s="15">
        <f>[4]Sheet1!F10</f>
        <v>28</v>
      </c>
      <c r="T92" s="16">
        <f>AVERAGEIF(Q92:S92,"&gt;0")</f>
        <v>28</v>
      </c>
      <c r="U92" s="12"/>
      <c r="V92" s="12"/>
      <c r="W92" s="32"/>
    </row>
    <row r="93" spans="1:23" s="67" customFormat="1" ht="20.100000000000001" customHeight="1" x14ac:dyDescent="0.2">
      <c r="A93" s="66"/>
      <c r="B93" s="301" t="s">
        <v>310</v>
      </c>
      <c r="C93" s="301"/>
      <c r="D93" s="301"/>
      <c r="E93" s="329"/>
      <c r="F93" s="60">
        <f>[4]Sheet1!D37</f>
        <v>3431</v>
      </c>
      <c r="G93" s="60">
        <f>[4]Sheet1!E37</f>
        <v>1627</v>
      </c>
      <c r="H93" s="60">
        <f>[4]Sheet1!F37</f>
        <v>4830</v>
      </c>
      <c r="I93" s="59">
        <f t="shared" ref="I93" si="81">AVERAGEIF(F93:H93,"&gt;0")</f>
        <v>3296</v>
      </c>
      <c r="J93" s="12"/>
      <c r="K93" s="12"/>
      <c r="L93" s="12"/>
      <c r="M93" s="301" t="str">
        <f t="shared" si="79"/>
        <v>I&amp;C&lt;10TJ</v>
      </c>
      <c r="N93" s="301"/>
      <c r="O93" s="301"/>
      <c r="P93" s="329"/>
      <c r="Q93" s="60">
        <f>[4]Sheet1!D11</f>
        <v>430</v>
      </c>
      <c r="R93" s="60">
        <f>[4]Sheet1!E11</f>
        <v>0</v>
      </c>
      <c r="S93" s="60">
        <f>[4]Sheet1!F11</f>
        <v>241</v>
      </c>
      <c r="T93" s="59">
        <f t="shared" ref="T93" si="82">AVERAGEIF(Q93:S93,"&gt;0")</f>
        <v>335.5</v>
      </c>
      <c r="U93" s="12"/>
      <c r="V93" s="12"/>
      <c r="W93" s="32"/>
    </row>
    <row r="94" spans="1:23" s="67" customFormat="1" ht="20.100000000000001" customHeight="1" x14ac:dyDescent="0.2">
      <c r="A94" s="6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32"/>
    </row>
    <row r="95" spans="1:23" s="67" customFormat="1" ht="20.100000000000001" customHeight="1" x14ac:dyDescent="0.2">
      <c r="A95" s="66"/>
      <c r="B95" s="180" t="s">
        <v>336</v>
      </c>
      <c r="C95" s="185"/>
      <c r="D95" s="423"/>
      <c r="E95" s="424"/>
      <c r="F95" s="425">
        <v>2013</v>
      </c>
      <c r="G95" s="424">
        <v>2014</v>
      </c>
      <c r="H95" s="424">
        <v>2015</v>
      </c>
      <c r="I95" s="425" t="s">
        <v>66</v>
      </c>
      <c r="J95" s="12"/>
      <c r="K95" s="12"/>
      <c r="L95" s="12"/>
      <c r="M95" s="180" t="str">
        <f>B95</f>
        <v>Historic ratio of metres per new main laid</v>
      </c>
      <c r="N95" s="185"/>
      <c r="O95" s="423"/>
      <c r="P95" s="424"/>
      <c r="Q95" s="425">
        <v>2013</v>
      </c>
      <c r="R95" s="424">
        <v>2014</v>
      </c>
      <c r="S95" s="424">
        <v>2015</v>
      </c>
      <c r="T95" s="425" t="s">
        <v>66</v>
      </c>
      <c r="U95" s="12"/>
      <c r="V95" s="12"/>
      <c r="W95" s="32"/>
    </row>
    <row r="96" spans="1:23" s="67" customFormat="1" ht="20.100000000000001" customHeight="1" x14ac:dyDescent="0.2">
      <c r="A96" s="66"/>
      <c r="B96" s="81" t="s">
        <v>337</v>
      </c>
      <c r="C96" s="81"/>
      <c r="D96" s="81"/>
      <c r="E96" s="53"/>
      <c r="F96" s="121">
        <f>F91/F58</f>
        <v>9.2189679218967928</v>
      </c>
      <c r="G96" s="121">
        <f>G91/G58</f>
        <v>10.588858447488585</v>
      </c>
      <c r="H96" s="121">
        <f>H91/H58</f>
        <v>12.019850158337839</v>
      </c>
      <c r="I96" s="181">
        <f t="shared" ref="I96" si="83">AVERAGEIF(F96:H96,"&gt;0")</f>
        <v>10.609225509241073</v>
      </c>
      <c r="J96" s="12"/>
      <c r="K96" s="12"/>
      <c r="L96" s="12"/>
      <c r="M96" s="81" t="str">
        <f t="shared" ref="M96:M98" si="84">B96</f>
        <v>New estate</v>
      </c>
      <c r="N96" s="81"/>
      <c r="O96" s="81"/>
      <c r="P96" s="53"/>
      <c r="Q96" s="121">
        <f>Q91/Q58</f>
        <v>21.032846715328468</v>
      </c>
      <c r="R96" s="121">
        <f>R91/R58</f>
        <v>13.109523809523809</v>
      </c>
      <c r="S96" s="121">
        <f>S91/S58</f>
        <v>9.349514563106796</v>
      </c>
      <c r="T96" s="181">
        <f t="shared" ref="T96:T98" si="85">AVERAGEIF(Q96:S96,"&gt;0")</f>
        <v>14.497295029319689</v>
      </c>
      <c r="U96" s="12"/>
      <c r="V96" s="12"/>
      <c r="W96" s="32"/>
    </row>
    <row r="97" spans="1:23" s="67" customFormat="1" ht="20.100000000000001" customHeight="1" x14ac:dyDescent="0.2">
      <c r="A97" s="66"/>
      <c r="B97" s="81" t="s">
        <v>338</v>
      </c>
      <c r="C97" s="81"/>
      <c r="D97" s="81"/>
      <c r="E97" s="81"/>
      <c r="F97" s="477">
        <f>F92/(F59+F60)</f>
        <v>1.2553516819571866</v>
      </c>
      <c r="G97" s="478">
        <f>G92/(G59+G60)</f>
        <v>3.0420769919427038</v>
      </c>
      <c r="H97" s="481">
        <f>H92/(H59+H60)</f>
        <v>12.183035714285714</v>
      </c>
      <c r="I97" s="182">
        <f>AVERAGEIF(F97:H97,"&gt;0")</f>
        <v>5.4934881293952005</v>
      </c>
      <c r="J97" s="12"/>
      <c r="K97" s="12"/>
      <c r="L97" s="12"/>
      <c r="M97" s="81" t="str">
        <f t="shared" si="84"/>
        <v>Existing area</v>
      </c>
      <c r="N97" s="81"/>
      <c r="O97" s="81"/>
      <c r="P97" s="81"/>
      <c r="Q97" s="477">
        <f>Q92/(Q59+Q60)</f>
        <v>0</v>
      </c>
      <c r="R97" s="478">
        <f>R92/(R59+R60)</f>
        <v>0</v>
      </c>
      <c r="S97" s="481">
        <f>S92/(S59+S60)</f>
        <v>0.65116279069767447</v>
      </c>
      <c r="T97" s="182">
        <f t="shared" si="85"/>
        <v>0.65116279069767447</v>
      </c>
      <c r="U97" s="12"/>
      <c r="V97" s="12"/>
      <c r="W97" s="32"/>
    </row>
    <row r="98" spans="1:23" s="67" customFormat="1" ht="20.100000000000001" customHeight="1" x14ac:dyDescent="0.2">
      <c r="A98" s="66"/>
      <c r="B98" s="301" t="s">
        <v>310</v>
      </c>
      <c r="C98" s="301"/>
      <c r="D98" s="301"/>
      <c r="E98" s="301"/>
      <c r="F98" s="479">
        <f>F93/F61</f>
        <v>18.446236559139784</v>
      </c>
      <c r="G98" s="480">
        <f>G93/G61</f>
        <v>8.5183246073298431</v>
      </c>
      <c r="H98" s="482">
        <f>H93/H61</f>
        <v>21.855203619909503</v>
      </c>
      <c r="I98" s="483">
        <f t="shared" ref="I98" si="86">AVERAGEIF(F98:H98,"&gt;0")</f>
        <v>16.273254928793044</v>
      </c>
      <c r="J98" s="12"/>
      <c r="K98" s="12"/>
      <c r="L98" s="12"/>
      <c r="M98" s="301" t="str">
        <f t="shared" si="84"/>
        <v>I&amp;C&lt;10TJ</v>
      </c>
      <c r="N98" s="301"/>
      <c r="O98" s="301"/>
      <c r="P98" s="301"/>
      <c r="Q98" s="479">
        <f>Q93/Q61</f>
        <v>26.875</v>
      </c>
      <c r="R98" s="480">
        <f>R93/R61</f>
        <v>0</v>
      </c>
      <c r="S98" s="482">
        <f>S93/S61</f>
        <v>12.05</v>
      </c>
      <c r="T98" s="483">
        <f t="shared" si="85"/>
        <v>19.462499999999999</v>
      </c>
      <c r="U98" s="12"/>
      <c r="V98" s="12"/>
      <c r="W98" s="32"/>
    </row>
    <row r="99" spans="1:23" s="67" customFormat="1" ht="20.100000000000001" customHeight="1" x14ac:dyDescent="0.2">
      <c r="A99" s="6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32"/>
    </row>
    <row r="100" spans="1:23" s="427" customFormat="1" ht="20.100000000000001" customHeight="1" x14ac:dyDescent="0.2">
      <c r="A100" s="12"/>
      <c r="B100" s="10" t="s">
        <v>345</v>
      </c>
      <c r="C100" s="301"/>
      <c r="D100" s="423"/>
      <c r="E100" s="424"/>
      <c r="F100" s="425">
        <v>2018</v>
      </c>
      <c r="G100" s="426">
        <v>2019</v>
      </c>
      <c r="H100" s="426">
        <v>2020</v>
      </c>
      <c r="I100" s="426">
        <v>2021</v>
      </c>
      <c r="J100" s="424">
        <v>2022</v>
      </c>
      <c r="K100" s="425" t="s">
        <v>96</v>
      </c>
      <c r="L100" s="12"/>
      <c r="M100" s="10" t="str">
        <f>B100</f>
        <v>New Services forecast for the purposes of "New Mains" Growth Capex</v>
      </c>
      <c r="N100" s="301"/>
      <c r="O100" s="423"/>
      <c r="P100" s="424"/>
      <c r="Q100" s="425">
        <v>2018</v>
      </c>
      <c r="R100" s="426">
        <v>2019</v>
      </c>
      <c r="S100" s="426">
        <v>2020</v>
      </c>
      <c r="T100" s="426">
        <v>2021</v>
      </c>
      <c r="U100" s="424">
        <v>2022</v>
      </c>
      <c r="V100" s="425" t="s">
        <v>96</v>
      </c>
      <c r="W100" s="32"/>
    </row>
    <row r="101" spans="1:23" s="67" customFormat="1" ht="20.100000000000001" customHeight="1" x14ac:dyDescent="0.2">
      <c r="A101" s="66"/>
      <c r="B101" s="12" t="s">
        <v>306</v>
      </c>
      <c r="C101" s="12" t="s">
        <v>308</v>
      </c>
      <c r="D101" s="15"/>
      <c r="E101" s="15"/>
      <c r="F101" s="608" t="s">
        <v>414</v>
      </c>
      <c r="G101" s="606" t="s">
        <v>414</v>
      </c>
      <c r="H101" s="606" t="s">
        <v>414</v>
      </c>
      <c r="I101" s="606" t="s">
        <v>414</v>
      </c>
      <c r="J101" s="609" t="s">
        <v>414</v>
      </c>
      <c r="K101" s="16">
        <v>58851.430381566934</v>
      </c>
      <c r="L101" s="12"/>
      <c r="M101" s="12" t="str">
        <f t="shared" ref="M101:M104" si="87">B101</f>
        <v>New Residential Connections</v>
      </c>
      <c r="N101" s="12" t="str">
        <f t="shared" ref="N101:N103" si="88">C101</f>
        <v>New estate connections</v>
      </c>
      <c r="O101" s="15"/>
      <c r="P101" s="15"/>
      <c r="Q101" s="608" t="s">
        <v>414</v>
      </c>
      <c r="R101" s="606" t="s">
        <v>414</v>
      </c>
      <c r="S101" s="606" t="s">
        <v>414</v>
      </c>
      <c r="T101" s="606" t="s">
        <v>414</v>
      </c>
      <c r="U101" s="609" t="s">
        <v>414</v>
      </c>
      <c r="V101" s="16">
        <v>1929.6127535052301</v>
      </c>
      <c r="W101" s="32"/>
    </row>
    <row r="102" spans="1:23" s="67" customFormat="1" ht="20.100000000000001" customHeight="1" x14ac:dyDescent="0.2">
      <c r="A102" s="66"/>
      <c r="B102" s="12"/>
      <c r="C102" s="12" t="s">
        <v>338</v>
      </c>
      <c r="D102" s="15"/>
      <c r="E102" s="15"/>
      <c r="F102" s="608" t="s">
        <v>414</v>
      </c>
      <c r="G102" s="609" t="s">
        <v>414</v>
      </c>
      <c r="H102" s="609" t="s">
        <v>414</v>
      </c>
      <c r="I102" s="609" t="s">
        <v>414</v>
      </c>
      <c r="J102" s="609" t="s">
        <v>414</v>
      </c>
      <c r="K102" s="16">
        <v>7280.277394777364</v>
      </c>
      <c r="L102" s="12"/>
      <c r="M102" s="12"/>
      <c r="N102" s="12" t="str">
        <f t="shared" si="88"/>
        <v>Existing area</v>
      </c>
      <c r="O102" s="15"/>
      <c r="P102" s="15"/>
      <c r="Q102" s="608" t="s">
        <v>414</v>
      </c>
      <c r="R102" s="609" t="s">
        <v>414</v>
      </c>
      <c r="S102" s="609" t="s">
        <v>414</v>
      </c>
      <c r="T102" s="609" t="s">
        <v>414</v>
      </c>
      <c r="U102" s="609" t="s">
        <v>414</v>
      </c>
      <c r="V102" s="16">
        <v>219.54037549321177</v>
      </c>
      <c r="W102" s="32"/>
    </row>
    <row r="103" spans="1:23" s="67" customFormat="1" ht="20.100000000000001" customHeight="1" x14ac:dyDescent="0.2">
      <c r="A103" s="66"/>
      <c r="B103" s="12" t="s">
        <v>307</v>
      </c>
      <c r="C103" s="12" t="s">
        <v>310</v>
      </c>
      <c r="D103" s="15"/>
      <c r="E103" s="15"/>
      <c r="F103" s="608" t="s">
        <v>414</v>
      </c>
      <c r="G103" s="611" t="s">
        <v>414</v>
      </c>
      <c r="H103" s="611" t="s">
        <v>414</v>
      </c>
      <c r="I103" s="611" t="s">
        <v>414</v>
      </c>
      <c r="J103" s="611" t="s">
        <v>414</v>
      </c>
      <c r="K103" s="16">
        <v>1677.5882991216392</v>
      </c>
      <c r="L103" s="12"/>
      <c r="M103" s="12" t="str">
        <f t="shared" si="87"/>
        <v>New Commercial Connections</v>
      </c>
      <c r="N103" s="12" t="str">
        <f t="shared" si="88"/>
        <v>I&amp;C&lt;10TJ</v>
      </c>
      <c r="O103" s="15"/>
      <c r="P103" s="15"/>
      <c r="Q103" s="608" t="s">
        <v>414</v>
      </c>
      <c r="R103" s="611" t="s">
        <v>414</v>
      </c>
      <c r="S103" s="611" t="s">
        <v>414</v>
      </c>
      <c r="T103" s="611" t="s">
        <v>414</v>
      </c>
      <c r="U103" s="611" t="s">
        <v>414</v>
      </c>
      <c r="V103" s="16">
        <v>125.58567579603282</v>
      </c>
      <c r="W103" s="32"/>
    </row>
    <row r="104" spans="1:23" s="67" customFormat="1" ht="20.100000000000001" customHeight="1" thickBot="1" x14ac:dyDescent="0.25">
      <c r="A104" s="66"/>
      <c r="B104" s="25" t="s">
        <v>86</v>
      </c>
      <c r="C104" s="25"/>
      <c r="D104" s="27"/>
      <c r="E104" s="27"/>
      <c r="F104" s="26">
        <v>13669.235075278712</v>
      </c>
      <c r="G104" s="58">
        <v>13242.071999064994</v>
      </c>
      <c r="H104" s="58">
        <v>13404.199437341913</v>
      </c>
      <c r="I104" s="58">
        <v>13632.63625962659</v>
      </c>
      <c r="J104" s="27">
        <v>13861.153304153719</v>
      </c>
      <c r="K104" s="26">
        <v>67809.296075465929</v>
      </c>
      <c r="L104" s="12"/>
      <c r="M104" s="25" t="str">
        <f t="shared" si="87"/>
        <v xml:space="preserve">Total </v>
      </c>
      <c r="N104" s="25"/>
      <c r="O104" s="27"/>
      <c r="P104" s="27"/>
      <c r="Q104" s="26">
        <v>439.07791904812848</v>
      </c>
      <c r="R104" s="58">
        <v>446.86887719210068</v>
      </c>
      <c r="S104" s="58">
        <v>454.80247602375528</v>
      </c>
      <c r="T104" s="58">
        <v>462.88135003211335</v>
      </c>
      <c r="U104" s="27">
        <v>471.10818249837695</v>
      </c>
      <c r="V104" s="26">
        <v>2274.7388047944746</v>
      </c>
      <c r="W104" s="32"/>
    </row>
    <row r="105" spans="1:23" s="67" customFormat="1" ht="20.100000000000001" customHeight="1" x14ac:dyDescent="0.2">
      <c r="A105" s="66"/>
      <c r="B105" s="395" t="s">
        <v>11</v>
      </c>
      <c r="C105" s="395"/>
      <c r="D105" s="396"/>
      <c r="E105" s="396"/>
      <c r="F105" s="396">
        <f>F104-F86</f>
        <v>0</v>
      </c>
      <c r="G105" s="396">
        <f t="shared" ref="G105:K105" si="89">G104-G86</f>
        <v>0</v>
      </c>
      <c r="H105" s="396">
        <f t="shared" si="89"/>
        <v>0</v>
      </c>
      <c r="I105" s="396">
        <f t="shared" si="89"/>
        <v>0</v>
      </c>
      <c r="J105" s="396">
        <f t="shared" si="89"/>
        <v>0</v>
      </c>
      <c r="K105" s="396">
        <f t="shared" si="89"/>
        <v>0</v>
      </c>
      <c r="L105" s="12"/>
      <c r="M105" s="395" t="s">
        <v>11</v>
      </c>
      <c r="N105" s="395"/>
      <c r="O105" s="396"/>
      <c r="P105" s="396"/>
      <c r="Q105" s="396">
        <f>Q104-Q86</f>
        <v>0</v>
      </c>
      <c r="R105" s="396">
        <f t="shared" ref="R105" si="90">R104-R86</f>
        <v>0</v>
      </c>
      <c r="S105" s="396">
        <f t="shared" ref="S105" si="91">S104-S86</f>
        <v>0</v>
      </c>
      <c r="T105" s="396">
        <f t="shared" ref="T105" si="92">T104-T86</f>
        <v>0</v>
      </c>
      <c r="U105" s="396">
        <f t="shared" ref="U105" si="93">U104-U86</f>
        <v>0</v>
      </c>
      <c r="V105" s="396">
        <f t="shared" ref="V105" si="94">V104-V86</f>
        <v>0</v>
      </c>
      <c r="W105" s="32"/>
    </row>
    <row r="106" spans="1:23" s="67" customFormat="1" ht="20.100000000000001" customHeight="1" x14ac:dyDescent="0.2">
      <c r="A106" s="66"/>
      <c r="B106" s="395"/>
      <c r="C106" s="395"/>
      <c r="D106" s="396"/>
      <c r="E106" s="396"/>
      <c r="F106" s="396"/>
      <c r="G106" s="396"/>
      <c r="H106" s="396"/>
      <c r="I106" s="396"/>
      <c r="J106" s="396"/>
      <c r="K106" s="396"/>
      <c r="L106" s="12"/>
      <c r="M106" s="395"/>
      <c r="N106" s="395"/>
      <c r="O106" s="396"/>
      <c r="P106" s="396"/>
      <c r="Q106" s="396"/>
      <c r="R106" s="396"/>
      <c r="S106" s="396"/>
      <c r="T106" s="396"/>
      <c r="U106" s="396"/>
      <c r="V106" s="396"/>
      <c r="W106" s="32"/>
    </row>
    <row r="107" spans="1:23" s="67" customFormat="1" ht="20.100000000000001" customHeight="1" x14ac:dyDescent="0.2">
      <c r="A107" s="66"/>
      <c r="B107" s="576" t="s">
        <v>341</v>
      </c>
      <c r="C107" s="577"/>
      <c r="D107" s="578"/>
      <c r="E107" s="578"/>
      <c r="F107" s="578"/>
      <c r="G107" s="578"/>
      <c r="H107" s="578"/>
      <c r="I107" s="578"/>
      <c r="J107" s="578"/>
      <c r="K107" s="578"/>
      <c r="L107" s="12"/>
      <c r="M107" s="576" t="s">
        <v>341</v>
      </c>
      <c r="N107" s="577"/>
      <c r="O107" s="578"/>
      <c r="P107" s="578"/>
      <c r="Q107" s="578"/>
      <c r="R107" s="578"/>
      <c r="S107" s="578"/>
      <c r="T107" s="578"/>
      <c r="U107" s="578"/>
      <c r="V107" s="578"/>
      <c r="W107" s="32"/>
    </row>
    <row r="108" spans="1:23" s="67" customFormat="1" ht="20.100000000000001" customHeight="1" x14ac:dyDescent="0.2">
      <c r="A108" s="66"/>
      <c r="B108" s="395"/>
      <c r="C108" s="395"/>
      <c r="D108" s="396"/>
      <c r="E108" s="396"/>
      <c r="F108" s="396"/>
      <c r="G108" s="396"/>
      <c r="H108" s="396"/>
      <c r="I108" s="396"/>
      <c r="J108" s="396"/>
      <c r="K108" s="396"/>
      <c r="L108" s="12"/>
      <c r="M108" s="395"/>
      <c r="N108" s="395"/>
      <c r="O108" s="396"/>
      <c r="P108" s="396"/>
      <c r="Q108" s="396"/>
      <c r="R108" s="396"/>
      <c r="S108" s="396"/>
      <c r="T108" s="396"/>
      <c r="U108" s="396"/>
      <c r="V108" s="396"/>
      <c r="W108" s="32"/>
    </row>
    <row r="109" spans="1:23" s="67" customFormat="1" ht="20.100000000000001" customHeight="1" x14ac:dyDescent="0.2">
      <c r="A109" s="66"/>
      <c r="B109" s="10" t="s">
        <v>314</v>
      </c>
      <c r="C109" s="301"/>
      <c r="D109" s="423"/>
      <c r="E109" s="424"/>
      <c r="F109" s="425">
        <v>2018</v>
      </c>
      <c r="G109" s="426">
        <v>2019</v>
      </c>
      <c r="H109" s="426">
        <v>2020</v>
      </c>
      <c r="I109" s="426">
        <v>2021</v>
      </c>
      <c r="J109" s="424">
        <v>2022</v>
      </c>
      <c r="K109" s="425" t="s">
        <v>96</v>
      </c>
      <c r="L109" s="12"/>
      <c r="M109" s="10" t="str">
        <f>B109</f>
        <v>Volume Forecast for "New Mains" Growth Capex</v>
      </c>
      <c r="N109" s="301"/>
      <c r="O109" s="423"/>
      <c r="P109" s="424"/>
      <c r="Q109" s="425">
        <v>2018</v>
      </c>
      <c r="R109" s="426">
        <v>2019</v>
      </c>
      <c r="S109" s="426">
        <v>2020</v>
      </c>
      <c r="T109" s="426">
        <v>2021</v>
      </c>
      <c r="U109" s="424">
        <v>2022</v>
      </c>
      <c r="V109" s="425" t="s">
        <v>96</v>
      </c>
      <c r="W109" s="32"/>
    </row>
    <row r="110" spans="1:23" s="67" customFormat="1" ht="20.100000000000001" customHeight="1" x14ac:dyDescent="0.2">
      <c r="A110" s="66"/>
      <c r="B110" s="12" t="s">
        <v>306</v>
      </c>
      <c r="C110" s="12" t="s">
        <v>337</v>
      </c>
      <c r="D110" s="15"/>
      <c r="E110" s="15"/>
      <c r="F110" s="608" t="s">
        <v>414</v>
      </c>
      <c r="G110" s="606" t="s">
        <v>414</v>
      </c>
      <c r="H110" s="606" t="s">
        <v>414</v>
      </c>
      <c r="I110" s="606" t="s">
        <v>414</v>
      </c>
      <c r="J110" s="609" t="s">
        <v>414</v>
      </c>
      <c r="K110" s="16">
        <v>624368.09645944496</v>
      </c>
      <c r="L110" s="12"/>
      <c r="M110" s="12" t="str">
        <f t="shared" ref="M110:M113" si="95">B110</f>
        <v>New Residential Connections</v>
      </c>
      <c r="N110" s="12" t="str">
        <f t="shared" ref="N110:N112" si="96">C110</f>
        <v>New estate</v>
      </c>
      <c r="O110" s="15"/>
      <c r="P110" s="15"/>
      <c r="Q110" s="608" t="s">
        <v>414</v>
      </c>
      <c r="R110" s="606" t="s">
        <v>414</v>
      </c>
      <c r="S110" s="606" t="s">
        <v>414</v>
      </c>
      <c r="T110" s="606" t="s">
        <v>414</v>
      </c>
      <c r="U110" s="609" t="s">
        <v>414</v>
      </c>
      <c r="V110" s="16">
        <v>27974.16537990325</v>
      </c>
      <c r="W110" s="32"/>
    </row>
    <row r="111" spans="1:23" s="67" customFormat="1" ht="20.100000000000001" customHeight="1" x14ac:dyDescent="0.2">
      <c r="A111" s="66"/>
      <c r="B111" s="12"/>
      <c r="C111" s="12" t="s">
        <v>338</v>
      </c>
      <c r="D111" s="15"/>
      <c r="E111" s="15"/>
      <c r="F111" s="608" t="s">
        <v>414</v>
      </c>
      <c r="G111" s="609" t="s">
        <v>414</v>
      </c>
      <c r="H111" s="609" t="s">
        <v>414</v>
      </c>
      <c r="I111" s="609" t="s">
        <v>414</v>
      </c>
      <c r="J111" s="609" t="s">
        <v>414</v>
      </c>
      <c r="K111" s="16">
        <v>39994.11744691366</v>
      </c>
      <c r="L111" s="12"/>
      <c r="M111" s="12"/>
      <c r="N111" s="12" t="str">
        <f t="shared" si="96"/>
        <v>Existing area</v>
      </c>
      <c r="O111" s="15"/>
      <c r="P111" s="15"/>
      <c r="Q111" s="608" t="s">
        <v>414</v>
      </c>
      <c r="R111" s="609" t="s">
        <v>414</v>
      </c>
      <c r="S111" s="609" t="s">
        <v>414</v>
      </c>
      <c r="T111" s="609" t="s">
        <v>414</v>
      </c>
      <c r="U111" s="609" t="s">
        <v>414</v>
      </c>
      <c r="V111" s="16">
        <v>142.95652357697512</v>
      </c>
      <c r="W111" s="32"/>
    </row>
    <row r="112" spans="1:23" s="67" customFormat="1" ht="20.100000000000001" customHeight="1" x14ac:dyDescent="0.2">
      <c r="A112" s="66"/>
      <c r="B112" s="12" t="s">
        <v>307</v>
      </c>
      <c r="C112" s="12" t="s">
        <v>310</v>
      </c>
      <c r="D112" s="15"/>
      <c r="E112" s="15"/>
      <c r="F112" s="608" t="s">
        <v>414</v>
      </c>
      <c r="G112" s="611" t="s">
        <v>414</v>
      </c>
      <c r="H112" s="611" t="s">
        <v>414</v>
      </c>
      <c r="I112" s="611" t="s">
        <v>414</v>
      </c>
      <c r="J112" s="611" t="s">
        <v>414</v>
      </c>
      <c r="K112" s="16">
        <v>27299.822057166755</v>
      </c>
      <c r="L112" s="12"/>
      <c r="M112" s="12" t="str">
        <f t="shared" si="95"/>
        <v>New Commercial Connections</v>
      </c>
      <c r="N112" s="12" t="str">
        <f t="shared" si="96"/>
        <v>I&amp;C&lt;10TJ</v>
      </c>
      <c r="O112" s="15"/>
      <c r="P112" s="15"/>
      <c r="Q112" s="608" t="s">
        <v>414</v>
      </c>
      <c r="R112" s="611" t="s">
        <v>414</v>
      </c>
      <c r="S112" s="611" t="s">
        <v>414</v>
      </c>
      <c r="T112" s="611" t="s">
        <v>414</v>
      </c>
      <c r="U112" s="611" t="s">
        <v>414</v>
      </c>
      <c r="V112" s="16">
        <v>2444.2112151802885</v>
      </c>
      <c r="W112" s="32"/>
    </row>
    <row r="113" spans="1:23" s="67" customFormat="1" ht="20.100000000000001" customHeight="1" thickBot="1" x14ac:dyDescent="0.25">
      <c r="A113" s="66"/>
      <c r="B113" s="25" t="s">
        <v>86</v>
      </c>
      <c r="C113" s="25"/>
      <c r="D113" s="27"/>
      <c r="E113" s="27"/>
      <c r="F113" s="26">
        <v>139386.52887978125</v>
      </c>
      <c r="G113" s="58">
        <v>135107.43492278241</v>
      </c>
      <c r="H113" s="58">
        <v>136748.46488921254</v>
      </c>
      <c r="I113" s="58">
        <v>139055.72684994963</v>
      </c>
      <c r="J113" s="27">
        <v>141363.88042179946</v>
      </c>
      <c r="K113" s="26">
        <v>691662.03596352541</v>
      </c>
      <c r="L113" s="12"/>
      <c r="M113" s="25" t="str">
        <f t="shared" si="95"/>
        <v xml:space="preserve">Total </v>
      </c>
      <c r="N113" s="25"/>
      <c r="O113" s="27"/>
      <c r="P113" s="27"/>
      <c r="Q113" s="26">
        <v>5902.7967806264151</v>
      </c>
      <c r="R113" s="58">
        <v>6005.6429181817657</v>
      </c>
      <c r="S113" s="58">
        <v>6110.3605271099495</v>
      </c>
      <c r="T113" s="58">
        <v>6216.98410495606</v>
      </c>
      <c r="U113" s="27">
        <v>6325.5487877863261</v>
      </c>
      <c r="V113" s="26">
        <v>30561.333118660517</v>
      </c>
      <c r="W113" s="32"/>
    </row>
    <row r="114" spans="1:23" s="67" customFormat="1" ht="20.100000000000001" customHeight="1" x14ac:dyDescent="0.2">
      <c r="A114" s="66"/>
      <c r="B114" s="395"/>
      <c r="C114" s="395"/>
      <c r="D114" s="396"/>
      <c r="E114" s="396"/>
      <c r="F114" s="396"/>
      <c r="G114" s="396"/>
      <c r="H114" s="396"/>
      <c r="I114" s="396"/>
      <c r="J114" s="396"/>
      <c r="K114" s="12"/>
      <c r="L114" s="12"/>
      <c r="M114" s="395"/>
      <c r="N114" s="395"/>
      <c r="O114" s="396"/>
      <c r="P114" s="396"/>
      <c r="Q114" s="396"/>
      <c r="R114" s="396"/>
      <c r="S114" s="396"/>
      <c r="T114" s="396"/>
      <c r="U114" s="396"/>
      <c r="V114" s="12"/>
      <c r="W114" s="32"/>
    </row>
    <row r="115" spans="1:23" s="67" customFormat="1" ht="27.75" customHeight="1" x14ac:dyDescent="0.2"/>
    <row r="116" spans="1:23" s="67" customFormat="1" ht="18" customHeight="1" x14ac:dyDescent="0.2"/>
    <row r="117" spans="1:23" s="67" customFormat="1" ht="18" customHeight="1" x14ac:dyDescent="0.2"/>
    <row r="118" spans="1:23" s="67" customFormat="1" ht="18" customHeight="1" x14ac:dyDescent="0.2"/>
    <row r="119" spans="1:23" s="67" customFormat="1" ht="18" customHeight="1" x14ac:dyDescent="0.2"/>
    <row r="120" spans="1:23" s="67" customFormat="1" ht="18" customHeight="1" x14ac:dyDescent="0.2"/>
    <row r="121" spans="1:23" s="67" customFormat="1" ht="18" customHeight="1" x14ac:dyDescent="0.2"/>
    <row r="122" spans="1:23" s="67" customFormat="1" ht="18" customHeight="1" x14ac:dyDescent="0.2"/>
    <row r="123" spans="1:23" s="67" customFormat="1" ht="18" customHeight="1" x14ac:dyDescent="0.2"/>
    <row r="124" spans="1:23" s="67" customFormat="1" ht="18" customHeight="1" x14ac:dyDescent="0.2"/>
    <row r="125" spans="1:23" s="67" customFormat="1" ht="18" customHeight="1" x14ac:dyDescent="0.2"/>
    <row r="126" spans="1:23" s="67" customFormat="1" ht="18" customHeight="1" x14ac:dyDescent="0.2"/>
    <row r="127" spans="1:23" s="67" customFormat="1" ht="18" customHeight="1" x14ac:dyDescent="0.2"/>
    <row r="128" spans="1:23" s="67" customFormat="1" ht="18" customHeight="1" x14ac:dyDescent="0.2"/>
    <row r="129" s="67" customFormat="1" ht="18" customHeight="1" x14ac:dyDescent="0.2"/>
    <row r="130" s="67" customFormat="1" ht="18" customHeight="1" x14ac:dyDescent="0.2"/>
    <row r="131" s="67" customFormat="1" ht="18" customHeight="1" x14ac:dyDescent="0.2"/>
    <row r="132" s="67" customFormat="1" ht="18" customHeight="1" x14ac:dyDescent="0.2"/>
    <row r="133" s="67" customFormat="1" ht="18" customHeight="1" x14ac:dyDescent="0.2"/>
    <row r="134" s="67" customFormat="1" ht="18" customHeight="1" x14ac:dyDescent="0.2"/>
    <row r="135" s="67" customFormat="1" ht="18" customHeight="1" x14ac:dyDescent="0.2"/>
    <row r="136" s="67" customFormat="1" ht="18" customHeight="1" x14ac:dyDescent="0.2"/>
    <row r="137" s="427" customFormat="1" ht="18" customHeight="1" x14ac:dyDescent="0.25"/>
    <row r="138" s="67" customFormat="1" ht="18" customHeight="1" x14ac:dyDescent="0.2"/>
    <row r="139" s="67" customFormat="1" ht="18" customHeight="1" x14ac:dyDescent="0.2"/>
    <row r="140" s="67" customFormat="1" ht="18" customHeight="1" x14ac:dyDescent="0.2"/>
    <row r="141" s="67" customFormat="1" ht="18" customHeight="1" x14ac:dyDescent="0.2"/>
    <row r="142" s="67" customFormat="1" ht="18" customHeight="1" x14ac:dyDescent="0.2"/>
    <row r="143" s="67" customFormat="1" ht="18" customHeight="1" x14ac:dyDescent="0.2"/>
    <row r="144" s="67" customFormat="1" ht="18" customHeight="1" x14ac:dyDescent="0.2"/>
    <row r="145" spans="1:23" s="67" customFormat="1" ht="26.25" customHeight="1" x14ac:dyDescent="0.2"/>
    <row r="146" spans="1:23" s="67" customFormat="1" ht="18" customHeight="1" x14ac:dyDescent="0.2"/>
    <row r="147" spans="1:23" s="67" customFormat="1" ht="18" customHeight="1" x14ac:dyDescent="0.2"/>
    <row r="148" spans="1:23" s="67" customFormat="1" ht="18" customHeight="1" x14ac:dyDescent="0.2"/>
    <row r="149" spans="1:23" s="67" customFormat="1" ht="18" customHeight="1" x14ac:dyDescent="0.2"/>
    <row r="150" spans="1:23" s="427" customFormat="1" ht="18" customHeight="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</row>
    <row r="151" spans="1:23" s="67" customFormat="1" ht="18" customHeight="1" x14ac:dyDescent="0.2"/>
    <row r="152" spans="1:23" s="67" customFormat="1" ht="18" customHeight="1" x14ac:dyDescent="0.2"/>
    <row r="153" spans="1:23" s="67" customFormat="1" ht="18" customHeight="1" x14ac:dyDescent="0.2"/>
    <row r="154" spans="1:23" s="67" customFormat="1" ht="18" customHeight="1" x14ac:dyDescent="0.2"/>
    <row r="155" spans="1:23" s="67" customFormat="1" ht="18" customHeight="1" x14ac:dyDescent="0.2"/>
    <row r="156" spans="1:23" s="67" customFormat="1" ht="18" customHeight="1" x14ac:dyDescent="0.2"/>
    <row r="157" spans="1:23" s="67" customFormat="1" ht="25.5" customHeight="1" x14ac:dyDescent="0.2"/>
    <row r="158" spans="1:23" s="67" customFormat="1" ht="18" customHeight="1" x14ac:dyDescent="0.2"/>
    <row r="159" spans="1:23" s="67" customFormat="1" ht="18" customHeight="1" x14ac:dyDescent="0.2"/>
    <row r="160" spans="1:23" s="67" customFormat="1" ht="18" customHeight="1" x14ac:dyDescent="0.2"/>
    <row r="161" spans="1:23" s="67" customFormat="1" ht="18" customHeight="1" x14ac:dyDescent="0.2"/>
    <row r="162" spans="1:23" s="67" customFormat="1" ht="18" customHeight="1" x14ac:dyDescent="0.2"/>
    <row r="163" spans="1:23" s="67" customFormat="1" ht="18" customHeight="1" x14ac:dyDescent="0.2"/>
    <row r="164" spans="1:23" s="67" customFormat="1" ht="18" customHeight="1" x14ac:dyDescent="0.2"/>
    <row r="165" spans="1:23" s="67" customFormat="1" ht="18" customHeight="1" x14ac:dyDescent="0.2"/>
    <row r="166" spans="1:23" s="427" customFormat="1" ht="18" customHeight="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</row>
    <row r="167" spans="1:23" s="67" customFormat="1" ht="18" customHeight="1" x14ac:dyDescent="0.2"/>
    <row r="168" spans="1:23" s="67" customFormat="1" ht="18" customHeight="1" x14ac:dyDescent="0.2"/>
    <row r="169" spans="1:23" s="67" customFormat="1" ht="18" customHeight="1" x14ac:dyDescent="0.2"/>
    <row r="170" spans="1:23" s="67" customFormat="1" ht="18" customHeight="1" x14ac:dyDescent="0.2"/>
    <row r="171" spans="1:23" s="427" customFormat="1" ht="18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</row>
    <row r="172" spans="1:23" s="67" customFormat="1" ht="18" customHeight="1" x14ac:dyDescent="0.2"/>
    <row r="173" spans="1:23" s="67" customFormat="1" ht="18" customHeight="1" x14ac:dyDescent="0.2"/>
    <row r="174" spans="1:23" s="67" customFormat="1" ht="18" customHeight="1" x14ac:dyDescent="0.2"/>
    <row r="175" spans="1:23" s="67" customFormat="1" ht="18" customHeight="1" x14ac:dyDescent="0.2"/>
    <row r="176" spans="1:23" s="67" customFormat="1" ht="18" customHeight="1" x14ac:dyDescent="0.2"/>
    <row r="177" spans="1:41" s="67" customFormat="1" ht="18" customHeight="1" x14ac:dyDescent="0.2"/>
    <row r="178" spans="1:41" s="398" customFormat="1" ht="18" customHeight="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s="398" customFormat="1" ht="18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s="398" customFormat="1" ht="18" customHeight="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s="398" customFormat="1" ht="18" customHeight="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s="398" customFormat="1" ht="33" customHeight="1" x14ac:dyDescent="0.2">
      <c r="B182" s="399"/>
      <c r="C182" s="399"/>
      <c r="D182" s="399"/>
      <c r="E182" s="399"/>
      <c r="F182" s="399"/>
      <c r="G182" s="399"/>
      <c r="H182" s="399"/>
      <c r="I182" s="399"/>
      <c r="J182" s="399"/>
      <c r="K182" s="399"/>
      <c r="L182" s="399"/>
      <c r="V182" s="33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s="398" customFormat="1" ht="18" customHeight="1" x14ac:dyDescent="0.2">
      <c r="B183" s="399"/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V183" s="33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s="398" customFormat="1" ht="18" customHeight="1" x14ac:dyDescent="0.2">
      <c r="B184" s="399"/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V184" s="33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s="398" customFormat="1" ht="18" customHeight="1" x14ac:dyDescent="0.2"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V185" s="33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s="398" customFormat="1" ht="18" customHeight="1" x14ac:dyDescent="0.2">
      <c r="B186" s="399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V186" s="33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s="398" customFormat="1" ht="18" customHeight="1" x14ac:dyDescent="0.2">
      <c r="B187" s="399"/>
      <c r="C187" s="399"/>
      <c r="D187" s="399"/>
      <c r="E187" s="399"/>
      <c r="F187" s="399"/>
      <c r="G187" s="399"/>
      <c r="H187" s="399"/>
      <c r="I187" s="399"/>
      <c r="J187" s="399"/>
      <c r="K187" s="399"/>
      <c r="L187" s="399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s="398" customFormat="1" ht="18" customHeight="1" x14ac:dyDescent="0.2">
      <c r="B188" s="399"/>
      <c r="C188" s="399"/>
      <c r="D188" s="399"/>
      <c r="E188" s="399"/>
      <c r="F188" s="399"/>
      <c r="G188" s="399"/>
      <c r="H188" s="399"/>
      <c r="I188" s="399"/>
      <c r="J188" s="399"/>
      <c r="K188" s="399"/>
      <c r="L188" s="399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s="398" customFormat="1" ht="28.5" customHeight="1" x14ac:dyDescent="0.2">
      <c r="B189" s="399"/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s="398" customFormat="1" ht="18" customHeight="1" x14ac:dyDescent="0.2"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s="398" customFormat="1" ht="18" customHeight="1" x14ac:dyDescent="0.2"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s="398" customFormat="1" ht="18" customHeight="1" x14ac:dyDescent="0.2"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s="398" customFormat="1" ht="18" customHeight="1" x14ac:dyDescent="0.2"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s="398" customFormat="1" ht="24" customHeight="1" x14ac:dyDescent="0.2"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s="398" customFormat="1" ht="18" customHeight="1" x14ac:dyDescent="0.2">
      <c r="B195" s="399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s="400" customFormat="1" ht="25.5" customHeight="1" x14ac:dyDescent="0.2">
      <c r="A196" s="398"/>
      <c r="B196" s="399"/>
      <c r="C196" s="399"/>
      <c r="D196" s="399"/>
      <c r="E196" s="399"/>
      <c r="F196" s="399"/>
      <c r="G196" s="399"/>
      <c r="H196" s="399"/>
      <c r="I196" s="399"/>
      <c r="J196" s="399"/>
      <c r="K196" s="399"/>
      <c r="L196" s="399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s="398" customFormat="1" ht="18" customHeight="1" x14ac:dyDescent="0.2">
      <c r="B197" s="399"/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AG197" s="400"/>
    </row>
    <row r="198" spans="1:41" s="398" customFormat="1" ht="12.75" x14ac:dyDescent="0.2">
      <c r="B198" s="399"/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AG198" s="400"/>
    </row>
    <row r="199" spans="1:41" s="398" customFormat="1" ht="18" customHeight="1" x14ac:dyDescent="0.2"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AG199" s="400"/>
    </row>
    <row r="200" spans="1:41" s="398" customFormat="1" ht="18" customHeight="1" x14ac:dyDescent="0.2">
      <c r="B200" s="399"/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AG200" s="400"/>
    </row>
    <row r="201" spans="1:41" s="398" customFormat="1" ht="24" customHeight="1" x14ac:dyDescent="0.2">
      <c r="B201" s="399"/>
      <c r="C201" s="399"/>
      <c r="D201" s="399"/>
      <c r="E201" s="399"/>
      <c r="F201" s="399"/>
      <c r="G201" s="399"/>
      <c r="H201" s="399"/>
      <c r="I201" s="399"/>
      <c r="J201" s="399"/>
      <c r="K201" s="399"/>
      <c r="L201" s="399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400"/>
    </row>
    <row r="202" spans="1:41" s="398" customFormat="1" ht="18" customHeight="1" x14ac:dyDescent="0.2">
      <c r="B202" s="399"/>
      <c r="C202" s="399"/>
      <c r="D202" s="399"/>
      <c r="E202" s="399"/>
      <c r="F202" s="399"/>
      <c r="G202" s="399"/>
      <c r="H202" s="399"/>
      <c r="I202" s="399"/>
      <c r="J202" s="399"/>
      <c r="K202" s="399"/>
      <c r="L202" s="399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400"/>
    </row>
    <row r="203" spans="1:41" s="398" customFormat="1" x14ac:dyDescent="0.2">
      <c r="B203" s="399"/>
      <c r="C203" s="399"/>
      <c r="D203" s="399"/>
      <c r="E203" s="399"/>
      <c r="F203" s="399"/>
      <c r="G203" s="399"/>
      <c r="H203" s="399"/>
      <c r="I203" s="399"/>
      <c r="J203" s="399"/>
      <c r="K203" s="399"/>
      <c r="L203" s="399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400"/>
    </row>
    <row r="204" spans="1:41" s="398" customFormat="1" ht="18" customHeight="1" x14ac:dyDescent="0.2">
      <c r="B204" s="399"/>
      <c r="C204" s="399"/>
      <c r="D204" s="399"/>
      <c r="E204" s="399"/>
      <c r="F204" s="399"/>
      <c r="G204" s="399"/>
      <c r="H204" s="399"/>
      <c r="I204" s="399"/>
      <c r="J204" s="399"/>
      <c r="K204" s="399"/>
      <c r="L204" s="399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</row>
    <row r="205" spans="1:41" s="398" customFormat="1" ht="23.25" customHeight="1" x14ac:dyDescent="0.2">
      <c r="B205" s="399"/>
      <c r="C205" s="399"/>
      <c r="D205" s="399"/>
      <c r="E205" s="399"/>
      <c r="F205" s="399"/>
      <c r="G205" s="399"/>
      <c r="H205" s="399"/>
      <c r="I205" s="399"/>
      <c r="J205" s="399"/>
      <c r="K205" s="399"/>
      <c r="L205" s="399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</row>
    <row r="206" spans="1:41" s="398" customFormat="1" ht="18" customHeight="1" x14ac:dyDescent="0.2">
      <c r="B206" s="399"/>
      <c r="C206" s="399"/>
      <c r="D206" s="399"/>
      <c r="E206" s="399"/>
      <c r="F206" s="399"/>
      <c r="G206" s="399"/>
      <c r="H206" s="399"/>
      <c r="I206" s="399"/>
      <c r="J206" s="399"/>
      <c r="K206" s="399"/>
      <c r="L206" s="399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</row>
    <row r="207" spans="1:41" s="398" customFormat="1" ht="18" customHeight="1" x14ac:dyDescent="0.2">
      <c r="B207" s="399"/>
      <c r="C207" s="399"/>
      <c r="D207" s="399"/>
      <c r="E207" s="399"/>
      <c r="F207" s="399"/>
      <c r="G207" s="399"/>
      <c r="H207" s="399"/>
      <c r="I207" s="399"/>
      <c r="J207" s="399"/>
      <c r="K207" s="399"/>
      <c r="L207" s="399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</row>
    <row r="208" spans="1:41" s="398" customFormat="1" ht="26.25" customHeight="1" x14ac:dyDescent="0.2">
      <c r="B208" s="399"/>
      <c r="C208" s="399"/>
      <c r="D208" s="399"/>
      <c r="E208" s="399"/>
      <c r="F208" s="399"/>
      <c r="G208" s="399"/>
      <c r="H208" s="399"/>
      <c r="I208" s="399"/>
      <c r="J208" s="399"/>
      <c r="K208" s="399"/>
      <c r="L208" s="399"/>
    </row>
    <row r="209" spans="1:12" s="398" customFormat="1" ht="18" customHeight="1" x14ac:dyDescent="0.2">
      <c r="B209" s="399"/>
      <c r="C209" s="399"/>
      <c r="D209" s="399"/>
      <c r="E209" s="399"/>
      <c r="F209" s="399"/>
      <c r="G209" s="399"/>
      <c r="H209" s="399"/>
      <c r="I209" s="399"/>
      <c r="J209" s="399"/>
      <c r="K209" s="399"/>
      <c r="L209" s="399"/>
    </row>
    <row r="210" spans="1:12" s="398" customFormat="1" ht="11.25" x14ac:dyDescent="0.2"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</row>
    <row r="211" spans="1:12" s="398" customFormat="1" ht="18" customHeight="1" x14ac:dyDescent="0.2">
      <c r="B211" s="399"/>
      <c r="C211" s="399"/>
      <c r="D211" s="399"/>
      <c r="E211" s="399"/>
      <c r="F211" s="399"/>
      <c r="G211" s="399"/>
      <c r="H211" s="399"/>
      <c r="I211" s="399"/>
      <c r="J211" s="399"/>
      <c r="K211" s="399"/>
      <c r="L211" s="399"/>
    </row>
    <row r="212" spans="1:12" s="398" customFormat="1" ht="18" customHeight="1" x14ac:dyDescent="0.2">
      <c r="B212" s="399"/>
      <c r="C212" s="399"/>
      <c r="D212" s="399"/>
      <c r="E212" s="399"/>
      <c r="F212" s="399"/>
      <c r="G212" s="399"/>
      <c r="H212" s="399"/>
      <c r="I212" s="399"/>
      <c r="J212" s="399"/>
      <c r="K212" s="399"/>
      <c r="L212" s="399"/>
    </row>
    <row r="213" spans="1:12" s="398" customFormat="1" ht="18" customHeight="1" x14ac:dyDescent="0.2">
      <c r="B213" s="399"/>
      <c r="C213" s="399"/>
      <c r="D213" s="399"/>
      <c r="E213" s="399"/>
      <c r="F213" s="399"/>
      <c r="G213" s="399"/>
      <c r="H213" s="399"/>
      <c r="I213" s="399"/>
      <c r="J213" s="399"/>
      <c r="K213" s="399"/>
      <c r="L213" s="399"/>
    </row>
    <row r="214" spans="1:12" s="33" customFormat="1" x14ac:dyDescent="0.2">
      <c r="A214" s="398"/>
      <c r="B214" s="399"/>
      <c r="C214" s="399"/>
      <c r="D214" s="399"/>
      <c r="E214" s="399"/>
      <c r="F214" s="399"/>
      <c r="G214" s="399"/>
      <c r="H214" s="399"/>
      <c r="I214" s="399"/>
      <c r="J214" s="399"/>
      <c r="K214" s="399"/>
      <c r="L214" s="399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zoomScale="80" zoomScaleNormal="8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6.7109375" style="44" customWidth="1"/>
    <col min="3" max="3" width="73.42578125" style="44" customWidth="1"/>
    <col min="4" max="8" width="10.7109375" style="44" customWidth="1"/>
    <col min="9" max="9" width="12.28515625" style="44" customWidth="1"/>
    <col min="10" max="10" width="2.7109375" style="44" customWidth="1"/>
    <col min="11" max="11" width="5.5703125" style="44" customWidth="1"/>
    <col min="12" max="12" width="68.5703125" style="44" customWidth="1"/>
    <col min="13" max="17" width="9.140625" style="44"/>
    <col min="18" max="18" width="11.42578125" style="44" customWidth="1"/>
    <col min="19" max="19" width="2.85546875" style="44" customWidth="1"/>
    <col min="20" max="20" width="6.28515625" style="44" customWidth="1"/>
    <col min="21" max="21" width="70.5703125" style="44" customWidth="1"/>
    <col min="22" max="26" width="9.140625" style="44"/>
    <col min="27" max="27" width="12.42578125" style="44" customWidth="1"/>
    <col min="28" max="28" width="3.85546875" style="44" customWidth="1"/>
    <col min="29" max="37" width="9.140625" style="44"/>
    <col min="38" max="38" width="8.42578125" style="44" bestFit="1" customWidth="1"/>
    <col min="39" max="39" width="16.7109375" style="44" bestFit="1" customWidth="1"/>
    <col min="40" max="16384" width="9.140625" style="44"/>
  </cols>
  <sheetData>
    <row r="1" spans="1:39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9" ht="27.95" customHeight="1" x14ac:dyDescent="0.25">
      <c r="A2" s="63"/>
      <c r="B2" s="343" t="s">
        <v>97</v>
      </c>
      <c r="C2" s="343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2"/>
    </row>
    <row r="3" spans="1:39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32"/>
      <c r="AH3" s="44"/>
      <c r="AI3" s="44"/>
      <c r="AJ3" s="44"/>
      <c r="AK3" s="44"/>
      <c r="AL3" s="44"/>
      <c r="AM3" s="44"/>
    </row>
    <row r="4" spans="1:39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2"/>
      <c r="AH4" s="44"/>
      <c r="AI4" s="44"/>
      <c r="AJ4" s="44"/>
      <c r="AK4" s="44"/>
      <c r="AL4" s="44"/>
      <c r="AM4" s="44"/>
    </row>
    <row r="5" spans="1:39" s="352" customFormat="1" ht="24" customHeight="1" x14ac:dyDescent="0.2">
      <c r="A5" s="349"/>
      <c r="B5" s="476" t="s">
        <v>248</v>
      </c>
      <c r="C5" s="393"/>
      <c r="D5" s="394"/>
      <c r="E5" s="394"/>
      <c r="F5" s="394"/>
      <c r="G5" s="394"/>
      <c r="H5" s="394"/>
      <c r="I5" s="394"/>
      <c r="J5" s="12"/>
      <c r="K5" s="476" t="s">
        <v>249</v>
      </c>
      <c r="L5" s="394"/>
      <c r="M5" s="394"/>
      <c r="N5" s="394"/>
      <c r="O5" s="394"/>
      <c r="P5" s="394"/>
      <c r="Q5" s="394"/>
      <c r="R5" s="394"/>
      <c r="S5" s="350"/>
      <c r="T5" s="476" t="s">
        <v>250</v>
      </c>
      <c r="U5" s="394"/>
      <c r="V5" s="394"/>
      <c r="W5" s="394"/>
      <c r="X5" s="394"/>
      <c r="Y5" s="394"/>
      <c r="Z5" s="394"/>
      <c r="AA5" s="394"/>
      <c r="AB5" s="351"/>
      <c r="AH5" s="44"/>
      <c r="AI5" s="44"/>
      <c r="AJ5" s="44"/>
      <c r="AK5" s="44"/>
      <c r="AL5" s="44"/>
      <c r="AM5" s="44"/>
    </row>
    <row r="6" spans="1:39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32"/>
      <c r="AH6" s="44"/>
      <c r="AI6" s="44"/>
      <c r="AJ6" s="44"/>
      <c r="AK6" s="44"/>
      <c r="AL6" s="44"/>
      <c r="AM6" s="44"/>
    </row>
    <row r="7" spans="1:39" s="67" customFormat="1" ht="22.5" x14ac:dyDescent="0.2">
      <c r="A7" s="66"/>
      <c r="B7" s="75" t="s">
        <v>98</v>
      </c>
      <c r="C7" s="76" t="s">
        <v>99</v>
      </c>
      <c r="D7" s="5">
        <v>2018</v>
      </c>
      <c r="E7" s="4">
        <v>2019</v>
      </c>
      <c r="F7" s="4">
        <v>2020</v>
      </c>
      <c r="G7" s="4">
        <v>2021</v>
      </c>
      <c r="H7" s="6">
        <v>2022</v>
      </c>
      <c r="I7" s="3" t="s">
        <v>75</v>
      </c>
      <c r="J7" s="66"/>
      <c r="K7" s="75" t="s">
        <v>98</v>
      </c>
      <c r="L7" s="76" t="s">
        <v>99</v>
      </c>
      <c r="M7" s="5">
        <v>2018</v>
      </c>
      <c r="N7" s="4">
        <v>2019</v>
      </c>
      <c r="O7" s="4">
        <v>2020</v>
      </c>
      <c r="P7" s="4">
        <v>2021</v>
      </c>
      <c r="Q7" s="6">
        <v>2022</v>
      </c>
      <c r="R7" s="3" t="s">
        <v>75</v>
      </c>
      <c r="S7" s="12"/>
      <c r="T7" s="75" t="s">
        <v>98</v>
      </c>
      <c r="U7" s="76" t="s">
        <v>99</v>
      </c>
      <c r="V7" s="5">
        <v>2018</v>
      </c>
      <c r="W7" s="4">
        <v>2019</v>
      </c>
      <c r="X7" s="4">
        <v>2020</v>
      </c>
      <c r="Y7" s="4">
        <v>2021</v>
      </c>
      <c r="Z7" s="6">
        <v>2022</v>
      </c>
      <c r="AA7" s="3" t="s">
        <v>75</v>
      </c>
      <c r="AB7" s="32"/>
      <c r="AH7" s="44"/>
      <c r="AI7" s="44"/>
      <c r="AJ7" s="44"/>
      <c r="AK7" s="44"/>
      <c r="AL7" s="44"/>
      <c r="AM7" s="44"/>
    </row>
    <row r="8" spans="1:39" s="67" customFormat="1" ht="18" customHeight="1" x14ac:dyDescent="0.2">
      <c r="A8" s="66"/>
      <c r="B8" s="77"/>
      <c r="C8" s="77"/>
      <c r="D8" s="12"/>
      <c r="E8" s="12"/>
      <c r="F8" s="12"/>
      <c r="G8" s="12"/>
      <c r="H8" s="12"/>
      <c r="I8" s="12"/>
      <c r="J8" s="12"/>
      <c r="K8" s="77"/>
      <c r="L8" s="77"/>
      <c r="M8" s="12"/>
      <c r="N8" s="12"/>
      <c r="O8" s="12"/>
      <c r="P8" s="12"/>
      <c r="Q8" s="12"/>
      <c r="R8" s="12"/>
      <c r="S8" s="12"/>
      <c r="T8" s="77"/>
      <c r="U8" s="77"/>
      <c r="V8" s="12"/>
      <c r="W8" s="12"/>
      <c r="X8" s="12"/>
      <c r="Y8" s="12"/>
      <c r="Z8" s="12"/>
      <c r="AA8" s="12"/>
      <c r="AB8" s="32"/>
      <c r="AH8" s="44"/>
      <c r="AI8" s="44"/>
      <c r="AJ8" s="44"/>
      <c r="AK8" s="44"/>
      <c r="AL8" s="44"/>
      <c r="AM8" s="44"/>
    </row>
    <row r="9" spans="1:39" s="348" customFormat="1" ht="18" customHeight="1" x14ac:dyDescent="0.2">
      <c r="A9" s="345"/>
      <c r="B9" s="346" t="s">
        <v>50</v>
      </c>
      <c r="C9" s="346"/>
      <c r="D9" s="346"/>
      <c r="E9" s="346"/>
      <c r="F9" s="346"/>
      <c r="G9" s="346"/>
      <c r="H9" s="346"/>
      <c r="I9" s="346"/>
      <c r="J9" s="190"/>
      <c r="K9" s="346" t="s">
        <v>50</v>
      </c>
      <c r="L9" s="346"/>
      <c r="M9" s="346"/>
      <c r="N9" s="346"/>
      <c r="O9" s="346"/>
      <c r="P9" s="346"/>
      <c r="Q9" s="346"/>
      <c r="R9" s="346"/>
      <c r="S9" s="345"/>
      <c r="T9" s="346" t="s">
        <v>50</v>
      </c>
      <c r="U9" s="346"/>
      <c r="V9" s="346"/>
      <c r="W9" s="346"/>
      <c r="X9" s="346"/>
      <c r="Y9" s="346"/>
      <c r="Z9" s="346"/>
      <c r="AA9" s="346"/>
      <c r="AB9" s="347"/>
      <c r="AH9" s="44"/>
      <c r="AI9" s="44"/>
      <c r="AJ9" s="44"/>
      <c r="AK9" s="44"/>
      <c r="AL9" s="44"/>
      <c r="AM9" s="44"/>
    </row>
    <row r="10" spans="1:39" s="67" customFormat="1" ht="18" customHeight="1" x14ac:dyDescent="0.2">
      <c r="A10" s="12"/>
      <c r="B10" s="2" t="s">
        <v>116</v>
      </c>
      <c r="C10" s="2" t="s">
        <v>117</v>
      </c>
      <c r="D10" s="256">
        <v>449</v>
      </c>
      <c r="E10" s="238">
        <v>449</v>
      </c>
      <c r="F10" s="238">
        <v>344</v>
      </c>
      <c r="G10" s="238">
        <v>743</v>
      </c>
      <c r="H10" s="257">
        <v>399</v>
      </c>
      <c r="I10" s="258">
        <f>SUM(D10:H10)</f>
        <v>2384</v>
      </c>
      <c r="J10" s="32"/>
      <c r="K10" s="2" t="s">
        <v>116</v>
      </c>
      <c r="L10" s="2" t="s">
        <v>117</v>
      </c>
      <c r="M10" s="256">
        <v>0</v>
      </c>
      <c r="N10" s="238">
        <v>0</v>
      </c>
      <c r="O10" s="238">
        <v>0</v>
      </c>
      <c r="P10" s="238">
        <v>0</v>
      </c>
      <c r="Q10" s="257">
        <v>0</v>
      </c>
      <c r="R10" s="258">
        <f>SUM(M10:Q10)</f>
        <v>0</v>
      </c>
      <c r="S10" s="12"/>
      <c r="T10" s="2" t="s">
        <v>116</v>
      </c>
      <c r="U10" s="2" t="s">
        <v>117</v>
      </c>
      <c r="V10" s="256">
        <f t="shared" ref="V10:V17" si="0">D10+M10</f>
        <v>449</v>
      </c>
      <c r="W10" s="238">
        <f t="shared" ref="W10:W17" si="1">E10+N10</f>
        <v>449</v>
      </c>
      <c r="X10" s="238">
        <f t="shared" ref="X10:X17" si="2">F10+O10</f>
        <v>344</v>
      </c>
      <c r="Y10" s="238">
        <f t="shared" ref="Y10:Y17" si="3">G10+P10</f>
        <v>743</v>
      </c>
      <c r="Z10" s="257">
        <f t="shared" ref="Z10:Z17" si="4">H10+Q10</f>
        <v>399</v>
      </c>
      <c r="AA10" s="258">
        <f>SUM(V10:Z10)</f>
        <v>2384</v>
      </c>
      <c r="AB10" s="32"/>
      <c r="AD10" s="331"/>
      <c r="AE10" s="331"/>
      <c r="AH10" s="44"/>
      <c r="AI10" s="44"/>
      <c r="AJ10" s="44"/>
      <c r="AK10" s="44"/>
      <c r="AL10" s="44"/>
      <c r="AM10" s="44"/>
    </row>
    <row r="11" spans="1:39" s="67" customFormat="1" ht="18" customHeight="1" x14ac:dyDescent="0.2">
      <c r="A11" s="12"/>
      <c r="B11" s="2" t="s">
        <v>118</v>
      </c>
      <c r="C11" s="2" t="s">
        <v>119</v>
      </c>
      <c r="D11" s="256">
        <v>0</v>
      </c>
      <c r="E11" s="238">
        <v>0</v>
      </c>
      <c r="F11" s="238">
        <v>48</v>
      </c>
      <c r="G11" s="238">
        <v>443</v>
      </c>
      <c r="H11" s="257">
        <v>0</v>
      </c>
      <c r="I11" s="258">
        <f t="shared" ref="I11:I13" si="5">SUM(D11:H11)</f>
        <v>491</v>
      </c>
      <c r="J11" s="32"/>
      <c r="K11" s="2" t="s">
        <v>118</v>
      </c>
      <c r="L11" s="2" t="s">
        <v>119</v>
      </c>
      <c r="M11" s="256">
        <v>0</v>
      </c>
      <c r="N11" s="238">
        <v>0</v>
      </c>
      <c r="O11" s="238">
        <v>0</v>
      </c>
      <c r="P11" s="238">
        <v>0</v>
      </c>
      <c r="Q11" s="257">
        <v>0</v>
      </c>
      <c r="R11" s="258">
        <f t="shared" ref="R11:R13" si="6">SUM(M11:Q11)</f>
        <v>0</v>
      </c>
      <c r="S11" s="12"/>
      <c r="T11" s="2" t="s">
        <v>118</v>
      </c>
      <c r="U11" s="2" t="s">
        <v>119</v>
      </c>
      <c r="V11" s="256">
        <f t="shared" si="0"/>
        <v>0</v>
      </c>
      <c r="W11" s="238">
        <f t="shared" si="1"/>
        <v>0</v>
      </c>
      <c r="X11" s="238">
        <f t="shared" si="2"/>
        <v>48</v>
      </c>
      <c r="Y11" s="238">
        <f t="shared" si="3"/>
        <v>443</v>
      </c>
      <c r="Z11" s="257">
        <f t="shared" si="4"/>
        <v>0</v>
      </c>
      <c r="AA11" s="258">
        <f t="shared" ref="AA11:AA13" si="7">SUM(V11:Z11)</f>
        <v>491</v>
      </c>
      <c r="AB11" s="32"/>
      <c r="AD11" s="331"/>
      <c r="AE11" s="331"/>
      <c r="AH11" s="44"/>
      <c r="AI11" s="44"/>
      <c r="AJ11" s="44"/>
      <c r="AK11" s="44"/>
      <c r="AL11" s="44"/>
      <c r="AM11" s="44"/>
    </row>
    <row r="12" spans="1:39" s="67" customFormat="1" ht="18" customHeight="1" x14ac:dyDescent="0.2">
      <c r="A12" s="12"/>
      <c r="B12" s="2" t="s">
        <v>120</v>
      </c>
      <c r="C12" s="2" t="s">
        <v>121</v>
      </c>
      <c r="D12" s="256">
        <v>3595</v>
      </c>
      <c r="E12" s="238">
        <v>6784</v>
      </c>
      <c r="F12" s="238">
        <v>3392</v>
      </c>
      <c r="G12" s="238">
        <v>0</v>
      </c>
      <c r="H12" s="257">
        <v>0</v>
      </c>
      <c r="I12" s="258">
        <f t="shared" si="5"/>
        <v>13771</v>
      </c>
      <c r="J12" s="66"/>
      <c r="K12" s="2" t="s">
        <v>120</v>
      </c>
      <c r="L12" s="2" t="s">
        <v>121</v>
      </c>
      <c r="M12" s="256">
        <v>0</v>
      </c>
      <c r="N12" s="238">
        <v>0</v>
      </c>
      <c r="O12" s="238">
        <v>0</v>
      </c>
      <c r="P12" s="238">
        <v>0</v>
      </c>
      <c r="Q12" s="257">
        <v>0</v>
      </c>
      <c r="R12" s="258">
        <f t="shared" si="6"/>
        <v>0</v>
      </c>
      <c r="S12" s="12"/>
      <c r="T12" s="2" t="s">
        <v>120</v>
      </c>
      <c r="U12" s="2" t="s">
        <v>121</v>
      </c>
      <c r="V12" s="256">
        <f t="shared" si="0"/>
        <v>3595</v>
      </c>
      <c r="W12" s="238">
        <f t="shared" si="1"/>
        <v>6784</v>
      </c>
      <c r="X12" s="238">
        <f t="shared" si="2"/>
        <v>3392</v>
      </c>
      <c r="Y12" s="238">
        <f t="shared" si="3"/>
        <v>0</v>
      </c>
      <c r="Z12" s="257">
        <f t="shared" si="4"/>
        <v>0</v>
      </c>
      <c r="AA12" s="258">
        <f t="shared" si="7"/>
        <v>13771</v>
      </c>
      <c r="AB12" s="32"/>
      <c r="AD12" s="331"/>
      <c r="AE12" s="331"/>
      <c r="AH12" s="44"/>
      <c r="AI12" s="44"/>
      <c r="AJ12" s="44"/>
      <c r="AK12" s="44"/>
      <c r="AL12" s="44"/>
      <c r="AM12" s="44"/>
    </row>
    <row r="13" spans="1:39" s="67" customFormat="1" ht="18" customHeight="1" x14ac:dyDescent="0.2">
      <c r="A13" s="12"/>
      <c r="B13" s="2" t="s">
        <v>122</v>
      </c>
      <c r="C13" s="2" t="s">
        <v>123</v>
      </c>
      <c r="D13" s="256">
        <v>895</v>
      </c>
      <c r="E13" s="238">
        <v>1135</v>
      </c>
      <c r="F13" s="238">
        <v>3253</v>
      </c>
      <c r="G13" s="238">
        <v>1646</v>
      </c>
      <c r="H13" s="257">
        <v>1700</v>
      </c>
      <c r="I13" s="258">
        <f t="shared" si="5"/>
        <v>8629</v>
      </c>
      <c r="J13" s="66"/>
      <c r="K13" s="2" t="s">
        <v>122</v>
      </c>
      <c r="L13" s="2" t="s">
        <v>123</v>
      </c>
      <c r="M13" s="256">
        <v>0</v>
      </c>
      <c r="N13" s="238">
        <v>0</v>
      </c>
      <c r="O13" s="238">
        <v>0</v>
      </c>
      <c r="P13" s="238">
        <v>0</v>
      </c>
      <c r="Q13" s="257">
        <v>0</v>
      </c>
      <c r="R13" s="258">
        <f t="shared" si="6"/>
        <v>0</v>
      </c>
      <c r="S13" s="12"/>
      <c r="T13" s="2" t="s">
        <v>122</v>
      </c>
      <c r="U13" s="2" t="s">
        <v>123</v>
      </c>
      <c r="V13" s="256">
        <f t="shared" si="0"/>
        <v>895</v>
      </c>
      <c r="W13" s="238">
        <f t="shared" si="1"/>
        <v>1135</v>
      </c>
      <c r="X13" s="238">
        <f t="shared" si="2"/>
        <v>3253</v>
      </c>
      <c r="Y13" s="238">
        <f t="shared" si="3"/>
        <v>1646</v>
      </c>
      <c r="Z13" s="257">
        <f t="shared" si="4"/>
        <v>1700</v>
      </c>
      <c r="AA13" s="258">
        <f t="shared" si="7"/>
        <v>8629</v>
      </c>
      <c r="AB13" s="32"/>
      <c r="AD13" s="331"/>
      <c r="AE13" s="331"/>
      <c r="AH13" s="44"/>
      <c r="AI13" s="44"/>
      <c r="AJ13" s="44"/>
      <c r="AK13" s="44"/>
      <c r="AL13" s="44"/>
      <c r="AM13" s="44"/>
    </row>
    <row r="14" spans="1:39" s="67" customFormat="1" ht="18" customHeight="1" x14ac:dyDescent="0.2">
      <c r="A14" s="12"/>
      <c r="B14" s="2" t="s">
        <v>124</v>
      </c>
      <c r="C14" s="2" t="s">
        <v>125</v>
      </c>
      <c r="D14" s="256">
        <v>446</v>
      </c>
      <c r="E14" s="238">
        <v>651</v>
      </c>
      <c r="F14" s="238">
        <v>0</v>
      </c>
      <c r="G14" s="238">
        <v>555</v>
      </c>
      <c r="H14" s="257">
        <v>0</v>
      </c>
      <c r="I14" s="258">
        <f>SUM(D14:H14)</f>
        <v>1652</v>
      </c>
      <c r="J14" s="66"/>
      <c r="K14" s="2" t="s">
        <v>124</v>
      </c>
      <c r="L14" s="2" t="s">
        <v>125</v>
      </c>
      <c r="M14" s="256">
        <v>0</v>
      </c>
      <c r="N14" s="238">
        <v>0</v>
      </c>
      <c r="O14" s="238">
        <v>0</v>
      </c>
      <c r="P14" s="238">
        <v>0</v>
      </c>
      <c r="Q14" s="257">
        <v>0</v>
      </c>
      <c r="R14" s="258">
        <f>SUM(M14:Q14)</f>
        <v>0</v>
      </c>
      <c r="S14" s="12"/>
      <c r="T14" s="2" t="s">
        <v>124</v>
      </c>
      <c r="U14" s="2" t="s">
        <v>125</v>
      </c>
      <c r="V14" s="256">
        <f t="shared" si="0"/>
        <v>446</v>
      </c>
      <c r="W14" s="238">
        <f t="shared" si="1"/>
        <v>651</v>
      </c>
      <c r="X14" s="238">
        <f t="shared" si="2"/>
        <v>0</v>
      </c>
      <c r="Y14" s="238">
        <f t="shared" si="3"/>
        <v>555</v>
      </c>
      <c r="Z14" s="257">
        <f t="shared" si="4"/>
        <v>0</v>
      </c>
      <c r="AA14" s="258">
        <f>SUM(V14:Z14)</f>
        <v>1652</v>
      </c>
      <c r="AB14" s="32"/>
      <c r="AD14" s="331"/>
      <c r="AE14" s="331"/>
      <c r="AH14" s="44"/>
      <c r="AI14" s="44"/>
      <c r="AJ14" s="44"/>
      <c r="AK14" s="44"/>
      <c r="AL14" s="44"/>
      <c r="AM14" s="44"/>
    </row>
    <row r="15" spans="1:39" s="67" customFormat="1" ht="18" customHeight="1" x14ac:dyDescent="0.2">
      <c r="A15" s="12"/>
      <c r="B15" s="2" t="s">
        <v>126</v>
      </c>
      <c r="C15" s="2" t="s">
        <v>127</v>
      </c>
      <c r="D15" s="256"/>
      <c r="E15" s="238"/>
      <c r="F15" s="238"/>
      <c r="G15" s="238"/>
      <c r="H15" s="257"/>
      <c r="I15" s="258">
        <f t="shared" ref="I15" si="8">SUM(D15:H15)</f>
        <v>0</v>
      </c>
      <c r="J15" s="66"/>
      <c r="K15" s="2" t="s">
        <v>126</v>
      </c>
      <c r="L15" s="2" t="s">
        <v>127</v>
      </c>
      <c r="M15" s="256">
        <v>0</v>
      </c>
      <c r="N15" s="238">
        <v>0</v>
      </c>
      <c r="O15" s="238">
        <v>0</v>
      </c>
      <c r="P15" s="238">
        <v>0</v>
      </c>
      <c r="Q15" s="257">
        <v>0</v>
      </c>
      <c r="R15" s="258">
        <f t="shared" ref="R15" si="9">SUM(M15:Q15)</f>
        <v>0</v>
      </c>
      <c r="S15" s="12"/>
      <c r="T15" s="2" t="s">
        <v>126</v>
      </c>
      <c r="U15" s="2" t="s">
        <v>127</v>
      </c>
      <c r="V15" s="256">
        <f t="shared" si="0"/>
        <v>0</v>
      </c>
      <c r="W15" s="238">
        <f t="shared" si="1"/>
        <v>0</v>
      </c>
      <c r="X15" s="238">
        <f t="shared" si="2"/>
        <v>0</v>
      </c>
      <c r="Y15" s="238">
        <f t="shared" si="3"/>
        <v>0</v>
      </c>
      <c r="Z15" s="257">
        <f t="shared" si="4"/>
        <v>0</v>
      </c>
      <c r="AA15" s="258">
        <f t="shared" ref="AA15" si="10">SUM(V15:Z15)</f>
        <v>0</v>
      </c>
      <c r="AB15" s="32"/>
      <c r="AD15" s="331"/>
      <c r="AE15" s="331"/>
      <c r="AH15" s="44"/>
      <c r="AI15" s="44"/>
      <c r="AJ15" s="44"/>
      <c r="AK15" s="44"/>
      <c r="AL15" s="44"/>
      <c r="AM15" s="44"/>
    </row>
    <row r="16" spans="1:39" s="67" customFormat="1" ht="18" customHeight="1" x14ac:dyDescent="0.2">
      <c r="A16" s="12"/>
      <c r="B16" s="2" t="s">
        <v>171</v>
      </c>
      <c r="C16" s="2" t="s">
        <v>172</v>
      </c>
      <c r="D16" s="256">
        <v>227.5</v>
      </c>
      <c r="E16" s="238">
        <v>0</v>
      </c>
      <c r="F16" s="238">
        <v>0</v>
      </c>
      <c r="G16" s="238">
        <v>0</v>
      </c>
      <c r="H16" s="257">
        <v>0</v>
      </c>
      <c r="I16" s="258">
        <f>SUM(D16:H16)</f>
        <v>227.5</v>
      </c>
      <c r="J16" s="66"/>
      <c r="K16" s="2" t="s">
        <v>171</v>
      </c>
      <c r="L16" s="2" t="s">
        <v>172</v>
      </c>
      <c r="M16" s="256">
        <v>0</v>
      </c>
      <c r="N16" s="238">
        <v>0</v>
      </c>
      <c r="O16" s="238">
        <v>0</v>
      </c>
      <c r="P16" s="238">
        <v>0</v>
      </c>
      <c r="Q16" s="257">
        <v>0</v>
      </c>
      <c r="R16" s="258">
        <f>SUM(M16:Q16)</f>
        <v>0</v>
      </c>
      <c r="S16" s="12"/>
      <c r="T16" s="2" t="s">
        <v>171</v>
      </c>
      <c r="U16" s="2" t="s">
        <v>172</v>
      </c>
      <c r="V16" s="256">
        <f t="shared" si="0"/>
        <v>227.5</v>
      </c>
      <c r="W16" s="238">
        <f t="shared" si="1"/>
        <v>0</v>
      </c>
      <c r="X16" s="238">
        <f t="shared" si="2"/>
        <v>0</v>
      </c>
      <c r="Y16" s="238">
        <f t="shared" si="3"/>
        <v>0</v>
      </c>
      <c r="Z16" s="257">
        <f t="shared" si="4"/>
        <v>0</v>
      </c>
      <c r="AA16" s="258">
        <f>SUM(V16:Z16)</f>
        <v>227.5</v>
      </c>
      <c r="AB16" s="32"/>
      <c r="AD16" s="331"/>
      <c r="AE16" s="331"/>
      <c r="AH16" s="44"/>
      <c r="AI16" s="44"/>
      <c r="AJ16" s="44"/>
      <c r="AK16" s="44"/>
      <c r="AL16" s="44"/>
      <c r="AM16" s="44"/>
    </row>
    <row r="17" spans="1:39" s="67" customFormat="1" ht="18" customHeight="1" x14ac:dyDescent="0.2">
      <c r="A17" s="12"/>
      <c r="B17" s="2" t="s">
        <v>208</v>
      </c>
      <c r="C17" s="2" t="s">
        <v>209</v>
      </c>
      <c r="D17" s="256">
        <v>0</v>
      </c>
      <c r="E17" s="238">
        <v>150</v>
      </c>
      <c r="F17" s="238">
        <v>203</v>
      </c>
      <c r="G17" s="238">
        <v>0</v>
      </c>
      <c r="H17" s="257">
        <v>0</v>
      </c>
      <c r="I17" s="258">
        <f>SUM(D17:H17)</f>
        <v>353</v>
      </c>
      <c r="J17" s="12"/>
      <c r="K17" s="2" t="s">
        <v>208</v>
      </c>
      <c r="L17" s="2" t="s">
        <v>209</v>
      </c>
      <c r="M17" s="262">
        <v>0</v>
      </c>
      <c r="N17" s="263">
        <v>0</v>
      </c>
      <c r="O17" s="263">
        <v>0</v>
      </c>
      <c r="P17" s="263">
        <v>0</v>
      </c>
      <c r="Q17" s="264">
        <v>0</v>
      </c>
      <c r="R17" s="258">
        <f>SUM(M17:Q17)</f>
        <v>0</v>
      </c>
      <c r="S17" s="12"/>
      <c r="T17" s="2" t="s">
        <v>208</v>
      </c>
      <c r="U17" s="2" t="s">
        <v>209</v>
      </c>
      <c r="V17" s="256">
        <f t="shared" si="0"/>
        <v>0</v>
      </c>
      <c r="W17" s="238">
        <f t="shared" si="1"/>
        <v>150</v>
      </c>
      <c r="X17" s="238">
        <f t="shared" si="2"/>
        <v>203</v>
      </c>
      <c r="Y17" s="238">
        <f t="shared" si="3"/>
        <v>0</v>
      </c>
      <c r="Z17" s="257">
        <f t="shared" si="4"/>
        <v>0</v>
      </c>
      <c r="AA17" s="258">
        <f>SUM(V17:Z17)</f>
        <v>353</v>
      </c>
      <c r="AB17" s="32"/>
      <c r="AD17" s="331"/>
      <c r="AE17" s="331"/>
      <c r="AH17" s="44"/>
      <c r="AI17" s="44"/>
      <c r="AJ17" s="44"/>
      <c r="AK17" s="44"/>
      <c r="AL17" s="44"/>
      <c r="AM17" s="44"/>
    </row>
    <row r="18" spans="1:39" s="78" customFormat="1" ht="18" customHeight="1" thickBot="1" x14ac:dyDescent="0.25">
      <c r="A18" s="77"/>
      <c r="B18" s="239" t="s">
        <v>101</v>
      </c>
      <c r="C18" s="239"/>
      <c r="D18" s="259">
        <f t="shared" ref="D18:I18" si="11">SUM(D10:D17)</f>
        <v>5612.5</v>
      </c>
      <c r="E18" s="260">
        <f t="shared" si="11"/>
        <v>9169</v>
      </c>
      <c r="F18" s="260">
        <f t="shared" si="11"/>
        <v>7240</v>
      </c>
      <c r="G18" s="260">
        <f t="shared" si="11"/>
        <v>3387</v>
      </c>
      <c r="H18" s="261">
        <f t="shared" si="11"/>
        <v>2099</v>
      </c>
      <c r="I18" s="260">
        <f t="shared" si="11"/>
        <v>27507.5</v>
      </c>
      <c r="J18" s="77"/>
      <c r="K18" s="239" t="s">
        <v>101</v>
      </c>
      <c r="L18" s="239"/>
      <c r="M18" s="487">
        <f t="shared" ref="M18:R18" si="12">SUM(M10:M17)</f>
        <v>0</v>
      </c>
      <c r="N18" s="488">
        <f t="shared" si="12"/>
        <v>0</v>
      </c>
      <c r="O18" s="488">
        <f t="shared" si="12"/>
        <v>0</v>
      </c>
      <c r="P18" s="488">
        <f t="shared" si="12"/>
        <v>0</v>
      </c>
      <c r="Q18" s="489">
        <f t="shared" si="12"/>
        <v>0</v>
      </c>
      <c r="R18" s="260">
        <f t="shared" si="12"/>
        <v>0</v>
      </c>
      <c r="S18" s="12"/>
      <c r="T18" s="239" t="s">
        <v>101</v>
      </c>
      <c r="U18" s="239"/>
      <c r="V18" s="259">
        <f t="shared" ref="V18:AA18" si="13">SUM(V10:V17)</f>
        <v>5612.5</v>
      </c>
      <c r="W18" s="260">
        <f t="shared" si="13"/>
        <v>9169</v>
      </c>
      <c r="X18" s="260">
        <f t="shared" si="13"/>
        <v>7240</v>
      </c>
      <c r="Y18" s="260">
        <f t="shared" si="13"/>
        <v>3387</v>
      </c>
      <c r="Z18" s="261">
        <f t="shared" si="13"/>
        <v>2099</v>
      </c>
      <c r="AA18" s="260">
        <f t="shared" si="13"/>
        <v>27507.5</v>
      </c>
      <c r="AB18" s="32"/>
      <c r="AD18" s="331"/>
      <c r="AE18" s="331"/>
      <c r="AH18" s="44"/>
      <c r="AI18" s="44"/>
      <c r="AJ18" s="44"/>
      <c r="AK18" s="44"/>
      <c r="AL18" s="44"/>
      <c r="AM18" s="44"/>
    </row>
    <row r="19" spans="1:39" s="67" customFormat="1" ht="18" customHeight="1" x14ac:dyDescent="0.2">
      <c r="A19" s="12"/>
      <c r="B19" s="2"/>
      <c r="C19" s="2"/>
      <c r="D19" s="522"/>
      <c r="E19" s="522"/>
      <c r="F19" s="522"/>
      <c r="G19" s="522"/>
      <c r="H19" s="522"/>
      <c r="I19" s="522"/>
      <c r="J19" s="12"/>
      <c r="K19" s="2"/>
      <c r="L19" s="2"/>
      <c r="M19" s="522"/>
      <c r="N19" s="522"/>
      <c r="O19" s="522"/>
      <c r="P19" s="522"/>
      <c r="Q19" s="522"/>
      <c r="R19" s="522"/>
      <c r="S19" s="12"/>
      <c r="T19" s="2"/>
      <c r="U19" s="2" t="s">
        <v>11</v>
      </c>
      <c r="V19" s="522">
        <f>V18-M18-D18</f>
        <v>0</v>
      </c>
      <c r="W19" s="522">
        <f t="shared" ref="W19" si="14">W18-N18-E18</f>
        <v>0</v>
      </c>
      <c r="X19" s="522">
        <f t="shared" ref="X19" si="15">X18-O18-F18</f>
        <v>0</v>
      </c>
      <c r="Y19" s="522">
        <f t="shared" ref="Y19" si="16">Y18-P18-G18</f>
        <v>0</v>
      </c>
      <c r="Z19" s="522">
        <f t="shared" ref="Z19" si="17">Z18-Q18-H18</f>
        <v>0</v>
      </c>
      <c r="AA19" s="522">
        <f t="shared" ref="AA19" si="18">AA18-R18-I18</f>
        <v>0</v>
      </c>
      <c r="AB19" s="32"/>
      <c r="AD19" s="331"/>
      <c r="AE19" s="331"/>
      <c r="AH19" s="44"/>
      <c r="AI19" s="44"/>
      <c r="AJ19" s="44"/>
      <c r="AK19" s="44"/>
      <c r="AL19" s="44"/>
      <c r="AM19" s="44"/>
    </row>
    <row r="20" spans="1:39" s="67" customFormat="1" ht="18" customHeight="1" x14ac:dyDescent="0.2">
      <c r="A20" s="12"/>
      <c r="B20" s="346" t="s">
        <v>2</v>
      </c>
      <c r="C20" s="346"/>
      <c r="D20" s="346"/>
      <c r="E20" s="346"/>
      <c r="F20" s="346"/>
      <c r="G20" s="346"/>
      <c r="H20" s="346"/>
      <c r="I20" s="346"/>
      <c r="J20" s="190"/>
      <c r="K20" s="346" t="s">
        <v>2</v>
      </c>
      <c r="L20" s="346"/>
      <c r="M20" s="346"/>
      <c r="N20" s="346"/>
      <c r="O20" s="346"/>
      <c r="P20" s="346"/>
      <c r="Q20" s="346"/>
      <c r="R20" s="346"/>
      <c r="S20" s="345"/>
      <c r="T20" s="346" t="s">
        <v>2</v>
      </c>
      <c r="U20" s="346"/>
      <c r="V20" s="346"/>
      <c r="W20" s="346"/>
      <c r="X20" s="346"/>
      <c r="Y20" s="346"/>
      <c r="Z20" s="346"/>
      <c r="AA20" s="346"/>
      <c r="AB20" s="32"/>
      <c r="AD20" s="331"/>
      <c r="AE20" s="331"/>
      <c r="AH20" s="44"/>
      <c r="AI20" s="44"/>
      <c r="AJ20" s="44"/>
      <c r="AK20" s="44"/>
      <c r="AL20" s="44"/>
      <c r="AM20" s="44"/>
    </row>
    <row r="21" spans="1:39" s="67" customFormat="1" ht="18" customHeight="1" x14ac:dyDescent="0.2">
      <c r="A21" s="12"/>
      <c r="B21" s="2" t="s">
        <v>128</v>
      </c>
      <c r="C21" s="2" t="s">
        <v>273</v>
      </c>
      <c r="D21" s="256">
        <v>4480.8542086086127</v>
      </c>
      <c r="E21" s="238">
        <v>3253.1839533260732</v>
      </c>
      <c r="F21" s="238">
        <v>4498.8961189564961</v>
      </c>
      <c r="G21" s="238">
        <v>3273.8969498147885</v>
      </c>
      <c r="H21" s="257">
        <v>5791.7871278627008</v>
      </c>
      <c r="I21" s="258">
        <f t="shared" ref="I21:I26" si="19">SUM(D21:H21)</f>
        <v>21298.618358568674</v>
      </c>
      <c r="J21" s="12"/>
      <c r="K21" s="2" t="s">
        <v>128</v>
      </c>
      <c r="L21" s="2" t="str">
        <f>C21</f>
        <v>Applications Renewal</v>
      </c>
      <c r="M21" s="256">
        <v>156.19725478888833</v>
      </c>
      <c r="N21" s="238">
        <v>113.4021280711523</v>
      </c>
      <c r="O21" s="238">
        <v>156.8261743511612</v>
      </c>
      <c r="P21" s="238">
        <v>114.12415852324189</v>
      </c>
      <c r="Q21" s="257">
        <v>201.89481906278934</v>
      </c>
      <c r="R21" s="258">
        <f t="shared" ref="R21:R26" si="20">SUM(M21:Q21)</f>
        <v>742.44453479723313</v>
      </c>
      <c r="S21" s="12"/>
      <c r="T21" s="2" t="s">
        <v>128</v>
      </c>
      <c r="U21" s="2" t="str">
        <f>C21</f>
        <v>Applications Renewal</v>
      </c>
      <c r="V21" s="256">
        <f t="shared" ref="V21:Z26" si="21">D21+M21</f>
        <v>4637.0514633975008</v>
      </c>
      <c r="W21" s="238">
        <f t="shared" si="21"/>
        <v>3366.5860813972254</v>
      </c>
      <c r="X21" s="238">
        <f t="shared" si="21"/>
        <v>4655.7222933076573</v>
      </c>
      <c r="Y21" s="238">
        <f t="shared" si="21"/>
        <v>3388.0211083380304</v>
      </c>
      <c r="Z21" s="257">
        <f t="shared" si="21"/>
        <v>5993.6819469254897</v>
      </c>
      <c r="AA21" s="258">
        <f t="shared" ref="AA21:AA26" si="22">SUM(V21:Z21)</f>
        <v>22041.062893365903</v>
      </c>
      <c r="AB21" s="32"/>
      <c r="AD21" s="331"/>
      <c r="AE21" s="331"/>
      <c r="AH21" s="44"/>
      <c r="AI21" s="44"/>
      <c r="AJ21" s="44"/>
      <c r="AK21" s="44"/>
      <c r="AL21" s="44"/>
      <c r="AM21" s="44"/>
    </row>
    <row r="22" spans="1:39" s="67" customFormat="1" ht="18" customHeight="1" x14ac:dyDescent="0.2">
      <c r="A22" s="12"/>
      <c r="B22" s="2" t="s">
        <v>129</v>
      </c>
      <c r="C22" s="2" t="s">
        <v>274</v>
      </c>
      <c r="D22" s="256">
        <v>2469.7558732274993</v>
      </c>
      <c r="E22" s="238">
        <v>4869.3444633739609</v>
      </c>
      <c r="F22" s="238">
        <v>3246.2296422493068</v>
      </c>
      <c r="G22" s="238">
        <v>119.68493679999993</v>
      </c>
      <c r="H22" s="257">
        <v>0</v>
      </c>
      <c r="I22" s="258">
        <f t="shared" si="19"/>
        <v>10705.014915650767</v>
      </c>
      <c r="J22" s="12"/>
      <c r="K22" s="2" t="s">
        <v>129</v>
      </c>
      <c r="L22" s="2" t="str">
        <f t="shared" ref="L22:L26" si="23">C22</f>
        <v>Business Intelligence</v>
      </c>
      <c r="M22" s="256">
        <v>86.092755853499966</v>
      </c>
      <c r="N22" s="238">
        <v>169.73956357233476</v>
      </c>
      <c r="O22" s="238">
        <v>113.15970904822316</v>
      </c>
      <c r="P22" s="238">
        <v>4.1720747199999977</v>
      </c>
      <c r="Q22" s="257">
        <v>0</v>
      </c>
      <c r="R22" s="258">
        <f t="shared" si="20"/>
        <v>373.16410319405787</v>
      </c>
      <c r="S22" s="12"/>
      <c r="T22" s="2" t="s">
        <v>129</v>
      </c>
      <c r="U22" s="2" t="str">
        <f t="shared" ref="U22:U26" si="24">C22</f>
        <v>Business Intelligence</v>
      </c>
      <c r="V22" s="256">
        <f t="shared" si="21"/>
        <v>2555.8486290809992</v>
      </c>
      <c r="W22" s="238">
        <f t="shared" si="21"/>
        <v>5039.084026946296</v>
      </c>
      <c r="X22" s="238">
        <f t="shared" si="21"/>
        <v>3359.3893512975301</v>
      </c>
      <c r="Y22" s="238">
        <f t="shared" si="21"/>
        <v>123.85701151999993</v>
      </c>
      <c r="Z22" s="257">
        <f t="shared" si="21"/>
        <v>0</v>
      </c>
      <c r="AA22" s="258">
        <f t="shared" si="22"/>
        <v>11078.179018844825</v>
      </c>
      <c r="AB22" s="32"/>
      <c r="AD22" s="331"/>
      <c r="AE22" s="331"/>
      <c r="AH22" s="44"/>
      <c r="AI22" s="44"/>
      <c r="AJ22" s="44"/>
      <c r="AK22" s="44"/>
      <c r="AL22" s="44"/>
      <c r="AM22" s="44"/>
    </row>
    <row r="23" spans="1:39" s="67" customFormat="1" ht="18" customHeight="1" x14ac:dyDescent="0.2">
      <c r="A23" s="12"/>
      <c r="B23" s="2" t="s">
        <v>130</v>
      </c>
      <c r="C23" s="2" t="s">
        <v>275</v>
      </c>
      <c r="D23" s="256">
        <v>2478.2526237039997</v>
      </c>
      <c r="E23" s="238">
        <v>3060.7838521260001</v>
      </c>
      <c r="F23" s="238">
        <v>3120.6263205259997</v>
      </c>
      <c r="G23" s="238">
        <v>1371.6069764539998</v>
      </c>
      <c r="H23" s="257">
        <v>0</v>
      </c>
      <c r="I23" s="258">
        <f t="shared" si="19"/>
        <v>10031.269772809999</v>
      </c>
      <c r="J23" s="12"/>
      <c r="K23" s="2" t="s">
        <v>130</v>
      </c>
      <c r="L23" s="2" t="str">
        <f t="shared" si="23"/>
        <v>Mobility Integration</v>
      </c>
      <c r="M23" s="256">
        <v>86.388942481599983</v>
      </c>
      <c r="N23" s="238">
        <v>106.69528910039999</v>
      </c>
      <c r="O23" s="238">
        <v>108.7813264604</v>
      </c>
      <c r="P23" s="238">
        <v>47.812589831599993</v>
      </c>
      <c r="Q23" s="257">
        <v>0</v>
      </c>
      <c r="R23" s="258">
        <f t="shared" si="20"/>
        <v>349.67814787399999</v>
      </c>
      <c r="S23" s="12"/>
      <c r="T23" s="2" t="s">
        <v>130</v>
      </c>
      <c r="U23" s="2" t="str">
        <f t="shared" si="24"/>
        <v>Mobility Integration</v>
      </c>
      <c r="V23" s="256">
        <f t="shared" si="21"/>
        <v>2564.6415661855995</v>
      </c>
      <c r="W23" s="238">
        <f t="shared" si="21"/>
        <v>3167.4791412263999</v>
      </c>
      <c r="X23" s="238">
        <f t="shared" si="21"/>
        <v>3229.4076469863999</v>
      </c>
      <c r="Y23" s="238">
        <f t="shared" si="21"/>
        <v>1419.4195662855998</v>
      </c>
      <c r="Z23" s="257">
        <f t="shared" si="21"/>
        <v>0</v>
      </c>
      <c r="AA23" s="258">
        <f t="shared" si="22"/>
        <v>10380.947920683999</v>
      </c>
      <c r="AB23" s="32"/>
      <c r="AD23" s="331"/>
      <c r="AE23" s="331"/>
      <c r="AH23" s="44"/>
      <c r="AI23" s="44"/>
      <c r="AJ23" s="44"/>
      <c r="AK23" s="44"/>
      <c r="AL23" s="44"/>
      <c r="AM23" s="44"/>
    </row>
    <row r="24" spans="1:39" s="67" customFormat="1" ht="18" customHeight="1" x14ac:dyDescent="0.2">
      <c r="A24" s="12"/>
      <c r="B24" s="2" t="s">
        <v>131</v>
      </c>
      <c r="C24" s="2" t="s">
        <v>276</v>
      </c>
      <c r="D24" s="256">
        <v>0</v>
      </c>
      <c r="E24" s="238">
        <v>10696.819225592501</v>
      </c>
      <c r="F24" s="238">
        <v>4733.957267682501</v>
      </c>
      <c r="G24" s="238">
        <v>198.09465562664658</v>
      </c>
      <c r="H24" s="257">
        <v>0</v>
      </c>
      <c r="I24" s="258">
        <f t="shared" si="19"/>
        <v>15628.871148901648</v>
      </c>
      <c r="J24" s="12"/>
      <c r="K24" s="2" t="s">
        <v>131</v>
      </c>
      <c r="L24" s="2" t="str">
        <f t="shared" si="23"/>
        <v>GIS Upgrade</v>
      </c>
      <c r="M24" s="256">
        <v>0</v>
      </c>
      <c r="N24" s="238">
        <v>372.87841117450006</v>
      </c>
      <c r="O24" s="238">
        <v>165.02012676050003</v>
      </c>
      <c r="P24" s="238">
        <v>6.9053443733534055</v>
      </c>
      <c r="Q24" s="257">
        <v>0</v>
      </c>
      <c r="R24" s="258">
        <f t="shared" si="20"/>
        <v>544.80388230835354</v>
      </c>
      <c r="S24" s="12"/>
      <c r="T24" s="2" t="s">
        <v>131</v>
      </c>
      <c r="U24" s="2" t="str">
        <f t="shared" si="24"/>
        <v>GIS Upgrade</v>
      </c>
      <c r="V24" s="256">
        <f t="shared" si="21"/>
        <v>0</v>
      </c>
      <c r="W24" s="238">
        <f t="shared" si="21"/>
        <v>11069.697636767001</v>
      </c>
      <c r="X24" s="238">
        <f t="shared" si="21"/>
        <v>4898.9773944430008</v>
      </c>
      <c r="Y24" s="238">
        <f t="shared" si="21"/>
        <v>205</v>
      </c>
      <c r="Z24" s="257">
        <f t="shared" si="21"/>
        <v>0</v>
      </c>
      <c r="AA24" s="258">
        <f t="shared" si="22"/>
        <v>16173.675031210001</v>
      </c>
      <c r="AB24" s="32"/>
      <c r="AD24" s="331"/>
      <c r="AE24" s="331"/>
      <c r="AH24" s="44"/>
      <c r="AI24" s="44"/>
      <c r="AJ24" s="44"/>
      <c r="AK24" s="44"/>
      <c r="AL24" s="44"/>
      <c r="AM24" s="44"/>
    </row>
    <row r="25" spans="1:39" s="67" customFormat="1" ht="18" customHeight="1" x14ac:dyDescent="0.2">
      <c r="A25" s="12"/>
      <c r="B25" s="2" t="s">
        <v>132</v>
      </c>
      <c r="C25" s="2" t="s">
        <v>272</v>
      </c>
      <c r="D25" s="256">
        <v>811.27248800000007</v>
      </c>
      <c r="E25" s="238">
        <v>466.04849200000007</v>
      </c>
      <c r="F25" s="238">
        <v>0</v>
      </c>
      <c r="G25" s="238">
        <v>0</v>
      </c>
      <c r="H25" s="257">
        <v>0</v>
      </c>
      <c r="I25" s="258">
        <f t="shared" si="19"/>
        <v>1277.3209800000002</v>
      </c>
      <c r="J25" s="12"/>
      <c r="K25" s="2" t="s">
        <v>132</v>
      </c>
      <c r="L25" s="2" t="str">
        <f t="shared" si="23"/>
        <v>Infrastructure Renewal</v>
      </c>
      <c r="M25" s="256">
        <v>28.279995200000002</v>
      </c>
      <c r="N25" s="238">
        <v>16.245896800000004</v>
      </c>
      <c r="O25" s="238">
        <v>0</v>
      </c>
      <c r="P25" s="238">
        <v>0</v>
      </c>
      <c r="Q25" s="257">
        <v>0</v>
      </c>
      <c r="R25" s="258">
        <f t="shared" si="20"/>
        <v>44.525892000000006</v>
      </c>
      <c r="S25" s="12"/>
      <c r="T25" s="2" t="s">
        <v>132</v>
      </c>
      <c r="U25" s="2" t="str">
        <f t="shared" si="24"/>
        <v>Infrastructure Renewal</v>
      </c>
      <c r="V25" s="256">
        <f t="shared" si="21"/>
        <v>839.5524832000001</v>
      </c>
      <c r="W25" s="238">
        <f t="shared" si="21"/>
        <v>482.29438880000009</v>
      </c>
      <c r="X25" s="238">
        <f t="shared" si="21"/>
        <v>0</v>
      </c>
      <c r="Y25" s="238">
        <f t="shared" si="21"/>
        <v>0</v>
      </c>
      <c r="Z25" s="257">
        <f t="shared" si="21"/>
        <v>0</v>
      </c>
      <c r="AA25" s="258">
        <f t="shared" si="22"/>
        <v>1321.8468720000001</v>
      </c>
      <c r="AB25" s="32"/>
      <c r="AD25" s="331"/>
      <c r="AE25" s="331"/>
      <c r="AH25" s="44"/>
      <c r="AI25" s="44"/>
      <c r="AJ25" s="44"/>
      <c r="AK25" s="44"/>
      <c r="AL25" s="44"/>
      <c r="AM25" s="44"/>
    </row>
    <row r="26" spans="1:39" s="67" customFormat="1" ht="18" customHeight="1" x14ac:dyDescent="0.2">
      <c r="A26" s="12"/>
      <c r="B26" s="2" t="s">
        <v>269</v>
      </c>
      <c r="C26" s="2" t="s">
        <v>277</v>
      </c>
      <c r="D26" s="256">
        <v>684.76007715468575</v>
      </c>
      <c r="E26" s="238">
        <v>595.44354535190064</v>
      </c>
      <c r="F26" s="238">
        <v>0</v>
      </c>
      <c r="G26" s="238">
        <v>0</v>
      </c>
      <c r="H26" s="257">
        <v>0</v>
      </c>
      <c r="I26" s="258">
        <f t="shared" si="19"/>
        <v>1280.2036225065863</v>
      </c>
      <c r="J26" s="70"/>
      <c r="K26" s="2" t="s">
        <v>269</v>
      </c>
      <c r="L26" s="2" t="str">
        <f t="shared" si="23"/>
        <v>Digital Capabilities</v>
      </c>
      <c r="M26" s="262">
        <v>23.869922845314264</v>
      </c>
      <c r="N26" s="263">
        <v>20.756454648099361</v>
      </c>
      <c r="O26" s="263">
        <v>0</v>
      </c>
      <c r="P26" s="263">
        <v>0</v>
      </c>
      <c r="Q26" s="264">
        <v>0</v>
      </c>
      <c r="R26" s="258">
        <f t="shared" si="20"/>
        <v>44.626377493413628</v>
      </c>
      <c r="S26" s="12"/>
      <c r="T26" s="2" t="s">
        <v>269</v>
      </c>
      <c r="U26" s="2" t="str">
        <f t="shared" si="24"/>
        <v>Digital Capabilities</v>
      </c>
      <c r="V26" s="256">
        <f t="shared" si="21"/>
        <v>708.63</v>
      </c>
      <c r="W26" s="238">
        <f t="shared" si="21"/>
        <v>616.20000000000005</v>
      </c>
      <c r="X26" s="238">
        <f t="shared" si="21"/>
        <v>0</v>
      </c>
      <c r="Y26" s="238">
        <f t="shared" si="21"/>
        <v>0</v>
      </c>
      <c r="Z26" s="257">
        <f t="shared" si="21"/>
        <v>0</v>
      </c>
      <c r="AA26" s="258">
        <f t="shared" si="22"/>
        <v>1324.83</v>
      </c>
      <c r="AB26" s="32"/>
      <c r="AD26" s="331"/>
      <c r="AE26" s="331"/>
      <c r="AH26" s="44"/>
      <c r="AI26" s="44"/>
      <c r="AJ26" s="44"/>
      <c r="AK26" s="44"/>
      <c r="AL26" s="44"/>
      <c r="AM26" s="44"/>
    </row>
    <row r="27" spans="1:39" s="78" customFormat="1" ht="18" customHeight="1" thickBot="1" x14ac:dyDescent="0.25">
      <c r="A27" s="77"/>
      <c r="B27" s="239" t="s">
        <v>102</v>
      </c>
      <c r="C27" s="239"/>
      <c r="D27" s="259">
        <f t="shared" ref="D27:I27" si="25">SUM(D21:D26)</f>
        <v>10924.895270694798</v>
      </c>
      <c r="E27" s="260">
        <f t="shared" si="25"/>
        <v>22941.623531770438</v>
      </c>
      <c r="F27" s="260">
        <f t="shared" si="25"/>
        <v>15599.709349414305</v>
      </c>
      <c r="G27" s="260">
        <f t="shared" si="25"/>
        <v>4963.2835186954344</v>
      </c>
      <c r="H27" s="261">
        <f t="shared" si="25"/>
        <v>5791.7871278627008</v>
      </c>
      <c r="I27" s="260">
        <f t="shared" si="25"/>
        <v>60221.298798437674</v>
      </c>
      <c r="J27" s="79"/>
      <c r="K27" s="239" t="s">
        <v>102</v>
      </c>
      <c r="L27" s="239"/>
      <c r="M27" s="487">
        <f t="shared" ref="M27:Q27" si="26">SUM(M21:M26)</f>
        <v>380.82887116930249</v>
      </c>
      <c r="N27" s="488">
        <f t="shared" si="26"/>
        <v>799.7177433664865</v>
      </c>
      <c r="O27" s="488">
        <f t="shared" si="26"/>
        <v>543.78733662028435</v>
      </c>
      <c r="P27" s="488">
        <f t="shared" si="26"/>
        <v>173.01416744819531</v>
      </c>
      <c r="Q27" s="489">
        <f t="shared" si="26"/>
        <v>201.89481906278934</v>
      </c>
      <c r="R27" s="260">
        <f t="shared" ref="R27" si="27">SUM(R21:R26)</f>
        <v>2099.2429376670584</v>
      </c>
      <c r="S27" s="12"/>
      <c r="T27" s="239" t="s">
        <v>102</v>
      </c>
      <c r="U27" s="239"/>
      <c r="V27" s="259">
        <f t="shared" ref="V27:AA27" si="28">SUM(V21:V26)</f>
        <v>11305.724141864097</v>
      </c>
      <c r="W27" s="260">
        <f t="shared" si="28"/>
        <v>23741.341275136925</v>
      </c>
      <c r="X27" s="260">
        <f t="shared" si="28"/>
        <v>16143.496686034588</v>
      </c>
      <c r="Y27" s="260">
        <f t="shared" si="28"/>
        <v>5136.29768614363</v>
      </c>
      <c r="Z27" s="261">
        <f t="shared" si="28"/>
        <v>5993.6819469254897</v>
      </c>
      <c r="AA27" s="260">
        <f t="shared" si="28"/>
        <v>62320.541736104722</v>
      </c>
      <c r="AB27" s="32"/>
      <c r="AD27" s="331"/>
      <c r="AE27" s="331"/>
      <c r="AH27" s="44"/>
      <c r="AI27" s="44"/>
      <c r="AJ27" s="44"/>
      <c r="AK27" s="44"/>
      <c r="AL27" s="44"/>
      <c r="AM27" s="44"/>
    </row>
    <row r="28" spans="1:39" s="67" customFormat="1" ht="18" customHeight="1" x14ac:dyDescent="0.2">
      <c r="A28" s="12"/>
      <c r="B28" s="2"/>
      <c r="C28" s="2" t="s">
        <v>11</v>
      </c>
      <c r="D28" s="522">
        <v>0</v>
      </c>
      <c r="E28" s="522">
        <v>0</v>
      </c>
      <c r="F28" s="522">
        <v>0</v>
      </c>
      <c r="G28" s="522">
        <v>0</v>
      </c>
      <c r="H28" s="522">
        <v>0</v>
      </c>
      <c r="I28" s="522">
        <v>0</v>
      </c>
      <c r="J28" s="12"/>
      <c r="K28" s="2"/>
      <c r="L28" s="2" t="s">
        <v>11</v>
      </c>
      <c r="M28" s="522">
        <v>0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12"/>
      <c r="T28" s="2"/>
      <c r="U28" s="2" t="s">
        <v>11</v>
      </c>
      <c r="V28" s="522">
        <f>V27-M27-D27</f>
        <v>0</v>
      </c>
      <c r="W28" s="522">
        <f t="shared" ref="W28" si="29">W27-N27-E27</f>
        <v>0</v>
      </c>
      <c r="X28" s="522">
        <f t="shared" ref="X28" si="30">X27-O27-F27</f>
        <v>0</v>
      </c>
      <c r="Y28" s="522">
        <f t="shared" ref="Y28" si="31">Y27-P27-G27</f>
        <v>0</v>
      </c>
      <c r="Z28" s="522">
        <f t="shared" ref="Z28" si="32">Z27-Q27-H27</f>
        <v>0</v>
      </c>
      <c r="AA28" s="522">
        <f t="shared" ref="AA28" si="33">AA27-R27-I27</f>
        <v>0</v>
      </c>
      <c r="AB28" s="32"/>
      <c r="AC28" s="78"/>
      <c r="AD28" s="331"/>
      <c r="AE28" s="331"/>
      <c r="AH28" s="44"/>
      <c r="AI28" s="44"/>
      <c r="AJ28" s="44"/>
      <c r="AK28" s="44"/>
      <c r="AL28" s="44"/>
      <c r="AM28" s="44"/>
    </row>
    <row r="29" spans="1:39" s="67" customFormat="1" ht="18" customHeight="1" x14ac:dyDescent="0.2">
      <c r="A29" s="12"/>
      <c r="B29" s="346" t="s">
        <v>165</v>
      </c>
      <c r="C29" s="346"/>
      <c r="D29" s="346"/>
      <c r="E29" s="346"/>
      <c r="F29" s="346"/>
      <c r="G29" s="346"/>
      <c r="H29" s="346"/>
      <c r="I29" s="346"/>
      <c r="J29" s="190"/>
      <c r="K29" s="346" t="s">
        <v>165</v>
      </c>
      <c r="L29" s="346"/>
      <c r="M29" s="346"/>
      <c r="N29" s="346"/>
      <c r="O29" s="346"/>
      <c r="P29" s="346"/>
      <c r="Q29" s="346"/>
      <c r="R29" s="346"/>
      <c r="S29" s="345"/>
      <c r="T29" s="346" t="s">
        <v>165</v>
      </c>
      <c r="U29" s="346"/>
      <c r="V29" s="346"/>
      <c r="W29" s="346"/>
      <c r="X29" s="346"/>
      <c r="Y29" s="346"/>
      <c r="Z29" s="346"/>
      <c r="AA29" s="346"/>
      <c r="AB29" s="32"/>
      <c r="AC29" s="78"/>
      <c r="AD29" s="331"/>
      <c r="AE29" s="331"/>
      <c r="AH29" s="44"/>
      <c r="AI29" s="44"/>
      <c r="AJ29" s="44"/>
      <c r="AK29" s="44"/>
      <c r="AL29" s="44"/>
      <c r="AM29" s="44"/>
    </row>
    <row r="30" spans="1:39" s="67" customFormat="1" ht="18" customHeight="1" x14ac:dyDescent="0.2">
      <c r="A30" s="12"/>
      <c r="B30" s="2" t="s">
        <v>133</v>
      </c>
      <c r="C30" s="2" t="s">
        <v>279</v>
      </c>
      <c r="D30" s="256">
        <v>38.4</v>
      </c>
      <c r="E30" s="238">
        <v>38.4</v>
      </c>
      <c r="F30" s="238">
        <v>38.4</v>
      </c>
      <c r="G30" s="238">
        <v>38.4</v>
      </c>
      <c r="H30" s="257">
        <v>34.700000000000003</v>
      </c>
      <c r="I30" s="258">
        <f t="shared" ref="I30:I51" si="34">SUM(D30:H30)</f>
        <v>188.3</v>
      </c>
      <c r="J30" s="32"/>
      <c r="K30" s="2" t="s">
        <v>133</v>
      </c>
      <c r="L30" s="2" t="str">
        <f>C30</f>
        <v>City Gate Refurbishment - Earthing &amp; Surge Protection</v>
      </c>
      <c r="M30" s="256">
        <v>0</v>
      </c>
      <c r="N30" s="238">
        <v>0</v>
      </c>
      <c r="O30" s="238">
        <v>0</v>
      </c>
      <c r="P30" s="238">
        <v>0</v>
      </c>
      <c r="Q30" s="257">
        <v>0</v>
      </c>
      <c r="R30" s="258">
        <f t="shared" ref="R30:R33" si="35">SUM(M30:Q30)</f>
        <v>0</v>
      </c>
      <c r="S30" s="12"/>
      <c r="T30" s="2" t="str">
        <f>B30</f>
        <v>V01</v>
      </c>
      <c r="U30" s="2" t="str">
        <f>C30</f>
        <v>City Gate Refurbishment - Earthing &amp; Surge Protection</v>
      </c>
      <c r="V30" s="256">
        <f t="shared" ref="V30:Z33" si="36">D30+M30</f>
        <v>38.4</v>
      </c>
      <c r="W30" s="238">
        <f t="shared" si="36"/>
        <v>38.4</v>
      </c>
      <c r="X30" s="238">
        <f t="shared" si="36"/>
        <v>38.4</v>
      </c>
      <c r="Y30" s="238">
        <f t="shared" si="36"/>
        <v>38.4</v>
      </c>
      <c r="Z30" s="257">
        <f t="shared" si="36"/>
        <v>34.700000000000003</v>
      </c>
      <c r="AA30" s="258">
        <f t="shared" ref="AA30:AA33" si="37">SUM(V30:Z30)</f>
        <v>188.3</v>
      </c>
      <c r="AB30" s="32"/>
      <c r="AC30" s="78"/>
      <c r="AD30" s="331"/>
      <c r="AE30" s="331"/>
      <c r="AH30" s="44"/>
      <c r="AI30" s="44"/>
      <c r="AJ30" s="44"/>
      <c r="AK30" s="44"/>
      <c r="AL30" s="44"/>
      <c r="AM30" s="44"/>
    </row>
    <row r="31" spans="1:39" s="67" customFormat="1" ht="18" customHeight="1" x14ac:dyDescent="0.2">
      <c r="A31" s="12"/>
      <c r="B31" s="2" t="s">
        <v>134</v>
      </c>
      <c r="C31" s="2" t="s">
        <v>278</v>
      </c>
      <c r="D31" s="256">
        <v>224</v>
      </c>
      <c r="E31" s="238">
        <v>224</v>
      </c>
      <c r="F31" s="238">
        <v>224</v>
      </c>
      <c r="G31" s="238">
        <v>224</v>
      </c>
      <c r="H31" s="257">
        <v>227</v>
      </c>
      <c r="I31" s="258">
        <f t="shared" si="34"/>
        <v>1123</v>
      </c>
      <c r="J31" s="32"/>
      <c r="K31" s="2" t="s">
        <v>134</v>
      </c>
      <c r="L31" s="2" t="str">
        <f t="shared" ref="L31:L33" si="38">C31</f>
        <v>Cathodic Protection Systems - Replacement &amp; Installation</v>
      </c>
      <c r="M31" s="256">
        <v>0</v>
      </c>
      <c r="N31" s="238">
        <v>0</v>
      </c>
      <c r="O31" s="238">
        <v>0</v>
      </c>
      <c r="P31" s="238">
        <v>0</v>
      </c>
      <c r="Q31" s="257">
        <v>0</v>
      </c>
      <c r="R31" s="258">
        <f t="shared" si="35"/>
        <v>0</v>
      </c>
      <c r="S31" s="12"/>
      <c r="T31" s="2" t="str">
        <f t="shared" ref="T31:U33" si="39">B31</f>
        <v>V02</v>
      </c>
      <c r="U31" s="2" t="str">
        <f t="shared" si="39"/>
        <v>Cathodic Protection Systems - Replacement &amp; Installation</v>
      </c>
      <c r="V31" s="256">
        <f t="shared" si="36"/>
        <v>224</v>
      </c>
      <c r="W31" s="238">
        <f t="shared" si="36"/>
        <v>224</v>
      </c>
      <c r="X31" s="238">
        <f t="shared" si="36"/>
        <v>224</v>
      </c>
      <c r="Y31" s="238">
        <f t="shared" si="36"/>
        <v>224</v>
      </c>
      <c r="Z31" s="257">
        <f t="shared" si="36"/>
        <v>227</v>
      </c>
      <c r="AA31" s="258">
        <f t="shared" si="37"/>
        <v>1123</v>
      </c>
      <c r="AB31" s="32"/>
      <c r="AC31" s="78"/>
      <c r="AD31" s="331"/>
      <c r="AE31" s="331"/>
      <c r="AH31" s="44"/>
      <c r="AI31" s="44"/>
      <c r="AJ31" s="44"/>
      <c r="AK31" s="44"/>
      <c r="AL31" s="44"/>
      <c r="AM31" s="44"/>
    </row>
    <row r="32" spans="1:39" s="67" customFormat="1" ht="18" customHeight="1" x14ac:dyDescent="0.2">
      <c r="A32" s="12"/>
      <c r="B32" s="2" t="s">
        <v>135</v>
      </c>
      <c r="C32" s="2" t="s">
        <v>280</v>
      </c>
      <c r="D32" s="256">
        <v>60</v>
      </c>
      <c r="E32" s="238">
        <v>62</v>
      </c>
      <c r="F32" s="238">
        <v>76</v>
      </c>
      <c r="G32" s="238">
        <v>70</v>
      </c>
      <c r="H32" s="257">
        <v>70</v>
      </c>
      <c r="I32" s="258">
        <f t="shared" si="34"/>
        <v>338</v>
      </c>
      <c r="J32" s="32"/>
      <c r="K32" s="2" t="s">
        <v>135</v>
      </c>
      <c r="L32" s="2" t="str">
        <f t="shared" si="38"/>
        <v>Refurbishment of Sleeved Railway Casing Pipes</v>
      </c>
      <c r="M32" s="256">
        <v>0</v>
      </c>
      <c r="N32" s="238">
        <v>30</v>
      </c>
      <c r="O32" s="238">
        <v>0</v>
      </c>
      <c r="P32" s="238">
        <v>0</v>
      </c>
      <c r="Q32" s="257">
        <v>0</v>
      </c>
      <c r="R32" s="258">
        <f t="shared" si="35"/>
        <v>30</v>
      </c>
      <c r="S32" s="12"/>
      <c r="T32" s="2" t="str">
        <f t="shared" si="39"/>
        <v>V27</v>
      </c>
      <c r="U32" s="2" t="str">
        <f t="shared" si="39"/>
        <v>Refurbishment of Sleeved Railway Casing Pipes</v>
      </c>
      <c r="V32" s="256">
        <f t="shared" si="36"/>
        <v>60</v>
      </c>
      <c r="W32" s="238">
        <f t="shared" si="36"/>
        <v>92</v>
      </c>
      <c r="X32" s="238">
        <f t="shared" si="36"/>
        <v>76</v>
      </c>
      <c r="Y32" s="238">
        <f t="shared" si="36"/>
        <v>70</v>
      </c>
      <c r="Z32" s="257">
        <f t="shared" si="36"/>
        <v>70</v>
      </c>
      <c r="AA32" s="258">
        <f t="shared" si="37"/>
        <v>368</v>
      </c>
      <c r="AB32" s="32"/>
      <c r="AC32" s="78"/>
      <c r="AD32" s="331"/>
      <c r="AE32" s="331"/>
      <c r="AH32" s="44"/>
      <c r="AI32" s="44"/>
      <c r="AJ32" s="44"/>
      <c r="AK32" s="44"/>
      <c r="AL32" s="44"/>
      <c r="AM32" s="44"/>
    </row>
    <row r="33" spans="1:39" s="67" customFormat="1" ht="18" customHeight="1" x14ac:dyDescent="0.2">
      <c r="A33" s="12"/>
      <c r="B33" s="2" t="s">
        <v>136</v>
      </c>
      <c r="C33" s="2" t="s">
        <v>281</v>
      </c>
      <c r="D33" s="256">
        <v>259</v>
      </c>
      <c r="E33" s="238">
        <v>0</v>
      </c>
      <c r="F33" s="238">
        <v>0</v>
      </c>
      <c r="G33" s="238">
        <v>0</v>
      </c>
      <c r="H33" s="257">
        <v>0</v>
      </c>
      <c r="I33" s="258">
        <f t="shared" si="34"/>
        <v>259</v>
      </c>
      <c r="J33" s="32"/>
      <c r="K33" s="2" t="s">
        <v>136</v>
      </c>
      <c r="L33" s="2" t="str">
        <f t="shared" si="38"/>
        <v>Odorant Injection Station Koonomoo Finley</v>
      </c>
      <c r="M33" s="262">
        <v>0</v>
      </c>
      <c r="N33" s="263">
        <v>0</v>
      </c>
      <c r="O33" s="263">
        <v>0</v>
      </c>
      <c r="P33" s="263">
        <v>0</v>
      </c>
      <c r="Q33" s="264">
        <v>0</v>
      </c>
      <c r="R33" s="258">
        <f t="shared" si="35"/>
        <v>0</v>
      </c>
      <c r="S33" s="12"/>
      <c r="T33" s="2" t="str">
        <f t="shared" si="39"/>
        <v>V91</v>
      </c>
      <c r="U33" s="2" t="str">
        <f t="shared" si="39"/>
        <v>Odorant Injection Station Koonomoo Finley</v>
      </c>
      <c r="V33" s="256">
        <f t="shared" si="36"/>
        <v>259</v>
      </c>
      <c r="W33" s="238">
        <f t="shared" si="36"/>
        <v>0</v>
      </c>
      <c r="X33" s="238">
        <f t="shared" si="36"/>
        <v>0</v>
      </c>
      <c r="Y33" s="238">
        <f t="shared" si="36"/>
        <v>0</v>
      </c>
      <c r="Z33" s="257">
        <f t="shared" si="36"/>
        <v>0</v>
      </c>
      <c r="AA33" s="258">
        <f t="shared" si="37"/>
        <v>259</v>
      </c>
      <c r="AB33" s="32"/>
      <c r="AC33" s="78"/>
      <c r="AD33" s="331"/>
      <c r="AE33" s="331"/>
      <c r="AH33" s="44"/>
      <c r="AI33" s="44"/>
      <c r="AJ33" s="44"/>
      <c r="AK33" s="44"/>
      <c r="AL33" s="44"/>
      <c r="AM33" s="44"/>
    </row>
    <row r="34" spans="1:39" s="67" customFormat="1" ht="18" customHeight="1" thickBot="1" x14ac:dyDescent="0.25">
      <c r="A34" s="12"/>
      <c r="B34" s="239" t="s">
        <v>168</v>
      </c>
      <c r="C34" s="239"/>
      <c r="D34" s="259">
        <f>SUM(D30:D33)</f>
        <v>581.4</v>
      </c>
      <c r="E34" s="260">
        <f>SUM(E30:E33)</f>
        <v>324.39999999999998</v>
      </c>
      <c r="F34" s="260">
        <f>SUM(F30:F33)</f>
        <v>338.4</v>
      </c>
      <c r="G34" s="260">
        <f>SUM(G30:G33)</f>
        <v>332.4</v>
      </c>
      <c r="H34" s="261">
        <f>SUM(H30:H33)</f>
        <v>331.7</v>
      </c>
      <c r="I34" s="260">
        <f>SUM(D34:H34)</f>
        <v>1908.3</v>
      </c>
      <c r="J34" s="32"/>
      <c r="K34" s="239" t="s">
        <v>168</v>
      </c>
      <c r="L34" s="239"/>
      <c r="M34" s="487">
        <f>SUM(M30:M33)</f>
        <v>0</v>
      </c>
      <c r="N34" s="488">
        <f>SUM(N30:N33)</f>
        <v>30</v>
      </c>
      <c r="O34" s="488">
        <f>SUM(O30:O33)</f>
        <v>0</v>
      </c>
      <c r="P34" s="488">
        <f>SUM(P30:P33)</f>
        <v>0</v>
      </c>
      <c r="Q34" s="489">
        <f>SUM(Q30:Q33)</f>
        <v>0</v>
      </c>
      <c r="R34" s="260">
        <f>SUM(M34:Q34)</f>
        <v>30</v>
      </c>
      <c r="S34" s="12"/>
      <c r="T34" s="239" t="s">
        <v>168</v>
      </c>
      <c r="U34" s="239"/>
      <c r="V34" s="259">
        <f>SUM(V30:V33)</f>
        <v>581.4</v>
      </c>
      <c r="W34" s="260">
        <f>SUM(W30:W33)</f>
        <v>354.4</v>
      </c>
      <c r="X34" s="260">
        <f>SUM(X30:X33)</f>
        <v>338.4</v>
      </c>
      <c r="Y34" s="260">
        <f>SUM(Y30:Y33)</f>
        <v>332.4</v>
      </c>
      <c r="Z34" s="261">
        <f>SUM(Z30:Z33)</f>
        <v>331.7</v>
      </c>
      <c r="AA34" s="260">
        <f>SUM(V34:Z34)</f>
        <v>1938.3</v>
      </c>
      <c r="AB34" s="32"/>
      <c r="AD34" s="331"/>
      <c r="AE34" s="331"/>
      <c r="AH34" s="44"/>
      <c r="AI34" s="44"/>
      <c r="AJ34" s="44"/>
      <c r="AK34" s="44"/>
      <c r="AL34" s="44"/>
      <c r="AM34" s="44"/>
    </row>
    <row r="35" spans="1:39" s="67" customFormat="1" ht="18" customHeight="1" x14ac:dyDescent="0.2">
      <c r="A35" s="12"/>
      <c r="B35" s="2"/>
      <c r="C35" s="2"/>
      <c r="D35" s="531"/>
      <c r="E35" s="531"/>
      <c r="F35" s="531"/>
      <c r="G35" s="531"/>
      <c r="H35" s="531"/>
      <c r="I35" s="531"/>
      <c r="J35" s="32"/>
      <c r="K35" s="2"/>
      <c r="L35" s="2"/>
      <c r="M35" s="531"/>
      <c r="N35" s="531"/>
      <c r="O35" s="531"/>
      <c r="P35" s="531"/>
      <c r="Q35" s="531"/>
      <c r="R35" s="531"/>
      <c r="S35" s="12"/>
      <c r="T35" s="2"/>
      <c r="U35" s="2" t="s">
        <v>11</v>
      </c>
      <c r="V35" s="522">
        <f>V34-M34-D34</f>
        <v>0</v>
      </c>
      <c r="W35" s="522">
        <f t="shared" ref="W35" si="40">W34-N34-E34</f>
        <v>0</v>
      </c>
      <c r="X35" s="522">
        <f t="shared" ref="X35" si="41">X34-O34-F34</f>
        <v>0</v>
      </c>
      <c r="Y35" s="522">
        <f t="shared" ref="Y35" si="42">Y34-P34-G34</f>
        <v>0</v>
      </c>
      <c r="Z35" s="522">
        <f t="shared" ref="Z35" si="43">Z34-Q34-H34</f>
        <v>0</v>
      </c>
      <c r="AA35" s="522">
        <f t="shared" ref="AA35" si="44">AA34-R34-I34</f>
        <v>0</v>
      </c>
      <c r="AB35" s="32"/>
      <c r="AD35" s="331"/>
      <c r="AE35" s="331"/>
      <c r="AH35" s="44"/>
      <c r="AI35" s="44"/>
      <c r="AJ35" s="44"/>
      <c r="AK35" s="44"/>
      <c r="AL35" s="44"/>
      <c r="AM35" s="44"/>
    </row>
    <row r="36" spans="1:39" s="67" customFormat="1" ht="18" customHeight="1" x14ac:dyDescent="0.2">
      <c r="A36" s="12"/>
      <c r="B36" s="346" t="s">
        <v>166</v>
      </c>
      <c r="C36" s="346"/>
      <c r="D36" s="346"/>
      <c r="E36" s="346"/>
      <c r="F36" s="346"/>
      <c r="G36" s="346"/>
      <c r="H36" s="346"/>
      <c r="I36" s="346"/>
      <c r="J36" s="190"/>
      <c r="K36" s="346" t="s">
        <v>166</v>
      </c>
      <c r="L36" s="346"/>
      <c r="M36" s="346"/>
      <c r="N36" s="346"/>
      <c r="O36" s="346"/>
      <c r="P36" s="346"/>
      <c r="Q36" s="346"/>
      <c r="R36" s="346"/>
      <c r="S36" s="345"/>
      <c r="T36" s="346" t="s">
        <v>166</v>
      </c>
      <c r="U36" s="346"/>
      <c r="V36" s="346"/>
      <c r="W36" s="346"/>
      <c r="X36" s="346"/>
      <c r="Y36" s="346"/>
      <c r="Z36" s="346"/>
      <c r="AA36" s="346"/>
      <c r="AB36" s="32"/>
      <c r="AD36" s="331"/>
      <c r="AE36" s="331"/>
      <c r="AH36" s="44"/>
      <c r="AI36" s="44"/>
      <c r="AJ36" s="44"/>
      <c r="AK36" s="44"/>
      <c r="AL36" s="44"/>
      <c r="AM36" s="44"/>
    </row>
    <row r="37" spans="1:39" s="67" customFormat="1" ht="18" customHeight="1" x14ac:dyDescent="0.2">
      <c r="A37" s="12"/>
      <c r="B37" s="2" t="s">
        <v>137</v>
      </c>
      <c r="C37" s="2" t="s">
        <v>282</v>
      </c>
      <c r="D37" s="256">
        <v>779</v>
      </c>
      <c r="E37" s="238">
        <v>779</v>
      </c>
      <c r="F37" s="238">
        <v>779</v>
      </c>
      <c r="G37" s="238">
        <v>779</v>
      </c>
      <c r="H37" s="257">
        <v>779</v>
      </c>
      <c r="I37" s="258">
        <f t="shared" si="34"/>
        <v>3895</v>
      </c>
      <c r="J37" s="32"/>
      <c r="K37" s="2" t="s">
        <v>137</v>
      </c>
      <c r="L37" s="2" t="str">
        <f>C37</f>
        <v>Plant &amp; Equipmnent Upgrade</v>
      </c>
      <c r="M37" s="256">
        <v>23</v>
      </c>
      <c r="N37" s="238">
        <v>23</v>
      </c>
      <c r="O37" s="238">
        <v>23</v>
      </c>
      <c r="P37" s="238">
        <v>23</v>
      </c>
      <c r="Q37" s="238">
        <v>23</v>
      </c>
      <c r="R37" s="256">
        <f t="shared" ref="R37:R38" si="45">SUM(M37:Q37)</f>
        <v>115</v>
      </c>
      <c r="S37" s="12"/>
      <c r="T37" s="2" t="s">
        <v>137</v>
      </c>
      <c r="U37" s="2" t="str">
        <f>C37</f>
        <v>Plant &amp; Equipmnent Upgrade</v>
      </c>
      <c r="V37" s="256">
        <f t="shared" ref="V37:Z38" si="46">D37+M37</f>
        <v>802</v>
      </c>
      <c r="W37" s="238">
        <f t="shared" si="46"/>
        <v>802</v>
      </c>
      <c r="X37" s="238">
        <f t="shared" si="46"/>
        <v>802</v>
      </c>
      <c r="Y37" s="238">
        <f t="shared" si="46"/>
        <v>802</v>
      </c>
      <c r="Z37" s="257">
        <f t="shared" si="46"/>
        <v>802</v>
      </c>
      <c r="AA37" s="258">
        <f t="shared" ref="AA37:AA38" si="47">SUM(V37:Z37)</f>
        <v>4010</v>
      </c>
      <c r="AB37" s="32"/>
      <c r="AC37" s="80"/>
      <c r="AD37" s="331"/>
      <c r="AE37" s="331"/>
      <c r="AH37" s="44"/>
      <c r="AI37" s="44"/>
      <c r="AJ37" s="44"/>
      <c r="AK37" s="44"/>
      <c r="AL37" s="44"/>
      <c r="AM37" s="44"/>
    </row>
    <row r="38" spans="1:39" s="67" customFormat="1" ht="18" customHeight="1" x14ac:dyDescent="0.2">
      <c r="A38" s="12"/>
      <c r="B38" s="2" t="s">
        <v>138</v>
      </c>
      <c r="C38" s="2" t="s">
        <v>283</v>
      </c>
      <c r="D38" s="256">
        <v>821</v>
      </c>
      <c r="E38" s="238">
        <v>822</v>
      </c>
      <c r="F38" s="238">
        <v>412</v>
      </c>
      <c r="G38" s="238">
        <v>1334</v>
      </c>
      <c r="H38" s="257">
        <v>144</v>
      </c>
      <c r="I38" s="258">
        <f t="shared" si="34"/>
        <v>3533</v>
      </c>
      <c r="J38" s="66"/>
      <c r="K38" s="2" t="s">
        <v>138</v>
      </c>
      <c r="L38" s="2" t="str">
        <f>C38</f>
        <v>Depot Office Refurbishment</v>
      </c>
      <c r="M38" s="256">
        <v>47</v>
      </c>
      <c r="N38" s="238">
        <v>0</v>
      </c>
      <c r="O38" s="238">
        <v>0</v>
      </c>
      <c r="P38" s="238">
        <v>0</v>
      </c>
      <c r="Q38" s="238">
        <v>0</v>
      </c>
      <c r="R38" s="256">
        <f t="shared" si="45"/>
        <v>47</v>
      </c>
      <c r="S38" s="12"/>
      <c r="T38" s="2" t="s">
        <v>138</v>
      </c>
      <c r="U38" s="2" t="str">
        <f>C38</f>
        <v>Depot Office Refurbishment</v>
      </c>
      <c r="V38" s="256">
        <f t="shared" si="46"/>
        <v>868</v>
      </c>
      <c r="W38" s="238">
        <f t="shared" si="46"/>
        <v>822</v>
      </c>
      <c r="X38" s="238">
        <f t="shared" si="46"/>
        <v>412</v>
      </c>
      <c r="Y38" s="238">
        <f t="shared" si="46"/>
        <v>1334</v>
      </c>
      <c r="Z38" s="257">
        <f t="shared" si="46"/>
        <v>144</v>
      </c>
      <c r="AA38" s="258">
        <f t="shared" si="47"/>
        <v>3580</v>
      </c>
      <c r="AB38" s="32"/>
      <c r="AD38" s="331"/>
      <c r="AE38" s="331"/>
      <c r="AH38" s="44"/>
      <c r="AI38" s="44"/>
      <c r="AJ38" s="44"/>
      <c r="AK38" s="44"/>
      <c r="AL38" s="44"/>
      <c r="AM38" s="44"/>
    </row>
    <row r="39" spans="1:39" s="67" customFormat="1" ht="18" customHeight="1" thickBot="1" x14ac:dyDescent="0.25">
      <c r="A39" s="12"/>
      <c r="B39" s="239" t="s">
        <v>169</v>
      </c>
      <c r="C39" s="239"/>
      <c r="D39" s="259">
        <f t="shared" ref="D39:I39" si="48">SUM(D37:D38)</f>
        <v>1600</v>
      </c>
      <c r="E39" s="260">
        <f t="shared" si="48"/>
        <v>1601</v>
      </c>
      <c r="F39" s="260">
        <f t="shared" si="48"/>
        <v>1191</v>
      </c>
      <c r="G39" s="260">
        <f t="shared" si="48"/>
        <v>2113</v>
      </c>
      <c r="H39" s="261">
        <f t="shared" si="48"/>
        <v>923</v>
      </c>
      <c r="I39" s="260">
        <f t="shared" si="48"/>
        <v>7428</v>
      </c>
      <c r="J39" s="66"/>
      <c r="K39" s="239" t="s">
        <v>169</v>
      </c>
      <c r="L39" s="239"/>
      <c r="M39" s="259">
        <f t="shared" ref="M39:R39" si="49">SUM(M37:M38)</f>
        <v>70</v>
      </c>
      <c r="N39" s="260">
        <f t="shared" si="49"/>
        <v>23</v>
      </c>
      <c r="O39" s="260">
        <f t="shared" si="49"/>
        <v>23</v>
      </c>
      <c r="P39" s="260">
        <f t="shared" si="49"/>
        <v>23</v>
      </c>
      <c r="Q39" s="261">
        <f t="shared" si="49"/>
        <v>23</v>
      </c>
      <c r="R39" s="260">
        <f t="shared" si="49"/>
        <v>162</v>
      </c>
      <c r="S39" s="12"/>
      <c r="T39" s="239" t="s">
        <v>169</v>
      </c>
      <c r="U39" s="239"/>
      <c r="V39" s="259">
        <f t="shared" ref="V39:AA39" si="50">SUM(V37:V38)</f>
        <v>1670</v>
      </c>
      <c r="W39" s="260">
        <f t="shared" si="50"/>
        <v>1624</v>
      </c>
      <c r="X39" s="260">
        <f t="shared" si="50"/>
        <v>1214</v>
      </c>
      <c r="Y39" s="260">
        <f t="shared" si="50"/>
        <v>2136</v>
      </c>
      <c r="Z39" s="261">
        <f t="shared" si="50"/>
        <v>946</v>
      </c>
      <c r="AA39" s="260">
        <f t="shared" si="50"/>
        <v>7590</v>
      </c>
      <c r="AB39" s="32"/>
      <c r="AD39" s="331"/>
      <c r="AE39" s="331"/>
      <c r="AH39" s="44"/>
      <c r="AI39" s="44"/>
      <c r="AJ39" s="44"/>
      <c r="AK39" s="44"/>
      <c r="AL39" s="44"/>
      <c r="AM39" s="44"/>
    </row>
    <row r="40" spans="1:39" s="67" customFormat="1" ht="18" customHeight="1" x14ac:dyDescent="0.2">
      <c r="A40" s="12"/>
      <c r="B40" s="2"/>
      <c r="C40" s="2"/>
      <c r="D40" s="531"/>
      <c r="E40" s="531"/>
      <c r="F40" s="531"/>
      <c r="G40" s="531"/>
      <c r="H40" s="531"/>
      <c r="I40" s="531"/>
      <c r="J40" s="66"/>
      <c r="K40" s="2"/>
      <c r="L40" s="2"/>
      <c r="M40" s="531"/>
      <c r="N40" s="531"/>
      <c r="O40" s="531"/>
      <c r="P40" s="531"/>
      <c r="Q40" s="531"/>
      <c r="R40" s="531"/>
      <c r="S40" s="12"/>
      <c r="T40" s="2"/>
      <c r="U40" s="2" t="s">
        <v>11</v>
      </c>
      <c r="V40" s="522">
        <f>V39-M39-D39</f>
        <v>0</v>
      </c>
      <c r="W40" s="522">
        <f t="shared" ref="W40" si="51">W39-N39-E39</f>
        <v>0</v>
      </c>
      <c r="X40" s="522">
        <f t="shared" ref="X40" si="52">X39-O39-F39</f>
        <v>0</v>
      </c>
      <c r="Y40" s="522">
        <f t="shared" ref="Y40" si="53">Y39-P39-G39</f>
        <v>0</v>
      </c>
      <c r="Z40" s="522">
        <f t="shared" ref="Z40" si="54">Z39-Q39-H39</f>
        <v>0</v>
      </c>
      <c r="AA40" s="522">
        <f t="shared" ref="AA40" si="55">AA39-R39-I39</f>
        <v>0</v>
      </c>
      <c r="AB40" s="32"/>
      <c r="AD40" s="331"/>
      <c r="AE40" s="331"/>
      <c r="AH40" s="44"/>
      <c r="AI40" s="44"/>
      <c r="AJ40" s="44"/>
      <c r="AK40" s="44"/>
      <c r="AL40" s="44"/>
      <c r="AM40" s="44"/>
    </row>
    <row r="41" spans="1:39" s="67" customFormat="1" ht="18" customHeight="1" x14ac:dyDescent="0.2">
      <c r="A41" s="12"/>
      <c r="B41" s="346" t="s">
        <v>167</v>
      </c>
      <c r="C41" s="346"/>
      <c r="D41" s="346"/>
      <c r="E41" s="346"/>
      <c r="F41" s="346"/>
      <c r="G41" s="346"/>
      <c r="H41" s="346"/>
      <c r="I41" s="346"/>
      <c r="J41" s="190"/>
      <c r="K41" s="346" t="s">
        <v>167</v>
      </c>
      <c r="L41" s="346"/>
      <c r="M41" s="346"/>
      <c r="N41" s="346"/>
      <c r="O41" s="346"/>
      <c r="P41" s="346"/>
      <c r="Q41" s="346"/>
      <c r="R41" s="346"/>
      <c r="S41" s="345"/>
      <c r="T41" s="346" t="s">
        <v>167</v>
      </c>
      <c r="U41" s="346"/>
      <c r="V41" s="346"/>
      <c r="W41" s="346"/>
      <c r="X41" s="346"/>
      <c r="Y41" s="346"/>
      <c r="Z41" s="346"/>
      <c r="AA41" s="346"/>
      <c r="AB41" s="32"/>
      <c r="AD41" s="331"/>
      <c r="AE41" s="331"/>
      <c r="AH41" s="44"/>
      <c r="AI41" s="44"/>
      <c r="AJ41" s="44"/>
      <c r="AK41" s="44"/>
      <c r="AL41" s="44"/>
      <c r="AM41" s="44"/>
    </row>
    <row r="42" spans="1:39" s="67" customFormat="1" ht="18" customHeight="1" x14ac:dyDescent="0.2">
      <c r="A42" s="12"/>
      <c r="B42" s="2" t="s">
        <v>139</v>
      </c>
      <c r="C42" s="2" t="s">
        <v>140</v>
      </c>
      <c r="D42" s="256">
        <v>348.32</v>
      </c>
      <c r="E42" s="238">
        <v>348.32</v>
      </c>
      <c r="F42" s="238">
        <v>348.32</v>
      </c>
      <c r="G42" s="238">
        <v>348.32</v>
      </c>
      <c r="H42" s="257">
        <v>348.32</v>
      </c>
      <c r="I42" s="258">
        <f t="shared" si="34"/>
        <v>1741.6</v>
      </c>
      <c r="J42" s="66"/>
      <c r="K42" s="2" t="s">
        <v>139</v>
      </c>
      <c r="L42" s="2" t="s">
        <v>140</v>
      </c>
      <c r="M42" s="256">
        <v>0</v>
      </c>
      <c r="N42" s="238">
        <v>0</v>
      </c>
      <c r="O42" s="238">
        <v>0</v>
      </c>
      <c r="P42" s="238">
        <v>0</v>
      </c>
      <c r="Q42" s="257">
        <v>0</v>
      </c>
      <c r="R42" s="258">
        <f t="shared" ref="R42:R51" si="56">SUM(M42:Q42)</f>
        <v>0</v>
      </c>
      <c r="S42" s="12"/>
      <c r="T42" s="2" t="s">
        <v>139</v>
      </c>
      <c r="U42" s="2" t="s">
        <v>140</v>
      </c>
      <c r="V42" s="256">
        <f t="shared" ref="V42:V51" si="57">D42+M42</f>
        <v>348.32</v>
      </c>
      <c r="W42" s="238">
        <f t="shared" ref="W42:W51" si="58">E42+N42</f>
        <v>348.32</v>
      </c>
      <c r="X42" s="238">
        <f t="shared" ref="X42:X51" si="59">F42+O42</f>
        <v>348.32</v>
      </c>
      <c r="Y42" s="238">
        <f t="shared" ref="Y42:Y51" si="60">G42+P42</f>
        <v>348.32</v>
      </c>
      <c r="Z42" s="257">
        <f t="shared" ref="Z42:Z51" si="61">H42+Q42</f>
        <v>348.32</v>
      </c>
      <c r="AA42" s="258">
        <f t="shared" ref="AA42:AA51" si="62">SUM(V42:Z42)</f>
        <v>1741.6</v>
      </c>
      <c r="AB42" s="32"/>
      <c r="AD42" s="331"/>
      <c r="AE42" s="331"/>
      <c r="AH42" s="44"/>
      <c r="AI42" s="44"/>
      <c r="AJ42" s="44"/>
      <c r="AK42" s="44"/>
      <c r="AL42" s="44"/>
      <c r="AM42" s="44"/>
    </row>
    <row r="43" spans="1:39" s="67" customFormat="1" ht="18" customHeight="1" x14ac:dyDescent="0.2">
      <c r="A43" s="12"/>
      <c r="B43" s="2" t="s">
        <v>141</v>
      </c>
      <c r="C43" s="2" t="s">
        <v>142</v>
      </c>
      <c r="D43" s="256">
        <v>157.5</v>
      </c>
      <c r="E43" s="238">
        <v>131.5</v>
      </c>
      <c r="F43" s="238">
        <v>132</v>
      </c>
      <c r="G43" s="238">
        <v>132</v>
      </c>
      <c r="H43" s="257">
        <v>132</v>
      </c>
      <c r="I43" s="258">
        <f t="shared" si="34"/>
        <v>685</v>
      </c>
      <c r="J43" s="66"/>
      <c r="K43" s="2" t="s">
        <v>141</v>
      </c>
      <c r="L43" s="2" t="s">
        <v>142</v>
      </c>
      <c r="M43" s="256">
        <v>0</v>
      </c>
      <c r="N43" s="238">
        <v>0</v>
      </c>
      <c r="O43" s="238">
        <v>0</v>
      </c>
      <c r="P43" s="238">
        <v>0</v>
      </c>
      <c r="Q43" s="257">
        <v>0</v>
      </c>
      <c r="R43" s="258">
        <f t="shared" si="56"/>
        <v>0</v>
      </c>
      <c r="S43" s="12"/>
      <c r="T43" s="2" t="s">
        <v>141</v>
      </c>
      <c r="U43" s="2" t="s">
        <v>142</v>
      </c>
      <c r="V43" s="256">
        <f t="shared" si="57"/>
        <v>157.5</v>
      </c>
      <c r="W43" s="238">
        <f t="shared" si="58"/>
        <v>131.5</v>
      </c>
      <c r="X43" s="238">
        <f t="shared" si="59"/>
        <v>132</v>
      </c>
      <c r="Y43" s="238">
        <f t="shared" si="60"/>
        <v>132</v>
      </c>
      <c r="Z43" s="257">
        <f t="shared" si="61"/>
        <v>132</v>
      </c>
      <c r="AA43" s="258">
        <f t="shared" si="62"/>
        <v>685</v>
      </c>
      <c r="AB43" s="32"/>
      <c r="AD43" s="331"/>
      <c r="AE43" s="331"/>
      <c r="AH43" s="44"/>
      <c r="AI43" s="44"/>
      <c r="AJ43" s="44"/>
      <c r="AK43" s="44"/>
      <c r="AL43" s="44"/>
      <c r="AM43" s="44"/>
    </row>
    <row r="44" spans="1:39" s="67" customFormat="1" ht="18" customHeight="1" x14ac:dyDescent="0.2">
      <c r="A44" s="12"/>
      <c r="B44" s="2" t="s">
        <v>143</v>
      </c>
      <c r="C44" s="2" t="s">
        <v>144</v>
      </c>
      <c r="D44" s="256">
        <v>64</v>
      </c>
      <c r="E44" s="238">
        <v>0</v>
      </c>
      <c r="F44" s="238">
        <v>64</v>
      </c>
      <c r="G44" s="238">
        <v>0</v>
      </c>
      <c r="H44" s="257">
        <v>64</v>
      </c>
      <c r="I44" s="258">
        <f t="shared" si="34"/>
        <v>192</v>
      </c>
      <c r="J44" s="66"/>
      <c r="K44" s="2" t="s">
        <v>143</v>
      </c>
      <c r="L44" s="2" t="s">
        <v>144</v>
      </c>
      <c r="M44" s="256">
        <v>0</v>
      </c>
      <c r="N44" s="238">
        <v>0</v>
      </c>
      <c r="O44" s="238">
        <v>0</v>
      </c>
      <c r="P44" s="238">
        <v>0</v>
      </c>
      <c r="Q44" s="257">
        <v>0</v>
      </c>
      <c r="R44" s="258">
        <f t="shared" si="56"/>
        <v>0</v>
      </c>
      <c r="S44" s="12"/>
      <c r="T44" s="2" t="s">
        <v>143</v>
      </c>
      <c r="U44" s="2" t="s">
        <v>144</v>
      </c>
      <c r="V44" s="256">
        <f t="shared" si="57"/>
        <v>64</v>
      </c>
      <c r="W44" s="238">
        <f t="shared" si="58"/>
        <v>0</v>
      </c>
      <c r="X44" s="238">
        <f t="shared" si="59"/>
        <v>64</v>
      </c>
      <c r="Y44" s="238">
        <f t="shared" si="60"/>
        <v>0</v>
      </c>
      <c r="Z44" s="257">
        <f t="shared" si="61"/>
        <v>64</v>
      </c>
      <c r="AA44" s="258">
        <f t="shared" si="62"/>
        <v>192</v>
      </c>
      <c r="AB44" s="32"/>
      <c r="AD44" s="331"/>
      <c r="AE44" s="331"/>
      <c r="AH44" s="44"/>
      <c r="AI44" s="44"/>
      <c r="AJ44" s="44"/>
      <c r="AK44" s="44"/>
      <c r="AL44" s="44"/>
      <c r="AM44" s="44"/>
    </row>
    <row r="45" spans="1:39" s="67" customFormat="1" ht="18" customHeight="1" x14ac:dyDescent="0.2">
      <c r="A45" s="12"/>
      <c r="B45" s="2" t="s">
        <v>145</v>
      </c>
      <c r="C45" s="2" t="s">
        <v>146</v>
      </c>
      <c r="D45" s="256">
        <v>37.5</v>
      </c>
      <c r="E45" s="238">
        <v>74.900000000000006</v>
      </c>
      <c r="F45" s="238">
        <v>112.4</v>
      </c>
      <c r="G45" s="238">
        <v>112.4</v>
      </c>
      <c r="H45" s="257">
        <v>74.900000000000006</v>
      </c>
      <c r="I45" s="258">
        <f t="shared" si="34"/>
        <v>412.1</v>
      </c>
      <c r="J45" s="66"/>
      <c r="K45" s="2" t="s">
        <v>145</v>
      </c>
      <c r="L45" s="2" t="s">
        <v>146</v>
      </c>
      <c r="M45" s="256">
        <v>0</v>
      </c>
      <c r="N45" s="238">
        <v>0</v>
      </c>
      <c r="O45" s="238">
        <v>0</v>
      </c>
      <c r="P45" s="238">
        <v>0</v>
      </c>
      <c r="Q45" s="257">
        <v>0</v>
      </c>
      <c r="R45" s="258">
        <f t="shared" si="56"/>
        <v>0</v>
      </c>
      <c r="S45" s="12"/>
      <c r="T45" s="2" t="s">
        <v>145</v>
      </c>
      <c r="U45" s="2" t="s">
        <v>146</v>
      </c>
      <c r="V45" s="256">
        <f t="shared" si="57"/>
        <v>37.5</v>
      </c>
      <c r="W45" s="238">
        <f t="shared" si="58"/>
        <v>74.900000000000006</v>
      </c>
      <c r="X45" s="238">
        <f t="shared" si="59"/>
        <v>112.4</v>
      </c>
      <c r="Y45" s="238">
        <f t="shared" si="60"/>
        <v>112.4</v>
      </c>
      <c r="Z45" s="257">
        <f t="shared" si="61"/>
        <v>74.900000000000006</v>
      </c>
      <c r="AA45" s="258">
        <f t="shared" si="62"/>
        <v>412.1</v>
      </c>
      <c r="AB45" s="32"/>
      <c r="AD45" s="331"/>
      <c r="AE45" s="331"/>
      <c r="AH45" s="44"/>
      <c r="AI45" s="44"/>
      <c r="AJ45" s="44"/>
      <c r="AK45" s="44"/>
      <c r="AL45" s="44"/>
      <c r="AM45" s="44"/>
    </row>
    <row r="46" spans="1:39" s="67" customFormat="1" ht="18" customHeight="1" x14ac:dyDescent="0.2">
      <c r="A46" s="12"/>
      <c r="B46" s="2" t="s">
        <v>147</v>
      </c>
      <c r="C46" s="2" t="s">
        <v>148</v>
      </c>
      <c r="D46" s="256">
        <v>30.626999999999999</v>
      </c>
      <c r="E46" s="238">
        <v>51.045000000000002</v>
      </c>
      <c r="F46" s="238">
        <v>51.462999999999994</v>
      </c>
      <c r="G46" s="238">
        <v>61.253999999999998</v>
      </c>
      <c r="H46" s="257">
        <v>40.835999999999999</v>
      </c>
      <c r="I46" s="258">
        <f t="shared" si="34"/>
        <v>235.22499999999997</v>
      </c>
      <c r="J46" s="66"/>
      <c r="K46" s="2" t="s">
        <v>147</v>
      </c>
      <c r="L46" s="2" t="s">
        <v>148</v>
      </c>
      <c r="M46" s="256">
        <v>0</v>
      </c>
      <c r="N46" s="238">
        <v>0</v>
      </c>
      <c r="O46" s="238">
        <v>20</v>
      </c>
      <c r="P46" s="238">
        <v>0</v>
      </c>
      <c r="Q46" s="257">
        <v>0</v>
      </c>
      <c r="R46" s="258">
        <f t="shared" si="56"/>
        <v>20</v>
      </c>
      <c r="S46" s="12"/>
      <c r="T46" s="2" t="s">
        <v>147</v>
      </c>
      <c r="U46" s="2" t="s">
        <v>148</v>
      </c>
      <c r="V46" s="256">
        <f t="shared" si="57"/>
        <v>30.626999999999999</v>
      </c>
      <c r="W46" s="238">
        <f t="shared" si="58"/>
        <v>51.045000000000002</v>
      </c>
      <c r="X46" s="238">
        <f t="shared" si="59"/>
        <v>71.462999999999994</v>
      </c>
      <c r="Y46" s="238">
        <f t="shared" si="60"/>
        <v>61.253999999999998</v>
      </c>
      <c r="Z46" s="257">
        <f t="shared" si="61"/>
        <v>40.835999999999999</v>
      </c>
      <c r="AA46" s="258">
        <f t="shared" si="62"/>
        <v>255.22499999999997</v>
      </c>
      <c r="AB46" s="32"/>
      <c r="AD46" s="331"/>
      <c r="AE46" s="331"/>
      <c r="AH46" s="44"/>
      <c r="AI46" s="44"/>
      <c r="AJ46" s="44"/>
      <c r="AK46" s="44"/>
      <c r="AL46" s="44"/>
      <c r="AM46" s="44"/>
    </row>
    <row r="47" spans="1:39" s="67" customFormat="1" ht="18" customHeight="1" x14ac:dyDescent="0.2">
      <c r="A47" s="12"/>
      <c r="B47" s="2" t="s">
        <v>149</v>
      </c>
      <c r="C47" s="2" t="s">
        <v>150</v>
      </c>
      <c r="D47" s="256">
        <v>99.7</v>
      </c>
      <c r="E47" s="238">
        <v>97.5</v>
      </c>
      <c r="F47" s="238">
        <v>114.9</v>
      </c>
      <c r="G47" s="238">
        <v>213.5</v>
      </c>
      <c r="H47" s="257">
        <v>108.3</v>
      </c>
      <c r="I47" s="258">
        <f t="shared" si="34"/>
        <v>633.9</v>
      </c>
      <c r="J47" s="66"/>
      <c r="K47" s="2" t="s">
        <v>149</v>
      </c>
      <c r="L47" s="2" t="s">
        <v>150</v>
      </c>
      <c r="M47" s="256">
        <v>0</v>
      </c>
      <c r="N47" s="238">
        <v>0</v>
      </c>
      <c r="O47" s="238">
        <v>0</v>
      </c>
      <c r="P47" s="238">
        <v>0</v>
      </c>
      <c r="Q47" s="257">
        <v>0</v>
      </c>
      <c r="R47" s="258">
        <f t="shared" si="56"/>
        <v>0</v>
      </c>
      <c r="S47" s="12"/>
      <c r="T47" s="2" t="s">
        <v>149</v>
      </c>
      <c r="U47" s="2" t="s">
        <v>150</v>
      </c>
      <c r="V47" s="256">
        <f t="shared" si="57"/>
        <v>99.7</v>
      </c>
      <c r="W47" s="238">
        <f t="shared" si="58"/>
        <v>97.5</v>
      </c>
      <c r="X47" s="238">
        <f t="shared" si="59"/>
        <v>114.9</v>
      </c>
      <c r="Y47" s="238">
        <f t="shared" si="60"/>
        <v>213.5</v>
      </c>
      <c r="Z47" s="257">
        <f t="shared" si="61"/>
        <v>108.3</v>
      </c>
      <c r="AA47" s="258">
        <f t="shared" si="62"/>
        <v>633.9</v>
      </c>
      <c r="AB47" s="32"/>
      <c r="AD47" s="331"/>
      <c r="AE47" s="331"/>
      <c r="AH47" s="44"/>
      <c r="AI47" s="44"/>
      <c r="AJ47" s="44"/>
      <c r="AK47" s="44"/>
      <c r="AL47" s="44"/>
      <c r="AM47" s="44"/>
    </row>
    <row r="48" spans="1:39" s="67" customFormat="1" ht="18" customHeight="1" x14ac:dyDescent="0.2">
      <c r="A48" s="12"/>
      <c r="B48" s="2" t="s">
        <v>151</v>
      </c>
      <c r="C48" s="2" t="s">
        <v>152</v>
      </c>
      <c r="D48" s="256">
        <v>636.20000000000005</v>
      </c>
      <c r="E48" s="238">
        <v>600.20000000000005</v>
      </c>
      <c r="F48" s="238">
        <v>582.20000000000005</v>
      </c>
      <c r="G48" s="238">
        <v>564.20000000000005</v>
      </c>
      <c r="H48" s="257">
        <v>564.20000000000005</v>
      </c>
      <c r="I48" s="258">
        <f t="shared" si="34"/>
        <v>2947</v>
      </c>
      <c r="J48" s="66"/>
      <c r="K48" s="2" t="s">
        <v>151</v>
      </c>
      <c r="L48" s="2" t="s">
        <v>152</v>
      </c>
      <c r="M48" s="256">
        <v>0</v>
      </c>
      <c r="N48" s="238">
        <v>0</v>
      </c>
      <c r="O48" s="238">
        <v>0</v>
      </c>
      <c r="P48" s="238">
        <v>0</v>
      </c>
      <c r="Q48" s="257">
        <v>0</v>
      </c>
      <c r="R48" s="258">
        <f t="shared" si="56"/>
        <v>0</v>
      </c>
      <c r="S48" s="12"/>
      <c r="T48" s="2" t="s">
        <v>151</v>
      </c>
      <c r="U48" s="2" t="s">
        <v>152</v>
      </c>
      <c r="V48" s="256">
        <f t="shared" si="57"/>
        <v>636.20000000000005</v>
      </c>
      <c r="W48" s="238">
        <f t="shared" si="58"/>
        <v>600.20000000000005</v>
      </c>
      <c r="X48" s="238">
        <f t="shared" si="59"/>
        <v>582.20000000000005</v>
      </c>
      <c r="Y48" s="238">
        <f t="shared" si="60"/>
        <v>564.20000000000005</v>
      </c>
      <c r="Z48" s="257">
        <f t="shared" si="61"/>
        <v>564.20000000000005</v>
      </c>
      <c r="AA48" s="258">
        <f t="shared" si="62"/>
        <v>2947</v>
      </c>
      <c r="AB48" s="32"/>
      <c r="AD48" s="331"/>
      <c r="AE48" s="331"/>
      <c r="AH48" s="44"/>
      <c r="AI48" s="44"/>
      <c r="AJ48" s="44"/>
      <c r="AK48" s="44"/>
      <c r="AL48" s="44"/>
      <c r="AM48" s="44"/>
    </row>
    <row r="49" spans="1:39" s="67" customFormat="1" ht="18" customHeight="1" x14ac:dyDescent="0.2">
      <c r="A49" s="12"/>
      <c r="B49" s="2" t="s">
        <v>153</v>
      </c>
      <c r="C49" s="2" t="s">
        <v>154</v>
      </c>
      <c r="D49" s="256">
        <v>587.78099999999995</v>
      </c>
      <c r="E49" s="238">
        <v>712.04600000000005</v>
      </c>
      <c r="F49" s="238">
        <v>893.26900000000001</v>
      </c>
      <c r="G49" s="238">
        <v>762.04600000000005</v>
      </c>
      <c r="H49" s="257">
        <v>762.04600000000005</v>
      </c>
      <c r="I49" s="258">
        <f t="shared" si="34"/>
        <v>3717.1880000000001</v>
      </c>
      <c r="J49" s="66"/>
      <c r="K49" s="2" t="s">
        <v>153</v>
      </c>
      <c r="L49" s="2" t="s">
        <v>154</v>
      </c>
      <c r="M49" s="256">
        <v>0</v>
      </c>
      <c r="N49" s="238">
        <v>50</v>
      </c>
      <c r="O49" s="238">
        <v>53</v>
      </c>
      <c r="P49" s="238">
        <v>0</v>
      </c>
      <c r="Q49" s="257">
        <v>0</v>
      </c>
      <c r="R49" s="258">
        <f t="shared" si="56"/>
        <v>103</v>
      </c>
      <c r="S49" s="12"/>
      <c r="T49" s="2" t="s">
        <v>153</v>
      </c>
      <c r="U49" s="2" t="s">
        <v>154</v>
      </c>
      <c r="V49" s="256">
        <f t="shared" si="57"/>
        <v>587.78099999999995</v>
      </c>
      <c r="W49" s="238">
        <f t="shared" si="58"/>
        <v>762.04600000000005</v>
      </c>
      <c r="X49" s="238">
        <f t="shared" si="59"/>
        <v>946.26900000000001</v>
      </c>
      <c r="Y49" s="238">
        <f t="shared" si="60"/>
        <v>762.04600000000005</v>
      </c>
      <c r="Z49" s="257">
        <f t="shared" si="61"/>
        <v>762.04600000000005</v>
      </c>
      <c r="AA49" s="258">
        <f t="shared" si="62"/>
        <v>3820.1880000000001</v>
      </c>
      <c r="AB49" s="32"/>
      <c r="AD49" s="331"/>
      <c r="AE49" s="331"/>
      <c r="AH49" s="44"/>
      <c r="AI49" s="44"/>
      <c r="AJ49" s="44"/>
      <c r="AK49" s="44"/>
      <c r="AL49" s="44"/>
      <c r="AM49" s="44"/>
    </row>
    <row r="50" spans="1:39" s="67" customFormat="1" ht="18" customHeight="1" x14ac:dyDescent="0.2">
      <c r="A50" s="12"/>
      <c r="B50" s="2" t="s">
        <v>155</v>
      </c>
      <c r="C50" s="2" t="s">
        <v>156</v>
      </c>
      <c r="D50" s="256">
        <v>354</v>
      </c>
      <c r="E50" s="238">
        <v>2224</v>
      </c>
      <c r="F50" s="238">
        <v>7320</v>
      </c>
      <c r="G50" s="238">
        <v>3240</v>
      </c>
      <c r="H50" s="257">
        <v>486</v>
      </c>
      <c r="I50" s="258">
        <f t="shared" si="34"/>
        <v>13624</v>
      </c>
      <c r="J50" s="66"/>
      <c r="K50" s="2" t="s">
        <v>155</v>
      </c>
      <c r="L50" s="2" t="s">
        <v>156</v>
      </c>
      <c r="M50" s="256">
        <v>0</v>
      </c>
      <c r="N50" s="238">
        <v>0</v>
      </c>
      <c r="O50" s="238">
        <v>0</v>
      </c>
      <c r="P50" s="238">
        <v>0</v>
      </c>
      <c r="Q50" s="257">
        <v>0</v>
      </c>
      <c r="R50" s="258">
        <f t="shared" si="56"/>
        <v>0</v>
      </c>
      <c r="S50" s="12"/>
      <c r="T50" s="2" t="s">
        <v>155</v>
      </c>
      <c r="U50" s="2" t="s">
        <v>156</v>
      </c>
      <c r="V50" s="256">
        <f t="shared" si="57"/>
        <v>354</v>
      </c>
      <c r="W50" s="238">
        <f t="shared" si="58"/>
        <v>2224</v>
      </c>
      <c r="X50" s="238">
        <f t="shared" si="59"/>
        <v>7320</v>
      </c>
      <c r="Y50" s="238">
        <f t="shared" si="60"/>
        <v>3240</v>
      </c>
      <c r="Z50" s="257">
        <f t="shared" si="61"/>
        <v>486</v>
      </c>
      <c r="AA50" s="258">
        <f t="shared" si="62"/>
        <v>13624</v>
      </c>
      <c r="AB50" s="32"/>
      <c r="AD50" s="331"/>
      <c r="AE50" s="331"/>
      <c r="AH50" s="44"/>
      <c r="AI50" s="44"/>
      <c r="AJ50" s="44"/>
      <c r="AK50" s="44"/>
      <c r="AL50" s="44"/>
      <c r="AM50" s="44"/>
    </row>
    <row r="51" spans="1:39" s="67" customFormat="1" ht="18" customHeight="1" x14ac:dyDescent="0.2">
      <c r="A51" s="12"/>
      <c r="B51" s="2" t="s">
        <v>157</v>
      </c>
      <c r="C51" s="2" t="s">
        <v>158</v>
      </c>
      <c r="D51" s="256">
        <v>65.099999999999994</v>
      </c>
      <c r="E51" s="238">
        <v>65.099999999999994</v>
      </c>
      <c r="F51" s="238">
        <v>13</v>
      </c>
      <c r="G51" s="238">
        <v>9.9999999999994316E-2</v>
      </c>
      <c r="H51" s="257">
        <v>69</v>
      </c>
      <c r="I51" s="258">
        <f t="shared" si="34"/>
        <v>212.29999999999998</v>
      </c>
      <c r="J51" s="70"/>
      <c r="K51" s="2" t="s">
        <v>157</v>
      </c>
      <c r="L51" s="2" t="s">
        <v>158</v>
      </c>
      <c r="M51" s="256">
        <v>0</v>
      </c>
      <c r="N51" s="238">
        <v>0</v>
      </c>
      <c r="O51" s="238">
        <v>7</v>
      </c>
      <c r="P51" s="238">
        <v>67</v>
      </c>
      <c r="Q51" s="257">
        <v>0</v>
      </c>
      <c r="R51" s="258">
        <f t="shared" si="56"/>
        <v>74</v>
      </c>
      <c r="S51" s="12"/>
      <c r="T51" s="2" t="s">
        <v>157</v>
      </c>
      <c r="U51" s="2" t="s">
        <v>158</v>
      </c>
      <c r="V51" s="256">
        <f t="shared" si="57"/>
        <v>65.099999999999994</v>
      </c>
      <c r="W51" s="238">
        <f t="shared" si="58"/>
        <v>65.099999999999994</v>
      </c>
      <c r="X51" s="238">
        <f t="shared" si="59"/>
        <v>20</v>
      </c>
      <c r="Y51" s="238">
        <f t="shared" si="60"/>
        <v>67.099999999999994</v>
      </c>
      <c r="Z51" s="257">
        <f t="shared" si="61"/>
        <v>69</v>
      </c>
      <c r="AA51" s="258">
        <f t="shared" si="62"/>
        <v>286.29999999999995</v>
      </c>
      <c r="AB51" s="32"/>
      <c r="AD51" s="331"/>
      <c r="AE51" s="331"/>
      <c r="AH51" s="44"/>
      <c r="AI51" s="44"/>
      <c r="AJ51" s="44"/>
      <c r="AK51" s="44"/>
      <c r="AL51" s="44"/>
      <c r="AM51" s="44"/>
    </row>
    <row r="52" spans="1:39" s="78" customFormat="1" ht="18" customHeight="1" thickBot="1" x14ac:dyDescent="0.25">
      <c r="A52" s="77"/>
      <c r="B52" s="239" t="s">
        <v>170</v>
      </c>
      <c r="C52" s="239"/>
      <c r="D52" s="259">
        <f t="shared" ref="D52:I52" si="63">SUM(D42:D51)</f>
        <v>2380.7279999999996</v>
      </c>
      <c r="E52" s="260">
        <f t="shared" si="63"/>
        <v>4304.6110000000008</v>
      </c>
      <c r="F52" s="260">
        <f t="shared" si="63"/>
        <v>9631.5519999999997</v>
      </c>
      <c r="G52" s="260">
        <f t="shared" si="63"/>
        <v>5433.8200000000006</v>
      </c>
      <c r="H52" s="261">
        <f t="shared" si="63"/>
        <v>2649.6019999999999</v>
      </c>
      <c r="I52" s="260">
        <f t="shared" si="63"/>
        <v>24400.312999999998</v>
      </c>
      <c r="J52" s="79"/>
      <c r="K52" s="239" t="s">
        <v>170</v>
      </c>
      <c r="L52" s="239"/>
      <c r="M52" s="259">
        <f t="shared" ref="M52:R52" si="64">SUM(M42:M51)</f>
        <v>0</v>
      </c>
      <c r="N52" s="260">
        <f t="shared" si="64"/>
        <v>50</v>
      </c>
      <c r="O52" s="260">
        <f t="shared" si="64"/>
        <v>80</v>
      </c>
      <c r="P52" s="260">
        <f t="shared" si="64"/>
        <v>67</v>
      </c>
      <c r="Q52" s="261">
        <f t="shared" si="64"/>
        <v>0</v>
      </c>
      <c r="R52" s="260">
        <f t="shared" si="64"/>
        <v>197</v>
      </c>
      <c r="S52" s="12"/>
      <c r="T52" s="239" t="s">
        <v>170</v>
      </c>
      <c r="U52" s="239"/>
      <c r="V52" s="259">
        <f t="shared" ref="V52:AA52" si="65">SUM(V42:V51)</f>
        <v>2380.7279999999996</v>
      </c>
      <c r="W52" s="260">
        <f t="shared" si="65"/>
        <v>4354.6110000000008</v>
      </c>
      <c r="X52" s="260">
        <f t="shared" si="65"/>
        <v>9711.5519999999997</v>
      </c>
      <c r="Y52" s="260">
        <f t="shared" si="65"/>
        <v>5500.8200000000006</v>
      </c>
      <c r="Z52" s="261">
        <f t="shared" si="65"/>
        <v>2649.6019999999999</v>
      </c>
      <c r="AA52" s="260">
        <f t="shared" si="65"/>
        <v>24597.312999999998</v>
      </c>
      <c r="AB52" s="32"/>
      <c r="AC52" s="67"/>
      <c r="AD52" s="331"/>
      <c r="AE52" s="331"/>
      <c r="AH52" s="44"/>
      <c r="AI52" s="44"/>
      <c r="AJ52" s="44"/>
      <c r="AK52" s="44"/>
      <c r="AL52" s="44"/>
      <c r="AM52" s="44"/>
    </row>
    <row r="53" spans="1:39" x14ac:dyDescent="0.2">
      <c r="A53" s="12"/>
      <c r="B53" s="2"/>
      <c r="C53" s="2"/>
      <c r="D53" s="522"/>
      <c r="E53" s="522"/>
      <c r="F53" s="522"/>
      <c r="G53" s="522"/>
      <c r="H53" s="522"/>
      <c r="I53" s="522"/>
      <c r="J53" s="70"/>
      <c r="K53" s="2"/>
      <c r="L53" s="2"/>
      <c r="M53" s="522"/>
      <c r="N53" s="522"/>
      <c r="O53" s="522"/>
      <c r="P53" s="522"/>
      <c r="Q53" s="522"/>
      <c r="R53" s="522"/>
      <c r="S53" s="12"/>
      <c r="T53" s="2"/>
      <c r="U53" s="2" t="s">
        <v>11</v>
      </c>
      <c r="V53" s="522">
        <f>V52-M52-D52</f>
        <v>0</v>
      </c>
      <c r="W53" s="522">
        <f t="shared" ref="W53:AA53" si="66">W52-N52-E52</f>
        <v>0</v>
      </c>
      <c r="X53" s="522">
        <f t="shared" si="66"/>
        <v>0</v>
      </c>
      <c r="Y53" s="522">
        <f t="shared" si="66"/>
        <v>0</v>
      </c>
      <c r="Z53" s="522">
        <f t="shared" si="66"/>
        <v>0</v>
      </c>
      <c r="AA53" s="522">
        <f t="shared" si="66"/>
        <v>0</v>
      </c>
      <c r="AB53" s="32"/>
      <c r="AC53" s="67"/>
      <c r="AD53" s="331"/>
      <c r="AE53" s="331"/>
    </row>
    <row r="54" spans="1:39" ht="21.75" customHeight="1" x14ac:dyDescent="0.2">
      <c r="A54" s="12"/>
      <c r="B54" s="346" t="s">
        <v>1</v>
      </c>
      <c r="C54" s="346"/>
      <c r="D54" s="346"/>
      <c r="E54" s="346"/>
      <c r="F54" s="346"/>
      <c r="G54" s="346"/>
      <c r="H54" s="346"/>
      <c r="I54" s="346"/>
      <c r="J54" s="190"/>
      <c r="K54" s="346" t="s">
        <v>1</v>
      </c>
      <c r="L54" s="346"/>
      <c r="M54" s="346"/>
      <c r="N54" s="346"/>
      <c r="O54" s="346"/>
      <c r="P54" s="346"/>
      <c r="Q54" s="346"/>
      <c r="R54" s="346"/>
      <c r="S54" s="345"/>
      <c r="T54" s="346" t="s">
        <v>1</v>
      </c>
      <c r="U54" s="346"/>
      <c r="V54" s="346"/>
      <c r="W54" s="346"/>
      <c r="X54" s="346"/>
      <c r="Y54" s="346"/>
      <c r="Z54" s="346"/>
      <c r="AA54" s="346"/>
      <c r="AB54" s="32"/>
      <c r="AD54" s="331"/>
      <c r="AE54" s="331"/>
    </row>
    <row r="55" spans="1:39" s="67" customFormat="1" ht="18" customHeight="1" x14ac:dyDescent="0.2">
      <c r="A55" s="12"/>
      <c r="B55" s="2" t="s">
        <v>159</v>
      </c>
      <c r="C55" s="2" t="s">
        <v>160</v>
      </c>
      <c r="D55" s="256">
        <v>99.5</v>
      </c>
      <c r="E55" s="238">
        <v>99.5</v>
      </c>
      <c r="F55" s="238">
        <v>99.5</v>
      </c>
      <c r="G55" s="238">
        <v>99.5</v>
      </c>
      <c r="H55" s="257">
        <v>0</v>
      </c>
      <c r="I55" s="258">
        <f t="shared" ref="I55:I57" si="67">SUM(D55:H55)</f>
        <v>398</v>
      </c>
      <c r="J55" s="70"/>
      <c r="K55" s="2" t="s">
        <v>159</v>
      </c>
      <c r="L55" s="2" t="s">
        <v>160</v>
      </c>
      <c r="M55" s="256">
        <v>0</v>
      </c>
      <c r="N55" s="238">
        <v>0</v>
      </c>
      <c r="O55" s="238">
        <v>0</v>
      </c>
      <c r="P55" s="238">
        <v>0</v>
      </c>
      <c r="Q55" s="257">
        <v>0</v>
      </c>
      <c r="R55" s="258">
        <f t="shared" ref="R55:R57" si="68">SUM(M55:Q55)</f>
        <v>0</v>
      </c>
      <c r="S55" s="12"/>
      <c r="T55" s="2" t="s">
        <v>159</v>
      </c>
      <c r="U55" s="2" t="s">
        <v>160</v>
      </c>
      <c r="V55" s="256">
        <f t="shared" ref="V55:Z57" si="69">D55+M55</f>
        <v>99.5</v>
      </c>
      <c r="W55" s="238">
        <f t="shared" si="69"/>
        <v>99.5</v>
      </c>
      <c r="X55" s="238">
        <f t="shared" si="69"/>
        <v>99.5</v>
      </c>
      <c r="Y55" s="238">
        <f t="shared" si="69"/>
        <v>99.5</v>
      </c>
      <c r="Z55" s="257">
        <f t="shared" si="69"/>
        <v>0</v>
      </c>
      <c r="AA55" s="258">
        <f t="shared" ref="AA55:AA57" si="70">SUM(V55:Z55)</f>
        <v>398</v>
      </c>
      <c r="AB55" s="32"/>
      <c r="AC55" s="80"/>
      <c r="AD55" s="331"/>
      <c r="AE55" s="331"/>
      <c r="AH55" s="44"/>
      <c r="AI55" s="44"/>
      <c r="AJ55" s="44"/>
      <c r="AK55" s="44"/>
      <c r="AL55" s="44"/>
      <c r="AM55" s="44"/>
    </row>
    <row r="56" spans="1:39" s="67" customFormat="1" ht="18" customHeight="1" x14ac:dyDescent="0.2">
      <c r="A56" s="12"/>
      <c r="B56" s="2" t="s">
        <v>161</v>
      </c>
      <c r="C56" s="2" t="s">
        <v>162</v>
      </c>
      <c r="D56" s="256">
        <v>147.69999999999999</v>
      </c>
      <c r="E56" s="238">
        <v>136.1</v>
      </c>
      <c r="F56" s="238">
        <v>136.1</v>
      </c>
      <c r="G56" s="238">
        <v>62.599999999999994</v>
      </c>
      <c r="H56" s="257">
        <v>139</v>
      </c>
      <c r="I56" s="258">
        <f t="shared" si="67"/>
        <v>621.5</v>
      </c>
      <c r="J56" s="70"/>
      <c r="K56" s="2" t="s">
        <v>161</v>
      </c>
      <c r="L56" s="2" t="s">
        <v>162</v>
      </c>
      <c r="M56" s="256">
        <v>0</v>
      </c>
      <c r="N56" s="238">
        <v>0</v>
      </c>
      <c r="O56" s="238">
        <v>0</v>
      </c>
      <c r="P56" s="238">
        <v>88</v>
      </c>
      <c r="Q56" s="257">
        <v>0</v>
      </c>
      <c r="R56" s="258">
        <f t="shared" si="68"/>
        <v>88</v>
      </c>
      <c r="S56" s="12"/>
      <c r="T56" s="2" t="s">
        <v>161</v>
      </c>
      <c r="U56" s="2" t="s">
        <v>162</v>
      </c>
      <c r="V56" s="256">
        <f t="shared" si="69"/>
        <v>147.69999999999999</v>
      </c>
      <c r="W56" s="238">
        <f t="shared" si="69"/>
        <v>136.1</v>
      </c>
      <c r="X56" s="238">
        <f t="shared" si="69"/>
        <v>136.1</v>
      </c>
      <c r="Y56" s="238">
        <f t="shared" si="69"/>
        <v>150.6</v>
      </c>
      <c r="Z56" s="257">
        <f t="shared" si="69"/>
        <v>139</v>
      </c>
      <c r="AA56" s="258">
        <f t="shared" si="70"/>
        <v>709.5</v>
      </c>
      <c r="AB56" s="32"/>
      <c r="AC56" s="80"/>
      <c r="AD56" s="331"/>
      <c r="AE56" s="331"/>
      <c r="AH56" s="44"/>
      <c r="AI56" s="44"/>
      <c r="AJ56" s="44"/>
      <c r="AK56" s="44"/>
      <c r="AL56" s="44"/>
      <c r="AM56" s="44"/>
    </row>
    <row r="57" spans="1:39" s="67" customFormat="1" ht="18" customHeight="1" x14ac:dyDescent="0.2">
      <c r="A57" s="12"/>
      <c r="B57" s="2" t="s">
        <v>163</v>
      </c>
      <c r="C57" s="2" t="s">
        <v>164</v>
      </c>
      <c r="D57" s="256">
        <v>19.556000000000001</v>
      </c>
      <c r="E57" s="238">
        <v>19.556000000000001</v>
      </c>
      <c r="F57" s="238">
        <v>13.038</v>
      </c>
      <c r="G57" s="238">
        <v>0</v>
      </c>
      <c r="H57" s="257">
        <v>0</v>
      </c>
      <c r="I57" s="258">
        <f t="shared" si="67"/>
        <v>52.150000000000006</v>
      </c>
      <c r="J57" s="70"/>
      <c r="K57" s="2" t="s">
        <v>163</v>
      </c>
      <c r="L57" s="2" t="s">
        <v>164</v>
      </c>
      <c r="M57" s="262">
        <v>0</v>
      </c>
      <c r="N57" s="263">
        <v>0</v>
      </c>
      <c r="O57" s="263">
        <v>0</v>
      </c>
      <c r="P57" s="263">
        <v>0</v>
      </c>
      <c r="Q57" s="264">
        <v>0</v>
      </c>
      <c r="R57" s="258">
        <f t="shared" si="68"/>
        <v>0</v>
      </c>
      <c r="S57" s="12"/>
      <c r="T57" s="2" t="s">
        <v>163</v>
      </c>
      <c r="U57" s="2" t="s">
        <v>164</v>
      </c>
      <c r="V57" s="256">
        <f t="shared" si="69"/>
        <v>19.556000000000001</v>
      </c>
      <c r="W57" s="238">
        <f t="shared" si="69"/>
        <v>19.556000000000001</v>
      </c>
      <c r="X57" s="238">
        <f t="shared" si="69"/>
        <v>13.038</v>
      </c>
      <c r="Y57" s="238">
        <f t="shared" si="69"/>
        <v>0</v>
      </c>
      <c r="Z57" s="257">
        <f t="shared" si="69"/>
        <v>0</v>
      </c>
      <c r="AA57" s="258">
        <f t="shared" si="70"/>
        <v>52.150000000000006</v>
      </c>
      <c r="AB57" s="32"/>
      <c r="AC57" s="80"/>
      <c r="AD57" s="331"/>
      <c r="AE57" s="331"/>
      <c r="AH57" s="44"/>
      <c r="AI57" s="44"/>
      <c r="AJ57" s="44"/>
      <c r="AK57" s="44"/>
      <c r="AL57" s="44"/>
      <c r="AM57" s="44"/>
    </row>
    <row r="58" spans="1:39" s="82" customFormat="1" ht="15.75" thickBot="1" x14ac:dyDescent="0.3">
      <c r="A58" s="77"/>
      <c r="B58" s="239" t="s">
        <v>103</v>
      </c>
      <c r="C58" s="239"/>
      <c r="D58" s="259">
        <f t="shared" ref="D58:I58" si="71">SUM(D55:D57)</f>
        <v>266.75599999999997</v>
      </c>
      <c r="E58" s="260">
        <f t="shared" si="71"/>
        <v>255.15600000000001</v>
      </c>
      <c r="F58" s="260">
        <f t="shared" si="71"/>
        <v>248.63800000000001</v>
      </c>
      <c r="G58" s="260">
        <f t="shared" si="71"/>
        <v>162.1</v>
      </c>
      <c r="H58" s="260">
        <f t="shared" si="71"/>
        <v>139</v>
      </c>
      <c r="I58" s="259">
        <f t="shared" si="71"/>
        <v>1071.6500000000001</v>
      </c>
      <c r="J58" s="79"/>
      <c r="K58" s="239" t="s">
        <v>103</v>
      </c>
      <c r="L58" s="239"/>
      <c r="M58" s="487">
        <f t="shared" ref="M58:Q58" si="72">SUM(M55:M57)</f>
        <v>0</v>
      </c>
      <c r="N58" s="488">
        <f t="shared" si="72"/>
        <v>0</v>
      </c>
      <c r="O58" s="488">
        <f t="shared" si="72"/>
        <v>0</v>
      </c>
      <c r="P58" s="488">
        <f t="shared" si="72"/>
        <v>88</v>
      </c>
      <c r="Q58" s="488">
        <f t="shared" si="72"/>
        <v>0</v>
      </c>
      <c r="R58" s="259">
        <f t="shared" ref="R58" si="73">SUM(R55:R57)</f>
        <v>88</v>
      </c>
      <c r="S58" s="12"/>
      <c r="T58" s="239" t="s">
        <v>103</v>
      </c>
      <c r="U58" s="239"/>
      <c r="V58" s="259">
        <f t="shared" ref="V58:AA58" si="74">SUM(V55:V57)</f>
        <v>266.75599999999997</v>
      </c>
      <c r="W58" s="260">
        <f t="shared" si="74"/>
        <v>255.15600000000001</v>
      </c>
      <c r="X58" s="260">
        <f t="shared" si="74"/>
        <v>248.63800000000001</v>
      </c>
      <c r="Y58" s="260">
        <f t="shared" si="74"/>
        <v>250.1</v>
      </c>
      <c r="Z58" s="260">
        <f t="shared" si="74"/>
        <v>139</v>
      </c>
      <c r="AA58" s="259">
        <f t="shared" si="74"/>
        <v>1159.6500000000001</v>
      </c>
      <c r="AB58" s="32"/>
      <c r="AD58" s="331"/>
      <c r="AE58" s="331"/>
      <c r="AH58" s="44"/>
      <c r="AI58" s="44"/>
      <c r="AJ58" s="44"/>
      <c r="AK58" s="44"/>
      <c r="AL58" s="44"/>
      <c r="AM58" s="44"/>
    </row>
    <row r="59" spans="1:39" x14ac:dyDescent="0.2">
      <c r="A59" s="12"/>
      <c r="B59" s="2"/>
      <c r="C59" s="2"/>
      <c r="D59" s="522"/>
      <c r="E59" s="522"/>
      <c r="F59" s="522"/>
      <c r="G59" s="522"/>
      <c r="H59" s="522"/>
      <c r="I59" s="522"/>
      <c r="J59" s="32"/>
      <c r="K59" s="2"/>
      <c r="L59" s="2"/>
      <c r="M59" s="522"/>
      <c r="N59" s="522"/>
      <c r="O59" s="522"/>
      <c r="P59" s="522"/>
      <c r="Q59" s="522"/>
      <c r="R59" s="522"/>
      <c r="S59" s="12"/>
      <c r="T59" s="2"/>
      <c r="U59" s="2" t="s">
        <v>11</v>
      </c>
      <c r="V59" s="522">
        <f>V58-M58-D58</f>
        <v>0</v>
      </c>
      <c r="W59" s="522">
        <f t="shared" ref="W59" si="75">W58-N58-E58</f>
        <v>0</v>
      </c>
      <c r="X59" s="522">
        <f t="shared" ref="X59" si="76">X58-O58-F58</f>
        <v>0</v>
      </c>
      <c r="Y59" s="522">
        <f t="shared" ref="Y59" si="77">Y58-P58-G58</f>
        <v>0</v>
      </c>
      <c r="Z59" s="522">
        <f t="shared" ref="Z59" si="78">Z58-Q58-H58</f>
        <v>0</v>
      </c>
      <c r="AA59" s="522">
        <f t="shared" ref="AA59" si="79">AA58-R58-I58</f>
        <v>0</v>
      </c>
      <c r="AB59" s="32"/>
      <c r="AD59" s="331"/>
      <c r="AE59" s="331"/>
    </row>
    <row r="60" spans="1:39" ht="22.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D60" s="331"/>
      <c r="AE60" s="331"/>
    </row>
    <row r="61" spans="1:39" x14ac:dyDescent="0.2">
      <c r="D61" s="336"/>
      <c r="E61" s="336"/>
      <c r="F61" s="336"/>
      <c r="G61" s="336"/>
      <c r="H61" s="336"/>
      <c r="I61" s="336"/>
    </row>
    <row r="62" spans="1:39" x14ac:dyDescent="0.2">
      <c r="D62" s="336"/>
      <c r="E62" s="336"/>
      <c r="F62" s="336"/>
      <c r="G62" s="336"/>
      <c r="H62" s="336"/>
      <c r="I62" s="336"/>
    </row>
    <row r="64" spans="1:39" x14ac:dyDescent="0.2">
      <c r="I64" s="341"/>
    </row>
    <row r="67" spans="22:28" x14ac:dyDescent="0.2">
      <c r="V67" s="341"/>
      <c r="W67" s="341"/>
      <c r="X67" s="341"/>
      <c r="Y67" s="341"/>
      <c r="Z67" s="341"/>
      <c r="AA67" s="341"/>
      <c r="AB67" s="341"/>
    </row>
  </sheetData>
  <hyperlinks>
    <hyperlink ref="B3" location="Contents!A1" display="Contents!A1"/>
  </hyperlink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26.5703125" style="44" customWidth="1"/>
    <col min="3" max="3" width="86.42578125" style="44" customWidth="1"/>
    <col min="4" max="9" width="7" style="44" customWidth="1"/>
    <col min="10" max="10" width="3.7109375" style="44" customWidth="1"/>
    <col min="11" max="16384" width="9.140625" style="44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27.95" customHeight="1" x14ac:dyDescent="0.25">
      <c r="A2" s="63"/>
      <c r="B2" s="343" t="s">
        <v>40</v>
      </c>
      <c r="C2" s="343"/>
      <c r="D2" s="344"/>
      <c r="E2" s="344"/>
      <c r="F2" s="344"/>
      <c r="G2" s="344"/>
      <c r="H2" s="344"/>
      <c r="I2" s="344"/>
      <c r="J2" s="32"/>
    </row>
    <row r="3" spans="1:10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</row>
    <row r="4" spans="1:10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</row>
    <row r="5" spans="1:10" s="71" customFormat="1" ht="20.100000000000001" customHeight="1" x14ac:dyDescent="0.25">
      <c r="A5" s="69"/>
      <c r="B5" s="357" t="s">
        <v>40</v>
      </c>
      <c r="C5" s="357"/>
      <c r="D5" s="358"/>
      <c r="E5" s="358"/>
      <c r="F5" s="358"/>
      <c r="G5" s="358"/>
      <c r="H5" s="358"/>
      <c r="I5" s="358"/>
      <c r="J5" s="70"/>
    </row>
    <row r="6" spans="1:10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</row>
    <row r="7" spans="1:10" s="67" customFormat="1" ht="18" customHeight="1" x14ac:dyDescent="0.2">
      <c r="A7" s="66"/>
      <c r="B7" s="158" t="s">
        <v>41</v>
      </c>
      <c r="C7" s="159" t="s">
        <v>104</v>
      </c>
      <c r="D7" s="160">
        <v>2017</v>
      </c>
      <c r="E7" s="160">
        <v>2018</v>
      </c>
      <c r="F7" s="161">
        <v>2019</v>
      </c>
      <c r="G7" s="161">
        <v>2020</v>
      </c>
      <c r="H7" s="161">
        <v>2021</v>
      </c>
      <c r="I7" s="162">
        <v>2022</v>
      </c>
      <c r="J7" s="12"/>
    </row>
    <row r="8" spans="1:10" s="67" customFormat="1" ht="18" customHeight="1" x14ac:dyDescent="0.2">
      <c r="A8" s="66"/>
      <c r="B8" s="250" t="s">
        <v>18</v>
      </c>
      <c r="C8" s="163"/>
      <c r="D8" s="247">
        <f>AVERAGE(D9:D10)</f>
        <v>2.7859314930013821E-3</v>
      </c>
      <c r="E8" s="248">
        <f t="shared" ref="E8:I8" si="0">AVERAGE(E9:E10)</f>
        <v>8.049579633929908E-3</v>
      </c>
      <c r="F8" s="247">
        <f t="shared" si="0"/>
        <v>9.1811794847027894E-3</v>
      </c>
      <c r="G8" s="247">
        <f t="shared" si="0"/>
        <v>1.1306190522843301E-2</v>
      </c>
      <c r="H8" s="247">
        <f t="shared" si="0"/>
        <v>1.3824027038481708E-2</v>
      </c>
      <c r="I8" s="249">
        <f t="shared" si="0"/>
        <v>1.5404296472707225E-2</v>
      </c>
      <c r="J8" s="12"/>
    </row>
    <row r="9" spans="1:10" s="67" customFormat="1" ht="18" customHeight="1" x14ac:dyDescent="0.2">
      <c r="A9" s="66"/>
      <c r="B9" s="164" t="s">
        <v>67</v>
      </c>
      <c r="C9" s="165" t="s">
        <v>374</v>
      </c>
      <c r="D9" s="168">
        <f>'[5]Labour Escalators - VGDs'!I39/100</f>
        <v>7.5718629860027642E-3</v>
      </c>
      <c r="E9" s="167">
        <f>'[5]Labour Escalators - VGDs'!J39/100</f>
        <v>1.1099159267859817E-2</v>
      </c>
      <c r="F9" s="168">
        <f>'[5]Labour Escalators - VGDs'!K39/100</f>
        <v>9.3623589694055813E-3</v>
      </c>
      <c r="G9" s="168">
        <f>'[5]Labour Escalators - VGDs'!L39/100</f>
        <v>1.1612381045686604E-2</v>
      </c>
      <c r="H9" s="168">
        <f>'[5]Labour Escalators - VGDs'!M39/100</f>
        <v>1.6648054076963417E-2</v>
      </c>
      <c r="I9" s="169">
        <f>'[5]Labour Escalators - VGDs'!N39/100</f>
        <v>1.9808592945414451E-2</v>
      </c>
      <c r="J9" s="126"/>
    </row>
    <row r="10" spans="1:10" s="67" customFormat="1" ht="18" customHeight="1" x14ac:dyDescent="0.2">
      <c r="A10" s="66"/>
      <c r="B10" s="164" t="s">
        <v>68</v>
      </c>
      <c r="C10" s="166" t="s">
        <v>332</v>
      </c>
      <c r="D10" s="168">
        <v>-2E-3</v>
      </c>
      <c r="E10" s="167">
        <v>5.0000000000000001E-3</v>
      </c>
      <c r="F10" s="168">
        <v>8.9999999999999993E-3</v>
      </c>
      <c r="G10" s="168">
        <v>1.0999999999999999E-2</v>
      </c>
      <c r="H10" s="168">
        <v>1.0999999999999999E-2</v>
      </c>
      <c r="I10" s="169">
        <f>H10</f>
        <v>1.0999999999999999E-2</v>
      </c>
      <c r="J10" s="12"/>
    </row>
    <row r="11" spans="1:10" s="67" customFormat="1" ht="18" customHeight="1" x14ac:dyDescent="0.2">
      <c r="A11" s="66"/>
      <c r="B11" s="251" t="s">
        <v>19</v>
      </c>
      <c r="C11" s="252"/>
      <c r="D11" s="253">
        <v>0</v>
      </c>
      <c r="E11" s="254">
        <v>0</v>
      </c>
      <c r="F11" s="253">
        <v>0</v>
      </c>
      <c r="G11" s="253">
        <v>0</v>
      </c>
      <c r="H11" s="253">
        <v>0</v>
      </c>
      <c r="I11" s="255">
        <v>0</v>
      </c>
      <c r="J11" s="12"/>
    </row>
    <row r="12" spans="1:10" s="67" customFormat="1" ht="18" customHeight="1" x14ac:dyDescent="0.2">
      <c r="A12" s="66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67" customFormat="1" ht="18" customHeight="1" x14ac:dyDescent="0.2">
      <c r="A13" s="66"/>
      <c r="B13" s="158" t="s">
        <v>42</v>
      </c>
      <c r="C13" s="159" t="s">
        <v>247</v>
      </c>
      <c r="D13" s="176">
        <f t="shared" ref="D13:I13" si="1">D7</f>
        <v>2017</v>
      </c>
      <c r="E13" s="177">
        <f t="shared" si="1"/>
        <v>2018</v>
      </c>
      <c r="F13" s="176">
        <f t="shared" si="1"/>
        <v>2019</v>
      </c>
      <c r="G13" s="176">
        <f t="shared" si="1"/>
        <v>2020</v>
      </c>
      <c r="H13" s="176">
        <f t="shared" si="1"/>
        <v>2021</v>
      </c>
      <c r="I13" s="178">
        <f t="shared" si="1"/>
        <v>2022</v>
      </c>
      <c r="J13" s="12"/>
    </row>
    <row r="14" spans="1:10" s="67" customFormat="1" ht="18" customHeight="1" x14ac:dyDescent="0.2">
      <c r="A14" s="66"/>
      <c r="B14" s="179" t="s">
        <v>18</v>
      </c>
      <c r="C14" s="323">
        <v>0.62</v>
      </c>
      <c r="D14" s="240">
        <f>D8</f>
        <v>2.7859314930013821E-3</v>
      </c>
      <c r="E14" s="245">
        <f>(1+D8)*(1+E8)-1</f>
        <v>1.0857936704338877E-2</v>
      </c>
      <c r="F14" s="244">
        <f>(1+D8)*(1+E8)*(1+F8)-1</f>
        <v>2.0138804854757719E-2</v>
      </c>
      <c r="G14" s="244">
        <f>(1+D8)*(1+E8)*(1+F8)*(1+G8)-1</f>
        <v>3.1672688542191185E-2</v>
      </c>
      <c r="H14" s="244">
        <f>(1+D8)*(1+E8)*(1+F8)*(1+G8)*(1+H8)-1</f>
        <v>4.5934559683461496E-2</v>
      </c>
      <c r="I14" s="246">
        <f>(1+D8)*(1+E8)*(1+F8)*(1+G8)*(1+H8)*(1+I8)-1</f>
        <v>6.2046445731876121E-2</v>
      </c>
      <c r="J14" s="12"/>
    </row>
    <row r="15" spans="1:10" s="67" customFormat="1" ht="18" customHeight="1" x14ac:dyDescent="0.2">
      <c r="A15" s="66"/>
      <c r="B15" s="170" t="s">
        <v>19</v>
      </c>
      <c r="C15" s="324">
        <v>0.38</v>
      </c>
      <c r="D15" s="172">
        <f>D11</f>
        <v>0</v>
      </c>
      <c r="E15" s="173">
        <f>(1+D11)*(1+E11)-1</f>
        <v>0</v>
      </c>
      <c r="F15" s="172">
        <f>(1+D11)*(1+E11)*(1+F11)-1</f>
        <v>0</v>
      </c>
      <c r="G15" s="172">
        <f>(1+D11)*(1+E11)*(1+F11)*(1+G11)-1</f>
        <v>0</v>
      </c>
      <c r="H15" s="172">
        <f>(1+D11)*(1+E11)*(1+F11)*(1+G11)*(1+H11)-1</f>
        <v>0</v>
      </c>
      <c r="I15" s="174">
        <f>(1+D11)*(1+E11)*(1+F11)*(1+G11)*(1+H11)*(1+I11)-1</f>
        <v>0</v>
      </c>
      <c r="J15" s="12"/>
    </row>
    <row r="16" spans="1:10" s="67" customFormat="1" ht="18" customHeight="1" x14ac:dyDescent="0.2">
      <c r="A16" s="66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8" customHeight="1" x14ac:dyDescent="0.2">
      <c r="A17" s="32"/>
      <c r="B17" s="158" t="s">
        <v>246</v>
      </c>
      <c r="C17" s="175"/>
      <c r="D17" s="160">
        <f>D7</f>
        <v>2017</v>
      </c>
      <c r="E17" s="160">
        <f>E7</f>
        <v>2018</v>
      </c>
      <c r="F17" s="161">
        <f t="shared" ref="F17:I17" si="2">F7</f>
        <v>2019</v>
      </c>
      <c r="G17" s="161">
        <f t="shared" si="2"/>
        <v>2020</v>
      </c>
      <c r="H17" s="161">
        <f t="shared" si="2"/>
        <v>2021</v>
      </c>
      <c r="I17" s="162">
        <f t="shared" si="2"/>
        <v>2022</v>
      </c>
      <c r="J17" s="32"/>
    </row>
    <row r="18" spans="1:10" ht="18" customHeight="1" x14ac:dyDescent="0.2">
      <c r="A18" s="32"/>
      <c r="B18" s="170" t="s">
        <v>246</v>
      </c>
      <c r="C18" s="171"/>
      <c r="D18" s="401">
        <f>($C$14*D14)+($C$15*D15)</f>
        <v>1.7272775256608568E-3</v>
      </c>
      <c r="E18" s="408">
        <f t="shared" ref="E18:I18" si="3">($C$14*E14)+($C$15*E15)</f>
        <v>6.7319207566901044E-3</v>
      </c>
      <c r="F18" s="401">
        <f t="shared" si="3"/>
        <v>1.2486059009949787E-2</v>
      </c>
      <c r="G18" s="401">
        <f t="shared" si="3"/>
        <v>1.9637066896158534E-2</v>
      </c>
      <c r="H18" s="401">
        <f t="shared" si="3"/>
        <v>2.8479427003746127E-2</v>
      </c>
      <c r="I18" s="409">
        <f t="shared" si="3"/>
        <v>3.8468796353763192E-2</v>
      </c>
      <c r="J18" s="32"/>
    </row>
    <row r="19" spans="1:10" ht="18" customHeight="1" x14ac:dyDescent="0.2">
      <c r="A19" s="32"/>
      <c r="B19" s="321"/>
      <c r="C19" s="321"/>
      <c r="D19" s="322"/>
      <c r="E19" s="322"/>
      <c r="F19" s="322"/>
      <c r="G19" s="322"/>
      <c r="H19" s="322"/>
      <c r="I19" s="322"/>
      <c r="J19" s="32"/>
    </row>
    <row r="20" spans="1:10" ht="21.75" customHeight="1" x14ac:dyDescent="0.25">
      <c r="A20" s="32"/>
      <c r="B20" s="357" t="s">
        <v>315</v>
      </c>
      <c r="C20" s="367"/>
      <c r="D20" s="367"/>
      <c r="E20" s="367"/>
      <c r="F20" s="367"/>
      <c r="G20" s="367"/>
      <c r="H20" s="367"/>
      <c r="I20" s="367"/>
      <c r="J20" s="32"/>
    </row>
    <row r="21" spans="1:10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8" customHeight="1" x14ac:dyDescent="0.2">
      <c r="A22" s="32"/>
      <c r="B22" s="402" t="s">
        <v>316</v>
      </c>
      <c r="C22" s="403"/>
      <c r="D22" s="177">
        <v>2017</v>
      </c>
      <c r="E22" s="177">
        <v>2018</v>
      </c>
      <c r="F22" s="176">
        <v>2019</v>
      </c>
      <c r="G22" s="176">
        <v>2020</v>
      </c>
      <c r="H22" s="176">
        <v>2021</v>
      </c>
      <c r="I22" s="178">
        <v>2022</v>
      </c>
      <c r="J22" s="32"/>
    </row>
    <row r="23" spans="1:10" ht="18" customHeight="1" x14ac:dyDescent="0.2">
      <c r="A23" s="32"/>
      <c r="B23" s="179" t="s">
        <v>316</v>
      </c>
      <c r="C23" s="406"/>
      <c r="D23" s="245"/>
      <c r="E23" s="245">
        <v>2.3900000000000001E-2</v>
      </c>
      <c r="F23" s="244">
        <f t="shared" ref="F23:I23" si="4">E23</f>
        <v>2.3900000000000001E-2</v>
      </c>
      <c r="G23" s="244">
        <f t="shared" si="4"/>
        <v>2.3900000000000001E-2</v>
      </c>
      <c r="H23" s="244">
        <f t="shared" si="4"/>
        <v>2.3900000000000001E-2</v>
      </c>
      <c r="I23" s="246">
        <f t="shared" si="4"/>
        <v>2.3900000000000001E-2</v>
      </c>
      <c r="J23" s="32"/>
    </row>
    <row r="24" spans="1:10" ht="18" customHeight="1" x14ac:dyDescent="0.2">
      <c r="A24" s="32"/>
      <c r="B24" s="405" t="s">
        <v>386</v>
      </c>
      <c r="C24" s="404"/>
      <c r="D24" s="242"/>
      <c r="E24" s="242">
        <f>0.15*E23</f>
        <v>3.5850000000000001E-3</v>
      </c>
      <c r="F24" s="241">
        <f t="shared" ref="F24:I24" si="5">0.15*F23</f>
        <v>3.5850000000000001E-3</v>
      </c>
      <c r="G24" s="241">
        <f t="shared" si="5"/>
        <v>3.5850000000000001E-3</v>
      </c>
      <c r="H24" s="241">
        <f t="shared" si="5"/>
        <v>3.5850000000000001E-3</v>
      </c>
      <c r="I24" s="243">
        <f t="shared" si="5"/>
        <v>3.5850000000000001E-3</v>
      </c>
      <c r="J24" s="32"/>
    </row>
    <row r="25" spans="1:10" ht="18" customHeight="1" x14ac:dyDescent="0.2">
      <c r="A25" s="32"/>
      <c r="B25" s="170" t="s">
        <v>387</v>
      </c>
      <c r="C25" s="407"/>
      <c r="D25" s="408"/>
      <c r="E25" s="408">
        <f>D25*(1+E24)</f>
        <v>0</v>
      </c>
      <c r="F25" s="401">
        <f>F24</f>
        <v>3.5850000000000001E-3</v>
      </c>
      <c r="G25" s="401">
        <f>F25*(1+G24)</f>
        <v>3.5978522249999999E-3</v>
      </c>
      <c r="H25" s="401">
        <f t="shared" ref="H25:I25" si="6">G25*(1+H24)</f>
        <v>3.6107505252266246E-3</v>
      </c>
      <c r="I25" s="409">
        <f t="shared" si="6"/>
        <v>3.6236950658595619E-3</v>
      </c>
      <c r="J25" s="32"/>
    </row>
    <row r="26" spans="1:10" x14ac:dyDescent="0.2">
      <c r="A26" s="32"/>
      <c r="B26" s="32"/>
      <c r="C26" s="32"/>
      <c r="D26" s="32"/>
      <c r="E26" s="321"/>
      <c r="F26" s="32"/>
      <c r="G26" s="32"/>
      <c r="H26" s="32"/>
      <c r="I26" s="32"/>
      <c r="J26" s="32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80" zoomScaleNormal="80" workbookViewId="0">
      <selection activeCell="B2" sqref="B2"/>
    </sheetView>
  </sheetViews>
  <sheetFormatPr defaultRowHeight="14.25" x14ac:dyDescent="0.2"/>
  <cols>
    <col min="1" max="1" width="2.28515625" style="115" customWidth="1"/>
    <col min="2" max="2" width="75.42578125" style="115" customWidth="1"/>
    <col min="3" max="3" width="12.28515625" style="115" customWidth="1"/>
    <col min="4" max="5" width="11.5703125" style="115" bestFit="1" customWidth="1"/>
    <col min="6" max="6" width="12" style="115" bestFit="1" customWidth="1"/>
    <col min="7" max="7" width="12" style="115" customWidth="1"/>
    <col min="8" max="8" width="9.5703125" style="115" bestFit="1" customWidth="1"/>
    <col min="9" max="10" width="9.140625" style="115" customWidth="1"/>
    <col min="11" max="12" width="9.140625" style="115"/>
    <col min="13" max="13" width="3" style="115" customWidth="1"/>
    <col min="14" max="14" width="75.42578125" style="115" customWidth="1"/>
    <col min="15" max="15" width="8.42578125" style="115" bestFit="1" customWidth="1"/>
    <col min="16" max="17" width="9.140625" style="115"/>
    <col min="18" max="18" width="12" style="115" bestFit="1" customWidth="1"/>
    <col min="19" max="19" width="10.5703125" style="115" bestFit="1" customWidth="1"/>
    <col min="20" max="24" width="9.140625" style="115"/>
    <col min="25" max="25" width="3.42578125" style="115" customWidth="1"/>
    <col min="26" max="16384" width="9.140625" style="115"/>
  </cols>
  <sheetData>
    <row r="1" spans="1:2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9.25" customHeight="1" x14ac:dyDescent="0.25">
      <c r="A2" s="32"/>
      <c r="B2" s="343" t="s">
        <v>61</v>
      </c>
      <c r="C2" s="356"/>
      <c r="D2" s="356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2"/>
    </row>
    <row r="3" spans="1:25" x14ac:dyDescent="0.2">
      <c r="A3" s="32"/>
      <c r="B3" s="46" t="s">
        <v>17</v>
      </c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2">
      <c r="A4" s="32"/>
      <c r="B4" s="68"/>
      <c r="C4" s="12"/>
      <c r="D4" s="12"/>
      <c r="E4" s="12"/>
      <c r="F4" s="1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26.25" customHeight="1" x14ac:dyDescent="0.2">
      <c r="A5" s="32"/>
      <c r="B5" s="343" t="s">
        <v>267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32"/>
      <c r="N5" s="343" t="s">
        <v>268</v>
      </c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32"/>
    </row>
    <row r="6" spans="1:25" x14ac:dyDescent="0.2">
      <c r="A6" s="32"/>
      <c r="B6" s="68"/>
      <c r="C6" s="12"/>
      <c r="D6" s="12"/>
      <c r="E6" s="12"/>
      <c r="F6" s="1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24.75" customHeight="1" x14ac:dyDescent="0.2">
      <c r="A7" s="32"/>
      <c r="B7" s="357" t="s">
        <v>62</v>
      </c>
      <c r="C7" s="357"/>
      <c r="D7" s="357"/>
      <c r="E7" s="358"/>
      <c r="F7" s="358"/>
      <c r="G7" s="358"/>
      <c r="H7" s="358"/>
      <c r="I7" s="358"/>
      <c r="J7" s="358"/>
      <c r="K7" s="358"/>
      <c r="L7" s="358"/>
      <c r="M7" s="32"/>
      <c r="N7" s="357" t="s">
        <v>62</v>
      </c>
      <c r="O7" s="357"/>
      <c r="P7" s="357"/>
      <c r="Q7" s="358"/>
      <c r="R7" s="358"/>
      <c r="S7" s="358"/>
      <c r="T7" s="358"/>
      <c r="U7" s="358"/>
      <c r="V7" s="358"/>
      <c r="W7" s="358"/>
      <c r="X7" s="358"/>
      <c r="Y7" s="32"/>
    </row>
    <row r="8" spans="1:25" ht="18" customHeight="1" x14ac:dyDescent="0.2">
      <c r="A8" s="32"/>
      <c r="B8" s="189"/>
      <c r="C8" s="189"/>
      <c r="D8" s="189"/>
      <c r="E8" s="190"/>
      <c r="F8" s="190"/>
      <c r="G8" s="190"/>
      <c r="H8" s="190"/>
      <c r="I8" s="190"/>
      <c r="J8" s="190"/>
      <c r="K8" s="190"/>
      <c r="L8" s="190"/>
      <c r="M8" s="32"/>
      <c r="N8" s="189"/>
      <c r="O8" s="189"/>
      <c r="P8" s="189"/>
      <c r="Q8" s="190"/>
      <c r="R8" s="190"/>
      <c r="S8" s="190"/>
      <c r="T8" s="190"/>
      <c r="U8" s="190"/>
      <c r="V8" s="190"/>
      <c r="W8" s="190"/>
      <c r="X8" s="190"/>
      <c r="Y8" s="32"/>
    </row>
    <row r="9" spans="1:25" ht="18" customHeight="1" x14ac:dyDescent="0.2">
      <c r="A9" s="32"/>
      <c r="B9" s="295" t="s">
        <v>87</v>
      </c>
      <c r="C9" s="125">
        <v>2013</v>
      </c>
      <c r="D9" s="125">
        <v>2014</v>
      </c>
      <c r="E9" s="125">
        <v>2015</v>
      </c>
      <c r="F9" s="449" t="s">
        <v>104</v>
      </c>
      <c r="G9" s="450"/>
      <c r="H9" s="450"/>
      <c r="I9" s="190"/>
      <c r="J9" s="190"/>
      <c r="K9" s="190"/>
      <c r="L9" s="190"/>
      <c r="M9" s="32"/>
      <c r="N9" s="295" t="s">
        <v>87</v>
      </c>
      <c r="O9" s="125">
        <v>2013</v>
      </c>
      <c r="P9" s="125">
        <v>2014</v>
      </c>
      <c r="Q9" s="125">
        <v>2015</v>
      </c>
      <c r="R9" s="451" t="s">
        <v>104</v>
      </c>
      <c r="S9" s="450"/>
      <c r="T9" s="450"/>
      <c r="U9" s="190"/>
      <c r="V9" s="190"/>
      <c r="W9" s="190"/>
      <c r="X9" s="190"/>
      <c r="Y9" s="32"/>
    </row>
    <row r="10" spans="1:25" ht="18" customHeight="1" x14ac:dyDescent="0.2">
      <c r="A10" s="32"/>
      <c r="B10" s="543" t="s">
        <v>406</v>
      </c>
      <c r="C10" s="431">
        <f>'[6]2.4 Capex overheads'!$C$39/1000</f>
        <v>10.512148919052718</v>
      </c>
      <c r="D10" s="431">
        <f>'[7]2.4 Capex overheads'!$C$39/1000</f>
        <v>11.21373011214839</v>
      </c>
      <c r="E10" s="431">
        <f>'[8]2.4 Capex overheads'!$C$39/1000</f>
        <v>11.145232128004716</v>
      </c>
      <c r="F10" s="590" t="s">
        <v>327</v>
      </c>
      <c r="G10" s="591"/>
      <c r="H10" s="591"/>
      <c r="I10" s="203"/>
      <c r="J10" s="203"/>
      <c r="K10" s="203"/>
      <c r="L10" s="203"/>
      <c r="M10" s="32"/>
      <c r="N10" s="543" t="s">
        <v>406</v>
      </c>
      <c r="O10" s="296">
        <f>'[9]2.4 Capex overheads'!$D$16/1000</f>
        <v>0.11185890096972269</v>
      </c>
      <c r="P10" s="296">
        <f>'[10]2.4 Capex overheads'!$D$16/1000</f>
        <v>9.7361946702428356E-2</v>
      </c>
      <c r="Q10" s="296">
        <f>'[11]2.4 Capex overheads'!$D$16/1000</f>
        <v>9.3865602574229948E-2</v>
      </c>
      <c r="R10" s="590" t="s">
        <v>327</v>
      </c>
      <c r="S10" s="591"/>
      <c r="T10" s="591"/>
      <c r="U10" s="190"/>
      <c r="V10" s="190"/>
      <c r="W10" s="190"/>
      <c r="X10" s="190"/>
      <c r="Y10" s="32"/>
    </row>
    <row r="11" spans="1:25" s="204" customFormat="1" ht="18" customHeight="1" thickBot="1" x14ac:dyDescent="0.3">
      <c r="A11" s="35"/>
      <c r="B11" s="432" t="s">
        <v>325</v>
      </c>
      <c r="C11" s="330">
        <f>C10*(1+CPI!F10)</f>
        <v>11.152378028071645</v>
      </c>
      <c r="D11" s="330">
        <f>D10*(1+CPI!F9)</f>
        <v>11.645027424154099</v>
      </c>
      <c r="E11" s="330">
        <f>E10*(1+CPI!F8)</f>
        <v>11.312829603613809</v>
      </c>
      <c r="F11" s="447"/>
      <c r="G11" s="190"/>
      <c r="H11" s="189"/>
      <c r="I11" s="72"/>
      <c r="J11" s="72"/>
      <c r="K11" s="72"/>
      <c r="L11" s="72"/>
      <c r="M11" s="32"/>
      <c r="N11" s="446" t="s">
        <v>325</v>
      </c>
      <c r="O11" s="452">
        <f>O10*(1+CPI!F10)</f>
        <v>0.11867152558673918</v>
      </c>
      <c r="P11" s="452">
        <f>P10*(1+CPI!F9)</f>
        <v>0.10110663696021407</v>
      </c>
      <c r="Q11" s="452">
        <f>Q10*(1+CPI!F8)</f>
        <v>9.5277115394895043E-2</v>
      </c>
      <c r="R11" s="447"/>
      <c r="S11" s="190"/>
      <c r="T11" s="190"/>
      <c r="U11" s="190"/>
      <c r="V11" s="190"/>
      <c r="W11" s="190"/>
      <c r="X11" s="190"/>
      <c r="Y11" s="32"/>
    </row>
    <row r="12" spans="1:25" ht="18" customHeight="1" x14ac:dyDescent="0.2">
      <c r="A12" s="32"/>
      <c r="B12" s="275"/>
      <c r="C12" s="429"/>
      <c r="D12" s="429"/>
      <c r="E12" s="429"/>
      <c r="F12" s="85"/>
      <c r="G12" s="430"/>
      <c r="H12" s="190"/>
      <c r="I12" s="190"/>
      <c r="J12" s="190"/>
      <c r="K12" s="190"/>
      <c r="L12" s="190"/>
      <c r="M12" s="32"/>
      <c r="N12" s="292"/>
      <c r="O12" s="293"/>
      <c r="P12" s="293"/>
      <c r="Q12" s="293"/>
      <c r="R12" s="292"/>
      <c r="S12" s="294"/>
      <c r="T12" s="190"/>
      <c r="U12" s="190"/>
      <c r="V12" s="190"/>
      <c r="W12" s="190"/>
      <c r="X12" s="190"/>
      <c r="Y12" s="32"/>
    </row>
    <row r="13" spans="1:25" ht="18" customHeight="1" x14ac:dyDescent="0.2">
      <c r="A13" s="32"/>
      <c r="B13" s="116" t="s">
        <v>229</v>
      </c>
      <c r="C13" s="187">
        <v>2013</v>
      </c>
      <c r="D13" s="188">
        <v>2014</v>
      </c>
      <c r="E13" s="188">
        <v>2015</v>
      </c>
      <c r="F13" s="191" t="s">
        <v>66</v>
      </c>
      <c r="G13" s="191" t="s">
        <v>197</v>
      </c>
      <c r="H13" s="190"/>
      <c r="I13" s="190"/>
      <c r="J13" s="190"/>
      <c r="K13" s="190"/>
      <c r="L13" s="190"/>
      <c r="M13" s="32"/>
      <c r="N13" s="116" t="s">
        <v>229</v>
      </c>
      <c r="O13" s="187">
        <v>2013</v>
      </c>
      <c r="P13" s="188">
        <v>2014</v>
      </c>
      <c r="Q13" s="188">
        <v>2015</v>
      </c>
      <c r="R13" s="191" t="s">
        <v>66</v>
      </c>
      <c r="S13" s="191" t="s">
        <v>197</v>
      </c>
      <c r="T13" s="190"/>
      <c r="U13" s="190"/>
      <c r="V13" s="190"/>
      <c r="W13" s="190"/>
      <c r="X13" s="190"/>
      <c r="Y13" s="32"/>
    </row>
    <row r="14" spans="1:25" ht="18" customHeight="1" x14ac:dyDescent="0.2">
      <c r="A14" s="32"/>
      <c r="B14" s="70" t="s">
        <v>88</v>
      </c>
      <c r="C14" s="224">
        <v>5.9008843907012656</v>
      </c>
      <c r="D14" s="225">
        <v>5.5032258056738232</v>
      </c>
      <c r="E14" s="226">
        <v>5.1635873099683076</v>
      </c>
      <c r="F14" s="207">
        <f>AVERAGE(C14:E14)</f>
        <v>5.5225658354477991</v>
      </c>
      <c r="G14" s="433">
        <f>F14/F$20</f>
        <v>0.48571044670966185</v>
      </c>
      <c r="H14" s="190"/>
      <c r="I14" s="190"/>
      <c r="J14" s="190"/>
      <c r="K14" s="190"/>
      <c r="L14" s="190"/>
      <c r="M14" s="32"/>
      <c r="N14" s="70" t="s">
        <v>88</v>
      </c>
      <c r="O14" s="224">
        <v>6.2790819248850202E-2</v>
      </c>
      <c r="P14" s="225">
        <v>4.7781137250929487E-2</v>
      </c>
      <c r="Q14" s="226">
        <v>4.3487944327059345E-2</v>
      </c>
      <c r="R14" s="207">
        <f>AVERAGE(O14:Q14)</f>
        <v>5.1353300275613016E-2</v>
      </c>
      <c r="S14" s="433">
        <f>R14/R$20</f>
        <v>0.48899323900637787</v>
      </c>
      <c r="T14" s="190"/>
      <c r="U14" s="190"/>
      <c r="V14" s="190"/>
      <c r="W14" s="190"/>
      <c r="X14" s="190"/>
      <c r="Y14" s="32"/>
    </row>
    <row r="15" spans="1:25" ht="18" customHeight="1" x14ac:dyDescent="0.2">
      <c r="A15" s="32"/>
      <c r="B15" s="70" t="s">
        <v>89</v>
      </c>
      <c r="C15" s="227">
        <v>2.3633987635829765</v>
      </c>
      <c r="D15" s="207">
        <v>2.796359719148767</v>
      </c>
      <c r="E15" s="228">
        <v>2.8768623128873161</v>
      </c>
      <c r="F15" s="207">
        <f t="shared" ref="F15:F19" si="0">AVERAGE(C15:E15)</f>
        <v>2.6788735985396865</v>
      </c>
      <c r="G15" s="433">
        <f t="shared" ref="G15:G19" si="1">F15/F$20</f>
        <v>0.23560731207107932</v>
      </c>
      <c r="H15" s="190"/>
      <c r="I15" s="190"/>
      <c r="J15" s="190"/>
      <c r="K15" s="190"/>
      <c r="L15" s="190"/>
      <c r="M15" s="32"/>
      <c r="N15" s="70" t="s">
        <v>89</v>
      </c>
      <c r="O15" s="227">
        <v>2.514872936859195E-2</v>
      </c>
      <c r="P15" s="207">
        <v>2.4279077810302217E-2</v>
      </c>
      <c r="Q15" s="228">
        <v>2.4229052515086967E-2</v>
      </c>
      <c r="R15" s="207">
        <f t="shared" ref="R15:R19" si="2">AVERAGE(O15:Q15)</f>
        <v>2.4552286564660381E-2</v>
      </c>
      <c r="S15" s="433">
        <f t="shared" ref="S15:S19" si="3">R15/R$20</f>
        <v>0.23379027380578093</v>
      </c>
      <c r="T15" s="190"/>
      <c r="U15" s="190"/>
      <c r="V15" s="190"/>
      <c r="W15" s="190"/>
      <c r="X15" s="190"/>
      <c r="Y15" s="32"/>
    </row>
    <row r="16" spans="1:25" ht="18" customHeight="1" x14ac:dyDescent="0.2">
      <c r="A16" s="32"/>
      <c r="B16" s="70" t="s">
        <v>90</v>
      </c>
      <c r="C16" s="227">
        <v>0.40423441106332447</v>
      </c>
      <c r="D16" s="207">
        <v>0.49114116641956074</v>
      </c>
      <c r="E16" s="228">
        <v>0.47425864592053113</v>
      </c>
      <c r="F16" s="207">
        <f t="shared" si="0"/>
        <v>0.45654474113447208</v>
      </c>
      <c r="G16" s="433">
        <f t="shared" si="1"/>
        <v>4.0153174587078656E-2</v>
      </c>
      <c r="H16" s="190"/>
      <c r="I16" s="190"/>
      <c r="J16" s="190"/>
      <c r="K16" s="190"/>
      <c r="L16" s="190"/>
      <c r="M16" s="32"/>
      <c r="N16" s="70" t="s">
        <v>90</v>
      </c>
      <c r="O16" s="227">
        <v>4.3014246947865008E-3</v>
      </c>
      <c r="P16" s="207">
        <v>4.2642777728800216E-3</v>
      </c>
      <c r="Q16" s="228">
        <v>3.9942257876811604E-3</v>
      </c>
      <c r="R16" s="207">
        <f t="shared" si="2"/>
        <v>4.1866427517825607E-3</v>
      </c>
      <c r="S16" s="433">
        <f t="shared" si="3"/>
        <v>3.9865792242547174E-2</v>
      </c>
      <c r="T16" s="190"/>
      <c r="U16" s="190"/>
      <c r="V16" s="190"/>
      <c r="W16" s="190"/>
      <c r="X16" s="190"/>
      <c r="Y16" s="32"/>
    </row>
    <row r="17" spans="1:25" ht="18" customHeight="1" x14ac:dyDescent="0.2">
      <c r="A17" s="32"/>
      <c r="B17" s="70" t="s">
        <v>91</v>
      </c>
      <c r="C17" s="227">
        <v>0.70912045655289113</v>
      </c>
      <c r="D17" s="207">
        <v>0.79192587217302235</v>
      </c>
      <c r="E17" s="228">
        <v>0.77999170176751098</v>
      </c>
      <c r="F17" s="207">
        <f t="shared" si="0"/>
        <v>0.76034601016447478</v>
      </c>
      <c r="G17" s="433">
        <f t="shared" si="1"/>
        <v>6.6872539188290309E-2</v>
      </c>
      <c r="H17" s="190"/>
      <c r="I17" s="190"/>
      <c r="J17" s="190"/>
      <c r="K17" s="190"/>
      <c r="L17" s="190"/>
      <c r="M17" s="32"/>
      <c r="N17" s="70" t="s">
        <v>91</v>
      </c>
      <c r="O17" s="227">
        <v>7.5456917073718826E-3</v>
      </c>
      <c r="P17" s="207">
        <v>6.8758070497214746E-3</v>
      </c>
      <c r="Q17" s="228">
        <v>6.5691221365717515E-3</v>
      </c>
      <c r="R17" s="207">
        <f t="shared" si="2"/>
        <v>6.9968736312217032E-3</v>
      </c>
      <c r="S17" s="433">
        <f t="shared" si="3"/>
        <v>6.6625199967414853E-2</v>
      </c>
      <c r="T17" s="190"/>
      <c r="U17" s="190"/>
      <c r="V17" s="190"/>
      <c r="W17" s="190"/>
      <c r="X17" s="190"/>
      <c r="Y17" s="32"/>
    </row>
    <row r="18" spans="1:25" ht="18" customHeight="1" x14ac:dyDescent="0.2">
      <c r="A18" s="32"/>
      <c r="B18" s="70" t="s">
        <v>92</v>
      </c>
      <c r="C18" s="227">
        <v>0.55232525959190504</v>
      </c>
      <c r="D18" s="207">
        <v>0.55103793942118939</v>
      </c>
      <c r="E18" s="228">
        <v>0.5330418498220918</v>
      </c>
      <c r="F18" s="207">
        <f t="shared" si="0"/>
        <v>0.54546834961172863</v>
      </c>
      <c r="G18" s="433">
        <f t="shared" si="1"/>
        <v>4.7974018535971337E-2</v>
      </c>
      <c r="H18" s="190"/>
      <c r="I18" s="190"/>
      <c r="J18" s="190"/>
      <c r="K18" s="190"/>
      <c r="L18" s="190"/>
      <c r="M18" s="32"/>
      <c r="N18" s="70" t="s">
        <v>92</v>
      </c>
      <c r="O18" s="227">
        <v>5.8772470777872787E-3</v>
      </c>
      <c r="P18" s="207">
        <v>4.784324747643065E-3</v>
      </c>
      <c r="Q18" s="228">
        <v>4.4893003444146529E-3</v>
      </c>
      <c r="R18" s="207">
        <f t="shared" si="2"/>
        <v>5.0502907232816653E-3</v>
      </c>
      <c r="S18" s="433">
        <f t="shared" si="3"/>
        <v>4.8089567865108054E-2</v>
      </c>
      <c r="T18" s="190"/>
      <c r="U18" s="190"/>
      <c r="V18" s="190"/>
      <c r="W18" s="190"/>
      <c r="X18" s="190"/>
      <c r="Y18" s="32"/>
    </row>
    <row r="19" spans="1:25" ht="18" customHeight="1" x14ac:dyDescent="0.2">
      <c r="A19" s="32"/>
      <c r="B19" s="70" t="s">
        <v>63</v>
      </c>
      <c r="C19" s="229">
        <v>1.2224147465792823</v>
      </c>
      <c r="D19" s="230">
        <v>1.5113369213177368</v>
      </c>
      <c r="E19" s="231">
        <v>1.4850877832480498</v>
      </c>
      <c r="F19" s="207">
        <f t="shared" si="0"/>
        <v>1.4062798170483564</v>
      </c>
      <c r="G19" s="434">
        <f t="shared" si="1"/>
        <v>0.12368250890791849</v>
      </c>
      <c r="H19" s="190"/>
      <c r="I19" s="190"/>
      <c r="J19" s="190"/>
      <c r="K19" s="190"/>
      <c r="L19" s="190"/>
      <c r="M19" s="32"/>
      <c r="N19" s="70" t="s">
        <v>63</v>
      </c>
      <c r="O19" s="229">
        <v>1.3007613489351373E-2</v>
      </c>
      <c r="P19" s="230">
        <v>1.3122012328737815E-2</v>
      </c>
      <c r="Q19" s="231">
        <v>1.2507470284081158E-2</v>
      </c>
      <c r="R19" s="207">
        <f t="shared" si="2"/>
        <v>1.2879032034056784E-2</v>
      </c>
      <c r="S19" s="434">
        <f t="shared" si="3"/>
        <v>0.12263592711277109</v>
      </c>
      <c r="T19" s="190"/>
      <c r="U19" s="190"/>
      <c r="V19" s="190"/>
      <c r="W19" s="190"/>
      <c r="X19" s="190"/>
      <c r="Y19" s="32"/>
    </row>
    <row r="20" spans="1:25" ht="18" customHeight="1" x14ac:dyDescent="0.2">
      <c r="A20" s="32"/>
      <c r="B20" s="120" t="s">
        <v>200</v>
      </c>
      <c r="C20" s="232">
        <f>SUM(C14:C19)</f>
        <v>11.152378028071647</v>
      </c>
      <c r="D20" s="233">
        <f t="shared" ref="D20:E20" si="4">SUM(D14:D19)</f>
        <v>11.645027424154099</v>
      </c>
      <c r="E20" s="234">
        <f t="shared" si="4"/>
        <v>11.312829603613807</v>
      </c>
      <c r="F20" s="442">
        <f>AVERAGE(C20:E20)</f>
        <v>11.370078351946518</v>
      </c>
      <c r="G20" s="435">
        <f>SUM(G14:G19)</f>
        <v>1</v>
      </c>
      <c r="H20" s="190"/>
      <c r="I20" s="190"/>
      <c r="J20" s="190"/>
      <c r="K20" s="190"/>
      <c r="L20" s="190"/>
      <c r="M20" s="32"/>
      <c r="N20" s="120" t="s">
        <v>200</v>
      </c>
      <c r="O20" s="232">
        <f>SUM(O14:O19)</f>
        <v>0.11867152558673918</v>
      </c>
      <c r="P20" s="233">
        <f t="shared" ref="P20:Q20" si="5">SUM(P14:P19)</f>
        <v>0.10110663696021407</v>
      </c>
      <c r="Q20" s="234">
        <f t="shared" si="5"/>
        <v>9.5277115394895029E-2</v>
      </c>
      <c r="R20" s="453">
        <f>SUM(R14:R19)</f>
        <v>0.10501842598061611</v>
      </c>
      <c r="S20" s="435">
        <f>SUM(S14:S19)</f>
        <v>1</v>
      </c>
      <c r="T20" s="190"/>
      <c r="U20" s="190"/>
      <c r="V20" s="190"/>
      <c r="W20" s="190"/>
      <c r="X20" s="190"/>
      <c r="Y20" s="32"/>
    </row>
    <row r="21" spans="1:25" s="441" customFormat="1" ht="18" customHeight="1" x14ac:dyDescent="0.2">
      <c r="A21" s="439"/>
      <c r="B21" s="439" t="s">
        <v>11</v>
      </c>
      <c r="C21" s="440">
        <f>C20-C11</f>
        <v>0</v>
      </c>
      <c r="D21" s="440">
        <f>D20-D11</f>
        <v>0</v>
      </c>
      <c r="E21" s="440">
        <f>E20-E11</f>
        <v>0</v>
      </c>
      <c r="F21" s="439"/>
      <c r="G21" s="439"/>
      <c r="H21" s="438"/>
      <c r="I21" s="438"/>
      <c r="J21" s="438"/>
      <c r="K21" s="438"/>
      <c r="L21" s="438"/>
      <c r="M21" s="439"/>
      <c r="N21" s="436" t="s">
        <v>11</v>
      </c>
      <c r="O21" s="437">
        <f>O20-O11</f>
        <v>0</v>
      </c>
      <c r="P21" s="437">
        <f>P20-P11</f>
        <v>0</v>
      </c>
      <c r="Q21" s="437">
        <f>Q20-Q11</f>
        <v>0</v>
      </c>
      <c r="R21" s="436"/>
      <c r="S21" s="436"/>
      <c r="T21" s="438"/>
      <c r="U21" s="438"/>
      <c r="V21" s="438"/>
      <c r="W21" s="438"/>
      <c r="X21" s="438"/>
      <c r="Y21" s="436"/>
    </row>
    <row r="22" spans="1:25" ht="18" customHeight="1" x14ac:dyDescent="0.2">
      <c r="A22" s="32"/>
      <c r="B22" s="32"/>
      <c r="C22" s="32"/>
      <c r="D22" s="32"/>
      <c r="E22" s="32"/>
      <c r="F22" s="32"/>
      <c r="G22" s="451" t="s">
        <v>104</v>
      </c>
      <c r="H22" s="190"/>
      <c r="I22" s="190"/>
      <c r="J22" s="190"/>
      <c r="K22" s="190"/>
      <c r="L22" s="190"/>
      <c r="M22" s="32"/>
      <c r="N22" s="32"/>
      <c r="O22" s="32"/>
      <c r="P22" s="32"/>
      <c r="Q22" s="32"/>
      <c r="R22" s="32"/>
      <c r="S22" s="451" t="s">
        <v>104</v>
      </c>
      <c r="T22" s="190"/>
      <c r="U22" s="190"/>
      <c r="V22" s="190"/>
      <c r="W22" s="190"/>
      <c r="X22" s="190"/>
      <c r="Y22" s="32"/>
    </row>
    <row r="23" spans="1:25" ht="18" customHeight="1" x14ac:dyDescent="0.2">
      <c r="A23" s="32"/>
      <c r="B23" s="120" t="s">
        <v>405</v>
      </c>
      <c r="C23" s="235">
        <f>(104057.648169053/1000)*(1+CPI!F10)</f>
        <v>110.3951473699187</v>
      </c>
      <c r="D23" s="236">
        <f>(113516.581222148/1000)*(1+CPI!F9)</f>
        <v>117.88260357684601</v>
      </c>
      <c r="E23" s="237">
        <f>(127243.632258005/1000)*(1+CPI!F8)</f>
        <v>129.15707033707272</v>
      </c>
      <c r="F23" s="299">
        <f>AVERAGE(C23:E23)</f>
        <v>119.14494042794581</v>
      </c>
      <c r="G23" s="592" t="s">
        <v>327</v>
      </c>
      <c r="H23" s="190"/>
      <c r="I23" s="190"/>
      <c r="J23" s="190"/>
      <c r="K23" s="190"/>
      <c r="L23" s="190"/>
      <c r="M23" s="32"/>
      <c r="N23" s="120" t="s">
        <v>328</v>
      </c>
      <c r="O23" s="235">
        <f>(1201.17552096972/1000)*(1+CPI!F10)</f>
        <v>1.274331593956088</v>
      </c>
      <c r="P23" s="236">
        <f>(1093.35088670243/1000)*(1+CPI!F9)</f>
        <v>1.1354028438832928</v>
      </c>
      <c r="Q23" s="237">
        <f>(1239.89708257423/1000)*(1+CPI!F8)</f>
        <v>1.2585421514851205</v>
      </c>
      <c r="R23" s="299">
        <f>AVERAGE(O23:Q23)</f>
        <v>1.2227588631081672</v>
      </c>
      <c r="S23" s="592" t="s">
        <v>327</v>
      </c>
      <c r="T23" s="190"/>
      <c r="U23" s="190"/>
      <c r="V23" s="190"/>
      <c r="W23" s="190"/>
      <c r="X23" s="190"/>
      <c r="Y23" s="32"/>
    </row>
    <row r="24" spans="1:25" ht="18" customHeight="1" x14ac:dyDescent="0.2">
      <c r="A24" s="32"/>
      <c r="B24" s="120" t="s">
        <v>69</v>
      </c>
      <c r="C24" s="235">
        <f>C23-C20</f>
        <v>99.242769341847051</v>
      </c>
      <c r="D24" s="236">
        <f>D23-D20</f>
        <v>106.23757615269191</v>
      </c>
      <c r="E24" s="237">
        <f>E23-E20</f>
        <v>117.84424073345892</v>
      </c>
      <c r="F24" s="593">
        <f>AVERAGE(C24:E24)</f>
        <v>107.77486207599929</v>
      </c>
      <c r="G24" s="202"/>
      <c r="H24" s="190"/>
      <c r="I24" s="190"/>
      <c r="J24" s="190"/>
      <c r="K24" s="190"/>
      <c r="L24" s="190"/>
      <c r="M24" s="32"/>
      <c r="N24" s="120" t="s">
        <v>69</v>
      </c>
      <c r="O24" s="235">
        <f>O23-O20</f>
        <v>1.1556600683693488</v>
      </c>
      <c r="P24" s="236">
        <f t="shared" ref="P24:Q24" si="6">P23-P20</f>
        <v>1.0342962069230788</v>
      </c>
      <c r="Q24" s="237">
        <f t="shared" si="6"/>
        <v>1.1632650360902255</v>
      </c>
      <c r="R24" s="300">
        <f>AVERAGE(O24:Q24)</f>
        <v>1.117740437127551</v>
      </c>
      <c r="S24" s="454"/>
      <c r="T24" s="190"/>
      <c r="U24" s="190"/>
      <c r="V24" s="190"/>
      <c r="W24" s="190"/>
      <c r="X24" s="190"/>
      <c r="Y24" s="32"/>
    </row>
    <row r="25" spans="1:25" ht="18" customHeight="1" x14ac:dyDescent="0.2">
      <c r="A25" s="32"/>
      <c r="B25" s="120" t="s">
        <v>65</v>
      </c>
      <c r="C25" s="194">
        <f>C20/C24</f>
        <v>0.11237471608290858</v>
      </c>
      <c r="D25" s="122">
        <f>D20/D24</f>
        <v>0.10961307520247891</v>
      </c>
      <c r="E25" s="195">
        <f>E20/E24</f>
        <v>9.5998154285717355E-2</v>
      </c>
      <c r="F25" s="594">
        <f>AVERAGE(C25:E25)</f>
        <v>0.10599531519036827</v>
      </c>
      <c r="G25" s="202"/>
      <c r="H25" s="32"/>
      <c r="I25" s="119"/>
      <c r="J25" s="119"/>
      <c r="K25" s="119"/>
      <c r="L25" s="119"/>
      <c r="M25" s="32"/>
      <c r="N25" s="120" t="s">
        <v>65</v>
      </c>
      <c r="O25" s="194">
        <f>O20/O24</f>
        <v>0.10268722510606967</v>
      </c>
      <c r="P25" s="122">
        <f>P20/P24</f>
        <v>9.7754044038308494E-2</v>
      </c>
      <c r="Q25" s="195">
        <f>Q20/Q24</f>
        <v>8.1904907685633493E-2</v>
      </c>
      <c r="R25" s="123">
        <f>AVERAGE(O25:Q25)</f>
        <v>9.411539227667054E-2</v>
      </c>
      <c r="S25" s="454"/>
      <c r="T25" s="32"/>
      <c r="U25" s="119"/>
      <c r="V25" s="119"/>
      <c r="W25" s="119"/>
      <c r="X25" s="119"/>
      <c r="Y25" s="32"/>
    </row>
    <row r="26" spans="1:25" ht="18" customHeight="1" x14ac:dyDescent="0.2">
      <c r="A26" s="32"/>
      <c r="B26" s="102"/>
      <c r="C26" s="196"/>
      <c r="D26" s="196"/>
      <c r="E26" s="196"/>
      <c r="F26" s="197"/>
      <c r="G26" s="118"/>
      <c r="H26" s="32"/>
      <c r="I26" s="36"/>
      <c r="J26" s="36"/>
      <c r="K26" s="36"/>
      <c r="L26" s="36"/>
      <c r="M26" s="32"/>
      <c r="N26" s="102"/>
      <c r="O26" s="196"/>
      <c r="P26" s="196"/>
      <c r="Q26" s="196"/>
      <c r="R26" s="197"/>
      <c r="S26" s="118"/>
      <c r="T26" s="32"/>
      <c r="U26" s="36"/>
      <c r="V26" s="36"/>
      <c r="W26" s="36"/>
      <c r="X26" s="36"/>
      <c r="Y26" s="32"/>
    </row>
    <row r="27" spans="1:25" ht="24.75" customHeight="1" x14ac:dyDescent="0.2">
      <c r="A27" s="32"/>
      <c r="B27" s="357" t="s">
        <v>326</v>
      </c>
      <c r="C27" s="357"/>
      <c r="D27" s="357"/>
      <c r="E27" s="358"/>
      <c r="F27" s="358"/>
      <c r="G27" s="358"/>
      <c r="H27" s="358"/>
      <c r="I27" s="358"/>
      <c r="J27" s="358"/>
      <c r="K27" s="358"/>
      <c r="L27" s="358"/>
      <c r="M27" s="32"/>
      <c r="N27" s="357" t="s">
        <v>326</v>
      </c>
      <c r="O27" s="357"/>
      <c r="P27" s="357"/>
      <c r="Q27" s="358"/>
      <c r="R27" s="358"/>
      <c r="S27" s="358"/>
      <c r="T27" s="358"/>
      <c r="U27" s="358"/>
      <c r="V27" s="358"/>
      <c r="W27" s="358"/>
      <c r="X27" s="358"/>
      <c r="Y27" s="32"/>
    </row>
    <row r="28" spans="1:25" ht="18" customHeight="1" x14ac:dyDescent="0.2">
      <c r="A28" s="32"/>
      <c r="B28" s="102"/>
      <c r="C28" s="196"/>
      <c r="D28" s="196"/>
      <c r="E28" s="196"/>
      <c r="F28" s="197"/>
      <c r="G28" s="118"/>
      <c r="H28" s="32"/>
      <c r="I28" s="36"/>
      <c r="J28" s="36"/>
      <c r="K28" s="36"/>
      <c r="L28" s="36"/>
      <c r="M28" s="32"/>
      <c r="N28" s="102"/>
      <c r="O28" s="196"/>
      <c r="P28" s="196"/>
      <c r="Q28" s="196"/>
      <c r="R28" s="197"/>
      <c r="S28" s="118"/>
      <c r="T28" s="32"/>
      <c r="U28" s="36"/>
      <c r="V28" s="36"/>
      <c r="W28" s="36"/>
      <c r="X28" s="36"/>
      <c r="Y28" s="32"/>
    </row>
    <row r="29" spans="1:25" ht="18" customHeight="1" x14ac:dyDescent="0.2">
      <c r="A29" s="32"/>
      <c r="B29" s="102"/>
      <c r="C29" s="629" t="s">
        <v>95</v>
      </c>
      <c r="D29" s="630"/>
      <c r="E29" s="629">
        <v>2013</v>
      </c>
      <c r="F29" s="630"/>
      <c r="G29" s="629">
        <v>2014</v>
      </c>
      <c r="H29" s="630"/>
      <c r="I29" s="629">
        <v>2015</v>
      </c>
      <c r="J29" s="630"/>
      <c r="K29" s="629" t="s">
        <v>66</v>
      </c>
      <c r="L29" s="630"/>
      <c r="M29" s="32"/>
      <c r="N29" s="102"/>
      <c r="O29" s="629" t="s">
        <v>95</v>
      </c>
      <c r="P29" s="630"/>
      <c r="Q29" s="629">
        <v>2013</v>
      </c>
      <c r="R29" s="630"/>
      <c r="S29" s="629">
        <v>2014</v>
      </c>
      <c r="T29" s="630"/>
      <c r="U29" s="629">
        <v>2015</v>
      </c>
      <c r="V29" s="630"/>
      <c r="W29" s="629" t="s">
        <v>66</v>
      </c>
      <c r="X29" s="630"/>
      <c r="Y29" s="32"/>
    </row>
    <row r="30" spans="1:25" ht="18" customHeight="1" x14ac:dyDescent="0.2">
      <c r="A30" s="32"/>
      <c r="B30" s="116" t="s">
        <v>229</v>
      </c>
      <c r="C30" s="364" t="s">
        <v>93</v>
      </c>
      <c r="D30" s="365" t="s">
        <v>94</v>
      </c>
      <c r="E30" s="192" t="s">
        <v>93</v>
      </c>
      <c r="F30" s="365" t="s">
        <v>94</v>
      </c>
      <c r="G30" s="192" t="s">
        <v>93</v>
      </c>
      <c r="H30" s="192" t="s">
        <v>94</v>
      </c>
      <c r="I30" s="364" t="s">
        <v>93</v>
      </c>
      <c r="J30" s="365" t="s">
        <v>94</v>
      </c>
      <c r="K30" s="364" t="s">
        <v>93</v>
      </c>
      <c r="L30" s="365" t="s">
        <v>94</v>
      </c>
      <c r="M30" s="32"/>
      <c r="N30" s="116" t="s">
        <v>229</v>
      </c>
      <c r="O30" s="490" t="s">
        <v>93</v>
      </c>
      <c r="P30" s="491" t="s">
        <v>94</v>
      </c>
      <c r="Q30" s="192" t="s">
        <v>93</v>
      </c>
      <c r="R30" s="491" t="s">
        <v>94</v>
      </c>
      <c r="S30" s="192" t="s">
        <v>93</v>
      </c>
      <c r="T30" s="192" t="s">
        <v>94</v>
      </c>
      <c r="U30" s="490" t="s">
        <v>93</v>
      </c>
      <c r="V30" s="491" t="s">
        <v>94</v>
      </c>
      <c r="W30" s="490" t="s">
        <v>93</v>
      </c>
      <c r="X30" s="491" t="s">
        <v>94</v>
      </c>
      <c r="Y30" s="32"/>
    </row>
    <row r="31" spans="1:25" ht="18" customHeight="1" x14ac:dyDescent="0.2">
      <c r="A31" s="32"/>
      <c r="B31" s="70" t="s">
        <v>88</v>
      </c>
      <c r="C31" s="181">
        <v>0.85</v>
      </c>
      <c r="D31" s="183">
        <v>0.15</v>
      </c>
      <c r="E31" s="265">
        <f t="shared" ref="E31:E36" si="7">C31*C14</f>
        <v>5.0157517320960761</v>
      </c>
      <c r="F31" s="266">
        <f t="shared" ref="F31:F36" si="8">D31*C14</f>
        <v>0.88513265860518986</v>
      </c>
      <c r="G31" s="265">
        <f t="shared" ref="G31:G36" si="9">C31*D14</f>
        <v>4.67774193482275</v>
      </c>
      <c r="H31" s="265">
        <f t="shared" ref="H31:H36" si="10">D31*D14</f>
        <v>0.82548387085107344</v>
      </c>
      <c r="I31" s="267">
        <f t="shared" ref="I31:I36" si="11">C31*E14</f>
        <v>4.3890492134730614</v>
      </c>
      <c r="J31" s="266">
        <f t="shared" ref="J31:J36" si="12">D31*E14</f>
        <v>0.77453809649524608</v>
      </c>
      <c r="K31" s="267">
        <f>AVERAGE(E31,G31,I31)</f>
        <v>4.6941809601306295</v>
      </c>
      <c r="L31" s="266">
        <f>AVERAGE(F31,H31,J31)</f>
        <v>0.82838487531716976</v>
      </c>
      <c r="M31" s="32"/>
      <c r="N31" s="70" t="s">
        <v>88</v>
      </c>
      <c r="O31" s="181">
        <v>0.85</v>
      </c>
      <c r="P31" s="183">
        <v>0.15</v>
      </c>
      <c r="Q31" s="265">
        <f t="shared" ref="Q31:Q36" si="13">O31*O14</f>
        <v>5.337219636152267E-2</v>
      </c>
      <c r="R31" s="266">
        <f>P31*O14</f>
        <v>9.4186228873275307E-3</v>
      </c>
      <c r="S31" s="265">
        <f t="shared" ref="S31:S36" si="14">O31*P14</f>
        <v>4.0613966663290063E-2</v>
      </c>
      <c r="T31" s="265">
        <f>P31*P14</f>
        <v>7.1671705876394229E-3</v>
      </c>
      <c r="U31" s="267">
        <f t="shared" ref="U31:U36" si="15">O31*Q14</f>
        <v>3.6964752678000444E-2</v>
      </c>
      <c r="V31" s="266">
        <f>P31*Q14</f>
        <v>6.5231916490589015E-3</v>
      </c>
      <c r="W31" s="267">
        <f>AVERAGE(Q31,S31,U31)</f>
        <v>4.3650305234271054E-2</v>
      </c>
      <c r="X31" s="266">
        <f>AVERAGE(R31,T31,V31)</f>
        <v>7.7029950413419514E-3</v>
      </c>
      <c r="Y31" s="32"/>
    </row>
    <row r="32" spans="1:25" ht="18" customHeight="1" x14ac:dyDescent="0.2">
      <c r="A32" s="32"/>
      <c r="B32" s="70" t="s">
        <v>89</v>
      </c>
      <c r="C32" s="181">
        <v>0.75</v>
      </c>
      <c r="D32" s="183">
        <v>0.25</v>
      </c>
      <c r="E32" s="265">
        <f t="shared" si="7"/>
        <v>1.7725490726872324</v>
      </c>
      <c r="F32" s="266">
        <f t="shared" si="8"/>
        <v>0.59084969089574413</v>
      </c>
      <c r="G32" s="265">
        <f t="shared" si="9"/>
        <v>2.097269789361575</v>
      </c>
      <c r="H32" s="265">
        <f t="shared" si="10"/>
        <v>0.69908992978719176</v>
      </c>
      <c r="I32" s="267">
        <f t="shared" si="11"/>
        <v>2.1576467346654873</v>
      </c>
      <c r="J32" s="266">
        <f t="shared" si="12"/>
        <v>0.71921557822182902</v>
      </c>
      <c r="K32" s="267">
        <f t="shared" ref="K32:L36" si="16">AVERAGE(E32,G32,I32)</f>
        <v>2.0091551989047649</v>
      </c>
      <c r="L32" s="266">
        <f t="shared" si="16"/>
        <v>0.66971839963492164</v>
      </c>
      <c r="M32" s="32"/>
      <c r="N32" s="70" t="s">
        <v>89</v>
      </c>
      <c r="O32" s="181">
        <v>0.75</v>
      </c>
      <c r="P32" s="183">
        <v>0.25</v>
      </c>
      <c r="Q32" s="265">
        <f t="shared" si="13"/>
        <v>1.8861547026443964E-2</v>
      </c>
      <c r="R32" s="266">
        <f t="shared" ref="R32:R36" si="17">P32*O15</f>
        <v>6.2871823421479876E-3</v>
      </c>
      <c r="S32" s="265">
        <f t="shared" si="14"/>
        <v>1.8209308357726661E-2</v>
      </c>
      <c r="T32" s="265">
        <f t="shared" ref="T32:T36" si="18">P32*P15</f>
        <v>6.0697694525755543E-3</v>
      </c>
      <c r="U32" s="267">
        <f t="shared" si="15"/>
        <v>1.8171789386315224E-2</v>
      </c>
      <c r="V32" s="266">
        <f t="shared" ref="V32:V36" si="19">P32*Q15</f>
        <v>6.0572631287717418E-3</v>
      </c>
      <c r="W32" s="267">
        <f t="shared" ref="W32:X36" si="20">AVERAGE(Q32,S32,U32)</f>
        <v>1.8414214923495282E-2</v>
      </c>
      <c r="X32" s="266">
        <f t="shared" si="20"/>
        <v>6.1380716411650951E-3</v>
      </c>
      <c r="Y32" s="32"/>
    </row>
    <row r="33" spans="1:25" ht="18" customHeight="1" x14ac:dyDescent="0.2">
      <c r="A33" s="32"/>
      <c r="B33" s="70" t="s">
        <v>90</v>
      </c>
      <c r="C33" s="181">
        <v>0.75</v>
      </c>
      <c r="D33" s="183">
        <v>0.25</v>
      </c>
      <c r="E33" s="265">
        <f t="shared" si="7"/>
        <v>0.30317580829749335</v>
      </c>
      <c r="F33" s="266">
        <f t="shared" si="8"/>
        <v>0.10105860276583112</v>
      </c>
      <c r="G33" s="265">
        <f t="shared" si="9"/>
        <v>0.36835587481467058</v>
      </c>
      <c r="H33" s="265">
        <f t="shared" si="10"/>
        <v>0.12278529160489018</v>
      </c>
      <c r="I33" s="267">
        <f t="shared" si="11"/>
        <v>0.35569398444039835</v>
      </c>
      <c r="J33" s="266">
        <f t="shared" si="12"/>
        <v>0.11856466148013278</v>
      </c>
      <c r="K33" s="267">
        <f t="shared" si="16"/>
        <v>0.34240855585085406</v>
      </c>
      <c r="L33" s="266">
        <f t="shared" si="16"/>
        <v>0.11413618528361802</v>
      </c>
      <c r="M33" s="32"/>
      <c r="N33" s="70" t="s">
        <v>90</v>
      </c>
      <c r="O33" s="181">
        <v>0.75</v>
      </c>
      <c r="P33" s="183">
        <v>0.25</v>
      </c>
      <c r="Q33" s="265">
        <f t="shared" si="13"/>
        <v>3.2260685210898756E-3</v>
      </c>
      <c r="R33" s="266">
        <f t="shared" si="17"/>
        <v>1.0753561736966252E-3</v>
      </c>
      <c r="S33" s="265">
        <f t="shared" si="14"/>
        <v>3.1982083296600164E-3</v>
      </c>
      <c r="T33" s="265">
        <f t="shared" si="18"/>
        <v>1.0660694432200054E-3</v>
      </c>
      <c r="U33" s="267">
        <f t="shared" si="15"/>
        <v>2.9956693407608703E-3</v>
      </c>
      <c r="V33" s="266">
        <f t="shared" si="19"/>
        <v>9.9855644692029011E-4</v>
      </c>
      <c r="W33" s="267">
        <f t="shared" si="20"/>
        <v>3.1399820638369209E-3</v>
      </c>
      <c r="X33" s="266">
        <f t="shared" si="20"/>
        <v>1.0466606879456402E-3</v>
      </c>
      <c r="Y33" s="32"/>
    </row>
    <row r="34" spans="1:25" ht="18" customHeight="1" x14ac:dyDescent="0.2">
      <c r="A34" s="32"/>
      <c r="B34" s="70" t="s">
        <v>91</v>
      </c>
      <c r="C34" s="181">
        <v>0.5</v>
      </c>
      <c r="D34" s="183">
        <v>0.5</v>
      </c>
      <c r="E34" s="265">
        <f t="shared" si="7"/>
        <v>0.35456022827644557</v>
      </c>
      <c r="F34" s="266">
        <f t="shared" si="8"/>
        <v>0.35456022827644557</v>
      </c>
      <c r="G34" s="265">
        <f t="shared" si="9"/>
        <v>0.39596293608651117</v>
      </c>
      <c r="H34" s="265">
        <f t="shared" si="10"/>
        <v>0.39596293608651117</v>
      </c>
      <c r="I34" s="267">
        <f t="shared" si="11"/>
        <v>0.38999585088375549</v>
      </c>
      <c r="J34" s="266">
        <f t="shared" si="12"/>
        <v>0.38999585088375549</v>
      </c>
      <c r="K34" s="267">
        <f t="shared" si="16"/>
        <v>0.38017300508223739</v>
      </c>
      <c r="L34" s="266">
        <f t="shared" si="16"/>
        <v>0.38017300508223739</v>
      </c>
      <c r="M34" s="32"/>
      <c r="N34" s="70" t="s">
        <v>91</v>
      </c>
      <c r="O34" s="181">
        <v>0.5</v>
      </c>
      <c r="P34" s="183">
        <v>0.5</v>
      </c>
      <c r="Q34" s="265">
        <f t="shared" si="13"/>
        <v>3.7728458536859413E-3</v>
      </c>
      <c r="R34" s="266">
        <f t="shared" si="17"/>
        <v>3.7728458536859413E-3</v>
      </c>
      <c r="S34" s="265">
        <f t="shared" si="14"/>
        <v>3.4379035248607373E-3</v>
      </c>
      <c r="T34" s="265">
        <f t="shared" si="18"/>
        <v>3.4379035248607373E-3</v>
      </c>
      <c r="U34" s="267">
        <f t="shared" si="15"/>
        <v>3.2845610682858757E-3</v>
      </c>
      <c r="V34" s="266">
        <f t="shared" si="19"/>
        <v>3.2845610682858757E-3</v>
      </c>
      <c r="W34" s="267">
        <f t="shared" si="20"/>
        <v>3.4984368156108516E-3</v>
      </c>
      <c r="X34" s="266">
        <f t="shared" si="20"/>
        <v>3.4984368156108516E-3</v>
      </c>
      <c r="Y34" s="32"/>
    </row>
    <row r="35" spans="1:25" ht="18" customHeight="1" x14ac:dyDescent="0.2">
      <c r="A35" s="32"/>
      <c r="B35" s="70" t="s">
        <v>92</v>
      </c>
      <c r="C35" s="181">
        <v>0.7</v>
      </c>
      <c r="D35" s="183">
        <v>0.3</v>
      </c>
      <c r="E35" s="265">
        <f t="shared" si="7"/>
        <v>0.38662768171433348</v>
      </c>
      <c r="F35" s="266">
        <f t="shared" si="8"/>
        <v>0.1656975778775715</v>
      </c>
      <c r="G35" s="265">
        <f t="shared" si="9"/>
        <v>0.38572655759483254</v>
      </c>
      <c r="H35" s="265">
        <f t="shared" si="10"/>
        <v>0.16531138182635682</v>
      </c>
      <c r="I35" s="267">
        <f t="shared" si="11"/>
        <v>0.37312929487546426</v>
      </c>
      <c r="J35" s="266">
        <f t="shared" si="12"/>
        <v>0.15991255494662754</v>
      </c>
      <c r="K35" s="267">
        <f t="shared" si="16"/>
        <v>0.38182784472821013</v>
      </c>
      <c r="L35" s="266">
        <f t="shared" si="16"/>
        <v>0.16364050488351861</v>
      </c>
      <c r="M35" s="32"/>
      <c r="N35" s="70" t="s">
        <v>92</v>
      </c>
      <c r="O35" s="181">
        <v>0.7</v>
      </c>
      <c r="P35" s="183">
        <v>0.3</v>
      </c>
      <c r="Q35" s="265">
        <f t="shared" si="13"/>
        <v>4.1140729544510944E-3</v>
      </c>
      <c r="R35" s="266">
        <f t="shared" si="17"/>
        <v>1.7631741233361834E-3</v>
      </c>
      <c r="S35" s="265">
        <f t="shared" si="14"/>
        <v>3.3490273233501454E-3</v>
      </c>
      <c r="T35" s="265">
        <f t="shared" si="18"/>
        <v>1.4352974242929195E-3</v>
      </c>
      <c r="U35" s="267">
        <f t="shared" si="15"/>
        <v>3.142510241090257E-3</v>
      </c>
      <c r="V35" s="266">
        <f t="shared" si="19"/>
        <v>1.3467901033243958E-3</v>
      </c>
      <c r="W35" s="267">
        <f t="shared" si="20"/>
        <v>3.5352035062971659E-3</v>
      </c>
      <c r="X35" s="266">
        <f t="shared" si="20"/>
        <v>1.5150872169844996E-3</v>
      </c>
      <c r="Y35" s="32"/>
    </row>
    <row r="36" spans="1:25" ht="18" customHeight="1" x14ac:dyDescent="0.2">
      <c r="A36" s="32"/>
      <c r="B36" s="70" t="s">
        <v>63</v>
      </c>
      <c r="C36" s="181">
        <v>1</v>
      </c>
      <c r="D36" s="183">
        <v>0</v>
      </c>
      <c r="E36" s="265">
        <f t="shared" si="7"/>
        <v>1.2224147465792823</v>
      </c>
      <c r="F36" s="266">
        <f t="shared" si="8"/>
        <v>0</v>
      </c>
      <c r="G36" s="265">
        <f t="shared" si="9"/>
        <v>1.5113369213177368</v>
      </c>
      <c r="H36" s="265">
        <f t="shared" si="10"/>
        <v>0</v>
      </c>
      <c r="I36" s="267">
        <f t="shared" si="11"/>
        <v>1.4850877832480498</v>
      </c>
      <c r="J36" s="266">
        <f t="shared" si="12"/>
        <v>0</v>
      </c>
      <c r="K36" s="267">
        <f t="shared" si="16"/>
        <v>1.4062798170483564</v>
      </c>
      <c r="L36" s="266">
        <f t="shared" si="16"/>
        <v>0</v>
      </c>
      <c r="M36" s="32"/>
      <c r="N36" s="70" t="s">
        <v>63</v>
      </c>
      <c r="O36" s="181">
        <v>1</v>
      </c>
      <c r="P36" s="183">
        <v>0</v>
      </c>
      <c r="Q36" s="265">
        <f t="shared" si="13"/>
        <v>1.3007613489351373E-2</v>
      </c>
      <c r="R36" s="266">
        <f t="shared" si="17"/>
        <v>0</v>
      </c>
      <c r="S36" s="265">
        <f t="shared" si="14"/>
        <v>1.3122012328737815E-2</v>
      </c>
      <c r="T36" s="265">
        <f t="shared" si="18"/>
        <v>0</v>
      </c>
      <c r="U36" s="267">
        <f t="shared" si="15"/>
        <v>1.2507470284081158E-2</v>
      </c>
      <c r="V36" s="266">
        <f t="shared" si="19"/>
        <v>0</v>
      </c>
      <c r="W36" s="267">
        <f t="shared" si="20"/>
        <v>1.2879032034056784E-2</v>
      </c>
      <c r="X36" s="266">
        <f t="shared" si="20"/>
        <v>0</v>
      </c>
      <c r="Y36" s="32"/>
    </row>
    <row r="37" spans="1:25" ht="18" customHeight="1" thickBot="1" x14ac:dyDescent="0.25">
      <c r="A37" s="32"/>
      <c r="B37" s="20" t="s">
        <v>96</v>
      </c>
      <c r="C37" s="199"/>
      <c r="D37" s="198"/>
      <c r="E37" s="268">
        <f t="shared" ref="E37:L37" si="21">SUM(E31:E36)</f>
        <v>9.0550792696508626</v>
      </c>
      <c r="F37" s="268">
        <f t="shared" si="21"/>
        <v>2.0972987584207821</v>
      </c>
      <c r="G37" s="269">
        <f t="shared" si="21"/>
        <v>9.4363940139980755</v>
      </c>
      <c r="H37" s="270">
        <f t="shared" si="21"/>
        <v>2.2086334101560232</v>
      </c>
      <c r="I37" s="269">
        <f t="shared" si="21"/>
        <v>9.1506028615862167</v>
      </c>
      <c r="J37" s="270">
        <f t="shared" si="21"/>
        <v>2.1622267420275909</v>
      </c>
      <c r="K37" s="269">
        <f t="shared" si="21"/>
        <v>9.2140253817450528</v>
      </c>
      <c r="L37" s="270">
        <f t="shared" si="21"/>
        <v>2.1560529702014652</v>
      </c>
      <c r="M37" s="32"/>
      <c r="N37" s="20" t="s">
        <v>96</v>
      </c>
      <c r="O37" s="199"/>
      <c r="P37" s="198"/>
      <c r="Q37" s="268">
        <f t="shared" ref="Q37:X37" si="22">SUM(Q31:Q36)</f>
        <v>9.6354344206544928E-2</v>
      </c>
      <c r="R37" s="268">
        <f t="shared" si="22"/>
        <v>2.231718138019427E-2</v>
      </c>
      <c r="S37" s="269">
        <f t="shared" si="22"/>
        <v>8.1930426527625444E-2</v>
      </c>
      <c r="T37" s="270">
        <f t="shared" si="22"/>
        <v>1.9176210432588638E-2</v>
      </c>
      <c r="U37" s="269">
        <f t="shared" si="22"/>
        <v>7.7066752998533827E-2</v>
      </c>
      <c r="V37" s="270">
        <f t="shared" si="22"/>
        <v>1.8210362396361205E-2</v>
      </c>
      <c r="W37" s="269">
        <f t="shared" si="22"/>
        <v>8.5117174577568067E-2</v>
      </c>
      <c r="X37" s="270">
        <f t="shared" si="22"/>
        <v>1.9901251403048034E-2</v>
      </c>
      <c r="Y37" s="32"/>
    </row>
    <row r="38" spans="1:25" ht="18" customHeight="1" x14ac:dyDescent="0.2">
      <c r="A38" s="32"/>
      <c r="B38" s="102"/>
      <c r="C38" s="196"/>
      <c r="D38" s="196"/>
      <c r="E38" s="32"/>
      <c r="F38" s="32"/>
      <c r="G38" s="32"/>
      <c r="H38" s="32"/>
      <c r="I38" s="32"/>
      <c r="J38" s="32"/>
      <c r="K38" s="32"/>
      <c r="L38" s="36"/>
      <c r="M38" s="32"/>
      <c r="N38" s="102"/>
      <c r="O38" s="196"/>
      <c r="P38" s="196"/>
      <c r="Q38" s="32"/>
      <c r="R38" s="32"/>
      <c r="S38" s="32"/>
      <c r="T38" s="32"/>
      <c r="U38" s="32"/>
      <c r="V38" s="32"/>
      <c r="W38" s="32"/>
      <c r="X38" s="36"/>
      <c r="Y38" s="32"/>
    </row>
    <row r="39" spans="1:25" ht="18" customHeight="1" x14ac:dyDescent="0.2">
      <c r="A39" s="32"/>
      <c r="B39" s="289" t="s">
        <v>231</v>
      </c>
      <c r="C39" s="122"/>
      <c r="D39" s="195"/>
      <c r="E39" s="194">
        <f>E37/(E37+F37)</f>
        <v>0.81194156500598591</v>
      </c>
      <c r="F39" s="297">
        <f>F37/(E37+F37)</f>
        <v>0.18805843499401406</v>
      </c>
      <c r="G39" s="194">
        <f>G37/(G37+H37)</f>
        <v>0.81033677897787693</v>
      </c>
      <c r="H39" s="298">
        <f>H37/(G37+H37)</f>
        <v>0.18966322102212305</v>
      </c>
      <c r="I39" s="122">
        <f>I37/(I37+J37)</f>
        <v>0.80886950322871642</v>
      </c>
      <c r="J39" s="297">
        <f>J37/(I37+J37)</f>
        <v>0.19113049677128366</v>
      </c>
      <c r="K39" s="194">
        <f>K37/(K37+L37)</f>
        <v>0.81037483617407469</v>
      </c>
      <c r="L39" s="298">
        <f>L37/(K37+L37)</f>
        <v>0.18962516382592531</v>
      </c>
      <c r="M39" s="32"/>
      <c r="N39" s="289" t="s">
        <v>231</v>
      </c>
      <c r="O39" s="122"/>
      <c r="P39" s="195"/>
      <c r="Q39" s="194">
        <f>Q37/(Q37+R37)</f>
        <v>0.81194156500598591</v>
      </c>
      <c r="R39" s="297">
        <f>R37/(Q37+R37)</f>
        <v>0.18805843499401406</v>
      </c>
      <c r="S39" s="194">
        <f>S37/(S37+T37)</f>
        <v>0.81033677897787704</v>
      </c>
      <c r="T39" s="298">
        <f>T37/(S37+T37)</f>
        <v>0.18966322102212305</v>
      </c>
      <c r="U39" s="122">
        <f>U37/(U37+V37)</f>
        <v>0.80886950322871642</v>
      </c>
      <c r="V39" s="297">
        <f>V37/(U37+V37)</f>
        <v>0.19113049677128366</v>
      </c>
      <c r="W39" s="194">
        <f>W37/(W37+X37)</f>
        <v>0.81049752729372149</v>
      </c>
      <c r="X39" s="298">
        <f>X37/(W37+X37)</f>
        <v>0.18950247270627851</v>
      </c>
      <c r="Y39" s="32"/>
    </row>
    <row r="40" spans="1:25" ht="18" customHeight="1" x14ac:dyDescent="0.2">
      <c r="A40" s="32"/>
      <c r="B40" s="102"/>
      <c r="C40" s="196"/>
      <c r="D40" s="196"/>
      <c r="E40" s="196"/>
      <c r="F40" s="197"/>
      <c r="G40" s="196"/>
      <c r="H40" s="66"/>
      <c r="I40" s="196"/>
      <c r="J40" s="186"/>
      <c r="K40" s="196"/>
      <c r="L40" s="36"/>
      <c r="M40" s="32"/>
      <c r="N40" s="102"/>
      <c r="O40" s="196"/>
      <c r="P40" s="196"/>
      <c r="Q40" s="196"/>
      <c r="R40" s="197"/>
      <c r="S40" s="196"/>
      <c r="T40" s="66"/>
      <c r="U40" s="196"/>
      <c r="V40" s="186"/>
      <c r="W40" s="196"/>
      <c r="X40" s="36"/>
      <c r="Y40" s="32"/>
    </row>
    <row r="41" spans="1:25" ht="18" customHeight="1" x14ac:dyDescent="0.2">
      <c r="A41" s="32"/>
      <c r="B41" s="312" t="s">
        <v>201</v>
      </c>
      <c r="C41" s="313"/>
      <c r="D41" s="314"/>
      <c r="E41" s="315">
        <f>E37/C24</f>
        <v>9.1241702843460115E-2</v>
      </c>
      <c r="F41" s="316">
        <f>F37/C24</f>
        <v>2.1133013239448446E-2</v>
      </c>
      <c r="G41" s="315">
        <f>G37/D24</f>
        <v>8.8823506293436549E-2</v>
      </c>
      <c r="H41" s="317">
        <f>H37/D24</f>
        <v>2.0789568909042353E-2</v>
      </c>
      <c r="I41" s="315">
        <f>I37/E24</f>
        <v>7.7649979367961863E-2</v>
      </c>
      <c r="J41" s="317">
        <f>J37/E24</f>
        <v>1.8348174917755491E-2</v>
      </c>
      <c r="K41" s="36"/>
      <c r="L41" s="36"/>
      <c r="M41" s="32"/>
      <c r="N41" s="312" t="s">
        <v>201</v>
      </c>
      <c r="O41" s="313"/>
      <c r="P41" s="314"/>
      <c r="Q41" s="315">
        <f>Q37/O24</f>
        <v>8.3376026258744185E-2</v>
      </c>
      <c r="R41" s="316">
        <f>R37/O24</f>
        <v>1.9311198847325496E-2</v>
      </c>
      <c r="S41" s="315">
        <f>S37/P24</f>
        <v>7.9213697178064438E-2</v>
      </c>
      <c r="T41" s="317">
        <f>T37/P24</f>
        <v>1.8540346860244052E-2</v>
      </c>
      <c r="U41" s="315">
        <f>U37/Q24</f>
        <v>6.6250381991672241E-2</v>
      </c>
      <c r="V41" s="317">
        <f>V37/Q24</f>
        <v>1.5654525693961259E-2</v>
      </c>
      <c r="W41" s="36"/>
      <c r="X41" s="36"/>
      <c r="Y41" s="32"/>
    </row>
    <row r="42" spans="1:25" ht="18" customHeight="1" x14ac:dyDescent="0.2">
      <c r="A42" s="32"/>
      <c r="B42" s="102"/>
      <c r="C42" s="196"/>
      <c r="D42" s="196"/>
      <c r="E42" s="196"/>
      <c r="F42" s="197"/>
      <c r="G42" s="118"/>
      <c r="H42" s="32"/>
      <c r="I42" s="36"/>
      <c r="J42" s="32"/>
      <c r="K42" s="36"/>
      <c r="L42" s="36"/>
      <c r="M42" s="32"/>
      <c r="N42" s="102"/>
      <c r="O42" s="196"/>
      <c r="P42" s="196"/>
      <c r="Q42" s="196"/>
      <c r="R42" s="197"/>
      <c r="S42" s="118"/>
      <c r="T42" s="32"/>
      <c r="U42" s="36"/>
      <c r="V42" s="32"/>
      <c r="W42" s="36"/>
      <c r="X42" s="36"/>
      <c r="Y42" s="32"/>
    </row>
    <row r="43" spans="1:25" ht="22.5" customHeight="1" x14ac:dyDescent="0.2">
      <c r="A43" s="36"/>
      <c r="B43" s="357" t="s">
        <v>230</v>
      </c>
      <c r="C43" s="357"/>
      <c r="D43" s="357"/>
      <c r="E43" s="358"/>
      <c r="F43" s="358"/>
      <c r="G43" s="358"/>
      <c r="H43" s="358"/>
      <c r="I43" s="358"/>
      <c r="J43" s="358"/>
      <c r="K43" s="358"/>
      <c r="L43" s="358"/>
      <c r="M43" s="32"/>
      <c r="N43" s="357" t="s">
        <v>230</v>
      </c>
      <c r="O43" s="357"/>
      <c r="P43" s="357"/>
      <c r="Q43" s="358"/>
      <c r="R43" s="358"/>
      <c r="S43" s="358"/>
      <c r="T43" s="358"/>
      <c r="U43" s="358"/>
      <c r="V43" s="358"/>
      <c r="W43" s="358"/>
      <c r="X43" s="358"/>
      <c r="Y43" s="32"/>
    </row>
    <row r="44" spans="1:25" ht="18" customHeight="1" x14ac:dyDescent="0.2">
      <c r="A44" s="36"/>
      <c r="B44" s="77"/>
      <c r="C44" s="121"/>
      <c r="D44" s="12"/>
      <c r="E44" s="12"/>
      <c r="F44" s="12"/>
      <c r="G44" s="118"/>
      <c r="H44" s="32"/>
      <c r="I44" s="32"/>
      <c r="J44" s="36"/>
      <c r="K44" s="36"/>
      <c r="L44" s="36"/>
      <c r="M44" s="32"/>
      <c r="N44" s="77"/>
      <c r="O44" s="121"/>
      <c r="P44" s="12"/>
      <c r="Q44" s="12"/>
      <c r="R44" s="12"/>
      <c r="S44" s="118"/>
      <c r="T44" s="32"/>
      <c r="U44" s="32"/>
      <c r="V44" s="36"/>
      <c r="W44" s="36"/>
      <c r="X44" s="36"/>
      <c r="Y44" s="32"/>
    </row>
    <row r="45" spans="1:25" ht="18" customHeight="1" x14ac:dyDescent="0.2">
      <c r="A45" s="36"/>
      <c r="B45" s="443" t="s">
        <v>253</v>
      </c>
      <c r="C45" s="444">
        <f>K39*F20</f>
        <v>9.2140253817450528</v>
      </c>
      <c r="D45" s="12"/>
      <c r="E45" s="12"/>
      <c r="F45" s="12"/>
      <c r="G45" s="118"/>
      <c r="H45" s="118"/>
      <c r="I45" s="118"/>
      <c r="J45" s="118"/>
      <c r="K45" s="118"/>
      <c r="L45" s="36"/>
      <c r="M45" s="32"/>
      <c r="N45" s="443" t="s">
        <v>253</v>
      </c>
      <c r="O45" s="444">
        <f>W39*R20</f>
        <v>8.511717457756808E-2</v>
      </c>
      <c r="P45" s="12"/>
      <c r="Q45" s="12"/>
      <c r="R45" s="12"/>
      <c r="S45" s="118"/>
      <c r="T45" s="118"/>
      <c r="U45" s="118"/>
      <c r="V45" s="118"/>
      <c r="W45" s="118"/>
      <c r="X45" s="36"/>
      <c r="Y45" s="32"/>
    </row>
    <row r="46" spans="1:25" ht="18" customHeight="1" x14ac:dyDescent="0.2">
      <c r="A46" s="36"/>
      <c r="B46" s="443" t="s">
        <v>232</v>
      </c>
      <c r="C46" s="445">
        <f>(F20-C45)/F24</f>
        <v>2.0005156384993443E-2</v>
      </c>
      <c r="D46" s="12"/>
      <c r="E46" s="12"/>
      <c r="F46" s="12"/>
      <c r="G46" s="118"/>
      <c r="H46" s="32"/>
      <c r="I46" s="32"/>
      <c r="J46" s="36"/>
      <c r="K46" s="36"/>
      <c r="L46" s="36"/>
      <c r="M46" s="32"/>
      <c r="N46" s="443" t="s">
        <v>232</v>
      </c>
      <c r="O46" s="445">
        <f>(R20-O45)/R24</f>
        <v>1.780489525295487E-2</v>
      </c>
      <c r="P46" s="12"/>
      <c r="Q46" s="12"/>
      <c r="R46" s="12"/>
      <c r="S46" s="118"/>
      <c r="T46" s="32"/>
      <c r="U46" s="32"/>
      <c r="V46" s="36"/>
      <c r="W46" s="36"/>
      <c r="X46" s="36"/>
      <c r="Y46" s="32"/>
    </row>
    <row r="47" spans="1:25" ht="18" customHeight="1" x14ac:dyDescent="0.2">
      <c r="A47" s="36"/>
      <c r="B47" s="77"/>
      <c r="C47" s="121"/>
      <c r="D47" s="12"/>
      <c r="E47" s="12"/>
      <c r="F47" s="12"/>
      <c r="G47" s="118"/>
      <c r="H47" s="32"/>
      <c r="I47" s="32"/>
      <c r="J47" s="36"/>
      <c r="K47" s="36"/>
      <c r="L47" s="36"/>
      <c r="M47" s="32"/>
      <c r="N47" s="77"/>
      <c r="O47" s="121"/>
      <c r="P47" s="12"/>
      <c r="Q47" s="12"/>
      <c r="R47" s="12"/>
      <c r="S47" s="118"/>
      <c r="T47" s="32"/>
      <c r="U47" s="32"/>
      <c r="V47" s="36"/>
      <c r="W47" s="36"/>
      <c r="X47" s="36"/>
      <c r="Y47" s="32"/>
    </row>
    <row r="48" spans="1:25" ht="18" customHeight="1" x14ac:dyDescent="0.2">
      <c r="A48" s="36"/>
      <c r="B48" s="193"/>
      <c r="C48" s="187">
        <v>2018</v>
      </c>
      <c r="D48" s="188">
        <v>2019</v>
      </c>
      <c r="E48" s="188">
        <v>2020</v>
      </c>
      <c r="F48" s="188">
        <v>2021</v>
      </c>
      <c r="G48" s="188">
        <v>2022</v>
      </c>
      <c r="H48" s="124" t="s">
        <v>96</v>
      </c>
      <c r="I48" s="119"/>
      <c r="J48" s="36"/>
      <c r="K48" s="36"/>
      <c r="L48" s="36"/>
      <c r="M48" s="32"/>
      <c r="N48" s="193"/>
      <c r="O48" s="187">
        <v>2018</v>
      </c>
      <c r="P48" s="188">
        <v>2019</v>
      </c>
      <c r="Q48" s="188">
        <v>2020</v>
      </c>
      <c r="R48" s="188">
        <v>2021</v>
      </c>
      <c r="S48" s="188">
        <v>2022</v>
      </c>
      <c r="T48" s="124" t="s">
        <v>96</v>
      </c>
      <c r="U48" s="119"/>
      <c r="V48" s="36"/>
      <c r="W48" s="36"/>
      <c r="X48" s="36"/>
      <c r="Y48" s="32"/>
    </row>
    <row r="49" spans="1:25" ht="18" customHeight="1" x14ac:dyDescent="0.2">
      <c r="A49" s="36"/>
      <c r="B49" s="290" t="s">
        <v>198</v>
      </c>
      <c r="C49" s="201">
        <f>$C$45</f>
        <v>9.2140253817450528</v>
      </c>
      <c r="D49" s="127">
        <f t="shared" ref="D49:G49" si="23">$C$45</f>
        <v>9.2140253817450528</v>
      </c>
      <c r="E49" s="127">
        <f t="shared" si="23"/>
        <v>9.2140253817450528</v>
      </c>
      <c r="F49" s="127">
        <f t="shared" si="23"/>
        <v>9.2140253817450528</v>
      </c>
      <c r="G49" s="127">
        <f t="shared" si="23"/>
        <v>9.2140253817450528</v>
      </c>
      <c r="H49" s="55">
        <f>SUM(C49:G49)</f>
        <v>46.070126908725264</v>
      </c>
      <c r="I49" s="119"/>
      <c r="J49" s="36"/>
      <c r="K49" s="36"/>
      <c r="L49" s="36"/>
      <c r="M49" s="32"/>
      <c r="N49" s="290" t="s">
        <v>198</v>
      </c>
      <c r="O49" s="201">
        <f>$O$45</f>
        <v>8.511717457756808E-2</v>
      </c>
      <c r="P49" s="127">
        <f t="shared" ref="P49:S49" si="24">$O$45</f>
        <v>8.511717457756808E-2</v>
      </c>
      <c r="Q49" s="127">
        <f t="shared" si="24"/>
        <v>8.511717457756808E-2</v>
      </c>
      <c r="R49" s="127">
        <f t="shared" si="24"/>
        <v>8.511717457756808E-2</v>
      </c>
      <c r="S49" s="127">
        <f t="shared" si="24"/>
        <v>8.511717457756808E-2</v>
      </c>
      <c r="T49" s="55">
        <f>SUM(O49:S49)</f>
        <v>0.42558587288784039</v>
      </c>
      <c r="U49" s="119"/>
      <c r="V49" s="36"/>
      <c r="W49" s="36"/>
      <c r="X49" s="36"/>
      <c r="Y49" s="32"/>
    </row>
    <row r="50" spans="1:25" ht="18" customHeight="1" x14ac:dyDescent="0.2">
      <c r="A50" s="36"/>
      <c r="B50" s="428" t="s">
        <v>199</v>
      </c>
      <c r="C50" s="55">
        <f>$C$46*'Capex Category Summary (Vic)'!AO76</f>
        <v>1.9359306367871709</v>
      </c>
      <c r="D50" s="54">
        <f>$C$46*'Capex Category Summary (Vic)'!AP76</f>
        <v>2.3164860298341936</v>
      </c>
      <c r="E50" s="54">
        <f>$C$46*'Capex Category Summary (Vic)'!AQ76</f>
        <v>2.2501342238601252</v>
      </c>
      <c r="F50" s="54">
        <f>$C$46*'Capex Category Summary (Vic)'!AR76</f>
        <v>1.8214321641905338</v>
      </c>
      <c r="G50" s="54">
        <f>$C$46*'Capex Category Summary (Vic)'!AS76</f>
        <v>1.2179333890782893</v>
      </c>
      <c r="H50" s="55">
        <f>SUM(C50:G50)</f>
        <v>9.5419164437503134</v>
      </c>
      <c r="I50" s="32"/>
      <c r="J50" s="36"/>
      <c r="K50" s="36"/>
      <c r="L50" s="36"/>
      <c r="M50" s="32"/>
      <c r="N50" s="290" t="s">
        <v>61</v>
      </c>
      <c r="O50" s="55">
        <f>$O$46*'Capex Category Summary (Alb)'!AO76</f>
        <v>3.8395730067146507E-2</v>
      </c>
      <c r="P50" s="54">
        <f>$O$46*'Capex Category Summary (Alb)'!AP76</f>
        <v>4.7034907372576075E-2</v>
      </c>
      <c r="Q50" s="54">
        <f>$O$46*'Capex Category Summary (Alb)'!AQ76</f>
        <v>4.3016066884623526E-2</v>
      </c>
      <c r="R50" s="54">
        <f>$O$46*'Capex Category Summary (Alb)'!AR76</f>
        <v>3.6197696812062322E-2</v>
      </c>
      <c r="S50" s="54">
        <f>$O$46*'Capex Category Summary (Alb)'!AS76</f>
        <v>3.4576761777356184E-2</v>
      </c>
      <c r="T50" s="55">
        <f>SUM(O50:S50)</f>
        <v>0.19922116291376463</v>
      </c>
      <c r="U50" s="32"/>
      <c r="V50" s="36"/>
      <c r="W50" s="36"/>
      <c r="X50" s="36"/>
      <c r="Y50" s="32"/>
    </row>
    <row r="51" spans="1:25" ht="18" customHeight="1" thickBot="1" x14ac:dyDescent="0.25">
      <c r="A51" s="36"/>
      <c r="B51" s="540" t="s">
        <v>384</v>
      </c>
      <c r="C51" s="48">
        <f>SUM(C49:C50)</f>
        <v>11.149956018532224</v>
      </c>
      <c r="D51" s="47">
        <f t="shared" ref="D51:G51" si="25">SUM(D49:D50)</f>
        <v>11.530511411579246</v>
      </c>
      <c r="E51" s="47">
        <f t="shared" si="25"/>
        <v>11.464159605605179</v>
      </c>
      <c r="F51" s="47">
        <f t="shared" si="25"/>
        <v>11.035457545935586</v>
      </c>
      <c r="G51" s="47">
        <f t="shared" si="25"/>
        <v>10.431958770823343</v>
      </c>
      <c r="H51" s="48">
        <f>SUM(C51:G51)</f>
        <v>55.612043352475581</v>
      </c>
      <c r="I51" s="32"/>
      <c r="J51" s="36"/>
      <c r="K51" s="36"/>
      <c r="L51" s="36"/>
      <c r="M51" s="32"/>
      <c r="N51" s="291" t="s">
        <v>228</v>
      </c>
      <c r="O51" s="48">
        <f>SUM(O49:O50)</f>
        <v>0.12351290464471459</v>
      </c>
      <c r="P51" s="47">
        <f t="shared" ref="P51:S51" si="26">SUM(P49:P50)</f>
        <v>0.13215208195014416</v>
      </c>
      <c r="Q51" s="47">
        <f t="shared" si="26"/>
        <v>0.1281332414621916</v>
      </c>
      <c r="R51" s="47">
        <f t="shared" si="26"/>
        <v>0.1213148713896304</v>
      </c>
      <c r="S51" s="47">
        <f t="shared" si="26"/>
        <v>0.11969393635492426</v>
      </c>
      <c r="T51" s="48">
        <f>SUM(O51:S51)</f>
        <v>0.6248070358016049</v>
      </c>
      <c r="U51" s="32"/>
      <c r="V51" s="36"/>
      <c r="W51" s="36"/>
      <c r="X51" s="36"/>
      <c r="Y51" s="32"/>
    </row>
    <row r="52" spans="1:25" ht="18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6"/>
      <c r="K52" s="36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6"/>
      <c r="W52" s="36"/>
      <c r="X52" s="36"/>
      <c r="Y52" s="32"/>
    </row>
    <row r="53" spans="1:25" ht="18" customHeight="1" x14ac:dyDescent="0.2">
      <c r="A53" s="32"/>
      <c r="B53" s="545" t="s">
        <v>390</v>
      </c>
      <c r="C53" s="445">
        <f>'Consolidated Summary (Vic)'!L52/'Consolidated Summary (Vic)'!L36-1</f>
        <v>0.11659372943723301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443" t="str">
        <f>B53</f>
        <v>Equivalent to applying the following overheads percentage to total escalated capex</v>
      </c>
      <c r="O53" s="445">
        <f>'Consolidated Summary (Alb)'!L52/'Consolidated Summary (Alb)'!L36-1</f>
        <v>5.584057267335707E-2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8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8" customHeight="1" x14ac:dyDescent="0.2"/>
    <row r="57" spans="1:25" ht="18" customHeight="1" x14ac:dyDescent="0.2"/>
    <row r="59" spans="1:25" ht="18" customHeight="1" x14ac:dyDescent="0.2"/>
    <row r="60" spans="1:25" ht="18" customHeight="1" x14ac:dyDescent="0.2"/>
    <row r="61" spans="1:25" ht="18" customHeight="1" x14ac:dyDescent="0.2"/>
    <row r="62" spans="1:25" ht="18" customHeight="1" x14ac:dyDescent="0.2"/>
    <row r="63" spans="1:25" ht="18" customHeight="1" x14ac:dyDescent="0.2"/>
    <row r="76" ht="18" customHeight="1" x14ac:dyDescent="0.2"/>
  </sheetData>
  <mergeCells count="10">
    <mergeCell ref="U29:V29"/>
    <mergeCell ref="W29:X29"/>
    <mergeCell ref="O29:P29"/>
    <mergeCell ref="Q29:R29"/>
    <mergeCell ref="S29:T29"/>
    <mergeCell ref="I29:J29"/>
    <mergeCell ref="K29:L29"/>
    <mergeCell ref="C29:D29"/>
    <mergeCell ref="E29:F29"/>
    <mergeCell ref="G29:H29"/>
  </mergeCells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>
      <selection activeCell="R30" sqref="R30"/>
    </sheetView>
  </sheetViews>
  <sheetFormatPr defaultRowHeight="15" x14ac:dyDescent="0.25"/>
  <cols>
    <col min="1" max="16384" width="9.140625" style="1"/>
  </cols>
  <sheetData>
    <row r="32" spans="28:28" x14ac:dyDescent="0.25">
      <c r="AB32" s="1" t="s">
        <v>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zoomScale="80" zoomScaleNormal="8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5.7109375" style="44" customWidth="1"/>
    <col min="4" max="4" width="11" style="44" customWidth="1"/>
    <col min="5" max="5" width="9.7109375" style="44" customWidth="1"/>
    <col min="6" max="10" width="10.4257812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4" style="44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9.42578125" style="44" bestFit="1" customWidth="1"/>
    <col min="25" max="25" width="2.5703125" style="44" customWidth="1"/>
    <col min="26" max="26" width="4.140625" style="44" customWidth="1"/>
    <col min="27" max="27" width="41.85546875" style="44" bestFit="1" customWidth="1"/>
    <col min="28" max="29" width="9.140625" style="44"/>
    <col min="30" max="30" width="12.7109375" style="44" bestFit="1" customWidth="1"/>
    <col min="31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1.85546875" style="44" bestFit="1" customWidth="1"/>
    <col min="39" max="45" width="9.140625" style="44"/>
    <col min="46" max="46" width="11" style="44" customWidth="1"/>
    <col min="47" max="47" width="3.7109375" style="44" customWidth="1"/>
    <col min="48" max="48" width="4" style="44" customWidth="1"/>
    <col min="49" max="49" width="41.85546875" style="44" bestFit="1" customWidth="1"/>
    <col min="50" max="56" width="9.140625" style="44"/>
    <col min="57" max="57" width="13.425781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3" t="s">
        <v>375</v>
      </c>
      <c r="C2" s="343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8" t="s">
        <v>239</v>
      </c>
      <c r="C5" s="318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7" t="s">
        <v>191</v>
      </c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2"/>
      <c r="N7" s="357" t="s">
        <v>187</v>
      </c>
      <c r="O7" s="357"/>
      <c r="P7" s="358"/>
      <c r="Q7" s="358"/>
      <c r="R7" s="358"/>
      <c r="S7" s="358"/>
      <c r="T7" s="358"/>
      <c r="U7" s="358"/>
      <c r="V7" s="358"/>
      <c r="W7" s="358"/>
      <c r="X7" s="358"/>
      <c r="Y7" s="66"/>
      <c r="Z7" s="357" t="s">
        <v>204</v>
      </c>
      <c r="AA7" s="357"/>
      <c r="AB7" s="358"/>
      <c r="AC7" s="358"/>
      <c r="AD7" s="358"/>
      <c r="AE7" s="358"/>
      <c r="AF7" s="358"/>
      <c r="AG7" s="358"/>
      <c r="AH7" s="358"/>
      <c r="AI7" s="358"/>
      <c r="AJ7" s="32"/>
      <c r="AK7" s="357" t="s">
        <v>241</v>
      </c>
      <c r="AL7" s="357"/>
      <c r="AM7" s="358"/>
      <c r="AN7" s="358"/>
      <c r="AO7" s="358"/>
      <c r="AP7" s="358"/>
      <c r="AQ7" s="358"/>
      <c r="AR7" s="358"/>
      <c r="AS7" s="358"/>
      <c r="AT7" s="358"/>
      <c r="AU7" s="66"/>
      <c r="AV7" s="357" t="s">
        <v>252</v>
      </c>
      <c r="AW7" s="357"/>
      <c r="AX7" s="358"/>
      <c r="AY7" s="358"/>
      <c r="AZ7" s="358"/>
      <c r="BA7" s="358"/>
      <c r="BB7" s="358"/>
      <c r="BC7" s="358"/>
      <c r="BD7" s="358"/>
      <c r="BE7" s="358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79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75</v>
      </c>
      <c r="L9" s="30" t="s">
        <v>104</v>
      </c>
      <c r="M9" s="32"/>
      <c r="N9" s="10" t="s">
        <v>180</v>
      </c>
      <c r="O9" s="11"/>
      <c r="P9" s="3"/>
      <c r="Q9" s="3"/>
      <c r="R9" s="30">
        <f t="shared" ref="R9:W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">
        <v>104</v>
      </c>
      <c r="Y9" s="32"/>
      <c r="Z9" s="186"/>
      <c r="AA9" s="359"/>
      <c r="AB9" s="304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6"/>
      <c r="AW9" s="359"/>
      <c r="AX9" s="304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05" t="s">
        <v>414</v>
      </c>
      <c r="G10" s="606" t="s">
        <v>414</v>
      </c>
      <c r="H10" s="606" t="s">
        <v>414</v>
      </c>
      <c r="I10" s="606" t="s">
        <v>414</v>
      </c>
      <c r="J10" s="607" t="s">
        <v>414</v>
      </c>
      <c r="K10" s="14">
        <v>144956</v>
      </c>
      <c r="L10" s="412" t="s">
        <v>382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6" t="s">
        <v>414</v>
      </c>
      <c r="S10" s="597" t="s">
        <v>414</v>
      </c>
      <c r="T10" s="597" t="s">
        <v>414</v>
      </c>
      <c r="U10" s="597" t="s">
        <v>414</v>
      </c>
      <c r="V10" s="598" t="s">
        <v>414</v>
      </c>
      <c r="W10" s="62"/>
      <c r="X10" s="412" t="s">
        <v>381</v>
      </c>
      <c r="Y10" s="32"/>
      <c r="Z10" s="361" t="str">
        <f>B10</f>
        <v>01</v>
      </c>
      <c r="AA10" s="361" t="str">
        <f>C10</f>
        <v>Meter Replacement - Meters &lt; 25m3</v>
      </c>
      <c r="AB10" s="215"/>
      <c r="AC10" s="216"/>
      <c r="AD10" s="210">
        <v>4.8197438756221365</v>
      </c>
      <c r="AE10" s="210">
        <v>4.8197438756221365</v>
      </c>
      <c r="AF10" s="210">
        <v>4.8197438756221365</v>
      </c>
      <c r="AG10" s="210">
        <v>2.4682246557476417</v>
      </c>
      <c r="AH10" s="56">
        <v>2.4682246557476417</v>
      </c>
      <c r="AI10" s="214">
        <f>SUM(AD10:AH10)</f>
        <v>19.395680938361689</v>
      </c>
      <c r="AJ10" s="32"/>
      <c r="AK10" s="29" t="str">
        <f>N10</f>
        <v>01</v>
      </c>
      <c r="AL10" s="29" t="str">
        <f>O10</f>
        <v>Meter Replacement - Meters &lt; 25m3</v>
      </c>
      <c r="AM10" s="214"/>
      <c r="AN10" s="214"/>
      <c r="AO10" s="209">
        <f>AD10*(1-'Real Cost Escalation'!E$25)</f>
        <v>4.8197438756221365</v>
      </c>
      <c r="AP10" s="210">
        <f>AE10*(1-'Real Cost Escalation'!F$25)</f>
        <v>4.8024650938280313</v>
      </c>
      <c r="AQ10" s="210">
        <f>AF10*(1-'Real Cost Escalation'!G$25)</f>
        <v>4.8024031493952997</v>
      </c>
      <c r="AR10" s="210">
        <f>AG10*(1+'Real Cost Escalation'!H$18)</f>
        <v>2.5385182796598529</v>
      </c>
      <c r="AS10" s="56">
        <f>AH10*(1+'Real Cost Escalation'!I$18)</f>
        <v>2.5631742873849346</v>
      </c>
      <c r="AT10" s="214">
        <f>SUM(AO10:AS10)</f>
        <v>19.526304685890256</v>
      </c>
      <c r="AU10" s="66"/>
      <c r="AV10" s="361" t="str">
        <f>Z10</f>
        <v>01</v>
      </c>
      <c r="AW10" s="361" t="str">
        <f>AA10</f>
        <v>Meter Replacement - Meters &lt; 25m3</v>
      </c>
      <c r="AX10" s="215"/>
      <c r="AY10" s="216"/>
      <c r="AZ10" s="210">
        <f t="shared" ref="AZ10:BD11" si="4">AO10-AD10</f>
        <v>0</v>
      </c>
      <c r="BA10" s="210">
        <f t="shared" si="4"/>
        <v>-1.7278781794105136E-2</v>
      </c>
      <c r="BB10" s="210">
        <f t="shared" si="4"/>
        <v>-1.73407262268368E-2</v>
      </c>
      <c r="BC10" s="210">
        <f t="shared" si="4"/>
        <v>7.0293623912211167E-2</v>
      </c>
      <c r="BD10" s="56">
        <f t="shared" si="4"/>
        <v>9.4949631637292864E-2</v>
      </c>
      <c r="BE10" s="214">
        <f>SUM(AZ10:BD10)</f>
        <v>0.1306237475285621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08" t="s">
        <v>414</v>
      </c>
      <c r="G11" s="609" t="s">
        <v>414</v>
      </c>
      <c r="H11" s="609" t="s">
        <v>414</v>
      </c>
      <c r="I11" s="609" t="s">
        <v>414</v>
      </c>
      <c r="J11" s="613" t="s">
        <v>414</v>
      </c>
      <c r="K11" s="17">
        <v>6805</v>
      </c>
      <c r="L11" s="412" t="s">
        <v>382</v>
      </c>
      <c r="M11" s="32"/>
      <c r="N11" s="362" t="str">
        <f>B11</f>
        <v>02</v>
      </c>
      <c r="O11" s="362" t="str">
        <f>C11</f>
        <v>Meter Replacement - Meters &gt; 25m3</v>
      </c>
      <c r="P11" s="512"/>
      <c r="Q11" s="512"/>
      <c r="R11" s="599" t="s">
        <v>414</v>
      </c>
      <c r="S11" s="600" t="s">
        <v>414</v>
      </c>
      <c r="T11" s="600" t="s">
        <v>414</v>
      </c>
      <c r="U11" s="600" t="s">
        <v>414</v>
      </c>
      <c r="V11" s="601" t="s">
        <v>414</v>
      </c>
      <c r="W11" s="512"/>
      <c r="X11" s="514" t="s">
        <v>381</v>
      </c>
      <c r="Y11" s="32"/>
      <c r="Z11" s="362" t="str">
        <f>B11</f>
        <v>02</v>
      </c>
      <c r="AA11" s="362" t="str">
        <f>C11</f>
        <v>Meter Replacement - Meters &gt; 25m3</v>
      </c>
      <c r="AB11" s="218"/>
      <c r="AC11" s="219"/>
      <c r="AD11" s="210">
        <v>2.3365351486824935</v>
      </c>
      <c r="AE11" s="210">
        <v>2.3365351486824935</v>
      </c>
      <c r="AF11" s="210">
        <v>2.3365351486824935</v>
      </c>
      <c r="AG11" s="210">
        <v>2.3365351486824935</v>
      </c>
      <c r="AH11" s="56">
        <v>2.3365351486824935</v>
      </c>
      <c r="AI11" s="214">
        <f>SUM(AD11:AH11)</f>
        <v>11.682675743412467</v>
      </c>
      <c r="AJ11" s="32"/>
      <c r="AK11" s="29" t="str">
        <f>N11</f>
        <v>02</v>
      </c>
      <c r="AL11" s="29" t="str">
        <f>O11</f>
        <v>Meter Replacement - Meters &gt; 25m3</v>
      </c>
      <c r="AM11" s="214"/>
      <c r="AN11" s="214"/>
      <c r="AO11" s="209">
        <f>AD11*(1+'Real Cost Escalation'!E$18)</f>
        <v>2.3522645181486448</v>
      </c>
      <c r="AP11" s="210">
        <f>AE11*(1+'Real Cost Escalation'!F$18)</f>
        <v>2.3657092644277649</v>
      </c>
      <c r="AQ11" s="210">
        <f>AF11*(1+'Real Cost Escalation'!G$18)</f>
        <v>2.3824178457023972</v>
      </c>
      <c r="AR11" s="210">
        <f>AG11*(1+'Real Cost Escalation'!H$18)</f>
        <v>2.4030783308910837</v>
      </c>
      <c r="AS11" s="56">
        <f>AH11*(1+'Real Cost Escalation'!I$18)</f>
        <v>2.4264188434905698</v>
      </c>
      <c r="AT11" s="214">
        <f>SUM(AO11:AS11)</f>
        <v>11.929888802660461</v>
      </c>
      <c r="AU11" s="66"/>
      <c r="AV11" s="362" t="str">
        <f>Z11</f>
        <v>02</v>
      </c>
      <c r="AW11" s="362" t="str">
        <f>AA11</f>
        <v>Meter Replacement - Meters &gt; 25m3</v>
      </c>
      <c r="AX11" s="218"/>
      <c r="AY11" s="219"/>
      <c r="AZ11" s="210">
        <f t="shared" si="4"/>
        <v>1.5729369466151333E-2</v>
      </c>
      <c r="BA11" s="210">
        <f t="shared" si="4"/>
        <v>2.9174115745271401E-2</v>
      </c>
      <c r="BB11" s="210">
        <f t="shared" si="4"/>
        <v>4.5882697019903773E-2</v>
      </c>
      <c r="BC11" s="210">
        <f t="shared" si="4"/>
        <v>6.6543182208590235E-2</v>
      </c>
      <c r="BD11" s="56">
        <f t="shared" si="4"/>
        <v>8.9883694808076342E-2</v>
      </c>
      <c r="BE11" s="214">
        <f>SUM(AZ11:BD11)</f>
        <v>0.24721305924799308</v>
      </c>
      <c r="BF11" s="32"/>
    </row>
    <row r="12" spans="1:58" s="67" customFormat="1" ht="18" customHeight="1" thickBot="1" x14ac:dyDescent="0.25">
      <c r="A12" s="66"/>
      <c r="B12" s="24"/>
      <c r="C12" s="24" t="s">
        <v>78</v>
      </c>
      <c r="D12" s="22"/>
      <c r="E12" s="22"/>
      <c r="F12" s="26">
        <v>37381.946903331343</v>
      </c>
      <c r="G12" s="27">
        <v>37381.946903331343</v>
      </c>
      <c r="H12" s="27">
        <v>37381.946903331343</v>
      </c>
      <c r="I12" s="27">
        <v>19807.579645002981</v>
      </c>
      <c r="J12" s="28">
        <v>19807.579645002981</v>
      </c>
      <c r="K12" s="27">
        <v>151761</v>
      </c>
      <c r="L12" s="2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60"/>
      <c r="AA12" s="360" t="s">
        <v>78</v>
      </c>
      <c r="AB12" s="328"/>
      <c r="AC12" s="328"/>
      <c r="AD12" s="211">
        <f>SUM(AD10:AD11)</f>
        <v>7.1562790243046299</v>
      </c>
      <c r="AE12" s="212">
        <f t="shared" ref="AE12:AI12" si="5">SUM(AE10:AE11)</f>
        <v>7.1562790243046299</v>
      </c>
      <c r="AF12" s="212">
        <f t="shared" si="5"/>
        <v>7.1562790243046299</v>
      </c>
      <c r="AG12" s="212">
        <f t="shared" si="5"/>
        <v>4.8047598044301356</v>
      </c>
      <c r="AH12" s="213">
        <f t="shared" si="5"/>
        <v>4.8047598044301356</v>
      </c>
      <c r="AI12" s="212">
        <f t="shared" si="5"/>
        <v>31.078356681774157</v>
      </c>
      <c r="AJ12" s="32"/>
      <c r="AK12" s="24"/>
      <c r="AL12" s="24" t="s">
        <v>78</v>
      </c>
      <c r="AM12" s="212"/>
      <c r="AN12" s="212"/>
      <c r="AO12" s="211">
        <f>SUM(AO10:AO11)</f>
        <v>7.1720083937707813</v>
      </c>
      <c r="AP12" s="212">
        <f t="shared" ref="AP12:AT12" si="6">SUM(AP10:AP11)</f>
        <v>7.1681743582557962</v>
      </c>
      <c r="AQ12" s="212">
        <f t="shared" si="6"/>
        <v>7.1848209950976969</v>
      </c>
      <c r="AR12" s="212">
        <f t="shared" si="6"/>
        <v>4.9415966105509366</v>
      </c>
      <c r="AS12" s="213">
        <f t="shared" si="6"/>
        <v>4.9895931308755044</v>
      </c>
      <c r="AT12" s="212">
        <f t="shared" si="6"/>
        <v>31.456193488550717</v>
      </c>
      <c r="AU12" s="66"/>
      <c r="AV12" s="360"/>
      <c r="AW12" s="360" t="s">
        <v>78</v>
      </c>
      <c r="AX12" s="328"/>
      <c r="AY12" s="328"/>
      <c r="AZ12" s="211">
        <f>SUM(AZ10:AZ11)</f>
        <v>1.5729369466151333E-2</v>
      </c>
      <c r="BA12" s="212">
        <f t="shared" ref="BA12:BE12" si="7">SUM(BA10:BA11)</f>
        <v>1.1895333951166265E-2</v>
      </c>
      <c r="BB12" s="212">
        <f t="shared" si="7"/>
        <v>2.8541970793066973E-2</v>
      </c>
      <c r="BC12" s="212">
        <f t="shared" si="7"/>
        <v>0.1368368061208014</v>
      </c>
      <c r="BD12" s="213">
        <f t="shared" si="7"/>
        <v>0.18483332644536921</v>
      </c>
      <c r="BE12" s="212">
        <f t="shared" si="7"/>
        <v>0.37783680677655518</v>
      </c>
      <c r="BF12" s="32"/>
    </row>
    <row r="13" spans="1:58" s="67" customFormat="1" ht="18" customHeight="1" x14ac:dyDescent="0.2">
      <c r="A13" s="66"/>
      <c r="B13" s="68"/>
      <c r="C13" s="68" t="s">
        <v>404</v>
      </c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9"/>
      <c r="Q13" s="589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84"/>
      <c r="AC13" s="584"/>
      <c r="AD13" s="66"/>
      <c r="AE13" s="66"/>
      <c r="AF13" s="66"/>
      <c r="AG13" s="66"/>
      <c r="AH13" s="66"/>
      <c r="AI13" s="66"/>
      <c r="AJ13" s="32"/>
      <c r="AK13" s="66"/>
      <c r="AL13" s="66"/>
      <c r="AM13" s="584"/>
      <c r="AN13" s="584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7" t="s">
        <v>179</v>
      </c>
      <c r="C14" s="357"/>
      <c r="D14" s="358"/>
      <c r="E14" s="358"/>
      <c r="F14" s="358"/>
      <c r="G14" s="358"/>
      <c r="H14" s="358"/>
      <c r="I14" s="358"/>
      <c r="J14" s="358"/>
      <c r="K14" s="358"/>
      <c r="L14" s="358"/>
      <c r="M14" s="32"/>
      <c r="N14" s="357" t="s">
        <v>185</v>
      </c>
      <c r="O14" s="357"/>
      <c r="P14" s="358"/>
      <c r="Q14" s="358"/>
      <c r="R14" s="358"/>
      <c r="S14" s="358"/>
      <c r="T14" s="358"/>
      <c r="U14" s="358"/>
      <c r="V14" s="358"/>
      <c r="W14" s="358"/>
      <c r="X14" s="358"/>
      <c r="Y14" s="70"/>
      <c r="Z14" s="357" t="s">
        <v>202</v>
      </c>
      <c r="AA14" s="357"/>
      <c r="AB14" s="358"/>
      <c r="AC14" s="358"/>
      <c r="AD14" s="358"/>
      <c r="AE14" s="358"/>
      <c r="AF14" s="358"/>
      <c r="AG14" s="358"/>
      <c r="AH14" s="358"/>
      <c r="AI14" s="358"/>
      <c r="AJ14" s="32"/>
      <c r="AK14" s="357" t="s">
        <v>317</v>
      </c>
      <c r="AL14" s="357"/>
      <c r="AM14" s="358"/>
      <c r="AN14" s="358"/>
      <c r="AO14" s="358"/>
      <c r="AP14" s="358"/>
      <c r="AQ14" s="358"/>
      <c r="AR14" s="358"/>
      <c r="AS14" s="358"/>
      <c r="AT14" s="358"/>
      <c r="AU14" s="66"/>
      <c r="AV14" s="357" t="s">
        <v>258</v>
      </c>
      <c r="AW14" s="357"/>
      <c r="AX14" s="358"/>
      <c r="AY14" s="358"/>
      <c r="AZ14" s="358"/>
      <c r="BA14" s="358"/>
      <c r="BB14" s="358"/>
      <c r="BC14" s="358"/>
      <c r="BD14" s="358"/>
      <c r="BE14" s="358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175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75</v>
      </c>
      <c r="L16" s="30" t="s">
        <v>104</v>
      </c>
      <c r="M16" s="32"/>
      <c r="N16" s="10" t="s">
        <v>177</v>
      </c>
      <c r="O16" s="11"/>
      <c r="P16" s="3"/>
      <c r="Q16" s="3"/>
      <c r="R16" s="30">
        <v>2018</v>
      </c>
      <c r="S16" s="3">
        <v>2019</v>
      </c>
      <c r="T16" s="3">
        <v>2020</v>
      </c>
      <c r="U16" s="3">
        <v>2021</v>
      </c>
      <c r="V16" s="31">
        <v>2022</v>
      </c>
      <c r="W16" s="3" t="str">
        <f t="shared" ref="W16" si="8">K16</f>
        <v>Total for 
2018-2022</v>
      </c>
      <c r="X16" s="30" t="s">
        <v>104</v>
      </c>
      <c r="Y16" s="66"/>
      <c r="Z16" s="10"/>
      <c r="AA16" s="11"/>
      <c r="AB16" s="3"/>
      <c r="AC16" s="4"/>
      <c r="AD16" s="5">
        <f t="shared" ref="AD16" si="9">R16</f>
        <v>2018</v>
      </c>
      <c r="AE16" s="4">
        <f t="shared" ref="AE16" si="10">S16</f>
        <v>2019</v>
      </c>
      <c r="AF16" s="4">
        <f t="shared" ref="AF16" si="11">T16</f>
        <v>2020</v>
      </c>
      <c r="AG16" s="4">
        <f t="shared" ref="AG16" si="12">U16</f>
        <v>2021</v>
      </c>
      <c r="AH16" s="6">
        <f t="shared" ref="AH16" si="13">V16</f>
        <v>2022</v>
      </c>
      <c r="AI16" s="3" t="str">
        <f t="shared" ref="AI16" si="14">W16</f>
        <v>Total for 
2018-2022</v>
      </c>
      <c r="AJ16" s="32"/>
      <c r="AK16" s="10"/>
      <c r="AL16" s="11"/>
      <c r="AM16" s="304"/>
      <c r="AN16" s="4"/>
      <c r="AO16" s="5">
        <f t="shared" ref="AO16:AT16" si="15">AD16</f>
        <v>2018</v>
      </c>
      <c r="AP16" s="4">
        <f t="shared" si="15"/>
        <v>2019</v>
      </c>
      <c r="AQ16" s="4">
        <f t="shared" si="15"/>
        <v>2020</v>
      </c>
      <c r="AR16" s="4">
        <f t="shared" si="15"/>
        <v>2021</v>
      </c>
      <c r="AS16" s="6">
        <f t="shared" si="15"/>
        <v>2022</v>
      </c>
      <c r="AT16" s="3" t="str">
        <f t="shared" si="15"/>
        <v>Total for 
2018-2022</v>
      </c>
      <c r="AU16" s="66"/>
      <c r="AV16" s="10"/>
      <c r="AW16" s="11"/>
      <c r="AX16" s="3"/>
      <c r="AY16" s="4"/>
      <c r="AZ16" s="5">
        <f t="shared" ref="AZ16:BE16" si="16">AO16</f>
        <v>2018</v>
      </c>
      <c r="BA16" s="4">
        <f t="shared" si="16"/>
        <v>2019</v>
      </c>
      <c r="BB16" s="4">
        <f t="shared" si="16"/>
        <v>2020</v>
      </c>
      <c r="BC16" s="4">
        <f t="shared" si="16"/>
        <v>2021</v>
      </c>
      <c r="BD16" s="6">
        <f t="shared" si="16"/>
        <v>2022</v>
      </c>
      <c r="BE16" s="3" t="str">
        <f t="shared" si="16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05" t="s">
        <v>414</v>
      </c>
      <c r="G17" s="606" t="s">
        <v>414</v>
      </c>
      <c r="H17" s="606" t="s">
        <v>414</v>
      </c>
      <c r="I17" s="606" t="s">
        <v>414</v>
      </c>
      <c r="J17" s="607" t="s">
        <v>414</v>
      </c>
      <c r="K17" s="15">
        <v>10200</v>
      </c>
      <c r="L17" s="412" t="s">
        <v>407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96" t="s">
        <v>414</v>
      </c>
      <c r="S17" s="597" t="s">
        <v>414</v>
      </c>
      <c r="T17" s="597" t="s">
        <v>414</v>
      </c>
      <c r="U17" s="597" t="s">
        <v>414</v>
      </c>
      <c r="V17" s="598" t="s">
        <v>414</v>
      </c>
      <c r="W17" s="41"/>
      <c r="X17" s="412" t="s">
        <v>381</v>
      </c>
      <c r="Y17" s="66"/>
      <c r="Z17" s="29" t="str">
        <f t="shared" ref="Z17:Z21" si="17">B17</f>
        <v>03</v>
      </c>
      <c r="AA17" s="29" t="str">
        <f t="shared" ref="AA17:AA21" si="18">C17</f>
        <v>Mains Replacement - General Trunk Replacement</v>
      </c>
      <c r="AB17" s="214"/>
      <c r="AC17" s="214"/>
      <c r="AD17" s="209">
        <v>2.08</v>
      </c>
      <c r="AE17" s="210">
        <v>2.08</v>
      </c>
      <c r="AF17" s="210">
        <v>2.08</v>
      </c>
      <c r="AG17" s="210">
        <v>1.6</v>
      </c>
      <c r="AH17" s="56">
        <v>0.32</v>
      </c>
      <c r="AI17" s="214">
        <f>SUM(AD17:AH17)</f>
        <v>8.16</v>
      </c>
      <c r="AJ17" s="32"/>
      <c r="AK17" s="29" t="str">
        <f t="shared" ref="AK17:AK23" si="19">N17</f>
        <v>03</v>
      </c>
      <c r="AL17" s="29" t="str">
        <f t="shared" ref="AL17:AL23" si="20">O17</f>
        <v>Mains Replacement - General Trunk Replacement</v>
      </c>
      <c r="AM17" s="62"/>
      <c r="AN17" s="210"/>
      <c r="AO17" s="209">
        <f>AD17*(1+'Real Cost Escalation'!E$18)</f>
        <v>2.0940023951739155</v>
      </c>
      <c r="AP17" s="210">
        <f>AE17*(1+'Real Cost Escalation'!F$18)</f>
        <v>2.1059710027406955</v>
      </c>
      <c r="AQ17" s="210">
        <f>AF17*(1+'Real Cost Escalation'!G$18)</f>
        <v>2.12084509914401</v>
      </c>
      <c r="AR17" s="210">
        <f>AG17*(1+'Real Cost Escalation'!H$18)</f>
        <v>1.6455670832059939</v>
      </c>
      <c r="AS17" s="56">
        <f>AH17*(1+'Real Cost Escalation'!I$18)</f>
        <v>0.33231001483320421</v>
      </c>
      <c r="AT17" s="214">
        <f>SUM(AO17:AS17)</f>
        <v>8.2986955950978185</v>
      </c>
      <c r="AU17" s="66"/>
      <c r="AV17" s="29" t="str">
        <f t="shared" ref="AV17:AV23" si="21">Z17</f>
        <v>03</v>
      </c>
      <c r="AW17" s="29" t="str">
        <f t="shared" ref="AW17:AW23" si="22">AA17</f>
        <v>Mains Replacement - General Trunk Replacement</v>
      </c>
      <c r="AX17" s="214"/>
      <c r="AY17" s="214"/>
      <c r="AZ17" s="209">
        <f t="shared" ref="AZ17:AZ23" si="23">AO17-AD17</f>
        <v>1.4002395173915438E-2</v>
      </c>
      <c r="BA17" s="210">
        <f t="shared" ref="BA17:BA23" si="24">AP17-AE17</f>
        <v>2.5971002740695415E-2</v>
      </c>
      <c r="BB17" s="210">
        <f t="shared" ref="BB17:BB23" si="25">AQ17-AF17</f>
        <v>4.0845099144009911E-2</v>
      </c>
      <c r="BC17" s="210">
        <f t="shared" ref="BC17:BC23" si="26">AR17-AG17</f>
        <v>4.5567083205993786E-2</v>
      </c>
      <c r="BD17" s="56">
        <f t="shared" ref="BD17:BD23" si="27">AS17-AH17</f>
        <v>1.2310014833204208E-2</v>
      </c>
      <c r="BE17" s="214">
        <f>SUM(AZ17:BD17)</f>
        <v>0.13869559509781876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08" t="s">
        <v>414</v>
      </c>
      <c r="G18" s="609" t="s">
        <v>414</v>
      </c>
      <c r="H18" s="609" t="s">
        <v>414</v>
      </c>
      <c r="I18" s="609" t="s">
        <v>414</v>
      </c>
      <c r="J18" s="609" t="s">
        <v>414</v>
      </c>
      <c r="K18" s="16">
        <v>32400</v>
      </c>
      <c r="L18" s="412" t="s">
        <v>407</v>
      </c>
      <c r="M18" s="32"/>
      <c r="N18" s="29" t="str">
        <f t="shared" ref="N18:N23" si="28">B18</f>
        <v>04</v>
      </c>
      <c r="O18" s="29" t="str">
        <f t="shared" ref="O18:O23" si="29">C18</f>
        <v>Mains Replacement - Decommissioned Trunk Replacement</v>
      </c>
      <c r="P18" s="41"/>
      <c r="Q18" s="41"/>
      <c r="R18" s="596" t="s">
        <v>414</v>
      </c>
      <c r="S18" s="597" t="s">
        <v>414</v>
      </c>
      <c r="T18" s="597" t="s">
        <v>414</v>
      </c>
      <c r="U18" s="597" t="s">
        <v>414</v>
      </c>
      <c r="V18" s="598" t="s">
        <v>414</v>
      </c>
      <c r="W18" s="41"/>
      <c r="X18" s="412" t="s">
        <v>381</v>
      </c>
      <c r="Y18" s="66"/>
      <c r="Z18" s="29" t="str">
        <f t="shared" si="17"/>
        <v>04</v>
      </c>
      <c r="AA18" s="29" t="str">
        <f t="shared" si="18"/>
        <v>Mains Replacement - Decommissioned Trunk Replacement</v>
      </c>
      <c r="AB18" s="214"/>
      <c r="AC18" s="214"/>
      <c r="AD18" s="209">
        <v>1.2474000000000001</v>
      </c>
      <c r="AE18" s="210">
        <v>1.2474000000000001</v>
      </c>
      <c r="AF18" s="210">
        <v>1.2474000000000001</v>
      </c>
      <c r="AG18" s="210">
        <v>1.2474000000000001</v>
      </c>
      <c r="AH18" s="56">
        <v>0</v>
      </c>
      <c r="AI18" s="214">
        <f t="shared" ref="AI18:AI23" si="30">SUM(AD18:AH18)</f>
        <v>4.9896000000000003</v>
      </c>
      <c r="AJ18" s="32"/>
      <c r="AK18" s="29" t="str">
        <f t="shared" si="19"/>
        <v>04</v>
      </c>
      <c r="AL18" s="29" t="str">
        <f t="shared" si="20"/>
        <v>Mains Replacement - Decommissioned Trunk Replacement</v>
      </c>
      <c r="AM18" s="214"/>
      <c r="AN18" s="214"/>
      <c r="AO18" s="209">
        <f>AD18*(1+'Real Cost Escalation'!E$18)</f>
        <v>1.2557973979518953</v>
      </c>
      <c r="AP18" s="210">
        <f>AE18*(1+'Real Cost Escalation'!F$18)</f>
        <v>1.2629751100090114</v>
      </c>
      <c r="AQ18" s="210">
        <f>AF18*(1+'Real Cost Escalation'!G$18)</f>
        <v>1.2718952772462682</v>
      </c>
      <c r="AR18" s="210">
        <f>AG18*(1+'Real Cost Escalation'!H$18)</f>
        <v>1.2829252372444728</v>
      </c>
      <c r="AS18" s="56">
        <f>AH18*(1+'Real Cost Escalation'!I$18)</f>
        <v>0</v>
      </c>
      <c r="AT18" s="214">
        <f t="shared" ref="AT18:AT23" si="31">SUM(AO18:AS18)</f>
        <v>5.0735930224516474</v>
      </c>
      <c r="AU18" s="66"/>
      <c r="AV18" s="29" t="str">
        <f t="shared" si="21"/>
        <v>04</v>
      </c>
      <c r="AW18" s="29" t="str">
        <f t="shared" si="22"/>
        <v>Mains Replacement - Decommissioned Trunk Replacement</v>
      </c>
      <c r="AX18" s="214"/>
      <c r="AY18" s="214"/>
      <c r="AZ18" s="209">
        <f t="shared" si="23"/>
        <v>8.3973979518952024E-3</v>
      </c>
      <c r="BA18" s="210">
        <f t="shared" si="24"/>
        <v>1.557511000901135E-2</v>
      </c>
      <c r="BB18" s="210">
        <f t="shared" si="25"/>
        <v>2.4495277246268099E-2</v>
      </c>
      <c r="BC18" s="210">
        <f t="shared" si="26"/>
        <v>3.5525237244472763E-2</v>
      </c>
      <c r="BD18" s="56">
        <f t="shared" si="27"/>
        <v>0</v>
      </c>
      <c r="BE18" s="214">
        <f t="shared" ref="BE18:BE23" si="32">SUM(AZ18:BD18)</f>
        <v>8.3993022451647414E-2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08" t="s">
        <v>414</v>
      </c>
      <c r="G19" s="609" t="s">
        <v>414</v>
      </c>
      <c r="H19" s="609" t="s">
        <v>414</v>
      </c>
      <c r="I19" s="609" t="s">
        <v>414</v>
      </c>
      <c r="J19" s="609" t="s">
        <v>414</v>
      </c>
      <c r="K19" s="16">
        <v>2000</v>
      </c>
      <c r="L19" s="412" t="s">
        <v>407</v>
      </c>
      <c r="M19" s="32"/>
      <c r="N19" s="29" t="str">
        <f t="shared" si="28"/>
        <v>05</v>
      </c>
      <c r="O19" s="29" t="str">
        <f t="shared" si="29"/>
        <v>Mains Replacement - Piecemeal Replacement</v>
      </c>
      <c r="P19" s="43"/>
      <c r="Q19" s="43"/>
      <c r="R19" s="596" t="s">
        <v>414</v>
      </c>
      <c r="S19" s="597" t="s">
        <v>414</v>
      </c>
      <c r="T19" s="597" t="s">
        <v>414</v>
      </c>
      <c r="U19" s="597" t="s">
        <v>414</v>
      </c>
      <c r="V19" s="598" t="s">
        <v>414</v>
      </c>
      <c r="W19" s="41"/>
      <c r="X19" s="412" t="s">
        <v>381</v>
      </c>
      <c r="Y19" s="66"/>
      <c r="Z19" s="29" t="str">
        <f t="shared" si="17"/>
        <v>05</v>
      </c>
      <c r="AA19" s="29" t="str">
        <f t="shared" si="18"/>
        <v>Mains Replacement - Piecemeal Replacement</v>
      </c>
      <c r="AB19" s="214"/>
      <c r="AC19" s="214"/>
      <c r="AD19" s="209">
        <v>0.27443504825373616</v>
      </c>
      <c r="AE19" s="210">
        <v>0.27443504825373616</v>
      </c>
      <c r="AF19" s="210">
        <v>0.27443504825373616</v>
      </c>
      <c r="AG19" s="210">
        <v>0.27443504825373616</v>
      </c>
      <c r="AH19" s="56">
        <v>0</v>
      </c>
      <c r="AI19" s="214">
        <f t="shared" si="30"/>
        <v>1.0977401930149446</v>
      </c>
      <c r="AJ19" s="32"/>
      <c r="AK19" s="29" t="str">
        <f t="shared" si="19"/>
        <v>05</v>
      </c>
      <c r="AL19" s="29" t="str">
        <f t="shared" si="20"/>
        <v>Mains Replacement - Piecemeal Replacement</v>
      </c>
      <c r="AM19" s="214"/>
      <c r="AN19" s="214"/>
      <c r="AO19" s="209">
        <f>AD19*(1-'Real Cost Escalation'!E$25)</f>
        <v>0.27443504825373616</v>
      </c>
      <c r="AP19" s="210">
        <f>AE19*(1-'Real Cost Escalation'!F$25)</f>
        <v>0.27345119860574651</v>
      </c>
      <c r="AQ19" s="210">
        <f>AF19*(1-'Real Cost Escalation'!G$25)</f>
        <v>0.27344767150475846</v>
      </c>
      <c r="AR19" s="210">
        <f>AG19*(1+'Real Cost Escalation'!H$18)</f>
        <v>0.28225080117774798</v>
      </c>
      <c r="AS19" s="56">
        <f>AH19*(1+'Real Cost Escalation'!I$18)</f>
        <v>0</v>
      </c>
      <c r="AT19" s="214">
        <f>SUM(AO19:AS19)</f>
        <v>1.1035847195419892</v>
      </c>
      <c r="AU19" s="66"/>
      <c r="AV19" s="29" t="str">
        <f t="shared" si="21"/>
        <v>05</v>
      </c>
      <c r="AW19" s="29" t="str">
        <f t="shared" si="22"/>
        <v>Mains Replacement - Piecemeal Replacement</v>
      </c>
      <c r="AX19" s="214"/>
      <c r="AY19" s="214"/>
      <c r="AZ19" s="209">
        <f t="shared" si="23"/>
        <v>0</v>
      </c>
      <c r="BA19" s="210">
        <f t="shared" si="24"/>
        <v>-9.8384964798964303E-4</v>
      </c>
      <c r="BB19" s="210">
        <f t="shared" si="25"/>
        <v>-9.8737674897769745E-4</v>
      </c>
      <c r="BC19" s="210">
        <f t="shared" si="26"/>
        <v>7.8157529240118206E-3</v>
      </c>
      <c r="BD19" s="56">
        <f t="shared" si="27"/>
        <v>0</v>
      </c>
      <c r="BE19" s="214">
        <f t="shared" si="32"/>
        <v>5.8445265270444802E-3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08" t="s">
        <v>414</v>
      </c>
      <c r="G20" s="609" t="s">
        <v>414</v>
      </c>
      <c r="H20" s="609" t="s">
        <v>414</v>
      </c>
      <c r="I20" s="609" t="s">
        <v>414</v>
      </c>
      <c r="J20" s="609" t="s">
        <v>414</v>
      </c>
      <c r="K20" s="16">
        <v>10000</v>
      </c>
      <c r="L20" s="412" t="s">
        <v>407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96" t="s">
        <v>414</v>
      </c>
      <c r="S20" s="597" t="s">
        <v>414</v>
      </c>
      <c r="T20" s="597" t="s">
        <v>414</v>
      </c>
      <c r="U20" s="597" t="s">
        <v>414</v>
      </c>
      <c r="V20" s="598" t="s">
        <v>414</v>
      </c>
      <c r="W20" s="41"/>
      <c r="X20" s="412" t="s">
        <v>381</v>
      </c>
      <c r="Y20" s="66"/>
      <c r="Z20" s="29" t="str">
        <f>B20</f>
        <v>06</v>
      </c>
      <c r="AA20" s="29" t="str">
        <f>C20</f>
        <v>Mains Replacement - HDPE Replacement</v>
      </c>
      <c r="AB20" s="214"/>
      <c r="AC20" s="214"/>
      <c r="AD20" s="209">
        <v>1.0977401930149446</v>
      </c>
      <c r="AE20" s="210">
        <v>1.0977401930149446</v>
      </c>
      <c r="AF20" s="210">
        <v>1.0977401930149446</v>
      </c>
      <c r="AG20" s="210">
        <v>1.0977401930149446</v>
      </c>
      <c r="AH20" s="56">
        <v>1.0977401930149446</v>
      </c>
      <c r="AI20" s="214">
        <f>SUM(AD20:AH20)</f>
        <v>5.4887009650747229</v>
      </c>
      <c r="AJ20" s="32"/>
      <c r="AK20" s="29" t="str">
        <f>N20</f>
        <v>06</v>
      </c>
      <c r="AL20" s="29" t="str">
        <f>O20</f>
        <v>Mains Replacement - HDPE Replacement</v>
      </c>
      <c r="AM20" s="214"/>
      <c r="AN20" s="214"/>
      <c r="AO20" s="209">
        <f>AD20*(1-'Real Cost Escalation'!E$25)</f>
        <v>1.0977401930149446</v>
      </c>
      <c r="AP20" s="210">
        <f>AE20*(1-'Real Cost Escalation'!F$25)</f>
        <v>1.0938047944229861</v>
      </c>
      <c r="AQ20" s="210">
        <f>AF20*(1-'Real Cost Escalation'!G$25)</f>
        <v>1.0937906860190338</v>
      </c>
      <c r="AR20" s="210">
        <f>AG20*(1+'Real Cost Escalation'!H$18)</f>
        <v>1.1290032047109919</v>
      </c>
      <c r="AS20" s="56">
        <f>AH20*(1+'Real Cost Escalation'!I$18)</f>
        <v>1.1399689369493771</v>
      </c>
      <c r="AT20" s="214">
        <f>SUM(AO20:AS20)</f>
        <v>5.5543078151173342</v>
      </c>
      <c r="AU20" s="66"/>
      <c r="AV20" s="29" t="str">
        <f>Z20</f>
        <v>06</v>
      </c>
      <c r="AW20" s="29" t="str">
        <f>AA20</f>
        <v>Mains Replacement - HDPE Replacement</v>
      </c>
      <c r="AX20" s="214"/>
      <c r="AY20" s="214"/>
      <c r="AZ20" s="209">
        <f t="shared" ref="AZ20:BD20" si="33">AO20-AD20</f>
        <v>0</v>
      </c>
      <c r="BA20" s="210">
        <f t="shared" si="33"/>
        <v>-3.9353985919585721E-3</v>
      </c>
      <c r="BB20" s="210">
        <f t="shared" si="33"/>
        <v>-3.9495069959107898E-3</v>
      </c>
      <c r="BC20" s="210">
        <f t="shared" si="33"/>
        <v>3.1263011696047283E-2</v>
      </c>
      <c r="BD20" s="56">
        <f t="shared" si="33"/>
        <v>4.2228743934432433E-2</v>
      </c>
      <c r="BE20" s="214">
        <f>SUM(AZ20:BD20)</f>
        <v>6.5606850042610354E-2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08" t="s">
        <v>414</v>
      </c>
      <c r="G21" s="609" t="s">
        <v>414</v>
      </c>
      <c r="H21" s="609" t="s">
        <v>414</v>
      </c>
      <c r="I21" s="609" t="s">
        <v>414</v>
      </c>
      <c r="J21" s="609" t="s">
        <v>414</v>
      </c>
      <c r="K21" s="16">
        <v>178458</v>
      </c>
      <c r="L21" s="412" t="s">
        <v>407</v>
      </c>
      <c r="M21" s="32"/>
      <c r="N21" s="29" t="str">
        <f t="shared" si="28"/>
        <v>07</v>
      </c>
      <c r="O21" s="29" t="str">
        <f t="shared" si="29"/>
        <v>Mains Replacement - HDICS Block Replacement</v>
      </c>
      <c r="P21" s="41"/>
      <c r="Q21" s="41"/>
      <c r="R21" s="596" t="s">
        <v>414</v>
      </c>
      <c r="S21" s="597" t="s">
        <v>414</v>
      </c>
      <c r="T21" s="597" t="s">
        <v>414</v>
      </c>
      <c r="U21" s="597" t="s">
        <v>414</v>
      </c>
      <c r="V21" s="598" t="s">
        <v>414</v>
      </c>
      <c r="W21" s="41"/>
      <c r="X21" s="412" t="s">
        <v>381</v>
      </c>
      <c r="Y21" s="66"/>
      <c r="Z21" s="29" t="str">
        <f t="shared" si="17"/>
        <v>07</v>
      </c>
      <c r="AA21" s="29" t="str">
        <f t="shared" si="18"/>
        <v>Mains Replacement - HDICS Block Replacement</v>
      </c>
      <c r="AB21" s="214"/>
      <c r="AC21" s="214"/>
      <c r="AD21" s="209">
        <v>19.935182651178454</v>
      </c>
      <c r="AE21" s="210">
        <v>19.935182651178454</v>
      </c>
      <c r="AF21" s="210">
        <v>19.935182651178454</v>
      </c>
      <c r="AG21" s="210">
        <v>19.935182651178454</v>
      </c>
      <c r="AH21" s="56">
        <v>0</v>
      </c>
      <c r="AI21" s="214">
        <f t="shared" si="30"/>
        <v>79.740730604713818</v>
      </c>
      <c r="AJ21" s="32"/>
      <c r="AK21" s="29" t="str">
        <f t="shared" si="19"/>
        <v>07</v>
      </c>
      <c r="AL21" s="29" t="str">
        <f t="shared" si="20"/>
        <v>Mains Replacement - HDICS Block Replacement</v>
      </c>
      <c r="AM21" s="214"/>
      <c r="AN21" s="214"/>
      <c r="AO21" s="209">
        <f>AD21*(1+'Real Cost Escalation'!E$18)</f>
        <v>20.069384721056331</v>
      </c>
      <c r="AP21" s="210">
        <f>AE21*(1+'Real Cost Escalation'!F$18)</f>
        <v>20.184094518135197</v>
      </c>
      <c r="AQ21" s="210">
        <f>AF21*(1+'Real Cost Escalation'!G$18)</f>
        <v>20.326651166486783</v>
      </c>
      <c r="AR21" s="210">
        <f>AG21*(1+'Real Cost Escalation'!H$18)</f>
        <v>20.502925230299034</v>
      </c>
      <c r="AS21" s="56">
        <f>AH21*(1+'Real Cost Escalation'!I$18)</f>
        <v>0</v>
      </c>
      <c r="AT21" s="214">
        <f t="shared" si="31"/>
        <v>81.083055635977345</v>
      </c>
      <c r="AU21" s="66"/>
      <c r="AV21" s="29" t="str">
        <f t="shared" si="21"/>
        <v>07</v>
      </c>
      <c r="AW21" s="29" t="str">
        <f t="shared" si="22"/>
        <v>Mains Replacement - HDICS Block Replacement</v>
      </c>
      <c r="AX21" s="214"/>
      <c r="AY21" s="214"/>
      <c r="AZ21" s="209">
        <f t="shared" si="23"/>
        <v>0.13420206987787608</v>
      </c>
      <c r="BA21" s="210">
        <f t="shared" si="24"/>
        <v>0.2489118669567425</v>
      </c>
      <c r="BB21" s="210">
        <f t="shared" si="25"/>
        <v>0.39146851530832905</v>
      </c>
      <c r="BC21" s="210">
        <f t="shared" si="26"/>
        <v>0.5677425791205799</v>
      </c>
      <c r="BD21" s="56">
        <f t="shared" si="27"/>
        <v>0</v>
      </c>
      <c r="BE21" s="214">
        <f t="shared" si="32"/>
        <v>1.3423250312635275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08" t="s">
        <v>414</v>
      </c>
      <c r="G22" s="609" t="s">
        <v>414</v>
      </c>
      <c r="H22" s="609" t="s">
        <v>414</v>
      </c>
      <c r="I22" s="609" t="s">
        <v>414</v>
      </c>
      <c r="J22" s="609" t="s">
        <v>414</v>
      </c>
      <c r="K22" s="16">
        <v>36874</v>
      </c>
      <c r="L22" s="412" t="s">
        <v>407</v>
      </c>
      <c r="M22" s="32"/>
      <c r="N22" s="29" t="str">
        <f t="shared" ref="N22" si="34">B22</f>
        <v>08</v>
      </c>
      <c r="O22" s="29" t="str">
        <f t="shared" ref="O22" si="35">C22</f>
        <v>Mains Replacement - LDS Block Replacement</v>
      </c>
      <c r="P22" s="41"/>
      <c r="Q22" s="41"/>
      <c r="R22" s="596" t="s">
        <v>414</v>
      </c>
      <c r="S22" s="597" t="s">
        <v>414</v>
      </c>
      <c r="T22" s="597" t="s">
        <v>414</v>
      </c>
      <c r="U22" s="597" t="s">
        <v>414</v>
      </c>
      <c r="V22" s="598" t="s">
        <v>414</v>
      </c>
      <c r="W22" s="41"/>
      <c r="X22" s="412" t="s">
        <v>381</v>
      </c>
      <c r="Y22" s="66"/>
      <c r="Z22" s="29" t="str">
        <f t="shared" ref="Z22" si="36">B22</f>
        <v>08</v>
      </c>
      <c r="AA22" s="29" t="str">
        <f t="shared" ref="AA22" si="37">C22</f>
        <v>Mains Replacement - LDS Block Replacement</v>
      </c>
      <c r="AB22" s="214"/>
      <c r="AC22" s="214"/>
      <c r="AD22" s="209">
        <v>3.3204327568460243</v>
      </c>
      <c r="AE22" s="210">
        <v>3.3204327568460243</v>
      </c>
      <c r="AF22" s="210">
        <v>3.3204327568460243</v>
      </c>
      <c r="AG22" s="210">
        <v>3.3204327568460243</v>
      </c>
      <c r="AH22" s="56">
        <v>0</v>
      </c>
      <c r="AI22" s="214">
        <f t="shared" ref="AI22" si="38">SUM(AD22:AH22)</f>
        <v>13.281731027384097</v>
      </c>
      <c r="AJ22" s="32"/>
      <c r="AK22" s="29" t="str">
        <f t="shared" ref="AK22" si="39">N22</f>
        <v>08</v>
      </c>
      <c r="AL22" s="29" t="str">
        <f t="shared" ref="AL22" si="40">O22</f>
        <v>Mains Replacement - LDS Block Replacement</v>
      </c>
      <c r="AM22" s="214"/>
      <c r="AN22" s="214"/>
      <c r="AO22" s="209">
        <f>AD22*(1+'Real Cost Escalation'!E$18)</f>
        <v>3.3427856470430295</v>
      </c>
      <c r="AP22" s="210">
        <f>AE22*(1+'Real Cost Escalation'!F$18)</f>
        <v>3.3618918761865739</v>
      </c>
      <c r="AQ22" s="210">
        <f>AF22*(1+'Real Cost Escalation'!G$18)</f>
        <v>3.3856363170164059</v>
      </c>
      <c r="AR22" s="210">
        <f>AG22*(1+'Real Cost Escalation'!H$18)</f>
        <v>3.4149967791654681</v>
      </c>
      <c r="AS22" s="56">
        <f>AH22*(1+'Real Cost Escalation'!I$18)</f>
        <v>0</v>
      </c>
      <c r="AT22" s="214">
        <f t="shared" ref="AT22" si="41">SUM(AO22:AS22)</f>
        <v>13.505310619411478</v>
      </c>
      <c r="AU22" s="66"/>
      <c r="AV22" s="29" t="str">
        <f t="shared" ref="AV22" si="42">Z22</f>
        <v>08</v>
      </c>
      <c r="AW22" s="29" t="str">
        <f t="shared" ref="AW22" si="43">AA22</f>
        <v>Mains Replacement - LDS Block Replacement</v>
      </c>
      <c r="AX22" s="214"/>
      <c r="AY22" s="214"/>
      <c r="AZ22" s="209">
        <f t="shared" ref="AZ22" si="44">AO22-AD22</f>
        <v>2.2352890197005149E-2</v>
      </c>
      <c r="BA22" s="210">
        <f t="shared" ref="BA22" si="45">AP22-AE22</f>
        <v>4.1459119340549577E-2</v>
      </c>
      <c r="BB22" s="210">
        <f t="shared" ref="BB22" si="46">AQ22-AF22</f>
        <v>6.5203560170381536E-2</v>
      </c>
      <c r="BC22" s="210">
        <f t="shared" ref="BC22" si="47">AR22-AG22</f>
        <v>9.4564022319443719E-2</v>
      </c>
      <c r="BD22" s="56">
        <f t="shared" ref="BD22" si="48">AS22-AH22</f>
        <v>0</v>
      </c>
      <c r="BE22" s="214">
        <f t="shared" ref="BE22" si="49">SUM(AZ22:BD22)</f>
        <v>0.22357959202737998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08" t="s">
        <v>414</v>
      </c>
      <c r="G23" s="609" t="s">
        <v>414</v>
      </c>
      <c r="H23" s="609" t="s">
        <v>414</v>
      </c>
      <c r="I23" s="609" t="s">
        <v>414</v>
      </c>
      <c r="J23" s="609" t="s">
        <v>414</v>
      </c>
      <c r="K23" s="16">
        <v>25300</v>
      </c>
      <c r="L23" s="412" t="s">
        <v>407</v>
      </c>
      <c r="M23" s="32"/>
      <c r="N23" s="29" t="str">
        <f t="shared" si="28"/>
        <v>09</v>
      </c>
      <c r="O23" s="29" t="str">
        <f t="shared" si="29"/>
        <v>Mains Replacement - CBD Block Replacement</v>
      </c>
      <c r="P23" s="41"/>
      <c r="Q23" s="41"/>
      <c r="R23" s="596" t="s">
        <v>414</v>
      </c>
      <c r="S23" s="597" t="s">
        <v>414</v>
      </c>
      <c r="T23" s="597" t="s">
        <v>414</v>
      </c>
      <c r="U23" s="597" t="s">
        <v>414</v>
      </c>
      <c r="V23" s="598" t="s">
        <v>414</v>
      </c>
      <c r="W23" s="41"/>
      <c r="X23" s="412" t="s">
        <v>381</v>
      </c>
      <c r="Y23" s="66"/>
      <c r="Z23" s="29" t="str">
        <f t="shared" ref="Z23:Z24" si="50">B23</f>
        <v>09</v>
      </c>
      <c r="AA23" s="29" t="str">
        <f t="shared" ref="AA23:AA24" si="51">C23</f>
        <v>Mains Replacement - CBD Block Replacement</v>
      </c>
      <c r="AB23" s="214"/>
      <c r="AC23" s="214"/>
      <c r="AD23" s="209">
        <v>6.02</v>
      </c>
      <c r="AE23" s="210">
        <v>6.02</v>
      </c>
      <c r="AF23" s="210">
        <v>6.02</v>
      </c>
      <c r="AG23" s="210">
        <v>6.1403999999999996</v>
      </c>
      <c r="AH23" s="56">
        <v>6.2607999999999997</v>
      </c>
      <c r="AI23" s="214">
        <f t="shared" si="30"/>
        <v>30.461199999999998</v>
      </c>
      <c r="AJ23" s="32"/>
      <c r="AK23" s="29" t="str">
        <f t="shared" si="19"/>
        <v>09</v>
      </c>
      <c r="AL23" s="29" t="str">
        <f t="shared" si="20"/>
        <v>Mains Replacement - CBD Block Replacement</v>
      </c>
      <c r="AM23" s="214"/>
      <c r="AN23" s="214"/>
      <c r="AO23" s="209">
        <f>AD23*(1+'Real Cost Escalation'!E$18)</f>
        <v>6.0605261629552736</v>
      </c>
      <c r="AP23" s="210">
        <f>AE23*(1+'Real Cost Escalation'!F$18)</f>
        <v>6.0951660752398977</v>
      </c>
      <c r="AQ23" s="210">
        <f>AF23*(1+'Real Cost Escalation'!G$18)</f>
        <v>6.1382151427148735</v>
      </c>
      <c r="AR23" s="210">
        <f>AG23*(1+'Real Cost Escalation'!H$18)</f>
        <v>6.3152750735738019</v>
      </c>
      <c r="AS23" s="56">
        <f>AH23*(1+'Real Cost Escalation'!I$18)</f>
        <v>6.5016454402116395</v>
      </c>
      <c r="AT23" s="214">
        <f t="shared" si="31"/>
        <v>31.110827894695486</v>
      </c>
      <c r="AU23" s="66"/>
      <c r="AV23" s="29" t="str">
        <f t="shared" si="21"/>
        <v>09</v>
      </c>
      <c r="AW23" s="29" t="str">
        <f t="shared" si="22"/>
        <v>Mains Replacement - CBD Block Replacement</v>
      </c>
      <c r="AX23" s="214"/>
      <c r="AY23" s="214"/>
      <c r="AZ23" s="209">
        <f t="shared" si="23"/>
        <v>4.0526162955274003E-2</v>
      </c>
      <c r="BA23" s="210">
        <f t="shared" si="24"/>
        <v>7.5166075239898156E-2</v>
      </c>
      <c r="BB23" s="210">
        <f t="shared" si="25"/>
        <v>0.11821514271487388</v>
      </c>
      <c r="BC23" s="210">
        <f t="shared" si="26"/>
        <v>0.17487507357380228</v>
      </c>
      <c r="BD23" s="56">
        <f t="shared" si="27"/>
        <v>0.24084544021163978</v>
      </c>
      <c r="BE23" s="214">
        <f t="shared" si="32"/>
        <v>0.6496278946954881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08" t="s">
        <v>414</v>
      </c>
      <c r="G24" s="609" t="s">
        <v>414</v>
      </c>
      <c r="H24" s="609" t="s">
        <v>414</v>
      </c>
      <c r="I24" s="609" t="s">
        <v>414</v>
      </c>
      <c r="J24" s="609" t="s">
        <v>414</v>
      </c>
      <c r="K24" s="61">
        <v>1600</v>
      </c>
      <c r="L24" s="412" t="s">
        <v>407</v>
      </c>
      <c r="M24" s="32"/>
      <c r="N24" s="362" t="str">
        <f t="shared" ref="N24" si="52">B24</f>
        <v>10</v>
      </c>
      <c r="O24" s="362" t="str">
        <f t="shared" ref="O24" si="53">C24</f>
        <v>Mains Replacement - CBD Trunk Replacement</v>
      </c>
      <c r="P24" s="512"/>
      <c r="Q24" s="512"/>
      <c r="R24" s="599" t="s">
        <v>414</v>
      </c>
      <c r="S24" s="600" t="s">
        <v>414</v>
      </c>
      <c r="T24" s="600" t="s">
        <v>414</v>
      </c>
      <c r="U24" s="600" t="s">
        <v>414</v>
      </c>
      <c r="V24" s="601" t="s">
        <v>414</v>
      </c>
      <c r="W24" s="512"/>
      <c r="X24" s="514" t="s">
        <v>381</v>
      </c>
      <c r="Y24" s="66"/>
      <c r="Z24" s="29" t="str">
        <f t="shared" si="50"/>
        <v>10</v>
      </c>
      <c r="AA24" s="29" t="str">
        <f t="shared" si="51"/>
        <v>Mains Replacement - CBD Trunk Replacement</v>
      </c>
      <c r="AB24" s="214"/>
      <c r="AC24" s="214"/>
      <c r="AD24" s="209">
        <v>0</v>
      </c>
      <c r="AE24" s="210">
        <v>1.9290381600000002</v>
      </c>
      <c r="AF24" s="210">
        <v>1.9290381600000002</v>
      </c>
      <c r="AG24" s="210">
        <v>0</v>
      </c>
      <c r="AH24" s="56">
        <v>0</v>
      </c>
      <c r="AI24" s="214">
        <f t="shared" ref="AI24" si="54">SUM(AD24:AH24)</f>
        <v>3.8580763200000003</v>
      </c>
      <c r="AJ24" s="32"/>
      <c r="AK24" s="29" t="str">
        <f t="shared" ref="AK24" si="55">N24</f>
        <v>10</v>
      </c>
      <c r="AL24" s="29" t="str">
        <f t="shared" ref="AL24" si="56">O24</f>
        <v>Mains Replacement - CBD Trunk Replacement</v>
      </c>
      <c r="AM24" s="214"/>
      <c r="AN24" s="214"/>
      <c r="AO24" s="209">
        <f>AD24*(1+'Real Cost Escalation'!E$18)</f>
        <v>0</v>
      </c>
      <c r="AP24" s="210">
        <f>AE24*(1+'Real Cost Escalation'!F$18)</f>
        <v>1.9531242442982051</v>
      </c>
      <c r="AQ24" s="210">
        <f>AF24*(1+'Real Cost Escalation'!G$18)</f>
        <v>1.9669188113931626</v>
      </c>
      <c r="AR24" s="210">
        <f>AG24*(1+'Real Cost Escalation'!H$18)</f>
        <v>0</v>
      </c>
      <c r="AS24" s="56">
        <f>AH24*(1+'Real Cost Escalation'!I$18)</f>
        <v>0</v>
      </c>
      <c r="AT24" s="214">
        <f t="shared" ref="AT24" si="57">SUM(AO24:AS24)</f>
        <v>3.9200430556913677</v>
      </c>
      <c r="AU24" s="66"/>
      <c r="AV24" s="29" t="str">
        <f t="shared" ref="AV24" si="58">Z24</f>
        <v>10</v>
      </c>
      <c r="AW24" s="29" t="str">
        <f t="shared" ref="AW24" si="59">AA24</f>
        <v>Mains Replacement - CBD Trunk Replacement</v>
      </c>
      <c r="AX24" s="214"/>
      <c r="AY24" s="214"/>
      <c r="AZ24" s="209">
        <f t="shared" ref="AZ24" si="60">AO24-AD24</f>
        <v>0</v>
      </c>
      <c r="BA24" s="210">
        <f t="shared" ref="BA24" si="61">AP24-AE24</f>
        <v>2.4086084298204913E-2</v>
      </c>
      <c r="BB24" s="210">
        <f t="shared" ref="BB24" si="62">AQ24-AF24</f>
        <v>3.7880651393162434E-2</v>
      </c>
      <c r="BC24" s="210">
        <f t="shared" ref="BC24" si="63">AR24-AG24</f>
        <v>0</v>
      </c>
      <c r="BD24" s="56">
        <f t="shared" ref="BD24" si="64">AS24-AH24</f>
        <v>0</v>
      </c>
      <c r="BE24" s="214">
        <f t="shared" ref="BE24" si="65">SUM(AZ24:BD24)</f>
        <v>6.1966735691367347E-2</v>
      </c>
      <c r="BF24" s="32"/>
    </row>
    <row r="25" spans="1:58" s="67" customFormat="1" ht="18" customHeight="1" thickBot="1" x14ac:dyDescent="0.25">
      <c r="A25" s="66"/>
      <c r="B25" s="19"/>
      <c r="C25" s="20" t="s">
        <v>77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v>296832</v>
      </c>
      <c r="L25" s="2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6"/>
      <c r="Z25" s="19"/>
      <c r="AA25" s="20" t="s">
        <v>77</v>
      </c>
      <c r="AB25" s="212"/>
      <c r="AC25" s="212"/>
      <c r="AD25" s="211">
        <f t="shared" ref="AD25:AI25" si="66">SUM(AD17:AD24)</f>
        <v>33.975190649293154</v>
      </c>
      <c r="AE25" s="212">
        <f t="shared" si="66"/>
        <v>35.904228809293151</v>
      </c>
      <c r="AF25" s="212">
        <f t="shared" si="66"/>
        <v>35.904228809293151</v>
      </c>
      <c r="AG25" s="212">
        <f t="shared" si="66"/>
        <v>33.615590649293161</v>
      </c>
      <c r="AH25" s="213">
        <f t="shared" si="66"/>
        <v>7.6785401930149444</v>
      </c>
      <c r="AI25" s="212">
        <f t="shared" si="66"/>
        <v>147.07777911018758</v>
      </c>
      <c r="AJ25" s="32"/>
      <c r="AK25" s="19"/>
      <c r="AL25" s="20" t="s">
        <v>77</v>
      </c>
      <c r="AM25" s="212"/>
      <c r="AN25" s="212"/>
      <c r="AO25" s="211">
        <f t="shared" ref="AO25:AT25" si="67">SUM(AO17:AO24)</f>
        <v>34.194671565449127</v>
      </c>
      <c r="AP25" s="212">
        <f t="shared" si="67"/>
        <v>36.330478819638309</v>
      </c>
      <c r="AQ25" s="212">
        <f t="shared" si="67"/>
        <v>36.577400171525298</v>
      </c>
      <c r="AR25" s="212">
        <f t="shared" si="67"/>
        <v>34.572943409377508</v>
      </c>
      <c r="AS25" s="213">
        <f t="shared" si="67"/>
        <v>7.9739243919942204</v>
      </c>
      <c r="AT25" s="212">
        <f t="shared" si="67"/>
        <v>149.64941835798444</v>
      </c>
      <c r="AU25" s="66"/>
      <c r="AV25" s="19"/>
      <c r="AW25" s="20" t="s">
        <v>77</v>
      </c>
      <c r="AX25" s="268"/>
      <c r="AY25" s="268"/>
      <c r="AZ25" s="269">
        <f t="shared" ref="AZ25:BE25" si="68">SUM(AZ17:AZ24)</f>
        <v>0.21948091615596588</v>
      </c>
      <c r="BA25" s="268">
        <f t="shared" si="68"/>
        <v>0.4262500103451537</v>
      </c>
      <c r="BB25" s="268">
        <f t="shared" si="68"/>
        <v>0.67317136223213647</v>
      </c>
      <c r="BC25" s="268">
        <f t="shared" si="68"/>
        <v>0.95735276008435155</v>
      </c>
      <c r="BD25" s="270">
        <f t="shared" si="68"/>
        <v>0.29538419897927642</v>
      </c>
      <c r="BE25" s="212">
        <f t="shared" si="68"/>
        <v>2.5716392477968837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71" customFormat="1" ht="24" customHeight="1" x14ac:dyDescent="0.2">
      <c r="A27" s="69"/>
      <c r="B27" s="357" t="s">
        <v>173</v>
      </c>
      <c r="C27" s="357"/>
      <c r="D27" s="358"/>
      <c r="E27" s="358"/>
      <c r="F27" s="358"/>
      <c r="G27" s="358"/>
      <c r="H27" s="358"/>
      <c r="I27" s="358"/>
      <c r="J27" s="358"/>
      <c r="K27" s="358"/>
      <c r="L27" s="358"/>
      <c r="M27" s="32"/>
      <c r="N27" s="357" t="s">
        <v>186</v>
      </c>
      <c r="O27" s="357"/>
      <c r="P27" s="358"/>
      <c r="Q27" s="358"/>
      <c r="R27" s="358"/>
      <c r="S27" s="358"/>
      <c r="T27" s="358"/>
      <c r="U27" s="358"/>
      <c r="V27" s="358"/>
      <c r="W27" s="358"/>
      <c r="X27" s="358"/>
      <c r="Y27" s="70"/>
      <c r="Z27" s="357" t="s">
        <v>203</v>
      </c>
      <c r="AA27" s="357"/>
      <c r="AB27" s="358"/>
      <c r="AC27" s="358"/>
      <c r="AD27" s="358"/>
      <c r="AE27" s="358"/>
      <c r="AF27" s="358"/>
      <c r="AG27" s="358"/>
      <c r="AH27" s="358"/>
      <c r="AI27" s="358"/>
      <c r="AJ27" s="32"/>
      <c r="AK27" s="357" t="s">
        <v>254</v>
      </c>
      <c r="AL27" s="357"/>
      <c r="AM27" s="358"/>
      <c r="AN27" s="358"/>
      <c r="AO27" s="358"/>
      <c r="AP27" s="358"/>
      <c r="AQ27" s="358"/>
      <c r="AR27" s="358"/>
      <c r="AS27" s="358"/>
      <c r="AT27" s="358"/>
      <c r="AU27" s="66"/>
      <c r="AV27" s="357" t="s">
        <v>259</v>
      </c>
      <c r="AW27" s="357"/>
      <c r="AX27" s="358"/>
      <c r="AY27" s="358"/>
      <c r="AZ27" s="358"/>
      <c r="BA27" s="358"/>
      <c r="BB27" s="358"/>
      <c r="BC27" s="358"/>
      <c r="BD27" s="358"/>
      <c r="BE27" s="358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174</v>
      </c>
      <c r="C29" s="11"/>
      <c r="D29" s="3"/>
      <c r="E29" s="3"/>
      <c r="F29" s="30">
        <f t="shared" ref="F29:K29" si="69">F16</f>
        <v>2018</v>
      </c>
      <c r="G29" s="3">
        <f t="shared" si="69"/>
        <v>2019</v>
      </c>
      <c r="H29" s="3">
        <f t="shared" si="69"/>
        <v>2020</v>
      </c>
      <c r="I29" s="3">
        <f t="shared" si="69"/>
        <v>2021</v>
      </c>
      <c r="J29" s="31">
        <f t="shared" si="69"/>
        <v>2022</v>
      </c>
      <c r="K29" s="366" t="str">
        <f t="shared" si="69"/>
        <v>Total for 
2018-2022</v>
      </c>
      <c r="L29" s="3" t="s">
        <v>104</v>
      </c>
      <c r="M29" s="32"/>
      <c r="N29" s="10" t="s">
        <v>178</v>
      </c>
      <c r="O29" s="11"/>
      <c r="P29" s="3"/>
      <c r="Q29" s="3"/>
      <c r="R29" s="30">
        <v>2018</v>
      </c>
      <c r="S29" s="3">
        <v>2019</v>
      </c>
      <c r="T29" s="3">
        <v>2020</v>
      </c>
      <c r="U29" s="3">
        <v>2021</v>
      </c>
      <c r="V29" s="31">
        <v>2022</v>
      </c>
      <c r="W29" s="3" t="str">
        <f t="shared" ref="W29" si="70">W16</f>
        <v>Total for 
2018-2022</v>
      </c>
      <c r="X29" s="30" t="s">
        <v>104</v>
      </c>
      <c r="Y29" s="32"/>
      <c r="Z29" s="10"/>
      <c r="AA29" s="11"/>
      <c r="AB29" s="3"/>
      <c r="AC29" s="3"/>
      <c r="AD29" s="30">
        <f t="shared" ref="AD29:AI29" si="71">AD16</f>
        <v>2018</v>
      </c>
      <c r="AE29" s="3">
        <f t="shared" si="71"/>
        <v>2019</v>
      </c>
      <c r="AF29" s="3">
        <f t="shared" si="71"/>
        <v>2020</v>
      </c>
      <c r="AG29" s="3">
        <f t="shared" si="71"/>
        <v>2021</v>
      </c>
      <c r="AH29" s="31">
        <f t="shared" si="71"/>
        <v>2022</v>
      </c>
      <c r="AI29" s="3" t="str">
        <f t="shared" si="71"/>
        <v>Total for 
2018-2022</v>
      </c>
      <c r="AJ29" s="32"/>
      <c r="AK29" s="10"/>
      <c r="AL29" s="11"/>
      <c r="AM29" s="3"/>
      <c r="AN29" s="3"/>
      <c r="AO29" s="30">
        <f t="shared" ref="AO29:AT29" si="72">AO16</f>
        <v>2018</v>
      </c>
      <c r="AP29" s="3">
        <f t="shared" si="72"/>
        <v>2019</v>
      </c>
      <c r="AQ29" s="3">
        <f t="shared" si="72"/>
        <v>2020</v>
      </c>
      <c r="AR29" s="3">
        <f t="shared" si="72"/>
        <v>2021</v>
      </c>
      <c r="AS29" s="31">
        <f t="shared" si="72"/>
        <v>2022</v>
      </c>
      <c r="AT29" s="3" t="str">
        <f t="shared" si="72"/>
        <v>Total for 
2018-2022</v>
      </c>
      <c r="AU29" s="66"/>
      <c r="AV29" s="10"/>
      <c r="AW29" s="11"/>
      <c r="AX29" s="3"/>
      <c r="AY29" s="3"/>
      <c r="AZ29" s="30">
        <f t="shared" ref="AZ29:BE29" si="73">AZ16</f>
        <v>2018</v>
      </c>
      <c r="BA29" s="3">
        <f t="shared" si="73"/>
        <v>2019</v>
      </c>
      <c r="BB29" s="3">
        <f t="shared" si="73"/>
        <v>2020</v>
      </c>
      <c r="BC29" s="3">
        <f t="shared" si="73"/>
        <v>2021</v>
      </c>
      <c r="BD29" s="31">
        <f t="shared" si="73"/>
        <v>2022</v>
      </c>
      <c r="BE29" s="3" t="str">
        <f t="shared" si="73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08" t="s">
        <v>414</v>
      </c>
      <c r="G30" s="609" t="s">
        <v>414</v>
      </c>
      <c r="H30" s="609" t="s">
        <v>414</v>
      </c>
      <c r="I30" s="609" t="s">
        <v>414</v>
      </c>
      <c r="J30" s="613" t="s">
        <v>414</v>
      </c>
      <c r="K30" s="61">
        <v>3554.8</v>
      </c>
      <c r="L30" s="412" t="s">
        <v>407</v>
      </c>
      <c r="M30" s="32"/>
      <c r="N30" s="515" t="str">
        <f>B30</f>
        <v>11</v>
      </c>
      <c r="O30" s="515" t="str">
        <f>C30</f>
        <v>Service Renewal - Non AMRP</v>
      </c>
      <c r="P30" s="516"/>
      <c r="Q30" s="516"/>
      <c r="R30" s="602" t="s">
        <v>414</v>
      </c>
      <c r="S30" s="603" t="s">
        <v>414</v>
      </c>
      <c r="T30" s="603" t="s">
        <v>414</v>
      </c>
      <c r="U30" s="603" t="s">
        <v>414</v>
      </c>
      <c r="V30" s="604" t="s">
        <v>414</v>
      </c>
      <c r="W30" s="516"/>
      <c r="X30" s="517" t="s">
        <v>381</v>
      </c>
      <c r="Y30" s="32"/>
      <c r="Z30" s="29" t="str">
        <f>N30</f>
        <v>11</v>
      </c>
      <c r="AA30" s="29" t="str">
        <f>O30</f>
        <v>Service Renewal - Non AMRP</v>
      </c>
      <c r="AB30" s="214"/>
      <c r="AC30" s="214"/>
      <c r="AD30" s="217">
        <v>0.71461687026154175</v>
      </c>
      <c r="AE30" s="218">
        <v>0.71461687026154175</v>
      </c>
      <c r="AF30" s="218">
        <v>0.71461687026154175</v>
      </c>
      <c r="AG30" s="218">
        <v>0.71461687026154175</v>
      </c>
      <c r="AH30" s="219">
        <v>0.71461687026154175</v>
      </c>
      <c r="AI30" s="214">
        <v>3.5730843513077089</v>
      </c>
      <c r="AJ30" s="32"/>
      <c r="AK30" s="29" t="str">
        <f>Z30</f>
        <v>11</v>
      </c>
      <c r="AL30" s="29" t="str">
        <f>AA30</f>
        <v>Service Renewal - Non AMRP</v>
      </c>
      <c r="AM30" s="214"/>
      <c r="AN30" s="214"/>
      <c r="AO30" s="217">
        <f>AD30*(1+'Real Cost Escalation'!E$18)</f>
        <v>0.71942761440353631</v>
      </c>
      <c r="AP30" s="218">
        <f>AE30*(1+'Real Cost Escalation'!F$18)</f>
        <v>0.72353961867313299</v>
      </c>
      <c r="AQ30" s="218">
        <f>AF30*(1+'Real Cost Escalation'!G$18)</f>
        <v>0.72864984954799106</v>
      </c>
      <c r="AR30" s="218">
        <f>AG30*(1+'Real Cost Escalation'!H$18)</f>
        <v>0.73496874925380085</v>
      </c>
      <c r="AS30" s="219">
        <f>AH30*(1+'Real Cost Escalation'!I$18)</f>
        <v>0.74210732111459654</v>
      </c>
      <c r="AT30" s="214">
        <f>SUM(AO30:AS30)</f>
        <v>3.6486931529930575</v>
      </c>
      <c r="AU30" s="66"/>
      <c r="AV30" s="29" t="str">
        <f>AK30</f>
        <v>11</v>
      </c>
      <c r="AW30" s="29" t="str">
        <f>AL30</f>
        <v>Service Renewal - Non AMRP</v>
      </c>
      <c r="AX30" s="363"/>
      <c r="AY30" s="363"/>
      <c r="AZ30" s="217">
        <f t="shared" ref="AZ30" si="74">AO30-AD30</f>
        <v>4.8107441419945607E-3</v>
      </c>
      <c r="BA30" s="218">
        <f t="shared" ref="BA30" si="75">AP30-AE30</f>
        <v>8.9227484115912414E-3</v>
      </c>
      <c r="BB30" s="218">
        <f t="shared" ref="BB30" si="76">AQ30-AF30</f>
        <v>1.403297928644931E-2</v>
      </c>
      <c r="BC30" s="218">
        <f t="shared" ref="BC30" si="77">AR30-AG30</f>
        <v>2.0351878992259098E-2</v>
      </c>
      <c r="BD30" s="219">
        <f t="shared" ref="BD30" si="78">AS30-AH30</f>
        <v>2.7490450853054793E-2</v>
      </c>
      <c r="BE30" s="214">
        <f>SUM(AZ30:BD30)</f>
        <v>7.5608801685349003E-2</v>
      </c>
      <c r="BF30" s="32"/>
    </row>
    <row r="31" spans="1:58" s="67" customFormat="1" ht="18" customHeight="1" thickBot="1" x14ac:dyDescent="0.25">
      <c r="A31" s="66"/>
      <c r="B31" s="24"/>
      <c r="C31" s="24" t="s">
        <v>176</v>
      </c>
      <c r="D31" s="22"/>
      <c r="E31" s="22"/>
      <c r="F31" s="615" t="s">
        <v>414</v>
      </c>
      <c r="G31" s="616" t="s">
        <v>414</v>
      </c>
      <c r="H31" s="616" t="s">
        <v>414</v>
      </c>
      <c r="I31" s="616" t="s">
        <v>414</v>
      </c>
      <c r="J31" s="617" t="s">
        <v>414</v>
      </c>
      <c r="K31" s="58">
        <v>3554.8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176</v>
      </c>
      <c r="AB31" s="212"/>
      <c r="AC31" s="212"/>
      <c r="AD31" s="211">
        <v>0.71461687026154175</v>
      </c>
      <c r="AE31" s="212">
        <v>0.71461687026154175</v>
      </c>
      <c r="AF31" s="212">
        <v>0.71461687026154175</v>
      </c>
      <c r="AG31" s="212">
        <v>0.71461687026154175</v>
      </c>
      <c r="AH31" s="213">
        <v>0.71461687026154175</v>
      </c>
      <c r="AI31" s="212">
        <v>3.5730843513077089</v>
      </c>
      <c r="AJ31" s="32"/>
      <c r="AK31" s="24"/>
      <c r="AL31" s="24" t="s">
        <v>176</v>
      </c>
      <c r="AM31" s="212"/>
      <c r="AN31" s="212"/>
      <c r="AO31" s="211">
        <f t="shared" ref="AO31:AT31" si="79">SUM(AO30:AO30)</f>
        <v>0.71942761440353631</v>
      </c>
      <c r="AP31" s="212">
        <f t="shared" si="79"/>
        <v>0.72353961867313299</v>
      </c>
      <c r="AQ31" s="212">
        <f t="shared" si="79"/>
        <v>0.72864984954799106</v>
      </c>
      <c r="AR31" s="212">
        <f t="shared" si="79"/>
        <v>0.73496874925380085</v>
      </c>
      <c r="AS31" s="213">
        <f t="shared" si="79"/>
        <v>0.74210732111459654</v>
      </c>
      <c r="AT31" s="212">
        <f t="shared" si="79"/>
        <v>3.6486931529930575</v>
      </c>
      <c r="AU31" s="66"/>
      <c r="AV31" s="24"/>
      <c r="AW31" s="24" t="s">
        <v>176</v>
      </c>
      <c r="AX31" s="268"/>
      <c r="AY31" s="268"/>
      <c r="AZ31" s="211">
        <f t="shared" ref="AZ31:BE31" si="80">SUM(AZ30:AZ30)</f>
        <v>4.8107441419945607E-3</v>
      </c>
      <c r="BA31" s="212">
        <f t="shared" si="80"/>
        <v>8.9227484115912414E-3</v>
      </c>
      <c r="BB31" s="212">
        <f t="shared" si="80"/>
        <v>1.403297928644931E-2</v>
      </c>
      <c r="BC31" s="212">
        <f t="shared" si="80"/>
        <v>2.0351878992259098E-2</v>
      </c>
      <c r="BD31" s="213">
        <f t="shared" si="80"/>
        <v>2.7490450853054793E-2</v>
      </c>
      <c r="BE31" s="212">
        <f t="shared" si="80"/>
        <v>7.5608801685349003E-2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s="71" customFormat="1" ht="24" customHeight="1" x14ac:dyDescent="0.2">
      <c r="A33" s="69"/>
      <c r="B33" s="357" t="s">
        <v>194</v>
      </c>
      <c r="C33" s="357"/>
      <c r="D33" s="358"/>
      <c r="E33" s="358"/>
      <c r="F33" s="358"/>
      <c r="G33" s="358"/>
      <c r="H33" s="358"/>
      <c r="I33" s="358"/>
      <c r="J33" s="358"/>
      <c r="K33" s="358"/>
      <c r="L33" s="358"/>
      <c r="M33" s="32"/>
      <c r="N33" s="357" t="s">
        <v>188</v>
      </c>
      <c r="O33" s="357"/>
      <c r="P33" s="358"/>
      <c r="Q33" s="358"/>
      <c r="R33" s="358"/>
      <c r="S33" s="358"/>
      <c r="T33" s="358"/>
      <c r="U33" s="358"/>
      <c r="V33" s="358"/>
      <c r="W33" s="358"/>
      <c r="X33" s="358"/>
      <c r="Y33" s="70"/>
      <c r="Z33" s="357" t="s">
        <v>205</v>
      </c>
      <c r="AA33" s="357"/>
      <c r="AB33" s="358"/>
      <c r="AC33" s="358"/>
      <c r="AD33" s="358"/>
      <c r="AE33" s="358"/>
      <c r="AF33" s="358"/>
      <c r="AG33" s="358"/>
      <c r="AH33" s="358"/>
      <c r="AI33" s="358"/>
      <c r="AJ33" s="32"/>
      <c r="AK33" s="357" t="s">
        <v>255</v>
      </c>
      <c r="AL33" s="357"/>
      <c r="AM33" s="358"/>
      <c r="AN33" s="358"/>
      <c r="AO33" s="358"/>
      <c r="AP33" s="358"/>
      <c r="AQ33" s="358"/>
      <c r="AR33" s="358"/>
      <c r="AS33" s="358"/>
      <c r="AT33" s="358"/>
      <c r="AU33" s="66"/>
      <c r="AV33" s="357" t="s">
        <v>260</v>
      </c>
      <c r="AW33" s="357"/>
      <c r="AX33" s="358"/>
      <c r="AY33" s="358"/>
      <c r="AZ33" s="358"/>
      <c r="BA33" s="358"/>
      <c r="BB33" s="358"/>
      <c r="BC33" s="358"/>
      <c r="BD33" s="358"/>
      <c r="BE33" s="358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182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75</v>
      </c>
      <c r="L35" s="30" t="s">
        <v>104</v>
      </c>
      <c r="M35" s="32"/>
      <c r="N35" s="10" t="s">
        <v>181</v>
      </c>
      <c r="O35" s="11"/>
      <c r="P35" s="3"/>
      <c r="Q35" s="4"/>
      <c r="R35" s="5">
        <v>2018</v>
      </c>
      <c r="S35" s="4">
        <v>2019</v>
      </c>
      <c r="T35" s="4">
        <v>2020</v>
      </c>
      <c r="U35" s="4">
        <v>2021</v>
      </c>
      <c r="V35" s="6">
        <v>2022</v>
      </c>
      <c r="W35" s="30" t="str">
        <f t="shared" ref="W35" si="81">K35</f>
        <v>Total for 
2018-2022</v>
      </c>
      <c r="X35" s="30" t="s">
        <v>104</v>
      </c>
      <c r="Y35" s="32"/>
      <c r="Z35" s="10"/>
      <c r="AA35" s="11"/>
      <c r="AB35" s="3"/>
      <c r="AC35" s="4"/>
      <c r="AD35" s="5">
        <f t="shared" ref="AD35" si="82">R35</f>
        <v>2018</v>
      </c>
      <c r="AE35" s="4">
        <f t="shared" ref="AE35" si="83">S35</f>
        <v>2019</v>
      </c>
      <c r="AF35" s="4">
        <f t="shared" ref="AF35" si="84">T35</f>
        <v>2020</v>
      </c>
      <c r="AG35" s="4">
        <f t="shared" ref="AG35" si="85">U35</f>
        <v>2021</v>
      </c>
      <c r="AH35" s="6">
        <f t="shared" ref="AH35:AI35" si="86">V35</f>
        <v>2022</v>
      </c>
      <c r="AI35" s="3" t="str">
        <f t="shared" si="86"/>
        <v>Total for 
2018-2022</v>
      </c>
      <c r="AJ35" s="32"/>
      <c r="AK35" s="10"/>
      <c r="AL35" s="11"/>
      <c r="AM35" s="3"/>
      <c r="AN35" s="4"/>
      <c r="AO35" s="5">
        <f t="shared" ref="AO35:AT35" si="87">AD35</f>
        <v>2018</v>
      </c>
      <c r="AP35" s="4">
        <f t="shared" si="87"/>
        <v>2019</v>
      </c>
      <c r="AQ35" s="4">
        <f t="shared" si="87"/>
        <v>2020</v>
      </c>
      <c r="AR35" s="4">
        <f t="shared" si="87"/>
        <v>2021</v>
      </c>
      <c r="AS35" s="6">
        <f t="shared" si="87"/>
        <v>2022</v>
      </c>
      <c r="AT35" s="3" t="str">
        <f t="shared" si="87"/>
        <v>Total for 
2018-2022</v>
      </c>
      <c r="AU35" s="66"/>
      <c r="AV35" s="10"/>
      <c r="AW35" s="11"/>
      <c r="AX35" s="3"/>
      <c r="AY35" s="4"/>
      <c r="AZ35" s="5">
        <f t="shared" ref="AZ35:BE35" si="88">AO35</f>
        <v>2018</v>
      </c>
      <c r="BA35" s="4">
        <f t="shared" si="88"/>
        <v>2019</v>
      </c>
      <c r="BB35" s="4">
        <f t="shared" si="88"/>
        <v>2020</v>
      </c>
      <c r="BC35" s="4">
        <f t="shared" si="88"/>
        <v>2021</v>
      </c>
      <c r="BD35" s="6">
        <f t="shared" si="88"/>
        <v>2022</v>
      </c>
      <c r="BE35" s="3" t="str">
        <f t="shared" si="88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05" t="s">
        <v>414</v>
      </c>
      <c r="G36" s="606" t="s">
        <v>414</v>
      </c>
      <c r="H36" s="606" t="s">
        <v>414</v>
      </c>
      <c r="I36" s="606" t="s">
        <v>414</v>
      </c>
      <c r="J36" s="606" t="s">
        <v>414</v>
      </c>
      <c r="K36" s="16">
        <v>624368.09645944496</v>
      </c>
      <c r="L36" s="412" t="s">
        <v>318</v>
      </c>
      <c r="M36" s="32"/>
      <c r="N36" s="29" t="str">
        <f t="shared" ref="N36:O38" si="89">B36</f>
        <v>12</v>
      </c>
      <c r="O36" s="29" t="str">
        <f t="shared" si="89"/>
        <v>New Main - Estate</v>
      </c>
      <c r="P36" s="41"/>
      <c r="Q36" s="41"/>
      <c r="R36" s="596" t="s">
        <v>414</v>
      </c>
      <c r="S36" s="597" t="s">
        <v>414</v>
      </c>
      <c r="T36" s="597" t="s">
        <v>414</v>
      </c>
      <c r="U36" s="597" t="s">
        <v>414</v>
      </c>
      <c r="V36" s="598" t="s">
        <v>414</v>
      </c>
      <c r="W36" s="42"/>
      <c r="X36" s="412" t="s">
        <v>381</v>
      </c>
      <c r="Y36" s="32"/>
      <c r="Z36" s="29" t="str">
        <f>B36</f>
        <v>12</v>
      </c>
      <c r="AA36" s="29" t="str">
        <f>C36</f>
        <v>New Main - Estate</v>
      </c>
      <c r="AB36" s="214"/>
      <c r="AC36" s="214"/>
      <c r="AD36" s="209">
        <v>6.1946450080228743</v>
      </c>
      <c r="AE36" s="210">
        <v>5.9953398062530709</v>
      </c>
      <c r="AF36" s="210">
        <v>6.0697228434833557</v>
      </c>
      <c r="AG36" s="210">
        <v>6.1748967805922756</v>
      </c>
      <c r="AH36" s="56">
        <v>6.2801015853008737</v>
      </c>
      <c r="AI36" s="214">
        <f t="shared" ref="AI36:AI38" si="90">SUM(AD36:AH36)</f>
        <v>30.71470602365245</v>
      </c>
      <c r="AJ36" s="32"/>
      <c r="AK36" s="29" t="str">
        <f t="shared" ref="AK36:AL38" si="91">N36</f>
        <v>12</v>
      </c>
      <c r="AL36" s="29" t="str">
        <f t="shared" si="91"/>
        <v>New Main - Estate</v>
      </c>
      <c r="AM36" s="214"/>
      <c r="AN36" s="214"/>
      <c r="AO36" s="209">
        <f>AD36*(1+'Real Cost Escalation'!E$18)</f>
        <v>6.2363468673327098</v>
      </c>
      <c r="AP36" s="210">
        <f>AE36*(1+'Real Cost Escalation'!F$18)</f>
        <v>6.0701979728586481</v>
      </c>
      <c r="AQ36" s="210">
        <f>AF36*(1+'Real Cost Escalation'!G$18)</f>
        <v>6.1889143970019802</v>
      </c>
      <c r="AR36" s="210">
        <f>AG36*(1+'Real Cost Escalation'!H$18)</f>
        <v>6.3507543027108202</v>
      </c>
      <c r="AS36" s="56">
        <f>AH36*(1+'Real Cost Escalation'!I$18)</f>
        <v>6.5216895342667582</v>
      </c>
      <c r="AT36" s="214">
        <f>SUM(AO36:AS36)</f>
        <v>31.367903074170915</v>
      </c>
      <c r="AU36" s="66"/>
      <c r="AV36" s="29" t="str">
        <f t="shared" ref="AV36:AW38" si="92">Z36</f>
        <v>12</v>
      </c>
      <c r="AW36" s="29" t="str">
        <f t="shared" si="92"/>
        <v>New Main - Estate</v>
      </c>
      <c r="AX36" s="363"/>
      <c r="AY36" s="363"/>
      <c r="AZ36" s="209">
        <f t="shared" ref="AZ36:BD38" si="93">AO36-AD36</f>
        <v>4.1701859309835498E-2</v>
      </c>
      <c r="BA36" s="210">
        <f t="shared" si="93"/>
        <v>7.4858166605577203E-2</v>
      </c>
      <c r="BB36" s="210">
        <f t="shared" si="93"/>
        <v>0.11919155351862454</v>
      </c>
      <c r="BC36" s="210">
        <f t="shared" si="93"/>
        <v>0.17585752211854455</v>
      </c>
      <c r="BD36" s="56">
        <f t="shared" si="93"/>
        <v>0.24158794896588454</v>
      </c>
      <c r="BE36" s="214">
        <f t="shared" ref="BE36:BE38" si="94">SUM(AZ36:BD36)</f>
        <v>0.65319705051846633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08" t="s">
        <v>414</v>
      </c>
      <c r="G37" s="609" t="s">
        <v>414</v>
      </c>
      <c r="H37" s="609" t="s">
        <v>414</v>
      </c>
      <c r="I37" s="609" t="s">
        <v>414</v>
      </c>
      <c r="J37" s="609" t="s">
        <v>414</v>
      </c>
      <c r="K37" s="16">
        <v>39994.11744691366</v>
      </c>
      <c r="L37" s="412" t="s">
        <v>318</v>
      </c>
      <c r="M37" s="32"/>
      <c r="N37" s="29" t="str">
        <f t="shared" si="89"/>
        <v>13</v>
      </c>
      <c r="O37" s="29" t="str">
        <f t="shared" si="89"/>
        <v>New Main - Existing Domestic</v>
      </c>
      <c r="P37" s="41"/>
      <c r="Q37" s="41"/>
      <c r="R37" s="596" t="s">
        <v>414</v>
      </c>
      <c r="S37" s="597" t="s">
        <v>414</v>
      </c>
      <c r="T37" s="597" t="s">
        <v>414</v>
      </c>
      <c r="U37" s="597" t="s">
        <v>414</v>
      </c>
      <c r="V37" s="598" t="s">
        <v>414</v>
      </c>
      <c r="W37" s="42"/>
      <c r="X37" s="412" t="s">
        <v>381</v>
      </c>
      <c r="Y37" s="32"/>
      <c r="Z37" s="29" t="str">
        <f t="shared" ref="Z37:Z38" si="95">B37</f>
        <v>13</v>
      </c>
      <c r="AA37" s="29" t="str">
        <f t="shared" ref="AA37:AA38" si="96">C37</f>
        <v>New Main - Existing Domestic</v>
      </c>
      <c r="AB37" s="214"/>
      <c r="AC37" s="214"/>
      <c r="AD37" s="209">
        <v>0.84871237036089164</v>
      </c>
      <c r="AE37" s="210">
        <v>0.82140607758701489</v>
      </c>
      <c r="AF37" s="210">
        <v>0.8315971060899553</v>
      </c>
      <c r="AG37" s="210">
        <v>0.84600671654354753</v>
      </c>
      <c r="AH37" s="56">
        <v>0.86042055608753232</v>
      </c>
      <c r="AI37" s="214">
        <f t="shared" si="90"/>
        <v>4.2081428266689418</v>
      </c>
      <c r="AJ37" s="32"/>
      <c r="AK37" s="29" t="str">
        <f t="shared" si="91"/>
        <v>13</v>
      </c>
      <c r="AL37" s="29" t="str">
        <f t="shared" si="91"/>
        <v>New Main - Existing Domestic</v>
      </c>
      <c r="AM37" s="214"/>
      <c r="AN37" s="214"/>
      <c r="AO37" s="209">
        <f>AD37*(1+'Real Cost Escalation'!E$18)</f>
        <v>0.85442583478338374</v>
      </c>
      <c r="AP37" s="210">
        <f>AE37*(1+'Real Cost Escalation'!F$18)</f>
        <v>0.83166220234289778</v>
      </c>
      <c r="AQ37" s="210">
        <f>AF37*(1+'Real Cost Escalation'!G$18)</f>
        <v>0.84792723409289561</v>
      </c>
      <c r="AR37" s="210">
        <f>AG37*(1+'Real Cost Escalation'!H$18)</f>
        <v>0.87010050307202835</v>
      </c>
      <c r="AS37" s="56">
        <f>AH37*(1+'Real Cost Escalation'!I$18)</f>
        <v>0.89351989923825526</v>
      </c>
      <c r="AT37" s="214">
        <f>SUM(AO37:AS37)</f>
        <v>4.2976356735294603</v>
      </c>
      <c r="AU37" s="66"/>
      <c r="AV37" s="29" t="str">
        <f t="shared" si="92"/>
        <v>13</v>
      </c>
      <c r="AW37" s="29" t="str">
        <f t="shared" si="92"/>
        <v>New Main - Existing Domestic</v>
      </c>
      <c r="AX37" s="363"/>
      <c r="AY37" s="363"/>
      <c r="AZ37" s="209">
        <f t="shared" si="93"/>
        <v>5.7134644224920983E-3</v>
      </c>
      <c r="BA37" s="210">
        <f t="shared" si="93"/>
        <v>1.0256124755882889E-2</v>
      </c>
      <c r="BB37" s="210">
        <f t="shared" si="93"/>
        <v>1.6330128002940314E-2</v>
      </c>
      <c r="BC37" s="210">
        <f t="shared" si="93"/>
        <v>2.4093786528480821E-2</v>
      </c>
      <c r="BD37" s="56">
        <f t="shared" si="93"/>
        <v>3.3099343150722937E-2</v>
      </c>
      <c r="BE37" s="214">
        <f t="shared" si="94"/>
        <v>8.949284686051906E-2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08" t="s">
        <v>414</v>
      </c>
      <c r="G38" s="609" t="s">
        <v>414</v>
      </c>
      <c r="H38" s="609" t="s">
        <v>414</v>
      </c>
      <c r="I38" s="609" t="s">
        <v>414</v>
      </c>
      <c r="J38" s="613" t="s">
        <v>414</v>
      </c>
      <c r="K38" s="16">
        <v>27299.822057166755</v>
      </c>
      <c r="L38" s="412" t="s">
        <v>318</v>
      </c>
      <c r="M38" s="32"/>
      <c r="N38" s="362" t="str">
        <f t="shared" si="89"/>
        <v>14</v>
      </c>
      <c r="O38" s="362" t="str">
        <f t="shared" si="89"/>
        <v>New Main - I&amp;C&lt;10TJ</v>
      </c>
      <c r="P38" s="512"/>
      <c r="Q38" s="512"/>
      <c r="R38" s="599" t="s">
        <v>414</v>
      </c>
      <c r="S38" s="600" t="s">
        <v>414</v>
      </c>
      <c r="T38" s="600" t="s">
        <v>414</v>
      </c>
      <c r="U38" s="600" t="s">
        <v>414</v>
      </c>
      <c r="V38" s="601" t="s">
        <v>414</v>
      </c>
      <c r="W38" s="513"/>
      <c r="X38" s="514" t="s">
        <v>381</v>
      </c>
      <c r="Y38" s="32"/>
      <c r="Z38" s="29" t="str">
        <f t="shared" si="95"/>
        <v>14</v>
      </c>
      <c r="AA38" s="29" t="str">
        <f t="shared" si="96"/>
        <v>New Main - I&amp;C&lt;10TJ</v>
      </c>
      <c r="AB38" s="214"/>
      <c r="AC38" s="214"/>
      <c r="AD38" s="209">
        <v>2.0419298055253425</v>
      </c>
      <c r="AE38" s="210">
        <v>2.054001042961449</v>
      </c>
      <c r="AF38" s="210">
        <v>2.0661553427367267</v>
      </c>
      <c r="AG38" s="210">
        <v>2.0783935412922094</v>
      </c>
      <c r="AH38" s="56">
        <v>2.0907164871623953</v>
      </c>
      <c r="AI38" s="214">
        <f t="shared" si="90"/>
        <v>10.331196219678123</v>
      </c>
      <c r="AJ38" s="32"/>
      <c r="AK38" s="29" t="str">
        <f t="shared" si="91"/>
        <v>14</v>
      </c>
      <c r="AL38" s="29" t="str">
        <f t="shared" si="91"/>
        <v>New Main - I&amp;C&lt;10TJ</v>
      </c>
      <c r="AM38" s="214"/>
      <c r="AN38" s="214"/>
      <c r="AO38" s="209">
        <f>AD38*(1+'Real Cost Escalation'!E$18)</f>
        <v>2.0556759151668627</v>
      </c>
      <c r="AP38" s="210">
        <f>AE38*(1+'Real Cost Escalation'!F$18)</f>
        <v>2.0796474211903639</v>
      </c>
      <c r="AQ38" s="210">
        <f>AF38*(1+'Real Cost Escalation'!G$18)</f>
        <v>2.1067285734199031</v>
      </c>
      <c r="AR38" s="210">
        <f>AG38*(1+'Real Cost Escalation'!H$18)</f>
        <v>2.1375849984364983</v>
      </c>
      <c r="AS38" s="56">
        <f>AH38*(1+'Real Cost Escalation'!I$18)</f>
        <v>2.1711438339405005</v>
      </c>
      <c r="AT38" s="214">
        <f>SUM(AO38:AS38)</f>
        <v>10.550780742154128</v>
      </c>
      <c r="AU38" s="66"/>
      <c r="AV38" s="29" t="str">
        <f t="shared" si="92"/>
        <v>14</v>
      </c>
      <c r="AW38" s="29" t="str">
        <f t="shared" si="92"/>
        <v>New Main - I&amp;C&lt;10TJ</v>
      </c>
      <c r="AX38" s="363"/>
      <c r="AY38" s="363"/>
      <c r="AZ38" s="209">
        <f t="shared" si="93"/>
        <v>1.3746109641520121E-2</v>
      </c>
      <c r="BA38" s="210">
        <f t="shared" si="93"/>
        <v>2.5646378228914912E-2</v>
      </c>
      <c r="BB38" s="210">
        <f t="shared" si="93"/>
        <v>4.0573230683176309E-2</v>
      </c>
      <c r="BC38" s="210">
        <f t="shared" si="93"/>
        <v>5.9191457144288862E-2</v>
      </c>
      <c r="BD38" s="56">
        <f t="shared" si="93"/>
        <v>8.0427346778105147E-2</v>
      </c>
      <c r="BE38" s="214">
        <f t="shared" si="94"/>
        <v>0.21958452247600535</v>
      </c>
      <c r="BF38" s="32"/>
    </row>
    <row r="39" spans="1:58" ht="18" customHeight="1" thickBot="1" x14ac:dyDescent="0.25">
      <c r="A39" s="66"/>
      <c r="B39" s="24"/>
      <c r="C39" s="24" t="s">
        <v>81</v>
      </c>
      <c r="D39" s="22"/>
      <c r="E39" s="22"/>
      <c r="F39" s="26">
        <v>139386.52887978125</v>
      </c>
      <c r="G39" s="27">
        <v>135107.43492278241</v>
      </c>
      <c r="H39" s="27">
        <v>136748.46488921254</v>
      </c>
      <c r="I39" s="27">
        <v>139055.72684994963</v>
      </c>
      <c r="J39" s="28">
        <v>141363.88042179946</v>
      </c>
      <c r="K39" s="26">
        <v>691662.0359635253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81</v>
      </c>
      <c r="AB39" s="212"/>
      <c r="AC39" s="212"/>
      <c r="AD39" s="211">
        <f>SUM(AD36:AD38)</f>
        <v>9.0852871839091076</v>
      </c>
      <c r="AE39" s="212">
        <f t="shared" ref="AE39:AI39" si="97">SUM(AE36:AE38)</f>
        <v>8.8707469268015338</v>
      </c>
      <c r="AF39" s="212">
        <f t="shared" si="97"/>
        <v>8.9674752923100378</v>
      </c>
      <c r="AG39" s="212">
        <f t="shared" si="97"/>
        <v>9.0992970384280323</v>
      </c>
      <c r="AH39" s="213">
        <f t="shared" si="97"/>
        <v>9.2312386285508019</v>
      </c>
      <c r="AI39" s="211">
        <f t="shared" si="97"/>
        <v>45.25404506999952</v>
      </c>
      <c r="AJ39" s="32"/>
      <c r="AK39" s="24"/>
      <c r="AL39" s="24" t="s">
        <v>81</v>
      </c>
      <c r="AM39" s="212"/>
      <c r="AN39" s="212"/>
      <c r="AO39" s="211">
        <f>SUM(AO36:AO38)</f>
        <v>9.1464486172829567</v>
      </c>
      <c r="AP39" s="212">
        <f t="shared" ref="AP39:AT39" si="98">SUM(AP36:AP38)</f>
        <v>8.9815075963919107</v>
      </c>
      <c r="AQ39" s="212">
        <f t="shared" si="98"/>
        <v>9.1435702045147789</v>
      </c>
      <c r="AR39" s="212">
        <f t="shared" si="98"/>
        <v>9.3584398042193477</v>
      </c>
      <c r="AS39" s="213">
        <f t="shared" si="98"/>
        <v>9.5863532674455136</v>
      </c>
      <c r="AT39" s="211">
        <f t="shared" si="98"/>
        <v>46.216319489854499</v>
      </c>
      <c r="AU39" s="66"/>
      <c r="AV39" s="24"/>
      <c r="AW39" s="24" t="s">
        <v>81</v>
      </c>
      <c r="AX39" s="268"/>
      <c r="AY39" s="268"/>
      <c r="AZ39" s="211">
        <f>SUM(AZ36:AZ38)</f>
        <v>6.1161433373847718E-2</v>
      </c>
      <c r="BA39" s="212">
        <f t="shared" ref="BA39:BE39" si="99">SUM(BA36:BA38)</f>
        <v>0.110760669590375</v>
      </c>
      <c r="BB39" s="212">
        <f t="shared" si="99"/>
        <v>0.17609491220474116</v>
      </c>
      <c r="BC39" s="212">
        <f t="shared" si="99"/>
        <v>0.25914276579131423</v>
      </c>
      <c r="BD39" s="213">
        <f t="shared" si="99"/>
        <v>0.35511463889471262</v>
      </c>
      <c r="BE39" s="211">
        <f t="shared" si="99"/>
        <v>0.96227441985499074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s="71" customFormat="1" ht="24" customHeight="1" x14ac:dyDescent="0.2">
      <c r="A41" s="69"/>
      <c r="B41" s="357" t="s">
        <v>193</v>
      </c>
      <c r="C41" s="357"/>
      <c r="D41" s="358"/>
      <c r="E41" s="358"/>
      <c r="F41" s="358"/>
      <c r="G41" s="358"/>
      <c r="H41" s="358"/>
      <c r="I41" s="358"/>
      <c r="J41" s="358"/>
      <c r="K41" s="358"/>
      <c r="L41" s="358"/>
      <c r="M41" s="32"/>
      <c r="N41" s="357" t="s">
        <v>190</v>
      </c>
      <c r="O41" s="357"/>
      <c r="P41" s="358"/>
      <c r="Q41" s="358"/>
      <c r="R41" s="358"/>
      <c r="S41" s="358"/>
      <c r="T41" s="358"/>
      <c r="U41" s="358"/>
      <c r="V41" s="358"/>
      <c r="W41" s="358"/>
      <c r="X41" s="358"/>
      <c r="Y41" s="70"/>
      <c r="Z41" s="357" t="s">
        <v>207</v>
      </c>
      <c r="AA41" s="357"/>
      <c r="AB41" s="358"/>
      <c r="AC41" s="358"/>
      <c r="AD41" s="358"/>
      <c r="AE41" s="358"/>
      <c r="AF41" s="358"/>
      <c r="AG41" s="358"/>
      <c r="AH41" s="358"/>
      <c r="AI41" s="358"/>
      <c r="AJ41" s="32"/>
      <c r="AK41" s="357" t="s">
        <v>256</v>
      </c>
      <c r="AL41" s="357"/>
      <c r="AM41" s="358"/>
      <c r="AN41" s="358"/>
      <c r="AO41" s="358"/>
      <c r="AP41" s="358"/>
      <c r="AQ41" s="358"/>
      <c r="AR41" s="358"/>
      <c r="AS41" s="358"/>
      <c r="AT41" s="358"/>
      <c r="AU41" s="66"/>
      <c r="AV41" s="357" t="s">
        <v>261</v>
      </c>
      <c r="AW41" s="357"/>
      <c r="AX41" s="358"/>
      <c r="AY41" s="358"/>
      <c r="AZ41" s="358"/>
      <c r="BA41" s="358"/>
      <c r="BB41" s="358"/>
      <c r="BC41" s="358"/>
      <c r="BD41" s="358"/>
      <c r="BE41" s="358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83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75</v>
      </c>
      <c r="L43" s="30" t="s">
        <v>104</v>
      </c>
      <c r="M43" s="32"/>
      <c r="N43" s="10" t="s">
        <v>184</v>
      </c>
      <c r="O43" s="11"/>
      <c r="P43" s="3"/>
      <c r="Q43" s="4"/>
      <c r="R43" s="5">
        <v>2018</v>
      </c>
      <c r="S43" s="4">
        <v>2019</v>
      </c>
      <c r="T43" s="4">
        <v>2020</v>
      </c>
      <c r="U43" s="4">
        <v>2021</v>
      </c>
      <c r="V43" s="6">
        <v>2022</v>
      </c>
      <c r="W43" s="3" t="str">
        <f t="shared" ref="W43" si="100">K43</f>
        <v>Total for 
2018-2022</v>
      </c>
      <c r="X43" s="30" t="s">
        <v>104</v>
      </c>
      <c r="Y43" s="32"/>
      <c r="Z43" s="10"/>
      <c r="AA43" s="11"/>
      <c r="AB43" s="3"/>
      <c r="AC43" s="4"/>
      <c r="AD43" s="5">
        <f t="shared" ref="AD43" si="101">R43</f>
        <v>2018</v>
      </c>
      <c r="AE43" s="4">
        <f t="shared" ref="AE43" si="102">S43</f>
        <v>2019</v>
      </c>
      <c r="AF43" s="4">
        <f t="shared" ref="AF43" si="103">T43</f>
        <v>2020</v>
      </c>
      <c r="AG43" s="4">
        <f t="shared" ref="AG43" si="104">U43</f>
        <v>2021</v>
      </c>
      <c r="AH43" s="6">
        <f t="shared" ref="AH43" si="105">V43</f>
        <v>2022</v>
      </c>
      <c r="AI43" s="3" t="str">
        <f t="shared" ref="AI43" si="106">W43</f>
        <v>Total for 
2018-2022</v>
      </c>
      <c r="AJ43" s="32"/>
      <c r="AK43" s="10"/>
      <c r="AL43" s="11"/>
      <c r="AM43" s="3"/>
      <c r="AN43" s="4"/>
      <c r="AO43" s="5">
        <f t="shared" ref="AO43:AT43" si="107">AD43</f>
        <v>2018</v>
      </c>
      <c r="AP43" s="4">
        <f t="shared" si="107"/>
        <v>2019</v>
      </c>
      <c r="AQ43" s="4">
        <f t="shared" si="107"/>
        <v>2020</v>
      </c>
      <c r="AR43" s="4">
        <f t="shared" si="107"/>
        <v>2021</v>
      </c>
      <c r="AS43" s="6">
        <f t="shared" si="107"/>
        <v>2022</v>
      </c>
      <c r="AT43" s="3" t="str">
        <f t="shared" si="107"/>
        <v>Total for 
2018-2022</v>
      </c>
      <c r="AU43" s="66"/>
      <c r="AV43" s="10"/>
      <c r="AW43" s="11"/>
      <c r="AX43" s="3"/>
      <c r="AY43" s="4"/>
      <c r="AZ43" s="5">
        <f t="shared" ref="AZ43:BE43" si="108">AO43</f>
        <v>2018</v>
      </c>
      <c r="BA43" s="4">
        <f t="shared" si="108"/>
        <v>2019</v>
      </c>
      <c r="BB43" s="4">
        <f t="shared" si="108"/>
        <v>2020</v>
      </c>
      <c r="BC43" s="4">
        <f t="shared" si="108"/>
        <v>2021</v>
      </c>
      <c r="BD43" s="6">
        <f t="shared" si="108"/>
        <v>2022</v>
      </c>
      <c r="BE43" s="3" t="str">
        <f t="shared" si="108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05" t="s">
        <v>414</v>
      </c>
      <c r="G44" s="606" t="s">
        <v>414</v>
      </c>
      <c r="H44" s="606" t="s">
        <v>414</v>
      </c>
      <c r="I44" s="606" t="s">
        <v>414</v>
      </c>
      <c r="J44" s="607" t="s">
        <v>414</v>
      </c>
      <c r="K44" s="14">
        <v>75976.465616465095</v>
      </c>
      <c r="L44" s="412" t="s">
        <v>318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6" t="s">
        <v>414</v>
      </c>
      <c r="S44" s="597" t="s">
        <v>414</v>
      </c>
      <c r="T44" s="597" t="s">
        <v>414</v>
      </c>
      <c r="U44" s="597" t="s">
        <v>414</v>
      </c>
      <c r="V44" s="598" t="s">
        <v>414</v>
      </c>
      <c r="W44" s="62"/>
      <c r="X44" s="412" t="s">
        <v>381</v>
      </c>
      <c r="Y44" s="32"/>
      <c r="Z44" s="29" t="str">
        <f>B44</f>
        <v>15</v>
      </c>
      <c r="AA44" s="29" t="str">
        <f>C44</f>
        <v>New Meter - Domestic</v>
      </c>
      <c r="AB44" s="214"/>
      <c r="AC44" s="214"/>
      <c r="AD44" s="209">
        <v>3.5481444888821487</v>
      </c>
      <c r="AE44" s="210">
        <v>3.433987236553854</v>
      </c>
      <c r="AF44" s="210">
        <v>3.4765920610874863</v>
      </c>
      <c r="AG44" s="210">
        <v>3.5368331765741274</v>
      </c>
      <c r="AH44" s="56">
        <v>3.5970919722835322</v>
      </c>
      <c r="AI44" s="214">
        <f t="shared" ref="AI44:AI45" si="109">SUM(AD44:AH44)</f>
        <v>17.592648935381149</v>
      </c>
      <c r="AJ44" s="32"/>
      <c r="AK44" s="29" t="str">
        <f>N44</f>
        <v>15</v>
      </c>
      <c r="AL44" s="29" t="str">
        <f>O44</f>
        <v>New Meter - Domestic</v>
      </c>
      <c r="AM44" s="363"/>
      <c r="AN44" s="363"/>
      <c r="AO44" s="209">
        <f>AD44*(1-'Real Cost Escalation'!E$25)</f>
        <v>3.5481444888821487</v>
      </c>
      <c r="AP44" s="210">
        <f>AE44*(1-'Real Cost Escalation'!F$25)</f>
        <v>3.4216763923108084</v>
      </c>
      <c r="AQ44" s="210">
        <f>AF44*(1-'Real Cost Escalation'!G$25)</f>
        <v>3.4640837966050855</v>
      </c>
      <c r="AR44" s="210">
        <f>AG44*(1+'Real Cost Escalation'!H$18)</f>
        <v>3.6375601588507975</v>
      </c>
      <c r="AS44" s="56">
        <f>AH44*(1+'Real Cost Escalation'!I$18)</f>
        <v>3.7354677708310633</v>
      </c>
      <c r="AT44" s="214">
        <f t="shared" ref="AT44:AT45" si="110">SUM(AO44:AS44)</f>
        <v>17.806932607479904</v>
      </c>
      <c r="AU44" s="66"/>
      <c r="AV44" s="29" t="str">
        <f>Z44</f>
        <v>15</v>
      </c>
      <c r="AW44" s="29" t="str">
        <f>AA44</f>
        <v>New Meter - Domestic</v>
      </c>
      <c r="AX44" s="363"/>
      <c r="AY44" s="363"/>
      <c r="AZ44" s="209">
        <f t="shared" ref="AZ44:BD45" si="111">AO44-AD44</f>
        <v>0</v>
      </c>
      <c r="BA44" s="210">
        <f t="shared" si="111"/>
        <v>-1.2310844243045516E-2</v>
      </c>
      <c r="BB44" s="210">
        <f t="shared" si="111"/>
        <v>-1.2508264482400833E-2</v>
      </c>
      <c r="BC44" s="210">
        <f t="shared" si="111"/>
        <v>0.1007269822766701</v>
      </c>
      <c r="BD44" s="56">
        <f t="shared" si="111"/>
        <v>0.13837579854753113</v>
      </c>
      <c r="BE44" s="214">
        <f t="shared" ref="BE44:BE45" si="112">SUM(AZ44:BD44)</f>
        <v>0.21428367209875487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10" t="s">
        <v>414</v>
      </c>
      <c r="G45" s="611" t="s">
        <v>414</v>
      </c>
      <c r="H45" s="611" t="s">
        <v>414</v>
      </c>
      <c r="I45" s="611" t="s">
        <v>414</v>
      </c>
      <c r="J45" s="612" t="s">
        <v>414</v>
      </c>
      <c r="K45" s="17">
        <v>1677.5882991216392</v>
      </c>
      <c r="L45" s="412" t="s">
        <v>318</v>
      </c>
      <c r="M45" s="32"/>
      <c r="N45" s="362" t="str">
        <f>B45</f>
        <v>16</v>
      </c>
      <c r="O45" s="362" t="str">
        <f>C45</f>
        <v>New Meter - I&amp;C&lt;10TJ</v>
      </c>
      <c r="P45" s="512"/>
      <c r="Q45" s="512"/>
      <c r="R45" s="599" t="s">
        <v>414</v>
      </c>
      <c r="S45" s="600" t="s">
        <v>414</v>
      </c>
      <c r="T45" s="600" t="s">
        <v>414</v>
      </c>
      <c r="U45" s="600" t="s">
        <v>414</v>
      </c>
      <c r="V45" s="601" t="s">
        <v>414</v>
      </c>
      <c r="W45" s="512"/>
      <c r="X45" s="514" t="s">
        <v>381</v>
      </c>
      <c r="Y45" s="32"/>
      <c r="Z45" s="29" t="str">
        <f t="shared" ref="Z45" si="113">B45</f>
        <v>16</v>
      </c>
      <c r="AA45" s="29" t="str">
        <f t="shared" ref="AA45" si="114">C45</f>
        <v>New Meter - I&amp;C&lt;10TJ</v>
      </c>
      <c r="AB45" s="214"/>
      <c r="AC45" s="214"/>
      <c r="AD45" s="209">
        <v>2.4048923267033979</v>
      </c>
      <c r="AE45" s="210">
        <v>2.4191092827443712</v>
      </c>
      <c r="AF45" s="210">
        <v>2.4334240658416766</v>
      </c>
      <c r="AG45" s="210">
        <v>2.4478376611176333</v>
      </c>
      <c r="AH45" s="56">
        <v>2.4623510679376914</v>
      </c>
      <c r="AI45" s="214">
        <f t="shared" si="109"/>
        <v>12.16761440434477</v>
      </c>
      <c r="AJ45" s="32"/>
      <c r="AK45" s="29" t="str">
        <f>N45</f>
        <v>16</v>
      </c>
      <c r="AL45" s="29" t="str">
        <f>O45</f>
        <v>New Meter - I&amp;C&lt;10TJ</v>
      </c>
      <c r="AM45" s="363"/>
      <c r="AN45" s="363"/>
      <c r="AO45" s="209">
        <f>AD45*(1+'Real Cost Escalation'!E$18)</f>
        <v>2.421081871275137</v>
      </c>
      <c r="AP45" s="210">
        <f>AE45*(1+'Real Cost Escalation'!F$18)</f>
        <v>2.4493144240002347</v>
      </c>
      <c r="AQ45" s="210">
        <f>AF45*(1+'Real Cost Escalation'!G$18)</f>
        <v>2.4812093770093315</v>
      </c>
      <c r="AR45" s="210">
        <f>AG45*(1+'Real Cost Escalation'!H$18)</f>
        <v>2.5175506751044536</v>
      </c>
      <c r="AS45" s="56">
        <f>AH45*(1+'Real Cost Escalation'!I$18)</f>
        <v>2.5570747497216577</v>
      </c>
      <c r="AT45" s="214">
        <f t="shared" si="110"/>
        <v>12.426231097110815</v>
      </c>
      <c r="AU45" s="66"/>
      <c r="AV45" s="29" t="str">
        <f>Z45</f>
        <v>16</v>
      </c>
      <c r="AW45" s="29" t="str">
        <f>AA45</f>
        <v>New Meter - I&amp;C&lt;10TJ</v>
      </c>
      <c r="AX45" s="363"/>
      <c r="AY45" s="363"/>
      <c r="AZ45" s="209">
        <f t="shared" si="111"/>
        <v>1.6189544571739045E-2</v>
      </c>
      <c r="BA45" s="210">
        <f t="shared" si="111"/>
        <v>3.0205141255863488E-2</v>
      </c>
      <c r="BB45" s="210">
        <f t="shared" si="111"/>
        <v>4.7785311167654942E-2</v>
      </c>
      <c r="BC45" s="210">
        <f t="shared" si="111"/>
        <v>6.9713013986820282E-2</v>
      </c>
      <c r="BD45" s="56">
        <f t="shared" si="111"/>
        <v>9.4723681783966285E-2</v>
      </c>
      <c r="BE45" s="214">
        <f t="shared" si="112"/>
        <v>0.25861669276604404</v>
      </c>
      <c r="BF45" s="32"/>
    </row>
    <row r="46" spans="1:58" ht="15" thickBot="1" x14ac:dyDescent="0.25">
      <c r="A46" s="66"/>
      <c r="B46" s="24"/>
      <c r="C46" s="24" t="s">
        <v>85</v>
      </c>
      <c r="D46" s="22"/>
      <c r="E46" s="22"/>
      <c r="F46" s="26">
        <v>15654.758881449472</v>
      </c>
      <c r="G46" s="27">
        <v>15163.713981128789</v>
      </c>
      <c r="H46" s="27">
        <v>15349.68286488075</v>
      </c>
      <c r="I46" s="27">
        <v>15611.830312334103</v>
      </c>
      <c r="J46" s="28">
        <v>15874.06787579362</v>
      </c>
      <c r="K46" s="27">
        <v>77654.05391558673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85</v>
      </c>
      <c r="AB46" s="212"/>
      <c r="AC46" s="212"/>
      <c r="AD46" s="211">
        <f>SUM(AD44:AD45)</f>
        <v>5.9530368155855466</v>
      </c>
      <c r="AE46" s="212">
        <f t="shared" ref="AE46:AI46" si="115">SUM(AE44:AE45)</f>
        <v>5.8530965192982247</v>
      </c>
      <c r="AF46" s="212">
        <f t="shared" si="115"/>
        <v>5.9100161269291629</v>
      </c>
      <c r="AG46" s="212">
        <f t="shared" si="115"/>
        <v>5.9846708376917608</v>
      </c>
      <c r="AH46" s="213">
        <f t="shared" si="115"/>
        <v>6.0594430402212236</v>
      </c>
      <c r="AI46" s="212">
        <f t="shared" si="115"/>
        <v>29.760263339725917</v>
      </c>
      <c r="AJ46" s="32"/>
      <c r="AK46" s="24"/>
      <c r="AL46" s="24" t="s">
        <v>85</v>
      </c>
      <c r="AM46" s="268"/>
      <c r="AN46" s="268"/>
      <c r="AO46" s="211">
        <f>SUM(AO44:AO45)</f>
        <v>5.9692263601572861</v>
      </c>
      <c r="AP46" s="212">
        <f t="shared" ref="AP46:AT46" si="116">SUM(AP44:AP45)</f>
        <v>5.8709908163110427</v>
      </c>
      <c r="AQ46" s="212">
        <f t="shared" si="116"/>
        <v>5.9452931736144166</v>
      </c>
      <c r="AR46" s="212">
        <f t="shared" si="116"/>
        <v>6.1551108339552512</v>
      </c>
      <c r="AS46" s="213">
        <f t="shared" si="116"/>
        <v>6.292542520552721</v>
      </c>
      <c r="AT46" s="212">
        <f t="shared" si="116"/>
        <v>30.233163704590719</v>
      </c>
      <c r="AU46" s="66"/>
      <c r="AV46" s="24"/>
      <c r="AW46" s="24" t="s">
        <v>85</v>
      </c>
      <c r="AX46" s="212"/>
      <c r="AY46" s="212"/>
      <c r="AZ46" s="211">
        <f>SUM(AZ44:AZ45)</f>
        <v>1.6189544571739045E-2</v>
      </c>
      <c r="BA46" s="212">
        <f t="shared" ref="BA46:BE46" si="117">SUM(BA44:BA45)</f>
        <v>1.7894297012817972E-2</v>
      </c>
      <c r="BB46" s="212">
        <f t="shared" si="117"/>
        <v>3.527704668525411E-2</v>
      </c>
      <c r="BC46" s="212">
        <f t="shared" si="117"/>
        <v>0.17043999626349038</v>
      </c>
      <c r="BD46" s="213">
        <f t="shared" si="117"/>
        <v>0.23309948033149741</v>
      </c>
      <c r="BE46" s="212">
        <f t="shared" si="117"/>
        <v>0.47290036486479892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s="71" customFormat="1" ht="24" customHeight="1" x14ac:dyDescent="0.2">
      <c r="A48" s="69"/>
      <c r="B48" s="357" t="s">
        <v>192</v>
      </c>
      <c r="C48" s="357"/>
      <c r="D48" s="358"/>
      <c r="E48" s="358"/>
      <c r="F48" s="358"/>
      <c r="G48" s="358"/>
      <c r="H48" s="358"/>
      <c r="I48" s="358"/>
      <c r="J48" s="358"/>
      <c r="K48" s="358"/>
      <c r="L48" s="358"/>
      <c r="M48" s="32"/>
      <c r="N48" s="357" t="s">
        <v>189</v>
      </c>
      <c r="O48" s="357"/>
      <c r="P48" s="358"/>
      <c r="Q48" s="358"/>
      <c r="R48" s="358"/>
      <c r="S48" s="358"/>
      <c r="T48" s="358"/>
      <c r="U48" s="358"/>
      <c r="V48" s="358"/>
      <c r="W48" s="358"/>
      <c r="X48" s="358"/>
      <c r="Y48" s="70"/>
      <c r="Z48" s="357" t="s">
        <v>206</v>
      </c>
      <c r="AA48" s="357"/>
      <c r="AB48" s="358"/>
      <c r="AC48" s="358"/>
      <c r="AD48" s="358"/>
      <c r="AE48" s="358"/>
      <c r="AF48" s="358"/>
      <c r="AG48" s="358"/>
      <c r="AH48" s="358"/>
      <c r="AI48" s="358"/>
      <c r="AJ48" s="32"/>
      <c r="AK48" s="357" t="s">
        <v>257</v>
      </c>
      <c r="AL48" s="357"/>
      <c r="AM48" s="358"/>
      <c r="AN48" s="358"/>
      <c r="AO48" s="358"/>
      <c r="AP48" s="358"/>
      <c r="AQ48" s="358"/>
      <c r="AR48" s="358"/>
      <c r="AS48" s="358"/>
      <c r="AT48" s="358"/>
      <c r="AU48" s="66"/>
      <c r="AV48" s="357" t="s">
        <v>262</v>
      </c>
      <c r="AW48" s="357"/>
      <c r="AX48" s="358"/>
      <c r="AY48" s="358"/>
      <c r="AZ48" s="358"/>
      <c r="BA48" s="358"/>
      <c r="BB48" s="358"/>
      <c r="BC48" s="358"/>
      <c r="BD48" s="358"/>
      <c r="BE48" s="358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84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75</v>
      </c>
      <c r="L50" s="30" t="s">
        <v>104</v>
      </c>
      <c r="M50" s="32"/>
      <c r="N50" s="10" t="s">
        <v>183</v>
      </c>
      <c r="O50" s="11"/>
      <c r="P50" s="332"/>
      <c r="Q50" s="333"/>
      <c r="R50" s="334">
        <v>2018</v>
      </c>
      <c r="S50" s="333">
        <v>2019</v>
      </c>
      <c r="T50" s="333">
        <v>2020</v>
      </c>
      <c r="U50" s="333">
        <v>2021</v>
      </c>
      <c r="V50" s="335">
        <v>2022</v>
      </c>
      <c r="W50" s="3" t="str">
        <f t="shared" ref="W50" si="118">K50</f>
        <v>Total for 
2018-2022</v>
      </c>
      <c r="X50" s="30" t="s">
        <v>104</v>
      </c>
      <c r="Y50" s="32"/>
      <c r="Z50" s="10"/>
      <c r="AA50" s="11"/>
      <c r="AB50" s="3"/>
      <c r="AC50" s="4"/>
      <c r="AD50" s="5">
        <f t="shared" ref="AD50" si="119">R50</f>
        <v>2018</v>
      </c>
      <c r="AE50" s="4">
        <f t="shared" ref="AE50" si="120">S50</f>
        <v>2019</v>
      </c>
      <c r="AF50" s="4">
        <f t="shared" ref="AF50" si="121">T50</f>
        <v>2020</v>
      </c>
      <c r="AG50" s="4">
        <f t="shared" ref="AG50" si="122">U50</f>
        <v>2021</v>
      </c>
      <c r="AH50" s="6">
        <f t="shared" ref="AH50" si="123">V50</f>
        <v>2022</v>
      </c>
      <c r="AI50" s="3" t="str">
        <f t="shared" ref="AI50" si="124">W50</f>
        <v>Total for 
2018-2022</v>
      </c>
      <c r="AJ50" s="32"/>
      <c r="AK50" s="10"/>
      <c r="AL50" s="11"/>
      <c r="AM50" s="3"/>
      <c r="AN50" s="4"/>
      <c r="AO50" s="5">
        <f t="shared" ref="AO50:AT50" si="125">AD50</f>
        <v>2018</v>
      </c>
      <c r="AP50" s="4">
        <f t="shared" si="125"/>
        <v>2019</v>
      </c>
      <c r="AQ50" s="4">
        <f t="shared" si="125"/>
        <v>2020</v>
      </c>
      <c r="AR50" s="4">
        <f t="shared" si="125"/>
        <v>2021</v>
      </c>
      <c r="AS50" s="6">
        <f t="shared" si="125"/>
        <v>2022</v>
      </c>
      <c r="AT50" s="3" t="str">
        <f t="shared" si="125"/>
        <v>Total for 
2018-2022</v>
      </c>
      <c r="AU50" s="66"/>
      <c r="AV50" s="10"/>
      <c r="AW50" s="11"/>
      <c r="AX50" s="3"/>
      <c r="AY50" s="4"/>
      <c r="AZ50" s="5">
        <f t="shared" ref="AZ50:BE50" si="126">AO50</f>
        <v>2018</v>
      </c>
      <c r="BA50" s="4">
        <f t="shared" si="126"/>
        <v>2019</v>
      </c>
      <c r="BB50" s="4">
        <f t="shared" si="126"/>
        <v>2020</v>
      </c>
      <c r="BC50" s="4">
        <f t="shared" si="126"/>
        <v>2021</v>
      </c>
      <c r="BD50" s="6">
        <f t="shared" si="126"/>
        <v>2022</v>
      </c>
      <c r="BE50" s="3" t="str">
        <f t="shared" si="126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05" t="s">
        <v>414</v>
      </c>
      <c r="G51" s="606" t="s">
        <v>414</v>
      </c>
      <c r="H51" s="606" t="s">
        <v>414</v>
      </c>
      <c r="I51" s="606" t="s">
        <v>414</v>
      </c>
      <c r="J51" s="607" t="s">
        <v>414</v>
      </c>
      <c r="K51" s="16">
        <v>58851.430381566934</v>
      </c>
      <c r="L51" s="412" t="s">
        <v>318</v>
      </c>
      <c r="M51" s="32"/>
      <c r="N51" s="29" t="str">
        <f t="shared" ref="N51:O54" si="127">B51</f>
        <v>17</v>
      </c>
      <c r="O51" s="29" t="str">
        <f t="shared" si="127"/>
        <v>New Service - New Home</v>
      </c>
      <c r="P51" s="41"/>
      <c r="Q51" s="41"/>
      <c r="R51" s="596" t="s">
        <v>414</v>
      </c>
      <c r="S51" s="597" t="s">
        <v>414</v>
      </c>
      <c r="T51" s="597" t="s">
        <v>414</v>
      </c>
      <c r="U51" s="597" t="s">
        <v>414</v>
      </c>
      <c r="V51" s="598" t="s">
        <v>414</v>
      </c>
      <c r="W51" s="42"/>
      <c r="X51" s="412" t="s">
        <v>381</v>
      </c>
      <c r="Y51" s="32"/>
      <c r="Z51" s="29" t="str">
        <f>B51</f>
        <v>17</v>
      </c>
      <c r="AA51" s="29" t="str">
        <f>C51</f>
        <v>New Service - New Home</v>
      </c>
      <c r="AB51" s="214"/>
      <c r="AC51" s="214"/>
      <c r="AD51" s="209">
        <v>11.80496960514915</v>
      </c>
      <c r="AE51" s="210">
        <v>11.425159003251306</v>
      </c>
      <c r="AF51" s="210">
        <v>11.566908771398625</v>
      </c>
      <c r="AG51" s="210">
        <v>11.767335935379235</v>
      </c>
      <c r="AH51" s="56">
        <v>11.967821922920436</v>
      </c>
      <c r="AI51" s="214">
        <f t="shared" ref="AI51:AI54" si="128">SUM(AD51:AH51)</f>
        <v>58.532195238098751</v>
      </c>
      <c r="AJ51" s="32"/>
      <c r="AK51" s="29" t="str">
        <f t="shared" ref="AK51:AL54" si="129">N51</f>
        <v>17</v>
      </c>
      <c r="AL51" s="29" t="str">
        <f t="shared" si="129"/>
        <v>New Service - New Home</v>
      </c>
      <c r="AM51" s="363"/>
      <c r="AN51" s="363"/>
      <c r="AO51" s="209">
        <f>AD51*(1+'Real Cost Escalation'!E$18)</f>
        <v>11.884439725066148</v>
      </c>
      <c r="AP51" s="210">
        <f>AE51*(1+'Real Cost Escalation'!F$18)</f>
        <v>11.567814212763961</v>
      </c>
      <c r="AQ51" s="210">
        <f>AF51*(1+'Real Cost Escalation'!G$18)</f>
        <v>11.794048932724342</v>
      </c>
      <c r="AR51" s="210">
        <f>AG51*(1+'Real Cost Escalation'!H$18)</f>
        <v>12.102462920179425</v>
      </c>
      <c r="AS51" s="56">
        <f>AH51*(1+'Real Cost Escalation'!I$18)</f>
        <v>12.428209627271364</v>
      </c>
      <c r="AT51" s="214">
        <f>SUM(AO51:AS51)</f>
        <v>59.776975418005243</v>
      </c>
      <c r="AU51" s="66"/>
      <c r="AV51" s="29" t="str">
        <f t="shared" ref="AV51:AW54" si="130">Z51</f>
        <v>17</v>
      </c>
      <c r="AW51" s="29" t="str">
        <f t="shared" si="130"/>
        <v>New Service - New Home</v>
      </c>
      <c r="AX51" s="363"/>
      <c r="AY51" s="363"/>
      <c r="AZ51" s="209">
        <f t="shared" ref="AZ51:BD54" si="131">AO51-AD51</f>
        <v>7.9470119916997817E-2</v>
      </c>
      <c r="BA51" s="210">
        <f t="shared" si="131"/>
        <v>0.14265520951265565</v>
      </c>
      <c r="BB51" s="210">
        <f t="shared" si="131"/>
        <v>0.22714016132571757</v>
      </c>
      <c r="BC51" s="210">
        <f t="shared" si="131"/>
        <v>0.33512698480019054</v>
      </c>
      <c r="BD51" s="56">
        <f t="shared" si="131"/>
        <v>0.46038770435092857</v>
      </c>
      <c r="BE51" s="214">
        <f t="shared" ref="BE51:BE54" si="132">SUM(AZ51:BD51)</f>
        <v>1.2447801799064901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08" t="s">
        <v>414</v>
      </c>
      <c r="G52" s="609" t="s">
        <v>414</v>
      </c>
      <c r="H52" s="609" t="s">
        <v>414</v>
      </c>
      <c r="I52" s="609" t="s">
        <v>414</v>
      </c>
      <c r="J52" s="609" t="s">
        <v>414</v>
      </c>
      <c r="K52" s="16">
        <v>3998.691448070429</v>
      </c>
      <c r="L52" s="412" t="s">
        <v>318</v>
      </c>
      <c r="M52" s="32"/>
      <c r="N52" s="29" t="str">
        <f t="shared" si="127"/>
        <v>18</v>
      </c>
      <c r="O52" s="29" t="str">
        <f t="shared" si="127"/>
        <v>New Service - Exist Home</v>
      </c>
      <c r="P52" s="41"/>
      <c r="Q52" s="41"/>
      <c r="R52" s="596" t="s">
        <v>414</v>
      </c>
      <c r="S52" s="597" t="s">
        <v>414</v>
      </c>
      <c r="T52" s="597" t="s">
        <v>414</v>
      </c>
      <c r="U52" s="597" t="s">
        <v>414</v>
      </c>
      <c r="V52" s="598" t="s">
        <v>414</v>
      </c>
      <c r="W52" s="42"/>
      <c r="X52" s="412" t="s">
        <v>381</v>
      </c>
      <c r="Y52" s="32"/>
      <c r="Z52" s="29" t="str">
        <f t="shared" ref="Z52:Z54" si="133">B52</f>
        <v>18</v>
      </c>
      <c r="AA52" s="29" t="str">
        <f t="shared" ref="AA52:AA54" si="134">C52</f>
        <v>New Service - Exist Home</v>
      </c>
      <c r="AB52" s="214"/>
      <c r="AC52" s="214"/>
      <c r="AD52" s="209">
        <v>1.2135175211305815</v>
      </c>
      <c r="AE52" s="210">
        <v>1.1744740643890117</v>
      </c>
      <c r="AF52" s="210">
        <v>1.189045540048546</v>
      </c>
      <c r="AG52" s="210">
        <v>1.2096488862100552</v>
      </c>
      <c r="AH52" s="56">
        <v>1.2302582792673902</v>
      </c>
      <c r="AI52" s="214">
        <f t="shared" si="128"/>
        <v>6.0169442910455846</v>
      </c>
      <c r="AJ52" s="32"/>
      <c r="AK52" s="29" t="str">
        <f t="shared" si="129"/>
        <v>18</v>
      </c>
      <c r="AL52" s="29" t="str">
        <f t="shared" si="129"/>
        <v>New Service - Exist Home</v>
      </c>
      <c r="AM52" s="363"/>
      <c r="AN52" s="363"/>
      <c r="AO52" s="209">
        <f>AD52*(1+'Real Cost Escalation'!E$18)</f>
        <v>1.2216868249196875</v>
      </c>
      <c r="AP52" s="210">
        <f>AE52*(1+'Real Cost Escalation'!F$18)</f>
        <v>1.1891386168626286</v>
      </c>
      <c r="AQ52" s="210">
        <f>AF52*(1+'Real Cost Escalation'!G$18)</f>
        <v>1.2123949068610582</v>
      </c>
      <c r="AR52" s="210">
        <f>AG52*(1+'Real Cost Escalation'!H$18)</f>
        <v>1.2440989933650373</v>
      </c>
      <c r="AS52" s="56">
        <f>AH52*(1+'Real Cost Escalation'!I$18)</f>
        <v>1.2775848344750584</v>
      </c>
      <c r="AT52" s="214">
        <f>SUM(AO52:AS52)</f>
        <v>6.14490417648347</v>
      </c>
      <c r="AU52" s="66"/>
      <c r="AV52" s="29" t="str">
        <f t="shared" si="130"/>
        <v>18</v>
      </c>
      <c r="AW52" s="29" t="str">
        <f t="shared" si="130"/>
        <v>New Service - Exist Home</v>
      </c>
      <c r="AX52" s="363"/>
      <c r="AY52" s="363"/>
      <c r="AZ52" s="209">
        <f t="shared" si="131"/>
        <v>8.1693037891059639E-3</v>
      </c>
      <c r="BA52" s="210">
        <f t="shared" si="131"/>
        <v>1.4664552473616865E-2</v>
      </c>
      <c r="BB52" s="210">
        <f t="shared" si="131"/>
        <v>2.3349366812512207E-2</v>
      </c>
      <c r="BC52" s="210">
        <f t="shared" si="131"/>
        <v>3.445010715498209E-2</v>
      </c>
      <c r="BD52" s="56">
        <f t="shared" si="131"/>
        <v>4.7326555207668264E-2</v>
      </c>
      <c r="BE52" s="214">
        <f t="shared" si="132"/>
        <v>0.12795988543788539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08" t="s">
        <v>414</v>
      </c>
      <c r="G53" s="609" t="s">
        <v>414</v>
      </c>
      <c r="H53" s="609" t="s">
        <v>414</v>
      </c>
      <c r="I53" s="609" t="s">
        <v>414</v>
      </c>
      <c r="J53" s="609" t="s">
        <v>414</v>
      </c>
      <c r="K53" s="16">
        <v>3281.5859467069349</v>
      </c>
      <c r="L53" s="412" t="s">
        <v>318</v>
      </c>
      <c r="M53" s="32"/>
      <c r="N53" s="29" t="str">
        <f t="shared" si="127"/>
        <v>19</v>
      </c>
      <c r="O53" s="29" t="str">
        <f t="shared" si="127"/>
        <v>New Service - Multi User</v>
      </c>
      <c r="P53" s="41"/>
      <c r="Q53" s="41"/>
      <c r="R53" s="596" t="s">
        <v>414</v>
      </c>
      <c r="S53" s="597" t="s">
        <v>414</v>
      </c>
      <c r="T53" s="597" t="s">
        <v>414</v>
      </c>
      <c r="U53" s="597" t="s">
        <v>414</v>
      </c>
      <c r="V53" s="598" t="s">
        <v>414</v>
      </c>
      <c r="W53" s="42"/>
      <c r="X53" s="412" t="s">
        <v>381</v>
      </c>
      <c r="Y53" s="32"/>
      <c r="Z53" s="29" t="str">
        <f t="shared" si="133"/>
        <v>19</v>
      </c>
      <c r="AA53" s="29" t="str">
        <f t="shared" si="134"/>
        <v>New Service - Multi User</v>
      </c>
      <c r="AB53" s="214"/>
      <c r="AC53" s="214"/>
      <c r="AD53" s="209">
        <v>3.273210976796169</v>
      </c>
      <c r="AE53" s="210">
        <v>3.1678993772903703</v>
      </c>
      <c r="AF53" s="210">
        <v>3.2072029005163634</v>
      </c>
      <c r="AG53" s="210">
        <v>3.2627761391719976</v>
      </c>
      <c r="AH53" s="56">
        <v>3.3183656880707457</v>
      </c>
      <c r="AI53" s="214">
        <f t="shared" si="128"/>
        <v>16.229455081845646</v>
      </c>
      <c r="AJ53" s="32"/>
      <c r="AK53" s="29" t="str">
        <f t="shared" si="129"/>
        <v>19</v>
      </c>
      <c r="AL53" s="29" t="str">
        <f t="shared" si="129"/>
        <v>New Service - Multi User</v>
      </c>
      <c r="AM53" s="363"/>
      <c r="AN53" s="363"/>
      <c r="AO53" s="209">
        <f>AD53*(1+'Real Cost Escalation'!E$18)</f>
        <v>3.2952459737118889</v>
      </c>
      <c r="AP53" s="210">
        <f>AE53*(1+'Real Cost Escalation'!F$18)</f>
        <v>3.207453955852801</v>
      </c>
      <c r="AQ53" s="210">
        <f>AF53*(1+'Real Cost Escalation'!G$18)</f>
        <v>3.2701829584233568</v>
      </c>
      <c r="AR53" s="210">
        <f>AG53*(1+'Real Cost Escalation'!H$18)</f>
        <v>3.355698134057111</v>
      </c>
      <c r="AS53" s="56">
        <f>AH53*(1+'Real Cost Escalation'!I$18)</f>
        <v>3.4460192219524544</v>
      </c>
      <c r="AT53" s="214">
        <f>SUM(AO53:AS53)</f>
        <v>16.574600243997612</v>
      </c>
      <c r="AU53" s="66"/>
      <c r="AV53" s="29" t="str">
        <f t="shared" si="130"/>
        <v>19</v>
      </c>
      <c r="AW53" s="29" t="str">
        <f t="shared" si="130"/>
        <v>New Service - Multi User</v>
      </c>
      <c r="AX53" s="363"/>
      <c r="AY53" s="363"/>
      <c r="AZ53" s="209">
        <f t="shared" si="131"/>
        <v>2.2034996915719862E-2</v>
      </c>
      <c r="BA53" s="210">
        <f t="shared" si="131"/>
        <v>3.955457856243072E-2</v>
      </c>
      <c r="BB53" s="210">
        <f t="shared" si="131"/>
        <v>6.2980057906993459E-2</v>
      </c>
      <c r="BC53" s="210">
        <f t="shared" si="131"/>
        <v>9.2921994885113435E-2</v>
      </c>
      <c r="BD53" s="56">
        <f t="shared" si="131"/>
        <v>0.12765353388170864</v>
      </c>
      <c r="BE53" s="214">
        <f t="shared" si="132"/>
        <v>0.34514516215196611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10" t="s">
        <v>414</v>
      </c>
      <c r="G54" s="611" t="s">
        <v>414</v>
      </c>
      <c r="H54" s="611" t="s">
        <v>414</v>
      </c>
      <c r="I54" s="611" t="s">
        <v>414</v>
      </c>
      <c r="J54" s="612" t="s">
        <v>414</v>
      </c>
      <c r="K54" s="16">
        <v>1677.5882991216392</v>
      </c>
      <c r="L54" s="412" t="s">
        <v>318</v>
      </c>
      <c r="M54" s="32"/>
      <c r="N54" s="362" t="str">
        <f t="shared" si="127"/>
        <v>20</v>
      </c>
      <c r="O54" s="362" t="str">
        <f t="shared" si="127"/>
        <v>New Service - I&amp;C &lt; 10 Tj</v>
      </c>
      <c r="P54" s="512"/>
      <c r="Q54" s="512"/>
      <c r="R54" s="599" t="s">
        <v>414</v>
      </c>
      <c r="S54" s="600" t="s">
        <v>414</v>
      </c>
      <c r="T54" s="600" t="s">
        <v>414</v>
      </c>
      <c r="U54" s="600" t="s">
        <v>414</v>
      </c>
      <c r="V54" s="601" t="s">
        <v>414</v>
      </c>
      <c r="W54" s="513"/>
      <c r="X54" s="514" t="s">
        <v>381</v>
      </c>
      <c r="Y54" s="32"/>
      <c r="Z54" s="29" t="str">
        <f t="shared" si="133"/>
        <v>20</v>
      </c>
      <c r="AA54" s="29" t="str">
        <f t="shared" si="134"/>
        <v>New Service - I&amp;C &lt; 10 Tj</v>
      </c>
      <c r="AB54" s="214"/>
      <c r="AC54" s="214"/>
      <c r="AD54" s="209">
        <v>1.647222844599707</v>
      </c>
      <c r="AE54" s="210">
        <v>1.6569607004327218</v>
      </c>
      <c r="AF54" s="210">
        <v>1.6667655625762565</v>
      </c>
      <c r="AG54" s="210">
        <v>1.6766381057865025</v>
      </c>
      <c r="AH54" s="56">
        <v>1.686579014575438</v>
      </c>
      <c r="AI54" s="214">
        <f t="shared" si="128"/>
        <v>8.334166227970627</v>
      </c>
      <c r="AJ54" s="32"/>
      <c r="AK54" s="29" t="str">
        <f t="shared" si="129"/>
        <v>20</v>
      </c>
      <c r="AL54" s="29" t="str">
        <f t="shared" si="129"/>
        <v>New Service - I&amp;C &lt; 10 Tj</v>
      </c>
      <c r="AM54" s="363"/>
      <c r="AN54" s="363"/>
      <c r="AO54" s="209">
        <f>AD54*(1+'Real Cost Escalation'!E$18)</f>
        <v>1.6583118182581618</v>
      </c>
      <c r="AP54" s="210">
        <f>AE54*(1+'Real Cost Escalation'!F$18)</f>
        <v>1.6776496095154925</v>
      </c>
      <c r="AQ54" s="210">
        <f>AF54*(1+'Real Cost Escalation'!G$18)</f>
        <v>1.6994959494287798</v>
      </c>
      <c r="AR54" s="210">
        <f>AG54*(1+'Real Cost Escalation'!H$18)</f>
        <v>1.7243877983319482</v>
      </c>
      <c r="AS54" s="56">
        <f>AH54*(1+'Real Cost Escalation'!I$18)</f>
        <v>1.751459679221671</v>
      </c>
      <c r="AT54" s="214">
        <f>SUM(AO54:AS54)</f>
        <v>8.5113048547560535</v>
      </c>
      <c r="AU54" s="66"/>
      <c r="AV54" s="29" t="str">
        <f t="shared" si="130"/>
        <v>20</v>
      </c>
      <c r="AW54" s="29" t="str">
        <f t="shared" si="130"/>
        <v>New Service - I&amp;C &lt; 10 Tj</v>
      </c>
      <c r="AX54" s="363"/>
      <c r="AY54" s="363"/>
      <c r="AZ54" s="209">
        <f t="shared" si="131"/>
        <v>1.1088973658454737E-2</v>
      </c>
      <c r="BA54" s="210">
        <f t="shared" si="131"/>
        <v>2.0688909082770657E-2</v>
      </c>
      <c r="BB54" s="210">
        <f t="shared" si="131"/>
        <v>3.2730386852523274E-2</v>
      </c>
      <c r="BC54" s="210">
        <f t="shared" si="131"/>
        <v>4.7749692545445699E-2</v>
      </c>
      <c r="BD54" s="56">
        <f t="shared" si="131"/>
        <v>6.4880664646232988E-2</v>
      </c>
      <c r="BE54" s="214">
        <f t="shared" si="132"/>
        <v>0.17713862678542736</v>
      </c>
      <c r="BF54" s="32"/>
    </row>
    <row r="55" spans="1:58" ht="18" customHeight="1" thickBot="1" x14ac:dyDescent="0.25">
      <c r="A55" s="66"/>
      <c r="B55" s="24"/>
      <c r="C55" s="24" t="s">
        <v>82</v>
      </c>
      <c r="D55" s="27"/>
      <c r="E55" s="27"/>
      <c r="F55" s="26">
        <v>13669.235075278712</v>
      </c>
      <c r="G55" s="27">
        <v>13242.071999064994</v>
      </c>
      <c r="H55" s="27">
        <v>13404.199437341913</v>
      </c>
      <c r="I55" s="27">
        <v>13632.636259626592</v>
      </c>
      <c r="J55" s="28">
        <v>13861.153304153719</v>
      </c>
      <c r="K55" s="27">
        <v>67809.296075465929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82</v>
      </c>
      <c r="AB55" s="212"/>
      <c r="AC55" s="212"/>
      <c r="AD55" s="211">
        <f>SUM(AD51:AD54)</f>
        <v>17.938920947675609</v>
      </c>
      <c r="AE55" s="212">
        <f t="shared" ref="AE55:AI55" si="135">SUM(AE51:AE54)</f>
        <v>17.42449314536341</v>
      </c>
      <c r="AF55" s="212">
        <f t="shared" si="135"/>
        <v>17.629922774539789</v>
      </c>
      <c r="AG55" s="212">
        <f t="shared" si="135"/>
        <v>17.91639906654779</v>
      </c>
      <c r="AH55" s="213">
        <f t="shared" si="135"/>
        <v>18.203024904834013</v>
      </c>
      <c r="AI55" s="212">
        <f t="shared" si="135"/>
        <v>89.112760838960611</v>
      </c>
      <c r="AJ55" s="32"/>
      <c r="AK55" s="24"/>
      <c r="AL55" s="24" t="s">
        <v>82</v>
      </c>
      <c r="AM55" s="268"/>
      <c r="AN55" s="268"/>
      <c r="AO55" s="211">
        <f>SUM(AO51:AO54)</f>
        <v>18.059684341955887</v>
      </c>
      <c r="AP55" s="212">
        <f t="shared" ref="AP55:AT55" si="136">SUM(AP51:AP54)</f>
        <v>17.642056394994881</v>
      </c>
      <c r="AQ55" s="212">
        <f t="shared" si="136"/>
        <v>17.976122747437536</v>
      </c>
      <c r="AR55" s="212">
        <f t="shared" si="136"/>
        <v>18.426647845933523</v>
      </c>
      <c r="AS55" s="213">
        <f t="shared" si="136"/>
        <v>18.903273362920547</v>
      </c>
      <c r="AT55" s="212">
        <f t="shared" si="136"/>
        <v>91.007784693242371</v>
      </c>
      <c r="AU55" s="66"/>
      <c r="AV55" s="24"/>
      <c r="AW55" s="24" t="s">
        <v>82</v>
      </c>
      <c r="AX55" s="212"/>
      <c r="AY55" s="212"/>
      <c r="AZ55" s="211">
        <f>SUM(AZ51:AZ54)</f>
        <v>0.12076339428027838</v>
      </c>
      <c r="BA55" s="212">
        <f t="shared" ref="BA55:BE55" si="137">SUM(BA51:BA54)</f>
        <v>0.21756324963147389</v>
      </c>
      <c r="BB55" s="212">
        <f t="shared" si="137"/>
        <v>0.34619997289774651</v>
      </c>
      <c r="BC55" s="212">
        <f t="shared" si="137"/>
        <v>0.51024877938573177</v>
      </c>
      <c r="BD55" s="213">
        <f t="shared" si="137"/>
        <v>0.70024845808653846</v>
      </c>
      <c r="BE55" s="212">
        <f t="shared" si="137"/>
        <v>1.895023854281769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8" t="s">
        <v>240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s="71" customFormat="1" ht="24" customHeight="1" x14ac:dyDescent="0.2">
      <c r="A59" s="69"/>
      <c r="B59" s="357" t="s">
        <v>242</v>
      </c>
      <c r="C59" s="357"/>
      <c r="D59" s="358"/>
      <c r="E59" s="358"/>
      <c r="F59" s="358"/>
      <c r="G59" s="358"/>
      <c r="H59" s="358"/>
      <c r="I59" s="358"/>
      <c r="J59" s="358"/>
      <c r="K59" s="358"/>
      <c r="L59" s="358"/>
      <c r="M59" s="32"/>
      <c r="N59" s="357" t="s">
        <v>243</v>
      </c>
      <c r="O59" s="357"/>
      <c r="P59" s="358"/>
      <c r="Q59" s="358"/>
      <c r="R59" s="358"/>
      <c r="S59" s="358"/>
      <c r="T59" s="358"/>
      <c r="U59" s="358"/>
      <c r="V59" s="358"/>
      <c r="W59" s="358"/>
      <c r="X59" s="358"/>
      <c r="Y59" s="70"/>
      <c r="Z59" s="357" t="s">
        <v>244</v>
      </c>
      <c r="AA59" s="357"/>
      <c r="AB59" s="358"/>
      <c r="AC59" s="358"/>
      <c r="AD59" s="358"/>
      <c r="AE59" s="358"/>
      <c r="AF59" s="358"/>
      <c r="AG59" s="358"/>
      <c r="AH59" s="358"/>
      <c r="AI59" s="358"/>
      <c r="AJ59" s="32"/>
      <c r="AK59" s="357" t="s">
        <v>245</v>
      </c>
      <c r="AL59" s="357"/>
      <c r="AM59" s="358"/>
      <c r="AN59" s="358"/>
      <c r="AO59" s="358"/>
      <c r="AP59" s="358"/>
      <c r="AQ59" s="358"/>
      <c r="AR59" s="358"/>
      <c r="AS59" s="358"/>
      <c r="AT59" s="358"/>
      <c r="AU59" s="66"/>
      <c r="AV59" s="357" t="s">
        <v>263</v>
      </c>
      <c r="AW59" s="357"/>
      <c r="AX59" s="358"/>
      <c r="AY59" s="358"/>
      <c r="AZ59" s="358"/>
      <c r="BA59" s="358"/>
      <c r="BB59" s="358"/>
      <c r="BC59" s="358"/>
      <c r="BD59" s="358"/>
      <c r="BE59" s="358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264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264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75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75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75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3"/>
      <c r="AC62" s="363"/>
      <c r="AD62" s="209">
        <f>'Business Cases'!D58/1000</f>
        <v>0.26675599999999999</v>
      </c>
      <c r="AE62" s="210">
        <f>'Business Cases'!E58/1000</f>
        <v>0.25515599999999999</v>
      </c>
      <c r="AF62" s="210">
        <f>'Business Cases'!F58/1000</f>
        <v>0.248638</v>
      </c>
      <c r="AG62" s="210">
        <f>'Business Cases'!G58/1000</f>
        <v>0.16209999999999999</v>
      </c>
      <c r="AH62" s="56">
        <f>'Business Cases'!H58/1000</f>
        <v>0.13900000000000001</v>
      </c>
      <c r="AI62" s="214">
        <f>SUM(AD62:AH62)</f>
        <v>1.07165</v>
      </c>
      <c r="AJ62" s="32"/>
      <c r="AK62" s="29">
        <f t="shared" ref="AK62:AK69" si="138">$Z62</f>
        <v>21</v>
      </c>
      <c r="AL62" s="29" t="str">
        <f t="shared" ref="AL62:AL69" si="139">$AA62</f>
        <v>Telemetry</v>
      </c>
      <c r="AM62" s="585"/>
      <c r="AN62" s="585"/>
      <c r="AO62" s="209">
        <f>AD62*(1+'Real Cost Escalation'!E$18)</f>
        <v>0.26855178025337162</v>
      </c>
      <c r="AP62" s="210">
        <f>AE62*(1+'Real Cost Escalation'!F$18)</f>
        <v>0.25834189287274273</v>
      </c>
      <c r="AQ62" s="210">
        <f>AF62*(1+'Real Cost Escalation'!G$18)</f>
        <v>0.25352052103892708</v>
      </c>
      <c r="AR62" s="210">
        <f>AG62*(1+'Real Cost Escalation'!H$18)</f>
        <v>0.16671651511730723</v>
      </c>
      <c r="AS62" s="56">
        <f>AH62*(1+'Real Cost Escalation'!I$18)</f>
        <v>0.14434716269317308</v>
      </c>
      <c r="AT62" s="214">
        <f>SUM(AO62:AS62)</f>
        <v>1.0914778719755218</v>
      </c>
      <c r="AU62" s="32"/>
      <c r="AV62" s="29">
        <f t="shared" ref="AV62:AV69" si="140">$Z62</f>
        <v>21</v>
      </c>
      <c r="AW62" s="29" t="str">
        <f t="shared" ref="AW62:AW69" si="141">$AA62</f>
        <v>Telemetry</v>
      </c>
      <c r="AX62" s="15"/>
      <c r="AY62" s="15"/>
      <c r="AZ62" s="209">
        <f t="shared" ref="AZ62:BD69" si="142">AO62-AD62</f>
        <v>1.7957802533716261E-3</v>
      </c>
      <c r="BA62" s="210">
        <f t="shared" si="142"/>
        <v>3.1858928727427349E-3</v>
      </c>
      <c r="BB62" s="210">
        <f t="shared" si="142"/>
        <v>4.8825210389270846E-3</v>
      </c>
      <c r="BC62" s="210">
        <f t="shared" si="142"/>
        <v>4.616515117307235E-3</v>
      </c>
      <c r="BD62" s="56">
        <f t="shared" si="142"/>
        <v>5.3471626931730631E-3</v>
      </c>
      <c r="BE62" s="214">
        <f>SUM(AZ62:BD62)</f>
        <v>1.9827871975521744E-2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3"/>
      <c r="AC63" s="363"/>
      <c r="AD63" s="209">
        <f>'Business Cases'!D52/1000</f>
        <v>2.3807279999999995</v>
      </c>
      <c r="AE63" s="210">
        <f>'Business Cases'!E52/1000</f>
        <v>4.3046110000000004</v>
      </c>
      <c r="AF63" s="210">
        <f>'Business Cases'!F52/1000</f>
        <v>9.6315519999999992</v>
      </c>
      <c r="AG63" s="210">
        <f>'Business Cases'!G52/1000</f>
        <v>5.4338200000000008</v>
      </c>
      <c r="AH63" s="56">
        <f>'Business Cases'!H52/1000</f>
        <v>2.6496019999999998</v>
      </c>
      <c r="AI63" s="214">
        <f t="shared" ref="AI63:AI69" si="143">SUM(AD63:AH63)</f>
        <v>24.400312999999997</v>
      </c>
      <c r="AJ63" s="32"/>
      <c r="AK63" s="29">
        <f t="shared" si="138"/>
        <v>22</v>
      </c>
      <c r="AL63" s="29" t="str">
        <f t="shared" si="139"/>
        <v>Regulators</v>
      </c>
      <c r="AM63" s="585"/>
      <c r="AN63" s="585"/>
      <c r="AO63" s="209">
        <f>AD63*(1+'Real Cost Escalation'!E$18)</f>
        <v>2.3967548722392329</v>
      </c>
      <c r="AP63" s="210">
        <f>AE63*(1+'Real Cost Escalation'!F$18)</f>
        <v>4.3583586269608796</v>
      </c>
      <c r="AQ63" s="210">
        <f>AF63*(1+'Real Cost Escalation'!G$18)</f>
        <v>9.8206874309378289</v>
      </c>
      <c r="AR63" s="210">
        <f>AG63*(1+'Real Cost Escalation'!H$18)</f>
        <v>5.5885720800414962</v>
      </c>
      <c r="AS63" s="56">
        <f>AH63*(1+'Real Cost Escalation'!I$18)</f>
        <v>2.7515289997565233</v>
      </c>
      <c r="AT63" s="214">
        <f t="shared" ref="AT63:AT69" si="144">SUM(AO63:AS63)</f>
        <v>24.915902009935962</v>
      </c>
      <c r="AU63" s="32"/>
      <c r="AV63" s="29">
        <f t="shared" si="140"/>
        <v>22</v>
      </c>
      <c r="AW63" s="29" t="str">
        <f t="shared" si="141"/>
        <v>Regulators</v>
      </c>
      <c r="AX63" s="15"/>
      <c r="AY63" s="15"/>
      <c r="AZ63" s="209">
        <f t="shared" si="142"/>
        <v>1.6026872239233381E-2</v>
      </c>
      <c r="BA63" s="210">
        <f t="shared" si="142"/>
        <v>5.3747626960879202E-2</v>
      </c>
      <c r="BB63" s="210">
        <f t="shared" si="142"/>
        <v>0.1891354309378297</v>
      </c>
      <c r="BC63" s="210">
        <f t="shared" si="142"/>
        <v>0.15475208004149543</v>
      </c>
      <c r="BD63" s="56">
        <f t="shared" si="142"/>
        <v>0.10192699975652353</v>
      </c>
      <c r="BE63" s="214">
        <f t="shared" ref="BE63:BE69" si="145">SUM(AZ63:BD63)</f>
        <v>0.51558900993596124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3"/>
      <c r="AC64" s="363"/>
      <c r="AD64" s="209">
        <f>'Business Cases'!D27/1000</f>
        <v>10.924895270694799</v>
      </c>
      <c r="AE64" s="210">
        <f>'Business Cases'!E27/1000</f>
        <v>22.941623531770439</v>
      </c>
      <c r="AF64" s="210">
        <f>'Business Cases'!F27/1000</f>
        <v>15.599709349414304</v>
      </c>
      <c r="AG64" s="210">
        <f>'Business Cases'!G27/1000</f>
        <v>4.9632835186954347</v>
      </c>
      <c r="AH64" s="56">
        <f>'Business Cases'!H27/1000</f>
        <v>5.7917871278627011</v>
      </c>
      <c r="AI64" s="214">
        <f t="shared" si="143"/>
        <v>60.221298798437672</v>
      </c>
      <c r="AJ64" s="32"/>
      <c r="AK64" s="29">
        <f t="shared" si="138"/>
        <v>23</v>
      </c>
      <c r="AL64" s="29" t="str">
        <f t="shared" si="139"/>
        <v>Information Technology</v>
      </c>
      <c r="AM64" s="585"/>
      <c r="AN64" s="585"/>
      <c r="AO64" s="209">
        <f>AD64*(1+'Real Cost Escalation'!E$18)</f>
        <v>10.998440799932254</v>
      </c>
      <c r="AP64" s="210">
        <f>AE64*(1+'Real Cost Escalation'!F$18)</f>
        <v>23.228073996972178</v>
      </c>
      <c r="AQ64" s="210">
        <f>AF64*(1+'Real Cost Escalation'!G$18)</f>
        <v>15.906041885469383</v>
      </c>
      <c r="AR64" s="210">
        <f>AG64*(1+'Real Cost Escalation'!H$18)</f>
        <v>5.1046349893650174</v>
      </c>
      <c r="AS64" s="56">
        <f>AH64*(1+'Real Cost Escalation'!I$18)</f>
        <v>6.0145902074087978</v>
      </c>
      <c r="AT64" s="214">
        <f t="shared" si="144"/>
        <v>61.251781879147629</v>
      </c>
      <c r="AU64" s="32"/>
      <c r="AV64" s="29">
        <f t="shared" si="140"/>
        <v>23</v>
      </c>
      <c r="AW64" s="29" t="str">
        <f t="shared" si="141"/>
        <v>Information Technology</v>
      </c>
      <c r="AX64" s="15"/>
      <c r="AY64" s="15"/>
      <c r="AZ64" s="209">
        <f t="shared" si="142"/>
        <v>7.3545529237454943E-2</v>
      </c>
      <c r="BA64" s="210">
        <f t="shared" si="142"/>
        <v>0.28645046520173878</v>
      </c>
      <c r="BB64" s="210">
        <f t="shared" si="142"/>
        <v>0.30633253605507882</v>
      </c>
      <c r="BC64" s="210">
        <f t="shared" si="142"/>
        <v>0.14135147066958265</v>
      </c>
      <c r="BD64" s="56">
        <f t="shared" si="142"/>
        <v>0.22280307954609668</v>
      </c>
      <c r="BE64" s="214">
        <f t="shared" si="145"/>
        <v>1.0304830807099519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3"/>
      <c r="AC65" s="584"/>
      <c r="AD65" s="209">
        <f>'Business Cases'!D34/1000</f>
        <v>0.58140000000000003</v>
      </c>
      <c r="AE65" s="210">
        <f>'Business Cases'!E34/1000</f>
        <v>0.32439999999999997</v>
      </c>
      <c r="AF65" s="210">
        <f>'Business Cases'!F34/1000</f>
        <v>0.33839999999999998</v>
      </c>
      <c r="AG65" s="210">
        <f>'Business Cases'!G34/1000</f>
        <v>0.33239999999999997</v>
      </c>
      <c r="AH65" s="56">
        <f>'Business Cases'!H34/1000</f>
        <v>0.33169999999999999</v>
      </c>
      <c r="AI65" s="209">
        <f t="shared" si="143"/>
        <v>1.9083000000000001</v>
      </c>
      <c r="AJ65" s="32"/>
      <c r="AK65" s="29">
        <f t="shared" si="138"/>
        <v>24</v>
      </c>
      <c r="AL65" s="29" t="str">
        <f t="shared" si="139"/>
        <v>Other Distribution System</v>
      </c>
      <c r="AM65" s="585"/>
      <c r="AN65" s="585"/>
      <c r="AO65" s="209">
        <f>AD65*(1+'Real Cost Escalation'!E$18)</f>
        <v>0.58531393872793958</v>
      </c>
      <c r="AP65" s="210">
        <f>AE65*(1+'Real Cost Escalation'!F$18)</f>
        <v>0.32845047754282769</v>
      </c>
      <c r="AQ65" s="210">
        <f>AF65*(1+'Real Cost Escalation'!G$18)</f>
        <v>0.34504518343766</v>
      </c>
      <c r="AR65" s="210">
        <f>AG65*(1+'Real Cost Escalation'!H$18)</f>
        <v>0.34186656153604517</v>
      </c>
      <c r="AS65" s="56">
        <f>AH65*(1+'Real Cost Escalation'!I$18)</f>
        <v>0.3444600997505432</v>
      </c>
      <c r="AT65" s="209">
        <f t="shared" si="144"/>
        <v>1.9451362609950156</v>
      </c>
      <c r="AU65" s="32"/>
      <c r="AV65" s="29">
        <f t="shared" si="140"/>
        <v>24</v>
      </c>
      <c r="AW65" s="29" t="str">
        <f t="shared" si="141"/>
        <v>Other Distribution System</v>
      </c>
      <c r="AX65" s="32"/>
      <c r="AY65" s="32"/>
      <c r="AZ65" s="209">
        <f t="shared" si="142"/>
        <v>3.9139387279395477E-3</v>
      </c>
      <c r="BA65" s="210">
        <f t="shared" si="142"/>
        <v>4.050477542827724E-3</v>
      </c>
      <c r="BB65" s="210">
        <f t="shared" si="142"/>
        <v>6.6451834376600183E-3</v>
      </c>
      <c r="BC65" s="210">
        <f t="shared" si="142"/>
        <v>9.4665615360451927E-3</v>
      </c>
      <c r="BD65" s="56">
        <f t="shared" si="142"/>
        <v>1.2760099750543208E-2</v>
      </c>
      <c r="BE65" s="209">
        <f t="shared" si="145"/>
        <v>3.6836260995015691E-2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3"/>
      <c r="AC66" s="363"/>
      <c r="AD66" s="209">
        <f>'Business Cases'!D39/1000</f>
        <v>1.6</v>
      </c>
      <c r="AE66" s="210">
        <f>'Business Cases'!E39/1000</f>
        <v>1.601</v>
      </c>
      <c r="AF66" s="210">
        <f>'Business Cases'!F39/1000</f>
        <v>1.1910000000000001</v>
      </c>
      <c r="AG66" s="210">
        <f>'Business Cases'!G39/1000</f>
        <v>2.113</v>
      </c>
      <c r="AH66" s="56">
        <f>'Business Cases'!H39/1000</f>
        <v>0.92300000000000004</v>
      </c>
      <c r="AI66" s="209">
        <f t="shared" si="143"/>
        <v>7.4280000000000008</v>
      </c>
      <c r="AJ66" s="32"/>
      <c r="AK66" s="29">
        <f t="shared" si="138"/>
        <v>25</v>
      </c>
      <c r="AL66" s="29" t="str">
        <f t="shared" si="139"/>
        <v>Other Non-Distribution System</v>
      </c>
      <c r="AM66" s="585"/>
      <c r="AN66" s="585"/>
      <c r="AO66" s="209">
        <f>AD66*(1+'Real Cost Escalation'!E$18)</f>
        <v>1.6107710732107041</v>
      </c>
      <c r="AP66" s="210">
        <f>AE66*(1+'Real Cost Escalation'!F$18)</f>
        <v>1.6209901804749296</v>
      </c>
      <c r="AQ66" s="210">
        <f>AF66*(1+'Real Cost Escalation'!G$18)</f>
        <v>1.2143877466733248</v>
      </c>
      <c r="AR66" s="210">
        <f>AG66*(1+'Real Cost Escalation'!H$18)</f>
        <v>2.1731770292589152</v>
      </c>
      <c r="AS66" s="56">
        <f>AH66*(1+'Real Cost Escalation'!I$18)</f>
        <v>0.95850669903452335</v>
      </c>
      <c r="AT66" s="209">
        <f t="shared" si="144"/>
        <v>7.5778327286523979</v>
      </c>
      <c r="AU66" s="32"/>
      <c r="AV66" s="29">
        <f t="shared" si="140"/>
        <v>25</v>
      </c>
      <c r="AW66" s="29" t="str">
        <f t="shared" si="141"/>
        <v>Other Non-Distribution System</v>
      </c>
      <c r="AX66" s="32"/>
      <c r="AY66" s="32"/>
      <c r="AZ66" s="209">
        <f t="shared" si="142"/>
        <v>1.077107321070403E-2</v>
      </c>
      <c r="BA66" s="210">
        <f t="shared" si="142"/>
        <v>1.999018047492962E-2</v>
      </c>
      <c r="BB66" s="210">
        <f t="shared" si="142"/>
        <v>2.3387746673324772E-2</v>
      </c>
      <c r="BC66" s="210">
        <f t="shared" si="142"/>
        <v>6.0177029258915216E-2</v>
      </c>
      <c r="BD66" s="56">
        <f t="shared" si="142"/>
        <v>3.5506699034523304E-2</v>
      </c>
      <c r="BE66" s="209">
        <f t="shared" si="145"/>
        <v>0.14983272865239694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3"/>
      <c r="AC67" s="584"/>
      <c r="AD67" s="209">
        <v>0</v>
      </c>
      <c r="AE67" s="210">
        <v>0</v>
      </c>
      <c r="AF67" s="210">
        <v>0</v>
      </c>
      <c r="AG67" s="210">
        <v>0</v>
      </c>
      <c r="AH67" s="56">
        <v>0</v>
      </c>
      <c r="AI67" s="209">
        <f t="shared" si="143"/>
        <v>0</v>
      </c>
      <c r="AJ67" s="32"/>
      <c r="AK67" s="29">
        <f t="shared" si="138"/>
        <v>26</v>
      </c>
      <c r="AL67" s="29" t="str">
        <f t="shared" si="139"/>
        <v>Large Consumers</v>
      </c>
      <c r="AM67" s="585"/>
      <c r="AN67" s="585"/>
      <c r="AO67" s="209">
        <f>AD67*(1+'Real Cost Escalation'!E$18)</f>
        <v>0</v>
      </c>
      <c r="AP67" s="210">
        <f>AE67*(1+'Real Cost Escalation'!F$18)</f>
        <v>0</v>
      </c>
      <c r="AQ67" s="210">
        <f>AF67*(1+'Real Cost Escalation'!G$18)</f>
        <v>0</v>
      </c>
      <c r="AR67" s="210">
        <f>AG67*(1+'Real Cost Escalation'!H$18)</f>
        <v>0</v>
      </c>
      <c r="AS67" s="56">
        <f>AH67*(1+'Real Cost Escalation'!I$18)</f>
        <v>0</v>
      </c>
      <c r="AT67" s="209">
        <f t="shared" si="144"/>
        <v>0</v>
      </c>
      <c r="AU67" s="32"/>
      <c r="AV67" s="29">
        <f t="shared" si="140"/>
        <v>26</v>
      </c>
      <c r="AW67" s="29" t="str">
        <f t="shared" si="141"/>
        <v>Large Consumers</v>
      </c>
      <c r="AX67" s="32"/>
      <c r="AY67" s="32"/>
      <c r="AZ67" s="209">
        <f t="shared" si="142"/>
        <v>0</v>
      </c>
      <c r="BA67" s="210">
        <f t="shared" si="142"/>
        <v>0</v>
      </c>
      <c r="BB67" s="210">
        <f t="shared" si="142"/>
        <v>0</v>
      </c>
      <c r="BC67" s="210">
        <f t="shared" si="142"/>
        <v>0</v>
      </c>
      <c r="BD67" s="56">
        <f t="shared" si="142"/>
        <v>0</v>
      </c>
      <c r="BE67" s="209">
        <f t="shared" si="145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3"/>
      <c r="AC68" s="363"/>
      <c r="AD68" s="209">
        <f>'Business Cases'!D18/1000</f>
        <v>5.6124999999999998</v>
      </c>
      <c r="AE68" s="210">
        <f>'Business Cases'!E18/1000</f>
        <v>9.1690000000000005</v>
      </c>
      <c r="AF68" s="210">
        <f>'Business Cases'!F18/1000</f>
        <v>7.24</v>
      </c>
      <c r="AG68" s="210">
        <f>'Business Cases'!G18/1000</f>
        <v>3.387</v>
      </c>
      <c r="AH68" s="56">
        <f>'Business Cases'!H18/1000</f>
        <v>2.0990000000000002</v>
      </c>
      <c r="AI68" s="209">
        <f t="shared" si="143"/>
        <v>27.507500000000004</v>
      </c>
      <c r="AJ68" s="32"/>
      <c r="AK68" s="29">
        <f t="shared" si="138"/>
        <v>27</v>
      </c>
      <c r="AL68" s="29" t="str">
        <f t="shared" si="139"/>
        <v>Mains Augmentation</v>
      </c>
      <c r="AM68" s="585"/>
      <c r="AN68" s="585"/>
      <c r="AO68" s="209">
        <f>AD68*(1+'Real Cost Escalation'!E$18)</f>
        <v>5.6502829052469226</v>
      </c>
      <c r="AP68" s="210">
        <f>AE68*(1+'Real Cost Escalation'!F$18)</f>
        <v>9.2834846750622297</v>
      </c>
      <c r="AQ68" s="210">
        <f>AF68*(1+'Real Cost Escalation'!G$18)</f>
        <v>7.3821723643281878</v>
      </c>
      <c r="AR68" s="210">
        <f>AG68*(1+'Real Cost Escalation'!H$18)</f>
        <v>3.4834598192616881</v>
      </c>
      <c r="AS68" s="56">
        <f>AH68*(1+'Real Cost Escalation'!I$18)</f>
        <v>2.179746003546549</v>
      </c>
      <c r="AT68" s="209">
        <f t="shared" si="144"/>
        <v>27.979145767445576</v>
      </c>
      <c r="AU68" s="32"/>
      <c r="AV68" s="29">
        <f t="shared" si="140"/>
        <v>27</v>
      </c>
      <c r="AW68" s="29" t="str">
        <f t="shared" si="141"/>
        <v>Mains Augmentation</v>
      </c>
      <c r="AX68" s="32"/>
      <c r="AY68" s="32"/>
      <c r="AZ68" s="209">
        <f t="shared" si="142"/>
        <v>3.7782905246922738E-2</v>
      </c>
      <c r="BA68" s="210">
        <f t="shared" si="142"/>
        <v>0.11448467506222926</v>
      </c>
      <c r="BB68" s="210">
        <f t="shared" si="142"/>
        <v>0.14217236432818758</v>
      </c>
      <c r="BC68" s="210">
        <f t="shared" si="142"/>
        <v>9.6459819261688118E-2</v>
      </c>
      <c r="BD68" s="56">
        <f t="shared" si="142"/>
        <v>8.0746003546548817E-2</v>
      </c>
      <c r="BE68" s="209">
        <f t="shared" si="145"/>
        <v>0.47164576744557651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3"/>
      <c r="AC69" s="363"/>
      <c r="AD69" s="209">
        <v>0</v>
      </c>
      <c r="AE69" s="210">
        <v>0</v>
      </c>
      <c r="AF69" s="210">
        <v>0</v>
      </c>
      <c r="AG69" s="210">
        <v>0</v>
      </c>
      <c r="AH69" s="210">
        <v>0</v>
      </c>
      <c r="AI69" s="217">
        <f t="shared" si="143"/>
        <v>0</v>
      </c>
      <c r="AJ69" s="32"/>
      <c r="AK69" s="29">
        <f t="shared" si="138"/>
        <v>28</v>
      </c>
      <c r="AL69" s="29" t="str">
        <f t="shared" si="139"/>
        <v>Growth New Areas</v>
      </c>
      <c r="AM69" s="585"/>
      <c r="AN69" s="585"/>
      <c r="AO69" s="209">
        <f>AD69*(1+'Real Cost Escalation'!E$18)</f>
        <v>0</v>
      </c>
      <c r="AP69" s="210">
        <f>AE69*(1+'Real Cost Escalation'!F$18)</f>
        <v>0</v>
      </c>
      <c r="AQ69" s="210">
        <f>AF69*(1+'Real Cost Escalation'!G$18)</f>
        <v>0</v>
      </c>
      <c r="AR69" s="210">
        <f>AG69*(1+'Real Cost Escalation'!H$18)</f>
        <v>0</v>
      </c>
      <c r="AS69" s="56">
        <f>AH69*(1+'Real Cost Escalation'!I$18)</f>
        <v>0</v>
      </c>
      <c r="AT69" s="217">
        <f t="shared" si="144"/>
        <v>0</v>
      </c>
      <c r="AU69" s="32"/>
      <c r="AV69" s="29">
        <f t="shared" si="140"/>
        <v>28</v>
      </c>
      <c r="AW69" s="29" t="str">
        <f t="shared" si="141"/>
        <v>Growth New Areas</v>
      </c>
      <c r="AX69" s="32"/>
      <c r="AY69" s="32"/>
      <c r="AZ69" s="209">
        <f t="shared" si="142"/>
        <v>0</v>
      </c>
      <c r="BA69" s="210">
        <f t="shared" si="142"/>
        <v>0</v>
      </c>
      <c r="BB69" s="210">
        <f t="shared" si="142"/>
        <v>0</v>
      </c>
      <c r="BC69" s="210">
        <f t="shared" si="142"/>
        <v>0</v>
      </c>
      <c r="BD69" s="56">
        <f t="shared" si="142"/>
        <v>0</v>
      </c>
      <c r="BE69" s="217">
        <f t="shared" si="145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96</v>
      </c>
      <c r="AB70" s="268"/>
      <c r="AC70" s="268"/>
      <c r="AD70" s="211">
        <f>SUM(AD62:AD69)</f>
        <v>21.3662792706948</v>
      </c>
      <c r="AE70" s="212">
        <f t="shared" ref="AE70:AH70" si="146">SUM(AE62:AE69)</f>
        <v>38.59579053177044</v>
      </c>
      <c r="AF70" s="212">
        <f t="shared" si="146"/>
        <v>34.249299349414301</v>
      </c>
      <c r="AG70" s="212">
        <f t="shared" si="146"/>
        <v>16.391603518695433</v>
      </c>
      <c r="AH70" s="213">
        <f t="shared" si="146"/>
        <v>11.934089127862702</v>
      </c>
      <c r="AI70" s="328">
        <f>SUM(AI62:AI69)</f>
        <v>122.53706179843768</v>
      </c>
      <c r="AJ70" s="32"/>
      <c r="AK70" s="24"/>
      <c r="AL70" s="24" t="s">
        <v>96</v>
      </c>
      <c r="AM70" s="268"/>
      <c r="AN70" s="268"/>
      <c r="AO70" s="211">
        <f>SUM(AO62:AO69)</f>
        <v>21.510115369610425</v>
      </c>
      <c r="AP70" s="212">
        <f t="shared" ref="AP70:AT70" si="147">SUM(AP62:AP69)</f>
        <v>39.077699849885789</v>
      </c>
      <c r="AQ70" s="212">
        <f t="shared" si="147"/>
        <v>34.921855131885309</v>
      </c>
      <c r="AR70" s="212">
        <f t="shared" si="147"/>
        <v>16.858426994580469</v>
      </c>
      <c r="AS70" s="213">
        <f t="shared" si="147"/>
        <v>12.393179172190109</v>
      </c>
      <c r="AT70" s="328">
        <f t="shared" si="147"/>
        <v>124.7612765181521</v>
      </c>
      <c r="AU70" s="32"/>
      <c r="AV70" s="24"/>
      <c r="AW70" s="24" t="str">
        <f>AL70</f>
        <v>Total</v>
      </c>
      <c r="AX70" s="22"/>
      <c r="AY70" s="22"/>
      <c r="AZ70" s="211">
        <f>SUM(AZ62:AZ69)</f>
        <v>0.14383609891562626</v>
      </c>
      <c r="BA70" s="212">
        <f t="shared" ref="BA70:BD70" si="148">SUM(BA62:BA69)</f>
        <v>0.48190931811534732</v>
      </c>
      <c r="BB70" s="212">
        <f t="shared" si="148"/>
        <v>0.672555782471008</v>
      </c>
      <c r="BC70" s="212">
        <f t="shared" si="148"/>
        <v>0.46682347588503381</v>
      </c>
      <c r="BD70" s="213">
        <f t="shared" si="148"/>
        <v>0.45909004432740858</v>
      </c>
      <c r="BE70" s="328">
        <f>SUM(BE62:BE69)</f>
        <v>2.224214719714424</v>
      </c>
      <c r="BF70" s="32"/>
    </row>
    <row r="71" spans="1:58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493"/>
      <c r="AB71" s="518"/>
      <c r="AC71" s="518"/>
      <c r="AD71" s="519"/>
      <c r="AE71" s="519"/>
      <c r="AF71" s="519"/>
      <c r="AG71" s="519"/>
      <c r="AH71" s="519"/>
      <c r="AI71" s="519"/>
      <c r="AJ71" s="32"/>
      <c r="AK71" s="32"/>
      <c r="AL71" s="493"/>
      <c r="AM71" s="518"/>
      <c r="AN71" s="518"/>
      <c r="AO71" s="519"/>
      <c r="AP71" s="519"/>
      <c r="AQ71" s="519"/>
      <c r="AR71" s="519"/>
      <c r="AS71" s="519"/>
      <c r="AT71" s="519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66"/>
      <c r="AA72" s="32"/>
      <c r="AB72" s="32"/>
      <c r="AC72" s="32"/>
      <c r="AD72" s="337"/>
      <c r="AE72" s="337"/>
      <c r="AF72" s="337"/>
      <c r="AG72" s="337"/>
      <c r="AH72" s="337"/>
      <c r="AI72" s="337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8" t="s">
        <v>265</v>
      </c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264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264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319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4" t="s">
        <v>75</v>
      </c>
      <c r="AJ75" s="32"/>
      <c r="AK75" s="10" t="s">
        <v>251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4" t="s">
        <v>75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4" t="s">
        <v>75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7"/>
      <c r="AA76" s="327"/>
      <c r="AB76" s="268"/>
      <c r="AC76" s="268"/>
      <c r="AD76" s="211">
        <f t="shared" ref="AD76:AH76" si="149">AD12+AD25+AD31+AD39+AD46+AD55+AD70</f>
        <v>96.189610761724396</v>
      </c>
      <c r="AE76" s="212">
        <f t="shared" si="149"/>
        <v>114.51925182709294</v>
      </c>
      <c r="AF76" s="212">
        <f t="shared" si="149"/>
        <v>110.53183824705262</v>
      </c>
      <c r="AG76" s="212">
        <f t="shared" si="149"/>
        <v>88.526937785347855</v>
      </c>
      <c r="AH76" s="212">
        <f t="shared" si="149"/>
        <v>58.625712569175363</v>
      </c>
      <c r="AI76" s="211">
        <f>SUM(AD76:AH76)</f>
        <v>468.39335119039322</v>
      </c>
      <c r="AJ76" s="32"/>
      <c r="AK76" s="327"/>
      <c r="AL76" s="327"/>
      <c r="AM76" s="268"/>
      <c r="AN76" s="268"/>
      <c r="AO76" s="211">
        <f t="shared" ref="AO76:AS76" si="150">AO12+AO25+AO31+AO39+AO46+AO55+AO70</f>
        <v>96.771582262630005</v>
      </c>
      <c r="AP76" s="212">
        <f t="shared" si="150"/>
        <v>115.79444745415086</v>
      </c>
      <c r="AQ76" s="212">
        <f t="shared" si="150"/>
        <v>112.47771227362303</v>
      </c>
      <c r="AR76" s="212">
        <f t="shared" si="150"/>
        <v>91.048134247870848</v>
      </c>
      <c r="AS76" s="213">
        <f t="shared" si="150"/>
        <v>60.880973167093209</v>
      </c>
      <c r="AT76" s="211">
        <f>SUM(AO76:AS76)</f>
        <v>476.97284940536792</v>
      </c>
      <c r="AU76" s="32"/>
      <c r="AV76" s="327"/>
      <c r="AW76" s="327"/>
      <c r="AX76" s="327"/>
      <c r="AY76" s="327"/>
      <c r="AZ76" s="211">
        <f>AO76-AD76</f>
        <v>0.58197150090560967</v>
      </c>
      <c r="BA76" s="212">
        <f>AP76-AE76</f>
        <v>1.2751956270579115</v>
      </c>
      <c r="BB76" s="212">
        <f>AQ76-AF76</f>
        <v>1.945874026570408</v>
      </c>
      <c r="BC76" s="212">
        <f>AR76-AG76</f>
        <v>2.5211964625229939</v>
      </c>
      <c r="BD76" s="213">
        <f>AS76-AH76</f>
        <v>2.2552605979178466</v>
      </c>
      <c r="BE76" s="211">
        <f>SUM(AZ76:BD76)</f>
        <v>8.5794982149747696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 t="s">
        <v>11</v>
      </c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zoomScaleNormal="10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10" width="8.8554687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8.140625" style="44" bestFit="1" customWidth="1"/>
    <col min="25" max="25" width="2.5703125" style="44" customWidth="1"/>
    <col min="26" max="26" width="4.140625" style="44" customWidth="1"/>
    <col min="27" max="27" width="48.28515625" style="44" customWidth="1"/>
    <col min="28" max="29" width="9.140625" style="44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.28515625" style="44" customWidth="1"/>
    <col min="39" max="45" width="9.140625" style="44"/>
    <col min="46" max="46" width="12" style="44" customWidth="1"/>
    <col min="47" max="47" width="3.7109375" style="44" customWidth="1"/>
    <col min="48" max="48" width="4" style="44" customWidth="1"/>
    <col min="49" max="49" width="47.7109375" style="44" customWidth="1"/>
    <col min="50" max="56" width="9.140625" style="44"/>
    <col min="57" max="57" width="12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3" t="s">
        <v>376</v>
      </c>
      <c r="C2" s="343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8" t="s">
        <v>239</v>
      </c>
      <c r="C5" s="318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7" t="s">
        <v>191</v>
      </c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2"/>
      <c r="N7" s="357" t="s">
        <v>187</v>
      </c>
      <c r="O7" s="357"/>
      <c r="P7" s="358"/>
      <c r="Q7" s="358"/>
      <c r="R7" s="358"/>
      <c r="S7" s="358"/>
      <c r="T7" s="358"/>
      <c r="U7" s="358"/>
      <c r="V7" s="358"/>
      <c r="W7" s="358"/>
      <c r="X7" s="358"/>
      <c r="Y7" s="66"/>
      <c r="Z7" s="357" t="s">
        <v>204</v>
      </c>
      <c r="AA7" s="357"/>
      <c r="AB7" s="358"/>
      <c r="AC7" s="358"/>
      <c r="AD7" s="358"/>
      <c r="AE7" s="358"/>
      <c r="AF7" s="358"/>
      <c r="AG7" s="358"/>
      <c r="AH7" s="358"/>
      <c r="AI7" s="358"/>
      <c r="AJ7" s="32"/>
      <c r="AK7" s="357" t="s">
        <v>241</v>
      </c>
      <c r="AL7" s="357"/>
      <c r="AM7" s="358"/>
      <c r="AN7" s="358"/>
      <c r="AO7" s="358"/>
      <c r="AP7" s="358"/>
      <c r="AQ7" s="358"/>
      <c r="AR7" s="358"/>
      <c r="AS7" s="358"/>
      <c r="AT7" s="358"/>
      <c r="AU7" s="66"/>
      <c r="AV7" s="357" t="s">
        <v>252</v>
      </c>
      <c r="AW7" s="357"/>
      <c r="AX7" s="358"/>
      <c r="AY7" s="358"/>
      <c r="AZ7" s="358"/>
      <c r="BA7" s="358"/>
      <c r="BB7" s="358"/>
      <c r="BC7" s="358"/>
      <c r="BD7" s="358"/>
      <c r="BE7" s="358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79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75</v>
      </c>
      <c r="L9" s="30" t="s">
        <v>104</v>
      </c>
      <c r="M9" s="32"/>
      <c r="N9" s="10" t="s">
        <v>180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6"/>
      <c r="AA9" s="359"/>
      <c r="AB9" s="304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6"/>
      <c r="AW9" s="359"/>
      <c r="AX9" s="304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05" t="s">
        <v>414</v>
      </c>
      <c r="G10" s="606" t="s">
        <v>414</v>
      </c>
      <c r="H10" s="606" t="s">
        <v>414</v>
      </c>
      <c r="I10" s="606" t="s">
        <v>414</v>
      </c>
      <c r="J10" s="607" t="s">
        <v>414</v>
      </c>
      <c r="K10" s="14">
        <v>7665</v>
      </c>
      <c r="L10" s="412" t="s">
        <v>382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6" t="s">
        <v>414</v>
      </c>
      <c r="S10" s="597" t="s">
        <v>414</v>
      </c>
      <c r="T10" s="597" t="s">
        <v>414</v>
      </c>
      <c r="U10" s="597" t="s">
        <v>414</v>
      </c>
      <c r="V10" s="598" t="s">
        <v>414</v>
      </c>
      <c r="W10" s="62"/>
      <c r="X10" s="412" t="s">
        <v>381</v>
      </c>
      <c r="Y10" s="32"/>
      <c r="Z10" s="361" t="str">
        <f>B10</f>
        <v>01</v>
      </c>
      <c r="AA10" s="361" t="str">
        <f>C10</f>
        <v>Meter Replacement - Meters &lt; 25m3</v>
      </c>
      <c r="AB10" s="215"/>
      <c r="AC10" s="216"/>
      <c r="AD10" s="210">
        <v>0.25485896966419935</v>
      </c>
      <c r="AE10" s="210">
        <v>0.25485896966419935</v>
      </c>
      <c r="AF10" s="210">
        <v>0.25485896966419935</v>
      </c>
      <c r="AG10" s="210">
        <v>0.13051506654643941</v>
      </c>
      <c r="AH10" s="56">
        <v>0.13051506654643941</v>
      </c>
      <c r="AI10" s="214">
        <f>SUM(AD10:AH10)</f>
        <v>1.0256070420854768</v>
      </c>
      <c r="AJ10" s="32"/>
      <c r="AK10" s="29" t="str">
        <f>N10</f>
        <v>01</v>
      </c>
      <c r="AL10" s="29" t="str">
        <f>O10</f>
        <v>Meter Replacement - Meters &lt; 25m3</v>
      </c>
      <c r="AM10" s="214"/>
      <c r="AN10" s="214"/>
      <c r="AO10" s="209">
        <f>AD10*(1-'Real Cost Escalation'!E$25)</f>
        <v>0.25485896966419935</v>
      </c>
      <c r="AP10" s="210">
        <f>AE10*(1-'Real Cost Escalation'!F$25)</f>
        <v>0.2539453002579532</v>
      </c>
      <c r="AQ10" s="210">
        <f>AF10*(1-'Real Cost Escalation'!G$25)</f>
        <v>0.25394202475313182</v>
      </c>
      <c r="AR10" s="210">
        <f>AG10*(1+'Real Cost Escalation'!H$18)</f>
        <v>0.13423206085703779</v>
      </c>
      <c r="AS10" s="56">
        <f>AH10*(1+'Real Cost Escalation'!I$18)</f>
        <v>0.13553582406251222</v>
      </c>
      <c r="AT10" s="214">
        <f>SUM(AO10:AS10)</f>
        <v>1.0325141795948343</v>
      </c>
      <c r="AU10" s="66"/>
      <c r="AV10" s="361" t="str">
        <f>Z10</f>
        <v>01</v>
      </c>
      <c r="AW10" s="361" t="str">
        <f>AA10</f>
        <v>Meter Replacement - Meters &lt; 25m3</v>
      </c>
      <c r="AX10" s="215"/>
      <c r="AY10" s="216"/>
      <c r="AZ10" s="210">
        <f t="shared" ref="AZ10:BD11" si="4">AO10-AD10</f>
        <v>0</v>
      </c>
      <c r="BA10" s="210">
        <f t="shared" si="4"/>
        <v>-9.1366940624615367E-4</v>
      </c>
      <c r="BB10" s="210">
        <f t="shared" si="4"/>
        <v>-9.1694491106752984E-4</v>
      </c>
      <c r="BC10" s="210">
        <f t="shared" si="4"/>
        <v>3.7169943105983816E-3</v>
      </c>
      <c r="BD10" s="56">
        <f t="shared" si="4"/>
        <v>5.0207575160728102E-3</v>
      </c>
      <c r="BE10" s="214">
        <f>SUM(AZ10:BD10)</f>
        <v>6.9071375093575083E-3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08" t="s">
        <v>414</v>
      </c>
      <c r="G11" s="609" t="s">
        <v>414</v>
      </c>
      <c r="H11" s="609" t="s">
        <v>414</v>
      </c>
      <c r="I11" s="609" t="s">
        <v>414</v>
      </c>
      <c r="J11" s="613" t="s">
        <v>414</v>
      </c>
      <c r="K11" s="17">
        <v>250</v>
      </c>
      <c r="L11" s="412" t="str">
        <f>L10</f>
        <v>Attachment 8.3 Meter Replacement Plan</v>
      </c>
      <c r="M11" s="32"/>
      <c r="N11" s="362" t="str">
        <f>B11</f>
        <v>02</v>
      </c>
      <c r="O11" s="362" t="str">
        <f>C11</f>
        <v>Meter Replacement - Meters &gt; 25m3</v>
      </c>
      <c r="P11" s="512"/>
      <c r="Q11" s="512"/>
      <c r="R11" s="599" t="s">
        <v>414</v>
      </c>
      <c r="S11" s="600" t="s">
        <v>414</v>
      </c>
      <c r="T11" s="600" t="s">
        <v>414</v>
      </c>
      <c r="U11" s="600" t="s">
        <v>414</v>
      </c>
      <c r="V11" s="601" t="s">
        <v>414</v>
      </c>
      <c r="W11" s="512"/>
      <c r="X11" s="514" t="str">
        <f>X10</f>
        <v>Attachment 8.4 Unit Rates Forecast</v>
      </c>
      <c r="Y11" s="32"/>
      <c r="Z11" s="362" t="str">
        <f>B11</f>
        <v>02</v>
      </c>
      <c r="AA11" s="362" t="str">
        <f>C11</f>
        <v>Meter Replacement - Meters &gt; 25m3</v>
      </c>
      <c r="AB11" s="218"/>
      <c r="AC11" s="219"/>
      <c r="AD11" s="210">
        <v>8.5838910679004163E-2</v>
      </c>
      <c r="AE11" s="210">
        <v>8.5838910679004163E-2</v>
      </c>
      <c r="AF11" s="210">
        <v>8.5838910679004163E-2</v>
      </c>
      <c r="AG11" s="210">
        <v>8.5838910679004163E-2</v>
      </c>
      <c r="AH11" s="56">
        <v>8.5838910679004163E-2</v>
      </c>
      <c r="AI11" s="214">
        <f>SUM(AD11:AH11)</f>
        <v>0.42919455339502083</v>
      </c>
      <c r="AJ11" s="32"/>
      <c r="AK11" s="29" t="str">
        <f>N11</f>
        <v>02</v>
      </c>
      <c r="AL11" s="29" t="str">
        <f>O11</f>
        <v>Meter Replacement - Meters &gt; 25m3</v>
      </c>
      <c r="AM11" s="214"/>
      <c r="AN11" s="214"/>
      <c r="AO11" s="209">
        <f>AD11*(1+'Real Cost Escalation'!E$18)</f>
        <v>8.6416771423535807E-2</v>
      </c>
      <c r="AP11" s="210">
        <f>AE11*(1+'Real Cost Escalation'!F$18)</f>
        <v>8.6910700383092024E-2</v>
      </c>
      <c r="AQ11" s="210">
        <f>AF11*(1+'Real Cost Escalation'!G$18)</f>
        <v>8.7524535110301144E-2</v>
      </c>
      <c r="AR11" s="210">
        <f>AG11*(1+'Real Cost Escalation'!H$18)</f>
        <v>8.8283553669767936E-2</v>
      </c>
      <c r="AS11" s="56">
        <f>AH11*(1+'Real Cost Escalation'!I$18)</f>
        <v>8.9141030253143641E-2</v>
      </c>
      <c r="AT11" s="214">
        <f>SUM(AO11:AS11)</f>
        <v>0.43827659083984055</v>
      </c>
      <c r="AU11" s="66"/>
      <c r="AV11" s="362" t="str">
        <f>Z11</f>
        <v>02</v>
      </c>
      <c r="AW11" s="362" t="str">
        <f>AA11</f>
        <v>Meter Replacement - Meters &gt; 25m3</v>
      </c>
      <c r="AX11" s="218"/>
      <c r="AY11" s="219"/>
      <c r="AZ11" s="210">
        <f t="shared" si="4"/>
        <v>5.7786074453164415E-4</v>
      </c>
      <c r="BA11" s="210">
        <f t="shared" si="4"/>
        <v>1.071789704087861E-3</v>
      </c>
      <c r="BB11" s="210">
        <f t="shared" si="4"/>
        <v>1.6856244312969809E-3</v>
      </c>
      <c r="BC11" s="210">
        <f t="shared" si="4"/>
        <v>2.4446429907637734E-3</v>
      </c>
      <c r="BD11" s="56">
        <f t="shared" si="4"/>
        <v>3.3021195741394782E-3</v>
      </c>
      <c r="BE11" s="214">
        <f>SUM(AZ11:BD11)</f>
        <v>9.0820374448197377E-3</v>
      </c>
      <c r="BF11" s="32"/>
    </row>
    <row r="12" spans="1:58" s="67" customFormat="1" ht="18" customHeight="1" thickBot="1" x14ac:dyDescent="0.25">
      <c r="A12" s="66"/>
      <c r="B12" s="24"/>
      <c r="C12" s="24" t="s">
        <v>78</v>
      </c>
      <c r="D12" s="22"/>
      <c r="E12" s="22"/>
      <c r="F12" s="26">
        <v>1954.7197633353207</v>
      </c>
      <c r="G12" s="27">
        <v>1954.7197633353207</v>
      </c>
      <c r="H12" s="27">
        <v>1954.7197633353207</v>
      </c>
      <c r="I12" s="27">
        <v>1025.4203549970186</v>
      </c>
      <c r="J12" s="28">
        <v>1025.4203549970186</v>
      </c>
      <c r="K12" s="27">
        <v>7915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60"/>
      <c r="AA12" s="360" t="s">
        <v>78</v>
      </c>
      <c r="AB12" s="328"/>
      <c r="AC12" s="328"/>
      <c r="AD12" s="211">
        <f>SUM(AD10:AD11)</f>
        <v>0.34069788034320353</v>
      </c>
      <c r="AE12" s="212">
        <f t="shared" ref="AE12:AI12" si="5">SUM(AE10:AE11)</f>
        <v>0.34069788034320353</v>
      </c>
      <c r="AF12" s="212">
        <f t="shared" si="5"/>
        <v>0.34069788034320353</v>
      </c>
      <c r="AG12" s="212">
        <f t="shared" si="5"/>
        <v>0.21635397722544358</v>
      </c>
      <c r="AH12" s="213">
        <f t="shared" si="5"/>
        <v>0.21635397722544358</v>
      </c>
      <c r="AI12" s="212">
        <f t="shared" si="5"/>
        <v>1.4548015954804976</v>
      </c>
      <c r="AJ12" s="32"/>
      <c r="AK12" s="24"/>
      <c r="AL12" s="24" t="s">
        <v>78</v>
      </c>
      <c r="AM12" s="212"/>
      <c r="AN12" s="212"/>
      <c r="AO12" s="211">
        <f>SUM(AO10:AO11)</f>
        <v>0.34127574108773517</v>
      </c>
      <c r="AP12" s="212">
        <f t="shared" ref="AP12:AT12" si="6">SUM(AP10:AP11)</f>
        <v>0.34085600064104521</v>
      </c>
      <c r="AQ12" s="212">
        <f t="shared" si="6"/>
        <v>0.34146655986343299</v>
      </c>
      <c r="AR12" s="212">
        <f t="shared" si="6"/>
        <v>0.22251561452680574</v>
      </c>
      <c r="AS12" s="213">
        <f t="shared" si="6"/>
        <v>0.22467685431565587</v>
      </c>
      <c r="AT12" s="212">
        <f t="shared" si="6"/>
        <v>1.4707907704346748</v>
      </c>
      <c r="AU12" s="66"/>
      <c r="AV12" s="360"/>
      <c r="AW12" s="360" t="s">
        <v>78</v>
      </c>
      <c r="AX12" s="328"/>
      <c r="AY12" s="328"/>
      <c r="AZ12" s="211">
        <f>SUM(AZ10:AZ11)</f>
        <v>5.7786074453164415E-4</v>
      </c>
      <c r="BA12" s="212">
        <f t="shared" ref="BA12:BE12" si="7">SUM(BA10:BA11)</f>
        <v>1.5812029784170734E-4</v>
      </c>
      <c r="BB12" s="212">
        <f t="shared" si="7"/>
        <v>7.6867952022945107E-4</v>
      </c>
      <c r="BC12" s="212">
        <f t="shared" si="7"/>
        <v>6.161637301362155E-3</v>
      </c>
      <c r="BD12" s="213">
        <f t="shared" si="7"/>
        <v>8.3228770902122884E-3</v>
      </c>
      <c r="BE12" s="212">
        <f t="shared" si="7"/>
        <v>1.5989174954177246E-2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9"/>
      <c r="Q13" s="589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84"/>
      <c r="AC13" s="584"/>
      <c r="AD13" s="66"/>
      <c r="AE13" s="66"/>
      <c r="AF13" s="66"/>
      <c r="AG13" s="66"/>
      <c r="AH13" s="66"/>
      <c r="AI13" s="66"/>
      <c r="AJ13" s="32"/>
      <c r="AK13" s="66"/>
      <c r="AL13" s="66"/>
      <c r="AM13" s="584"/>
      <c r="AN13" s="584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7" t="s">
        <v>179</v>
      </c>
      <c r="C14" s="357"/>
      <c r="D14" s="358"/>
      <c r="E14" s="358"/>
      <c r="F14" s="358"/>
      <c r="G14" s="358"/>
      <c r="H14" s="358"/>
      <c r="I14" s="358"/>
      <c r="J14" s="358"/>
      <c r="K14" s="358"/>
      <c r="L14" s="358"/>
      <c r="M14" s="32"/>
      <c r="N14" s="357" t="s">
        <v>185</v>
      </c>
      <c r="O14" s="357"/>
      <c r="P14" s="358"/>
      <c r="Q14" s="358"/>
      <c r="R14" s="358"/>
      <c r="S14" s="358"/>
      <c r="T14" s="358"/>
      <c r="U14" s="358"/>
      <c r="V14" s="358"/>
      <c r="W14" s="358"/>
      <c r="X14" s="358"/>
      <c r="Y14" s="70"/>
      <c r="Z14" s="357" t="s">
        <v>202</v>
      </c>
      <c r="AA14" s="357"/>
      <c r="AB14" s="358"/>
      <c r="AC14" s="358"/>
      <c r="AD14" s="358"/>
      <c r="AE14" s="358"/>
      <c r="AF14" s="358"/>
      <c r="AG14" s="358"/>
      <c r="AH14" s="358"/>
      <c r="AI14" s="358"/>
      <c r="AJ14" s="32"/>
      <c r="AK14" s="357" t="s">
        <v>317</v>
      </c>
      <c r="AL14" s="357"/>
      <c r="AM14" s="358"/>
      <c r="AN14" s="358"/>
      <c r="AO14" s="358"/>
      <c r="AP14" s="358"/>
      <c r="AQ14" s="358"/>
      <c r="AR14" s="358"/>
      <c r="AS14" s="358"/>
      <c r="AT14" s="358"/>
      <c r="AU14" s="66"/>
      <c r="AV14" s="357" t="s">
        <v>258</v>
      </c>
      <c r="AW14" s="357"/>
      <c r="AX14" s="358"/>
      <c r="AY14" s="358"/>
      <c r="AZ14" s="358"/>
      <c r="BA14" s="358"/>
      <c r="BB14" s="358"/>
      <c r="BC14" s="358"/>
      <c r="BD14" s="358"/>
      <c r="BE14" s="358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175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75</v>
      </c>
      <c r="L16" s="30" t="s">
        <v>104</v>
      </c>
      <c r="M16" s="32"/>
      <c r="N16" s="10" t="s">
        <v>177</v>
      </c>
      <c r="O16" s="11"/>
      <c r="P16" s="3"/>
      <c r="Q16" s="3"/>
      <c r="R16" s="30">
        <f t="shared" ref="R16:X16" si="8">F16</f>
        <v>2018</v>
      </c>
      <c r="S16" s="3">
        <f t="shared" si="8"/>
        <v>2019</v>
      </c>
      <c r="T16" s="3">
        <f t="shared" si="8"/>
        <v>2020</v>
      </c>
      <c r="U16" s="3">
        <f t="shared" si="8"/>
        <v>2021</v>
      </c>
      <c r="V16" s="31">
        <f t="shared" si="8"/>
        <v>2022</v>
      </c>
      <c r="W16" s="3" t="str">
        <f t="shared" si="8"/>
        <v>Total for 
2018-2022</v>
      </c>
      <c r="X16" s="30" t="str">
        <f t="shared" si="8"/>
        <v>Source</v>
      </c>
      <c r="Y16" s="66"/>
      <c r="Z16" s="10"/>
      <c r="AA16" s="11"/>
      <c r="AB16" s="3"/>
      <c r="AC16" s="4"/>
      <c r="AD16" s="5">
        <f t="shared" ref="AD16:AI16" si="9">R16</f>
        <v>2018</v>
      </c>
      <c r="AE16" s="4">
        <f t="shared" si="9"/>
        <v>2019</v>
      </c>
      <c r="AF16" s="4">
        <f t="shared" si="9"/>
        <v>2020</v>
      </c>
      <c r="AG16" s="4">
        <f t="shared" si="9"/>
        <v>2021</v>
      </c>
      <c r="AH16" s="6">
        <f t="shared" si="9"/>
        <v>2022</v>
      </c>
      <c r="AI16" s="3" t="str">
        <f t="shared" si="9"/>
        <v>Total for 
2018-2022</v>
      </c>
      <c r="AJ16" s="32"/>
      <c r="AK16" s="10"/>
      <c r="AL16" s="11"/>
      <c r="AM16" s="304"/>
      <c r="AN16" s="4"/>
      <c r="AO16" s="5">
        <f t="shared" ref="AO16:AT16" si="10">AD16</f>
        <v>2018</v>
      </c>
      <c r="AP16" s="4">
        <f t="shared" si="10"/>
        <v>2019</v>
      </c>
      <c r="AQ16" s="4">
        <f t="shared" si="10"/>
        <v>2020</v>
      </c>
      <c r="AR16" s="4">
        <f t="shared" si="10"/>
        <v>2021</v>
      </c>
      <c r="AS16" s="6">
        <f t="shared" si="10"/>
        <v>2022</v>
      </c>
      <c r="AT16" s="3" t="str">
        <f t="shared" si="10"/>
        <v>Total for 
2018-2022</v>
      </c>
      <c r="AU16" s="66"/>
      <c r="AV16" s="10"/>
      <c r="AW16" s="11"/>
      <c r="AX16" s="3"/>
      <c r="AY16" s="4"/>
      <c r="AZ16" s="5">
        <f t="shared" ref="AZ16:BE16" si="11">AO16</f>
        <v>2018</v>
      </c>
      <c r="BA16" s="4">
        <f t="shared" si="11"/>
        <v>2019</v>
      </c>
      <c r="BB16" s="4">
        <f t="shared" si="11"/>
        <v>2020</v>
      </c>
      <c r="BC16" s="4">
        <f t="shared" si="11"/>
        <v>2021</v>
      </c>
      <c r="BD16" s="6">
        <f t="shared" si="11"/>
        <v>2022</v>
      </c>
      <c r="BE16" s="3" t="str">
        <f t="shared" si="11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05" t="s">
        <v>414</v>
      </c>
      <c r="G17" s="606" t="s">
        <v>414</v>
      </c>
      <c r="H17" s="606" t="s">
        <v>414</v>
      </c>
      <c r="I17" s="606" t="s">
        <v>414</v>
      </c>
      <c r="J17" s="607" t="s">
        <v>414</v>
      </c>
      <c r="K17" s="15">
        <v>0</v>
      </c>
      <c r="L17" s="412" t="s">
        <v>407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96" t="s">
        <v>414</v>
      </c>
      <c r="S17" s="597" t="s">
        <v>414</v>
      </c>
      <c r="T17" s="597" t="s">
        <v>414</v>
      </c>
      <c r="U17" s="597" t="s">
        <v>414</v>
      </c>
      <c r="V17" s="598" t="s">
        <v>414</v>
      </c>
      <c r="W17" s="41"/>
      <c r="X17" s="412" t="str">
        <f>$X$10</f>
        <v>Attachment 8.4 Unit Rates Forecast</v>
      </c>
      <c r="Y17" s="66"/>
      <c r="Z17" s="29" t="str">
        <f t="shared" ref="Z17:AA23" si="12">B17</f>
        <v>03</v>
      </c>
      <c r="AA17" s="29" t="str">
        <f t="shared" si="12"/>
        <v>Mains Replacement - General Trunk Replacement</v>
      </c>
      <c r="AB17" s="214"/>
      <c r="AC17" s="214"/>
      <c r="AD17" s="209">
        <v>0</v>
      </c>
      <c r="AE17" s="210">
        <v>0</v>
      </c>
      <c r="AF17" s="210">
        <v>0</v>
      </c>
      <c r="AG17" s="210">
        <v>0</v>
      </c>
      <c r="AH17" s="56">
        <v>0</v>
      </c>
      <c r="AI17" s="214">
        <f>SUM(AD17:AH17)</f>
        <v>0</v>
      </c>
      <c r="AJ17" s="32"/>
      <c r="AK17" s="29" t="str">
        <f t="shared" ref="AK17:AL23" si="13">N17</f>
        <v>03</v>
      </c>
      <c r="AL17" s="29" t="str">
        <f t="shared" si="13"/>
        <v>Mains Replacement - General Trunk Replacement</v>
      </c>
      <c r="AM17" s="62"/>
      <c r="AN17" s="210"/>
      <c r="AO17" s="209">
        <f>AD17*(1+'Real Cost Escalation'!E$18)</f>
        <v>0</v>
      </c>
      <c r="AP17" s="210">
        <f>AE17*(1+'Real Cost Escalation'!F$18)</f>
        <v>0</v>
      </c>
      <c r="AQ17" s="210">
        <f>AF17*(1+'Real Cost Escalation'!G$18)</f>
        <v>0</v>
      </c>
      <c r="AR17" s="210">
        <f>AG17*(1+'Real Cost Escalation'!H$18)</f>
        <v>0</v>
      </c>
      <c r="AS17" s="56">
        <f>AH17*(1+'Real Cost Escalation'!I$18)</f>
        <v>0</v>
      </c>
      <c r="AT17" s="214">
        <f>SUM(AO17:AS17)</f>
        <v>0</v>
      </c>
      <c r="AU17" s="66"/>
      <c r="AV17" s="29" t="str">
        <f t="shared" ref="AV17:AV23" si="14">Z17</f>
        <v>03</v>
      </c>
      <c r="AW17" s="29" t="str">
        <f t="shared" ref="AW17:AW23" si="15">AA17</f>
        <v>Mains Replacement - General Trunk Replacement</v>
      </c>
      <c r="AX17" s="214"/>
      <c r="AY17" s="214"/>
      <c r="AZ17" s="209">
        <f t="shared" ref="AZ17:AZ23" si="16">AO17-AD17</f>
        <v>0</v>
      </c>
      <c r="BA17" s="210">
        <f t="shared" ref="BA17:BA23" si="17">AP17-AE17</f>
        <v>0</v>
      </c>
      <c r="BB17" s="210">
        <f t="shared" ref="BB17:BB23" si="18">AQ17-AF17</f>
        <v>0</v>
      </c>
      <c r="BC17" s="210">
        <f t="shared" ref="BC17:BC23" si="19">AR17-AG17</f>
        <v>0</v>
      </c>
      <c r="BD17" s="56">
        <f t="shared" ref="BD17:BD23" si="20">AS17-AH17</f>
        <v>0</v>
      </c>
      <c r="BE17" s="214">
        <f>SUM(AZ17:BD17)</f>
        <v>0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08" t="s">
        <v>414</v>
      </c>
      <c r="G18" s="609" t="s">
        <v>414</v>
      </c>
      <c r="H18" s="609" t="s">
        <v>414</v>
      </c>
      <c r="I18" s="609" t="s">
        <v>414</v>
      </c>
      <c r="J18" s="609" t="s">
        <v>414</v>
      </c>
      <c r="K18" s="16">
        <v>0</v>
      </c>
      <c r="L18" s="412" t="str">
        <f>$L$17</f>
        <v>Attachment 8.2 Distribution Mains and Services Integrity Plan</v>
      </c>
      <c r="M18" s="32"/>
      <c r="N18" s="29" t="str">
        <f t="shared" ref="N18:O23" si="21">B18</f>
        <v>04</v>
      </c>
      <c r="O18" s="29" t="str">
        <f t="shared" si="21"/>
        <v>Mains Replacement - Decommissioned Trunk Replacement</v>
      </c>
      <c r="P18" s="41"/>
      <c r="Q18" s="41"/>
      <c r="R18" s="596" t="s">
        <v>414</v>
      </c>
      <c r="S18" s="597" t="s">
        <v>414</v>
      </c>
      <c r="T18" s="597" t="s">
        <v>414</v>
      </c>
      <c r="U18" s="597" t="s">
        <v>414</v>
      </c>
      <c r="V18" s="598" t="s">
        <v>414</v>
      </c>
      <c r="W18" s="41"/>
      <c r="X18" s="412" t="str">
        <f t="shared" ref="X18:X24" si="22">$X$10</f>
        <v>Attachment 8.4 Unit Rates Forecast</v>
      </c>
      <c r="Y18" s="66"/>
      <c r="Z18" s="29" t="str">
        <f t="shared" si="12"/>
        <v>04</v>
      </c>
      <c r="AA18" s="29" t="str">
        <f t="shared" si="12"/>
        <v>Mains Replacement - Decommissioned Trunk Replacement</v>
      </c>
      <c r="AB18" s="214"/>
      <c r="AC18" s="214"/>
      <c r="AD18" s="209">
        <v>0</v>
      </c>
      <c r="AE18" s="210">
        <v>0</v>
      </c>
      <c r="AF18" s="210">
        <v>0</v>
      </c>
      <c r="AG18" s="210">
        <v>0</v>
      </c>
      <c r="AH18" s="56">
        <v>0</v>
      </c>
      <c r="AI18" s="214">
        <f t="shared" ref="AI18:AI23" si="23">SUM(AD18:AH18)</f>
        <v>0</v>
      </c>
      <c r="AJ18" s="32"/>
      <c r="AK18" s="29" t="str">
        <f t="shared" si="13"/>
        <v>04</v>
      </c>
      <c r="AL18" s="29" t="str">
        <f t="shared" si="13"/>
        <v>Mains Replacement - Decommissioned Trunk Replacement</v>
      </c>
      <c r="AM18" s="214"/>
      <c r="AN18" s="214"/>
      <c r="AO18" s="209">
        <f>AD18*(1+'Real Cost Escalation'!E$18)</f>
        <v>0</v>
      </c>
      <c r="AP18" s="210">
        <f>AE18*(1+'Real Cost Escalation'!F$18)</f>
        <v>0</v>
      </c>
      <c r="AQ18" s="210">
        <f>AF18*(1+'Real Cost Escalation'!G$18)</f>
        <v>0</v>
      </c>
      <c r="AR18" s="210">
        <f>AG18*(1+'Real Cost Escalation'!H$18)</f>
        <v>0</v>
      </c>
      <c r="AS18" s="56">
        <f>AH18*(1+'Real Cost Escalation'!I$18)</f>
        <v>0</v>
      </c>
      <c r="AT18" s="214">
        <f t="shared" ref="AT18:AT23" si="24">SUM(AO18:AS18)</f>
        <v>0</v>
      </c>
      <c r="AU18" s="66"/>
      <c r="AV18" s="29" t="str">
        <f t="shared" si="14"/>
        <v>04</v>
      </c>
      <c r="AW18" s="29" t="str">
        <f t="shared" si="15"/>
        <v>Mains Replacement - Decommissioned Trunk Replacement</v>
      </c>
      <c r="AX18" s="214"/>
      <c r="AY18" s="214"/>
      <c r="AZ18" s="209">
        <f t="shared" si="16"/>
        <v>0</v>
      </c>
      <c r="BA18" s="210">
        <f t="shared" si="17"/>
        <v>0</v>
      </c>
      <c r="BB18" s="210">
        <f t="shared" si="18"/>
        <v>0</v>
      </c>
      <c r="BC18" s="210">
        <f t="shared" si="19"/>
        <v>0</v>
      </c>
      <c r="BD18" s="56">
        <f t="shared" si="20"/>
        <v>0</v>
      </c>
      <c r="BE18" s="214">
        <f t="shared" ref="BE18:BE23" si="25">SUM(AZ18:BD18)</f>
        <v>0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08" t="s">
        <v>414</v>
      </c>
      <c r="G19" s="609" t="s">
        <v>414</v>
      </c>
      <c r="H19" s="609" t="s">
        <v>414</v>
      </c>
      <c r="I19" s="609" t="s">
        <v>414</v>
      </c>
      <c r="J19" s="609" t="s">
        <v>414</v>
      </c>
      <c r="K19" s="16">
        <v>0</v>
      </c>
      <c r="L19" s="412" t="str">
        <f t="shared" ref="L19:L24" si="26">$L$17</f>
        <v>Attachment 8.2 Distribution Mains and Services Integrity Plan</v>
      </c>
      <c r="M19" s="32"/>
      <c r="N19" s="29" t="str">
        <f t="shared" si="21"/>
        <v>05</v>
      </c>
      <c r="O19" s="29" t="str">
        <f t="shared" si="21"/>
        <v>Mains Replacement - Piecemeal Replacement</v>
      </c>
      <c r="P19" s="43"/>
      <c r="Q19" s="43"/>
      <c r="R19" s="596" t="s">
        <v>414</v>
      </c>
      <c r="S19" s="597" t="s">
        <v>414</v>
      </c>
      <c r="T19" s="597" t="s">
        <v>414</v>
      </c>
      <c r="U19" s="597" t="s">
        <v>414</v>
      </c>
      <c r="V19" s="598" t="s">
        <v>414</v>
      </c>
      <c r="W19" s="41"/>
      <c r="X19" s="412" t="str">
        <f t="shared" si="22"/>
        <v>Attachment 8.4 Unit Rates Forecast</v>
      </c>
      <c r="Y19" s="66"/>
      <c r="Z19" s="29" t="str">
        <f t="shared" si="12"/>
        <v>05</v>
      </c>
      <c r="AA19" s="29" t="str">
        <f t="shared" si="12"/>
        <v>Mains Replacement - Piecemeal Replacement</v>
      </c>
      <c r="AB19" s="214"/>
      <c r="AC19" s="214"/>
      <c r="AD19" s="209">
        <v>0</v>
      </c>
      <c r="AE19" s="210">
        <v>0</v>
      </c>
      <c r="AF19" s="210">
        <v>0</v>
      </c>
      <c r="AG19" s="210">
        <v>0</v>
      </c>
      <c r="AH19" s="56">
        <v>0</v>
      </c>
      <c r="AI19" s="214">
        <f t="shared" si="23"/>
        <v>0</v>
      </c>
      <c r="AJ19" s="32"/>
      <c r="AK19" s="29" t="str">
        <f t="shared" si="13"/>
        <v>05</v>
      </c>
      <c r="AL19" s="29" t="str">
        <f t="shared" si="13"/>
        <v>Mains Replacement - Piecemeal Replacement</v>
      </c>
      <c r="AM19" s="214"/>
      <c r="AN19" s="214"/>
      <c r="AO19" s="209">
        <f>AD19*(1-'Real Cost Escalation'!E$25)</f>
        <v>0</v>
      </c>
      <c r="AP19" s="210">
        <f>AE19*(1-'Real Cost Escalation'!F$25)</f>
        <v>0</v>
      </c>
      <c r="AQ19" s="210">
        <f>AF19*(1-'Real Cost Escalation'!G$25)</f>
        <v>0</v>
      </c>
      <c r="AR19" s="210">
        <f>AG19*(1+'Real Cost Escalation'!H$18)</f>
        <v>0</v>
      </c>
      <c r="AS19" s="56">
        <f>AH19*(1+'Real Cost Escalation'!I$18)</f>
        <v>0</v>
      </c>
      <c r="AT19" s="214">
        <f>SUM(AO19:AS19)</f>
        <v>0</v>
      </c>
      <c r="AU19" s="66"/>
      <c r="AV19" s="29" t="str">
        <f t="shared" si="14"/>
        <v>05</v>
      </c>
      <c r="AW19" s="29" t="str">
        <f t="shared" si="15"/>
        <v>Mains Replacement - Piecemeal Replacement</v>
      </c>
      <c r="AX19" s="214"/>
      <c r="AY19" s="214"/>
      <c r="AZ19" s="209">
        <f t="shared" si="16"/>
        <v>0</v>
      </c>
      <c r="BA19" s="210">
        <f t="shared" si="17"/>
        <v>0</v>
      </c>
      <c r="BB19" s="210">
        <f t="shared" si="18"/>
        <v>0</v>
      </c>
      <c r="BC19" s="210">
        <f t="shared" si="19"/>
        <v>0</v>
      </c>
      <c r="BD19" s="56">
        <f t="shared" si="20"/>
        <v>0</v>
      </c>
      <c r="BE19" s="214">
        <f t="shared" si="25"/>
        <v>0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08" t="s">
        <v>414</v>
      </c>
      <c r="G20" s="609" t="s">
        <v>414</v>
      </c>
      <c r="H20" s="609" t="s">
        <v>414</v>
      </c>
      <c r="I20" s="609" t="s">
        <v>414</v>
      </c>
      <c r="J20" s="609" t="s">
        <v>414</v>
      </c>
      <c r="K20" s="16">
        <v>0</v>
      </c>
      <c r="L20" s="412" t="str">
        <f t="shared" si="26"/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96" t="s">
        <v>414</v>
      </c>
      <c r="S20" s="597" t="s">
        <v>414</v>
      </c>
      <c r="T20" s="597" t="s">
        <v>414</v>
      </c>
      <c r="U20" s="597" t="s">
        <v>414</v>
      </c>
      <c r="V20" s="598" t="s">
        <v>414</v>
      </c>
      <c r="W20" s="41"/>
      <c r="X20" s="412" t="str">
        <f t="shared" si="22"/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4"/>
      <c r="AC20" s="214"/>
      <c r="AD20" s="209">
        <v>0</v>
      </c>
      <c r="AE20" s="210">
        <v>0</v>
      </c>
      <c r="AF20" s="210">
        <v>0</v>
      </c>
      <c r="AG20" s="210">
        <v>0</v>
      </c>
      <c r="AH20" s="56">
        <v>0</v>
      </c>
      <c r="AI20" s="214">
        <f>SUM(AD20:AH20)</f>
        <v>0</v>
      </c>
      <c r="AJ20" s="32"/>
      <c r="AK20" s="29" t="str">
        <f>N20</f>
        <v>06</v>
      </c>
      <c r="AL20" s="29" t="str">
        <f>O20</f>
        <v>Mains Replacement - HDPE Replacement</v>
      </c>
      <c r="AM20" s="214"/>
      <c r="AN20" s="214"/>
      <c r="AO20" s="209">
        <f>AD20*(1-'Real Cost Escalation'!E$25)</f>
        <v>0</v>
      </c>
      <c r="AP20" s="210">
        <f>AE20*(1-'Real Cost Escalation'!F$25)</f>
        <v>0</v>
      </c>
      <c r="AQ20" s="210">
        <f>AF20*(1-'Real Cost Escalation'!G$25)</f>
        <v>0</v>
      </c>
      <c r="AR20" s="210">
        <f>AG20*(1+'Real Cost Escalation'!H$18)</f>
        <v>0</v>
      </c>
      <c r="AS20" s="56">
        <f>AH20*(1+'Real Cost Escalation'!I$18)</f>
        <v>0</v>
      </c>
      <c r="AT20" s="214">
        <f>SUM(AO20:AS20)</f>
        <v>0</v>
      </c>
      <c r="AU20" s="66"/>
      <c r="AV20" s="29" t="str">
        <f>Z20</f>
        <v>06</v>
      </c>
      <c r="AW20" s="29" t="str">
        <f>AA20</f>
        <v>Mains Replacement - HDPE Replacement</v>
      </c>
      <c r="AX20" s="214"/>
      <c r="AY20" s="214"/>
      <c r="AZ20" s="209">
        <f t="shared" ref="AZ20:BD20" si="27">AO20-AD20</f>
        <v>0</v>
      </c>
      <c r="BA20" s="210">
        <f t="shared" si="27"/>
        <v>0</v>
      </c>
      <c r="BB20" s="210">
        <f t="shared" si="27"/>
        <v>0</v>
      </c>
      <c r="BC20" s="210">
        <f t="shared" si="27"/>
        <v>0</v>
      </c>
      <c r="BD20" s="56">
        <f t="shared" si="27"/>
        <v>0</v>
      </c>
      <c r="BE20" s="214">
        <f>SUM(AZ20:BD20)</f>
        <v>0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08" t="s">
        <v>414</v>
      </c>
      <c r="G21" s="609" t="s">
        <v>414</v>
      </c>
      <c r="H21" s="609" t="s">
        <v>414</v>
      </c>
      <c r="I21" s="609" t="s">
        <v>414</v>
      </c>
      <c r="J21" s="609" t="s">
        <v>414</v>
      </c>
      <c r="K21" s="16">
        <v>0</v>
      </c>
      <c r="L21" s="412" t="str">
        <f t="shared" si="26"/>
        <v>Attachment 8.2 Distribution Mains and Services Integrity Plan</v>
      </c>
      <c r="M21" s="32"/>
      <c r="N21" s="29" t="str">
        <f t="shared" si="21"/>
        <v>07</v>
      </c>
      <c r="O21" s="29" t="str">
        <f t="shared" si="21"/>
        <v>Mains Replacement - HDICS Block Replacement</v>
      </c>
      <c r="P21" s="41"/>
      <c r="Q21" s="41"/>
      <c r="R21" s="596" t="s">
        <v>414</v>
      </c>
      <c r="S21" s="597" t="s">
        <v>414</v>
      </c>
      <c r="T21" s="597" t="s">
        <v>414</v>
      </c>
      <c r="U21" s="597" t="s">
        <v>414</v>
      </c>
      <c r="V21" s="598" t="s">
        <v>414</v>
      </c>
      <c r="W21" s="41"/>
      <c r="X21" s="412" t="str">
        <f t="shared" si="22"/>
        <v>Attachment 8.4 Unit Rates Forecast</v>
      </c>
      <c r="Y21" s="66"/>
      <c r="Z21" s="29" t="str">
        <f t="shared" si="12"/>
        <v>07</v>
      </c>
      <c r="AA21" s="29" t="str">
        <f t="shared" si="12"/>
        <v>Mains Replacement - HDICS Block Replacement</v>
      </c>
      <c r="AB21" s="214"/>
      <c r="AC21" s="214"/>
      <c r="AD21" s="209">
        <v>0</v>
      </c>
      <c r="AE21" s="210">
        <v>0</v>
      </c>
      <c r="AF21" s="210">
        <v>0</v>
      </c>
      <c r="AG21" s="210">
        <v>0</v>
      </c>
      <c r="AH21" s="56">
        <v>0</v>
      </c>
      <c r="AI21" s="214">
        <f t="shared" si="23"/>
        <v>0</v>
      </c>
      <c r="AJ21" s="32"/>
      <c r="AK21" s="29" t="str">
        <f t="shared" si="13"/>
        <v>07</v>
      </c>
      <c r="AL21" s="29" t="str">
        <f t="shared" si="13"/>
        <v>Mains Replacement - HDICS Block Replacement</v>
      </c>
      <c r="AM21" s="214"/>
      <c r="AN21" s="214"/>
      <c r="AO21" s="209">
        <f>AD21*(1+'Real Cost Escalation'!E$18)</f>
        <v>0</v>
      </c>
      <c r="AP21" s="210">
        <f>AE21*(1+'Real Cost Escalation'!F$18)</f>
        <v>0</v>
      </c>
      <c r="AQ21" s="210">
        <f>AF21*(1+'Real Cost Escalation'!G$18)</f>
        <v>0</v>
      </c>
      <c r="AR21" s="210">
        <f>AG21*(1+'Real Cost Escalation'!H$18)</f>
        <v>0</v>
      </c>
      <c r="AS21" s="56">
        <f>AH21*(1+'Real Cost Escalation'!I$18)</f>
        <v>0</v>
      </c>
      <c r="AT21" s="214">
        <f t="shared" si="24"/>
        <v>0</v>
      </c>
      <c r="AU21" s="66"/>
      <c r="AV21" s="29" t="str">
        <f t="shared" si="14"/>
        <v>07</v>
      </c>
      <c r="AW21" s="29" t="str">
        <f t="shared" si="15"/>
        <v>Mains Replacement - HDICS Block Replacement</v>
      </c>
      <c r="AX21" s="214"/>
      <c r="AY21" s="214"/>
      <c r="AZ21" s="209">
        <f t="shared" si="16"/>
        <v>0</v>
      </c>
      <c r="BA21" s="210">
        <f t="shared" si="17"/>
        <v>0</v>
      </c>
      <c r="BB21" s="210">
        <f t="shared" si="18"/>
        <v>0</v>
      </c>
      <c r="BC21" s="210">
        <f t="shared" si="19"/>
        <v>0</v>
      </c>
      <c r="BD21" s="56">
        <f t="shared" si="20"/>
        <v>0</v>
      </c>
      <c r="BE21" s="214">
        <f t="shared" si="25"/>
        <v>0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08" t="s">
        <v>414</v>
      </c>
      <c r="G22" s="609" t="s">
        <v>414</v>
      </c>
      <c r="H22" s="609" t="s">
        <v>414</v>
      </c>
      <c r="I22" s="609" t="s">
        <v>414</v>
      </c>
      <c r="J22" s="609" t="s">
        <v>414</v>
      </c>
      <c r="K22" s="16"/>
      <c r="L22" s="412" t="str">
        <f t="shared" si="26"/>
        <v>Attachment 8.2 Distribution Mains and Services Integrity Plan</v>
      </c>
      <c r="M22" s="32"/>
      <c r="N22" s="29" t="str">
        <f t="shared" ref="N22" si="28">B22</f>
        <v>08</v>
      </c>
      <c r="O22" s="29" t="str">
        <f t="shared" ref="O22" si="29">C22</f>
        <v>Mains Replacement - LDS Block Replacement</v>
      </c>
      <c r="P22" s="41"/>
      <c r="Q22" s="41"/>
      <c r="R22" s="596" t="s">
        <v>414</v>
      </c>
      <c r="S22" s="597" t="s">
        <v>414</v>
      </c>
      <c r="T22" s="597" t="s">
        <v>414</v>
      </c>
      <c r="U22" s="597" t="s">
        <v>414</v>
      </c>
      <c r="V22" s="598" t="s">
        <v>414</v>
      </c>
      <c r="W22" s="41"/>
      <c r="X22" s="412" t="str">
        <f t="shared" si="22"/>
        <v>Attachment 8.4 Unit Rates Forecast</v>
      </c>
      <c r="Y22" s="66"/>
      <c r="Z22" s="29" t="str">
        <f t="shared" ref="Z22" si="30">B22</f>
        <v>08</v>
      </c>
      <c r="AA22" s="29" t="str">
        <f t="shared" ref="AA22" si="31">C22</f>
        <v>Mains Replacement - LDS Block Replacement</v>
      </c>
      <c r="AB22" s="214"/>
      <c r="AC22" s="214"/>
      <c r="AD22" s="209">
        <v>0</v>
      </c>
      <c r="AE22" s="210">
        <v>0</v>
      </c>
      <c r="AF22" s="210">
        <v>0</v>
      </c>
      <c r="AG22" s="210">
        <v>0</v>
      </c>
      <c r="AH22" s="56">
        <v>0</v>
      </c>
      <c r="AI22" s="214">
        <f t="shared" ref="AI22" si="32">SUM(AD22:AH22)</f>
        <v>0</v>
      </c>
      <c r="AJ22" s="32"/>
      <c r="AK22" s="29" t="str">
        <f t="shared" ref="AK22" si="33">N22</f>
        <v>08</v>
      </c>
      <c r="AL22" s="29" t="str">
        <f t="shared" ref="AL22" si="34">O22</f>
        <v>Mains Replacement - LDS Block Replacement</v>
      </c>
      <c r="AM22" s="214"/>
      <c r="AN22" s="214"/>
      <c r="AO22" s="209">
        <f>AD22*(1+'Real Cost Escalation'!E$18)</f>
        <v>0</v>
      </c>
      <c r="AP22" s="210">
        <f>AE22*(1+'Real Cost Escalation'!F$18)</f>
        <v>0</v>
      </c>
      <c r="AQ22" s="210">
        <f>AF22*(1+'Real Cost Escalation'!G$18)</f>
        <v>0</v>
      </c>
      <c r="AR22" s="210">
        <f>AG22*(1+'Real Cost Escalation'!H$18)</f>
        <v>0</v>
      </c>
      <c r="AS22" s="56">
        <f>AH22*(1+'Real Cost Escalation'!I$18)</f>
        <v>0</v>
      </c>
      <c r="AT22" s="214">
        <f t="shared" ref="AT22" si="35">SUM(AO22:AS22)</f>
        <v>0</v>
      </c>
      <c r="AU22" s="66"/>
      <c r="AV22" s="29" t="str">
        <f t="shared" ref="AV22" si="36">Z22</f>
        <v>08</v>
      </c>
      <c r="AW22" s="29" t="str">
        <f t="shared" ref="AW22" si="37">AA22</f>
        <v>Mains Replacement - LDS Block Replacement</v>
      </c>
      <c r="AX22" s="214"/>
      <c r="AY22" s="214"/>
      <c r="AZ22" s="209">
        <f t="shared" ref="AZ22" si="38">AO22-AD22</f>
        <v>0</v>
      </c>
      <c r="BA22" s="210">
        <f t="shared" ref="BA22" si="39">AP22-AE22</f>
        <v>0</v>
      </c>
      <c r="BB22" s="210">
        <f t="shared" ref="BB22" si="40">AQ22-AF22</f>
        <v>0</v>
      </c>
      <c r="BC22" s="210">
        <f t="shared" ref="BC22" si="41">AR22-AG22</f>
        <v>0</v>
      </c>
      <c r="BD22" s="56">
        <f t="shared" ref="BD22" si="42">AS22-AH22</f>
        <v>0</v>
      </c>
      <c r="BE22" s="214">
        <f t="shared" ref="BE22" si="43">SUM(AZ22:BD22)</f>
        <v>0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08" t="s">
        <v>414</v>
      </c>
      <c r="G23" s="609" t="s">
        <v>414</v>
      </c>
      <c r="H23" s="609" t="s">
        <v>414</v>
      </c>
      <c r="I23" s="609" t="s">
        <v>414</v>
      </c>
      <c r="J23" s="609" t="s">
        <v>414</v>
      </c>
      <c r="K23" s="16">
        <v>0</v>
      </c>
      <c r="L23" s="412" t="str">
        <f t="shared" si="26"/>
        <v>Attachment 8.2 Distribution Mains and Services Integrity Plan</v>
      </c>
      <c r="M23" s="32"/>
      <c r="N23" s="29" t="str">
        <f t="shared" si="21"/>
        <v>09</v>
      </c>
      <c r="O23" s="29" t="str">
        <f t="shared" si="21"/>
        <v>Mains Replacement - CBD Block Replacement</v>
      </c>
      <c r="P23" s="41"/>
      <c r="Q23" s="41"/>
      <c r="R23" s="596" t="s">
        <v>414</v>
      </c>
      <c r="S23" s="597" t="s">
        <v>414</v>
      </c>
      <c r="T23" s="597" t="s">
        <v>414</v>
      </c>
      <c r="U23" s="597" t="s">
        <v>414</v>
      </c>
      <c r="V23" s="598" t="s">
        <v>414</v>
      </c>
      <c r="W23" s="41"/>
      <c r="X23" s="412" t="str">
        <f t="shared" si="22"/>
        <v>Attachment 8.4 Unit Rates Forecast</v>
      </c>
      <c r="Y23" s="66"/>
      <c r="Z23" s="29" t="str">
        <f t="shared" si="12"/>
        <v>09</v>
      </c>
      <c r="AA23" s="29" t="str">
        <f t="shared" si="12"/>
        <v>Mains Replacement - CBD Block Replacement</v>
      </c>
      <c r="AB23" s="214"/>
      <c r="AC23" s="214"/>
      <c r="AD23" s="209">
        <v>0</v>
      </c>
      <c r="AE23" s="210">
        <v>0</v>
      </c>
      <c r="AF23" s="210">
        <v>0</v>
      </c>
      <c r="AG23" s="210">
        <v>0</v>
      </c>
      <c r="AH23" s="56">
        <v>0</v>
      </c>
      <c r="AI23" s="214">
        <f t="shared" si="23"/>
        <v>0</v>
      </c>
      <c r="AJ23" s="32"/>
      <c r="AK23" s="29" t="str">
        <f t="shared" si="13"/>
        <v>09</v>
      </c>
      <c r="AL23" s="29" t="str">
        <f t="shared" si="13"/>
        <v>Mains Replacement - CBD Block Replacement</v>
      </c>
      <c r="AM23" s="214"/>
      <c r="AN23" s="214"/>
      <c r="AO23" s="209">
        <f>AD23*(1+'Real Cost Escalation'!E$18)</f>
        <v>0</v>
      </c>
      <c r="AP23" s="210">
        <f>AE23*(1+'Real Cost Escalation'!F$18)</f>
        <v>0</v>
      </c>
      <c r="AQ23" s="210">
        <f>AF23*(1+'Real Cost Escalation'!G$18)</f>
        <v>0</v>
      </c>
      <c r="AR23" s="210">
        <f>AG23*(1+'Real Cost Escalation'!H$18)</f>
        <v>0</v>
      </c>
      <c r="AS23" s="56">
        <f>AH23*(1+'Real Cost Escalation'!I$18)</f>
        <v>0</v>
      </c>
      <c r="AT23" s="214">
        <f t="shared" si="24"/>
        <v>0</v>
      </c>
      <c r="AU23" s="66"/>
      <c r="AV23" s="29" t="str">
        <f t="shared" si="14"/>
        <v>09</v>
      </c>
      <c r="AW23" s="29" t="str">
        <f t="shared" si="15"/>
        <v>Mains Replacement - CBD Block Replacement</v>
      </c>
      <c r="AX23" s="214"/>
      <c r="AY23" s="214"/>
      <c r="AZ23" s="209">
        <f t="shared" si="16"/>
        <v>0</v>
      </c>
      <c r="BA23" s="210">
        <f t="shared" si="17"/>
        <v>0</v>
      </c>
      <c r="BB23" s="210">
        <f t="shared" si="18"/>
        <v>0</v>
      </c>
      <c r="BC23" s="210">
        <f t="shared" si="19"/>
        <v>0</v>
      </c>
      <c r="BD23" s="56">
        <f t="shared" si="20"/>
        <v>0</v>
      </c>
      <c r="BE23" s="214">
        <f t="shared" si="25"/>
        <v>0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08" t="s">
        <v>414</v>
      </c>
      <c r="G24" s="609" t="s">
        <v>414</v>
      </c>
      <c r="H24" s="609" t="s">
        <v>414</v>
      </c>
      <c r="I24" s="609" t="s">
        <v>414</v>
      </c>
      <c r="J24" s="609" t="s">
        <v>414</v>
      </c>
      <c r="K24" s="61">
        <v>0</v>
      </c>
      <c r="L24" s="412" t="str">
        <f t="shared" si="26"/>
        <v>Attachment 8.2 Distribution Mains and Services Integrity Plan</v>
      </c>
      <c r="M24" s="32"/>
      <c r="N24" s="362" t="str">
        <f t="shared" ref="N24" si="44">B24</f>
        <v>10</v>
      </c>
      <c r="O24" s="362" t="str">
        <f t="shared" ref="O24" si="45">C24</f>
        <v>Mains Replacement - CBD Trunk Replacement</v>
      </c>
      <c r="P24" s="512"/>
      <c r="Q24" s="512"/>
      <c r="R24" s="599" t="s">
        <v>414</v>
      </c>
      <c r="S24" s="600" t="s">
        <v>414</v>
      </c>
      <c r="T24" s="600" t="s">
        <v>414</v>
      </c>
      <c r="U24" s="600" t="s">
        <v>414</v>
      </c>
      <c r="V24" s="601" t="s">
        <v>414</v>
      </c>
      <c r="W24" s="512"/>
      <c r="X24" s="514" t="str">
        <f t="shared" si="22"/>
        <v>Attachment 8.4 Unit Rates Forecast</v>
      </c>
      <c r="Y24" s="66"/>
      <c r="Z24" s="29" t="str">
        <f t="shared" ref="Z24" si="46">B24</f>
        <v>10</v>
      </c>
      <c r="AA24" s="29" t="str">
        <f t="shared" ref="AA24" si="47">C24</f>
        <v>Mains Replacement - CBD Trunk Replacement</v>
      </c>
      <c r="AB24" s="214"/>
      <c r="AC24" s="214"/>
      <c r="AD24" s="209">
        <v>0</v>
      </c>
      <c r="AE24" s="210">
        <v>0</v>
      </c>
      <c r="AF24" s="210">
        <v>0</v>
      </c>
      <c r="AG24" s="210">
        <v>0</v>
      </c>
      <c r="AH24" s="56">
        <v>0</v>
      </c>
      <c r="AI24" s="214">
        <f t="shared" ref="AI24" si="48">SUM(AD24:AH24)</f>
        <v>0</v>
      </c>
      <c r="AJ24" s="32"/>
      <c r="AK24" s="29" t="str">
        <f t="shared" ref="AK24" si="49">N24</f>
        <v>10</v>
      </c>
      <c r="AL24" s="29" t="str">
        <f t="shared" ref="AL24" si="50">O24</f>
        <v>Mains Replacement - CBD Trunk Replacement</v>
      </c>
      <c r="AM24" s="214"/>
      <c r="AN24" s="214"/>
      <c r="AO24" s="209">
        <f>AD24*(1+'Real Cost Escalation'!E$18)</f>
        <v>0</v>
      </c>
      <c r="AP24" s="210">
        <f>AE24*(1+'Real Cost Escalation'!F$18)</f>
        <v>0</v>
      </c>
      <c r="AQ24" s="210">
        <f>AF24*(1+'Real Cost Escalation'!G$18)</f>
        <v>0</v>
      </c>
      <c r="AR24" s="210">
        <f>AG24*(1+'Real Cost Escalation'!H$18)</f>
        <v>0</v>
      </c>
      <c r="AS24" s="56">
        <f>AH24*(1+'Real Cost Escalation'!I$18)</f>
        <v>0</v>
      </c>
      <c r="AT24" s="214">
        <f t="shared" ref="AT24" si="51">SUM(AO24:AS24)</f>
        <v>0</v>
      </c>
      <c r="AU24" s="66"/>
      <c r="AV24" s="29" t="str">
        <f t="shared" ref="AV24" si="52">Z24</f>
        <v>10</v>
      </c>
      <c r="AW24" s="29" t="str">
        <f t="shared" ref="AW24" si="53">AA24</f>
        <v>Mains Replacement - CBD Trunk Replacement</v>
      </c>
      <c r="AX24" s="214"/>
      <c r="AY24" s="214"/>
      <c r="AZ24" s="209">
        <f t="shared" ref="AZ24" si="54">AO24-AD24</f>
        <v>0</v>
      </c>
      <c r="BA24" s="210">
        <f t="shared" ref="BA24" si="55">AP24-AE24</f>
        <v>0</v>
      </c>
      <c r="BB24" s="210">
        <f t="shared" ref="BB24" si="56">AQ24-AF24</f>
        <v>0</v>
      </c>
      <c r="BC24" s="210">
        <f t="shared" ref="BC24" si="57">AR24-AG24</f>
        <v>0</v>
      </c>
      <c r="BD24" s="56">
        <f t="shared" ref="BD24" si="58">AS24-AH24</f>
        <v>0</v>
      </c>
      <c r="BE24" s="214">
        <f t="shared" ref="BE24" si="59">SUM(AZ24:BD24)</f>
        <v>0</v>
      </c>
      <c r="BF24" s="32"/>
    </row>
    <row r="25" spans="1:58" s="67" customFormat="1" ht="18" customHeight="1" thickBot="1" x14ac:dyDescent="0.25">
      <c r="A25" s="66"/>
      <c r="B25" s="19"/>
      <c r="C25" s="20" t="s">
        <v>77</v>
      </c>
      <c r="D25" s="22"/>
      <c r="E25" s="22"/>
      <c r="F25" s="21">
        <v>0</v>
      </c>
      <c r="G25" s="22">
        <v>0</v>
      </c>
      <c r="H25" s="22">
        <v>0</v>
      </c>
      <c r="I25" s="22">
        <v>0</v>
      </c>
      <c r="J25" s="23">
        <v>0</v>
      </c>
      <c r="K25" s="22">
        <v>0</v>
      </c>
      <c r="L25" s="21"/>
      <c r="M25" s="32"/>
      <c r="N25" s="72"/>
      <c r="O25" s="73"/>
      <c r="P25" s="12"/>
      <c r="Q25" s="12"/>
      <c r="R25" s="12"/>
      <c r="S25" s="12"/>
      <c r="T25" s="12"/>
      <c r="U25" s="12"/>
      <c r="V25" s="12"/>
      <c r="W25" s="12"/>
      <c r="X25" s="12"/>
      <c r="Y25" s="66"/>
      <c r="Z25" s="19"/>
      <c r="AA25" s="20" t="s">
        <v>77</v>
      </c>
      <c r="AB25" s="212"/>
      <c r="AC25" s="212"/>
      <c r="AD25" s="211">
        <f t="shared" ref="AD25:AI25" si="60">SUM(AD17:AD24)</f>
        <v>0</v>
      </c>
      <c r="AE25" s="212">
        <f t="shared" si="60"/>
        <v>0</v>
      </c>
      <c r="AF25" s="212">
        <f t="shared" si="60"/>
        <v>0</v>
      </c>
      <c r="AG25" s="212">
        <f t="shared" si="60"/>
        <v>0</v>
      </c>
      <c r="AH25" s="213">
        <f t="shared" si="60"/>
        <v>0</v>
      </c>
      <c r="AI25" s="212">
        <f t="shared" si="60"/>
        <v>0</v>
      </c>
      <c r="AJ25" s="32"/>
      <c r="AK25" s="19"/>
      <c r="AL25" s="20" t="s">
        <v>77</v>
      </c>
      <c r="AM25" s="212"/>
      <c r="AN25" s="212"/>
      <c r="AO25" s="211">
        <f t="shared" ref="AO25:AT25" si="61">SUM(AO17:AO24)</f>
        <v>0</v>
      </c>
      <c r="AP25" s="212">
        <f t="shared" si="61"/>
        <v>0</v>
      </c>
      <c r="AQ25" s="212">
        <f t="shared" si="61"/>
        <v>0</v>
      </c>
      <c r="AR25" s="212">
        <f t="shared" si="61"/>
        <v>0</v>
      </c>
      <c r="AS25" s="213">
        <f t="shared" si="61"/>
        <v>0</v>
      </c>
      <c r="AT25" s="212">
        <f t="shared" si="61"/>
        <v>0</v>
      </c>
      <c r="AU25" s="66"/>
      <c r="AV25" s="19"/>
      <c r="AW25" s="20" t="s">
        <v>77</v>
      </c>
      <c r="AX25" s="268"/>
      <c r="AY25" s="268"/>
      <c r="AZ25" s="269">
        <f t="shared" ref="AZ25:BE25" si="62">SUM(AZ17:AZ24)</f>
        <v>0</v>
      </c>
      <c r="BA25" s="268">
        <f t="shared" si="62"/>
        <v>0</v>
      </c>
      <c r="BB25" s="268">
        <f t="shared" si="62"/>
        <v>0</v>
      </c>
      <c r="BC25" s="268">
        <f t="shared" si="62"/>
        <v>0</v>
      </c>
      <c r="BD25" s="270">
        <f t="shared" si="62"/>
        <v>0</v>
      </c>
      <c r="BE25" s="212">
        <f t="shared" si="62"/>
        <v>0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7" t="s">
        <v>173</v>
      </c>
      <c r="C27" s="357"/>
      <c r="D27" s="358"/>
      <c r="E27" s="358"/>
      <c r="F27" s="358"/>
      <c r="G27" s="358"/>
      <c r="H27" s="358"/>
      <c r="I27" s="358"/>
      <c r="J27" s="358"/>
      <c r="K27" s="358"/>
      <c r="L27" s="358"/>
      <c r="M27" s="32"/>
      <c r="N27" s="357" t="s">
        <v>186</v>
      </c>
      <c r="O27" s="357"/>
      <c r="P27" s="358"/>
      <c r="Q27" s="358"/>
      <c r="R27" s="358"/>
      <c r="S27" s="358"/>
      <c r="T27" s="358"/>
      <c r="U27" s="358"/>
      <c r="V27" s="358"/>
      <c r="W27" s="358"/>
      <c r="X27" s="358"/>
      <c r="Y27" s="70"/>
      <c r="Z27" s="357" t="s">
        <v>203</v>
      </c>
      <c r="AA27" s="357"/>
      <c r="AB27" s="358"/>
      <c r="AC27" s="358"/>
      <c r="AD27" s="358"/>
      <c r="AE27" s="358"/>
      <c r="AF27" s="358"/>
      <c r="AG27" s="358"/>
      <c r="AH27" s="358"/>
      <c r="AI27" s="358"/>
      <c r="AJ27" s="32"/>
      <c r="AK27" s="357" t="s">
        <v>254</v>
      </c>
      <c r="AL27" s="357"/>
      <c r="AM27" s="358"/>
      <c r="AN27" s="358"/>
      <c r="AO27" s="358"/>
      <c r="AP27" s="358"/>
      <c r="AQ27" s="358"/>
      <c r="AR27" s="358"/>
      <c r="AS27" s="358"/>
      <c r="AT27" s="358"/>
      <c r="AU27" s="66"/>
      <c r="AV27" s="357" t="s">
        <v>259</v>
      </c>
      <c r="AW27" s="357"/>
      <c r="AX27" s="358"/>
      <c r="AY27" s="358"/>
      <c r="AZ27" s="358"/>
      <c r="BA27" s="358"/>
      <c r="BB27" s="358"/>
      <c r="BC27" s="358"/>
      <c r="BD27" s="358"/>
      <c r="BE27" s="358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174</v>
      </c>
      <c r="C29" s="11"/>
      <c r="D29" s="3"/>
      <c r="E29" s="3"/>
      <c r="F29" s="30">
        <f t="shared" ref="F29:L29" si="63">F16</f>
        <v>2018</v>
      </c>
      <c r="G29" s="3">
        <f t="shared" si="63"/>
        <v>2019</v>
      </c>
      <c r="H29" s="3">
        <f t="shared" si="63"/>
        <v>2020</v>
      </c>
      <c r="I29" s="3">
        <f t="shared" si="63"/>
        <v>2021</v>
      </c>
      <c r="J29" s="31">
        <f t="shared" si="63"/>
        <v>2022</v>
      </c>
      <c r="K29" s="366" t="str">
        <f t="shared" si="63"/>
        <v>Total for 
2018-2022</v>
      </c>
      <c r="L29" s="3" t="str">
        <f t="shared" si="63"/>
        <v>Source</v>
      </c>
      <c r="M29" s="32"/>
      <c r="N29" s="10" t="s">
        <v>178</v>
      </c>
      <c r="O29" s="11"/>
      <c r="P29" s="3"/>
      <c r="Q29" s="3"/>
      <c r="R29" s="30">
        <f t="shared" ref="R29:W29" si="64">R16</f>
        <v>2018</v>
      </c>
      <c r="S29" s="3">
        <f t="shared" si="64"/>
        <v>2019</v>
      </c>
      <c r="T29" s="3">
        <f t="shared" si="64"/>
        <v>2020</v>
      </c>
      <c r="U29" s="3">
        <f t="shared" si="64"/>
        <v>2021</v>
      </c>
      <c r="V29" s="31">
        <f t="shared" si="64"/>
        <v>2022</v>
      </c>
      <c r="W29" s="3" t="str">
        <f t="shared" si="64"/>
        <v>Total for 
2018-2022</v>
      </c>
      <c r="X29" s="30" t="s">
        <v>104</v>
      </c>
      <c r="Y29" s="32"/>
      <c r="Z29" s="10"/>
      <c r="AA29" s="11"/>
      <c r="AB29" s="3"/>
      <c r="AC29" s="3"/>
      <c r="AD29" s="30">
        <f t="shared" ref="AD29:AI29" si="65">AD16</f>
        <v>2018</v>
      </c>
      <c r="AE29" s="3">
        <f t="shared" si="65"/>
        <v>2019</v>
      </c>
      <c r="AF29" s="3">
        <f t="shared" si="65"/>
        <v>2020</v>
      </c>
      <c r="AG29" s="3">
        <f t="shared" si="65"/>
        <v>2021</v>
      </c>
      <c r="AH29" s="31">
        <f t="shared" si="65"/>
        <v>2022</v>
      </c>
      <c r="AI29" s="3" t="str">
        <f t="shared" si="65"/>
        <v>Total for 
2018-2022</v>
      </c>
      <c r="AJ29" s="32"/>
      <c r="AK29" s="10"/>
      <c r="AL29" s="11"/>
      <c r="AM29" s="3"/>
      <c r="AN29" s="3"/>
      <c r="AO29" s="30">
        <f t="shared" ref="AO29:AT29" si="66">AO16</f>
        <v>2018</v>
      </c>
      <c r="AP29" s="3">
        <f t="shared" si="66"/>
        <v>2019</v>
      </c>
      <c r="AQ29" s="3">
        <f t="shared" si="66"/>
        <v>2020</v>
      </c>
      <c r="AR29" s="3">
        <f t="shared" si="66"/>
        <v>2021</v>
      </c>
      <c r="AS29" s="31">
        <f t="shared" si="66"/>
        <v>2022</v>
      </c>
      <c r="AT29" s="3" t="str">
        <f t="shared" si="66"/>
        <v>Total for 
2018-2022</v>
      </c>
      <c r="AU29" s="66"/>
      <c r="AV29" s="10"/>
      <c r="AW29" s="11"/>
      <c r="AX29" s="3"/>
      <c r="AY29" s="3"/>
      <c r="AZ29" s="30">
        <f t="shared" ref="AZ29:BE29" si="67">AZ16</f>
        <v>2018</v>
      </c>
      <c r="BA29" s="3">
        <f t="shared" si="67"/>
        <v>2019</v>
      </c>
      <c r="BB29" s="3">
        <f t="shared" si="67"/>
        <v>2020</v>
      </c>
      <c r="BC29" s="3">
        <f t="shared" si="67"/>
        <v>2021</v>
      </c>
      <c r="BD29" s="31">
        <f t="shared" si="67"/>
        <v>2022</v>
      </c>
      <c r="BE29" s="3" t="str">
        <f t="shared" si="67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08" t="s">
        <v>414</v>
      </c>
      <c r="G30" s="609" t="s">
        <v>414</v>
      </c>
      <c r="H30" s="609" t="s">
        <v>414</v>
      </c>
      <c r="I30" s="609" t="s">
        <v>414</v>
      </c>
      <c r="J30" s="613" t="s">
        <v>414</v>
      </c>
      <c r="K30" s="61">
        <v>85.199999999999989</v>
      </c>
      <c r="L30" s="412" t="str">
        <f>$L$17</f>
        <v>Attachment 8.2 Distribution Mains and Services Integrity Plan</v>
      </c>
      <c r="M30" s="32"/>
      <c r="N30" s="515" t="str">
        <f>B30</f>
        <v>11</v>
      </c>
      <c r="O30" s="515" t="str">
        <f>C30</f>
        <v>Service Renewal - Non AMRP</v>
      </c>
      <c r="P30" s="516"/>
      <c r="Q30" s="516"/>
      <c r="R30" s="602" t="s">
        <v>414</v>
      </c>
      <c r="S30" s="603" t="s">
        <v>414</v>
      </c>
      <c r="T30" s="603" t="s">
        <v>414</v>
      </c>
      <c r="U30" s="603" t="s">
        <v>414</v>
      </c>
      <c r="V30" s="604" t="s">
        <v>414</v>
      </c>
      <c r="W30" s="516"/>
      <c r="X30" s="517" t="str">
        <f>$X$10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4"/>
      <c r="AC30" s="214"/>
      <c r="AD30" s="217">
        <v>1.7127646378497625E-2</v>
      </c>
      <c r="AE30" s="218">
        <v>1.7127646378497625E-2</v>
      </c>
      <c r="AF30" s="218">
        <v>1.7127646378497625E-2</v>
      </c>
      <c r="AG30" s="218">
        <v>1.7127646378497625E-2</v>
      </c>
      <c r="AH30" s="219">
        <v>1.7127646378497625E-2</v>
      </c>
      <c r="AI30" s="214">
        <f>SUM(AD30:AH30)</f>
        <v>8.563823189248812E-2</v>
      </c>
      <c r="AJ30" s="32"/>
      <c r="AK30" s="29" t="str">
        <f>Z30</f>
        <v>11</v>
      </c>
      <c r="AL30" s="29" t="str">
        <f>AA30</f>
        <v>Service Renewal - Non AMRP</v>
      </c>
      <c r="AM30" s="214"/>
      <c r="AN30" s="214"/>
      <c r="AO30" s="217">
        <f>AD30*(1+'Real Cost Escalation'!E$18)</f>
        <v>1.7242948336666279E-2</v>
      </c>
      <c r="AP30" s="218">
        <f>AE30*(1+'Real Cost Escalation'!F$18)</f>
        <v>1.7341503181881102E-2</v>
      </c>
      <c r="AQ30" s="218">
        <f>AF30*(1+'Real Cost Escalation'!G$18)</f>
        <v>1.7463983116205929E-2</v>
      </c>
      <c r="AR30" s="218">
        <f>AG30*(1+'Real Cost Escalation'!H$18)</f>
        <v>1.7615431933280024E-2</v>
      </c>
      <c r="AS30" s="219">
        <f>AH30*(1+'Real Cost Escalation'!I$18)</f>
        <v>1.7786526319051317E-2</v>
      </c>
      <c r="AT30" s="214">
        <f>SUM(AO30:AS30)</f>
        <v>8.7450392887084644E-2</v>
      </c>
      <c r="AU30" s="66"/>
      <c r="AV30" s="29" t="str">
        <f>AK30</f>
        <v>11</v>
      </c>
      <c r="AW30" s="29" t="str">
        <f>AL30</f>
        <v>Service Renewal - Non AMRP</v>
      </c>
      <c r="AX30" s="363"/>
      <c r="AY30" s="363"/>
      <c r="AZ30" s="217">
        <f t="shared" ref="AZ30:BD30" si="68">AO30-AD30</f>
        <v>1.1530195816865374E-4</v>
      </c>
      <c r="BA30" s="218">
        <f t="shared" si="68"/>
        <v>2.1385680338347618E-4</v>
      </c>
      <c r="BB30" s="218">
        <f t="shared" si="68"/>
        <v>3.3633673770830375E-4</v>
      </c>
      <c r="BC30" s="218">
        <f t="shared" si="68"/>
        <v>4.877855547823981E-4</v>
      </c>
      <c r="BD30" s="219">
        <f t="shared" si="68"/>
        <v>6.5887994055369159E-4</v>
      </c>
      <c r="BE30" s="214">
        <f>SUM(AZ30:BD30)</f>
        <v>1.8121609945965234E-3</v>
      </c>
      <c r="BF30" s="32"/>
    </row>
    <row r="31" spans="1:58" s="67" customFormat="1" ht="18" customHeight="1" thickBot="1" x14ac:dyDescent="0.25">
      <c r="A31" s="66"/>
      <c r="B31" s="24"/>
      <c r="C31" s="24" t="s">
        <v>176</v>
      </c>
      <c r="D31" s="22"/>
      <c r="E31" s="22"/>
      <c r="F31" s="615" t="s">
        <v>414</v>
      </c>
      <c r="G31" s="616" t="s">
        <v>414</v>
      </c>
      <c r="H31" s="616" t="s">
        <v>414</v>
      </c>
      <c r="I31" s="616" t="s">
        <v>414</v>
      </c>
      <c r="J31" s="617" t="s">
        <v>414</v>
      </c>
      <c r="K31" s="58">
        <v>85.199999999999989</v>
      </c>
      <c r="L31" s="26"/>
      <c r="M31" s="32"/>
      <c r="N31" s="72"/>
      <c r="O31" s="73"/>
      <c r="P31" s="12"/>
      <c r="Q31" s="12"/>
      <c r="R31" s="12"/>
      <c r="S31" s="12"/>
      <c r="T31" s="12"/>
      <c r="U31" s="12"/>
      <c r="V31" s="12"/>
      <c r="W31" s="12"/>
      <c r="X31" s="12"/>
      <c r="Y31" s="32"/>
      <c r="Z31" s="24"/>
      <c r="AA31" s="24" t="s">
        <v>176</v>
      </c>
      <c r="AB31" s="212"/>
      <c r="AC31" s="212"/>
      <c r="AD31" s="211">
        <f t="shared" ref="AD31:AI31" si="69">SUM(AD30:AD30)</f>
        <v>1.7127646378497625E-2</v>
      </c>
      <c r="AE31" s="212">
        <f t="shared" si="69"/>
        <v>1.7127646378497625E-2</v>
      </c>
      <c r="AF31" s="212">
        <f t="shared" si="69"/>
        <v>1.7127646378497625E-2</v>
      </c>
      <c r="AG31" s="212">
        <f t="shared" si="69"/>
        <v>1.7127646378497625E-2</v>
      </c>
      <c r="AH31" s="213">
        <f t="shared" si="69"/>
        <v>1.7127646378497625E-2</v>
      </c>
      <c r="AI31" s="212">
        <f t="shared" si="69"/>
        <v>8.563823189248812E-2</v>
      </c>
      <c r="AJ31" s="32"/>
      <c r="AK31" s="24"/>
      <c r="AL31" s="24" t="s">
        <v>176</v>
      </c>
      <c r="AM31" s="212"/>
      <c r="AN31" s="212"/>
      <c r="AO31" s="211">
        <f t="shared" ref="AO31:AT31" si="70">SUM(AO30:AO30)</f>
        <v>1.7242948336666279E-2</v>
      </c>
      <c r="AP31" s="212">
        <f t="shared" si="70"/>
        <v>1.7341503181881102E-2</v>
      </c>
      <c r="AQ31" s="212">
        <f t="shared" si="70"/>
        <v>1.7463983116205929E-2</v>
      </c>
      <c r="AR31" s="212">
        <f t="shared" si="70"/>
        <v>1.7615431933280024E-2</v>
      </c>
      <c r="AS31" s="213">
        <f t="shared" si="70"/>
        <v>1.7786526319051317E-2</v>
      </c>
      <c r="AT31" s="212">
        <f t="shared" si="70"/>
        <v>8.7450392887084644E-2</v>
      </c>
      <c r="AU31" s="66"/>
      <c r="AV31" s="24"/>
      <c r="AW31" s="24" t="s">
        <v>176</v>
      </c>
      <c r="AX31" s="268"/>
      <c r="AY31" s="268"/>
      <c r="AZ31" s="211">
        <f t="shared" ref="AZ31:BE31" si="71">SUM(AZ30:AZ30)</f>
        <v>1.1530195816865374E-4</v>
      </c>
      <c r="BA31" s="212">
        <f t="shared" si="71"/>
        <v>2.1385680338347618E-4</v>
      </c>
      <c r="BB31" s="212">
        <f t="shared" si="71"/>
        <v>3.3633673770830375E-4</v>
      </c>
      <c r="BC31" s="212">
        <f t="shared" si="71"/>
        <v>4.877855547823981E-4</v>
      </c>
      <c r="BD31" s="213">
        <f t="shared" si="71"/>
        <v>6.5887994055369159E-4</v>
      </c>
      <c r="BE31" s="212">
        <f t="shared" si="71"/>
        <v>1.8121609945965234E-3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7" t="s">
        <v>194</v>
      </c>
      <c r="C33" s="357"/>
      <c r="D33" s="358"/>
      <c r="E33" s="358"/>
      <c r="F33" s="358"/>
      <c r="G33" s="358"/>
      <c r="H33" s="358"/>
      <c r="I33" s="358"/>
      <c r="J33" s="358"/>
      <c r="K33" s="358"/>
      <c r="L33" s="358"/>
      <c r="M33" s="32"/>
      <c r="N33" s="357" t="s">
        <v>188</v>
      </c>
      <c r="O33" s="357"/>
      <c r="P33" s="358"/>
      <c r="Q33" s="358"/>
      <c r="R33" s="358"/>
      <c r="S33" s="358"/>
      <c r="T33" s="358"/>
      <c r="U33" s="358"/>
      <c r="V33" s="358"/>
      <c r="W33" s="358"/>
      <c r="X33" s="358"/>
      <c r="Y33" s="70"/>
      <c r="Z33" s="357" t="s">
        <v>205</v>
      </c>
      <c r="AA33" s="357"/>
      <c r="AB33" s="358"/>
      <c r="AC33" s="358"/>
      <c r="AD33" s="358"/>
      <c r="AE33" s="358"/>
      <c r="AF33" s="358"/>
      <c r="AG33" s="358"/>
      <c r="AH33" s="358"/>
      <c r="AI33" s="358"/>
      <c r="AJ33" s="32"/>
      <c r="AK33" s="357" t="s">
        <v>255</v>
      </c>
      <c r="AL33" s="357"/>
      <c r="AM33" s="358"/>
      <c r="AN33" s="358"/>
      <c r="AO33" s="358"/>
      <c r="AP33" s="358"/>
      <c r="AQ33" s="358"/>
      <c r="AR33" s="358"/>
      <c r="AS33" s="358"/>
      <c r="AT33" s="358"/>
      <c r="AU33" s="66"/>
      <c r="AV33" s="357" t="s">
        <v>260</v>
      </c>
      <c r="AW33" s="357"/>
      <c r="AX33" s="358"/>
      <c r="AY33" s="358"/>
      <c r="AZ33" s="358"/>
      <c r="BA33" s="358"/>
      <c r="BB33" s="358"/>
      <c r="BC33" s="358"/>
      <c r="BD33" s="358"/>
      <c r="BE33" s="358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182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75</v>
      </c>
      <c r="L35" s="30" t="s">
        <v>104</v>
      </c>
      <c r="M35" s="32"/>
      <c r="N35" s="10" t="s">
        <v>181</v>
      </c>
      <c r="O35" s="11"/>
      <c r="P35" s="3"/>
      <c r="Q35" s="4"/>
      <c r="R35" s="5">
        <f t="shared" ref="R35:W35" si="72">F35</f>
        <v>2018</v>
      </c>
      <c r="S35" s="4">
        <f t="shared" si="72"/>
        <v>2019</v>
      </c>
      <c r="T35" s="4">
        <f t="shared" si="72"/>
        <v>2020</v>
      </c>
      <c r="U35" s="4">
        <f t="shared" si="72"/>
        <v>2021</v>
      </c>
      <c r="V35" s="6">
        <f t="shared" si="72"/>
        <v>2022</v>
      </c>
      <c r="W35" s="30" t="str">
        <f t="shared" si="72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3">R35</f>
        <v>2018</v>
      </c>
      <c r="AE35" s="4">
        <f t="shared" si="73"/>
        <v>2019</v>
      </c>
      <c r="AF35" s="4">
        <f t="shared" si="73"/>
        <v>2020</v>
      </c>
      <c r="AG35" s="4">
        <f t="shared" si="73"/>
        <v>2021</v>
      </c>
      <c r="AH35" s="6">
        <f t="shared" si="73"/>
        <v>2022</v>
      </c>
      <c r="AI35" s="3" t="str">
        <f t="shared" si="73"/>
        <v>Total for 
2018-2022</v>
      </c>
      <c r="AJ35" s="32"/>
      <c r="AK35" s="10"/>
      <c r="AL35" s="11"/>
      <c r="AM35" s="3"/>
      <c r="AN35" s="4"/>
      <c r="AO35" s="5">
        <f t="shared" ref="AO35:AT35" si="74">AD35</f>
        <v>2018</v>
      </c>
      <c r="AP35" s="4">
        <f t="shared" si="74"/>
        <v>2019</v>
      </c>
      <c r="AQ35" s="4">
        <f t="shared" si="74"/>
        <v>2020</v>
      </c>
      <c r="AR35" s="4">
        <f t="shared" si="74"/>
        <v>2021</v>
      </c>
      <c r="AS35" s="6">
        <f t="shared" si="74"/>
        <v>2022</v>
      </c>
      <c r="AT35" s="3" t="str">
        <f t="shared" si="74"/>
        <v>Total for 
2018-2022</v>
      </c>
      <c r="AU35" s="66"/>
      <c r="AV35" s="10"/>
      <c r="AW35" s="11"/>
      <c r="AX35" s="3"/>
      <c r="AY35" s="4"/>
      <c r="AZ35" s="5">
        <f t="shared" ref="AZ35:BE35" si="75">AO35</f>
        <v>2018</v>
      </c>
      <c r="BA35" s="4">
        <f t="shared" si="75"/>
        <v>2019</v>
      </c>
      <c r="BB35" s="4">
        <f t="shared" si="75"/>
        <v>2020</v>
      </c>
      <c r="BC35" s="4">
        <f t="shared" si="75"/>
        <v>2021</v>
      </c>
      <c r="BD35" s="6">
        <f t="shared" si="75"/>
        <v>2022</v>
      </c>
      <c r="BE35" s="3" t="str">
        <f t="shared" si="75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05" t="s">
        <v>414</v>
      </c>
      <c r="G36" s="606" t="s">
        <v>414</v>
      </c>
      <c r="H36" s="606" t="s">
        <v>414</v>
      </c>
      <c r="I36" s="606" t="s">
        <v>414</v>
      </c>
      <c r="J36" s="606" t="s">
        <v>414</v>
      </c>
      <c r="K36" s="16">
        <v>27974.16537990325</v>
      </c>
      <c r="L36" s="412" t="s">
        <v>318</v>
      </c>
      <c r="M36" s="32"/>
      <c r="N36" s="29" t="str">
        <f t="shared" ref="N36:O38" si="76">B36</f>
        <v>12</v>
      </c>
      <c r="O36" s="29" t="str">
        <f t="shared" si="76"/>
        <v>New Main - Estate</v>
      </c>
      <c r="P36" s="41"/>
      <c r="Q36" s="41"/>
      <c r="R36" s="596" t="s">
        <v>414</v>
      </c>
      <c r="S36" s="597" t="s">
        <v>414</v>
      </c>
      <c r="T36" s="597" t="s">
        <v>414</v>
      </c>
      <c r="U36" s="597" t="s">
        <v>414</v>
      </c>
      <c r="V36" s="598" t="s">
        <v>414</v>
      </c>
      <c r="W36" s="42"/>
      <c r="X36" s="412" t="str">
        <f t="shared" ref="X36:X38" si="77">$X$10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4"/>
      <c r="AC36" s="214"/>
      <c r="AD36" s="209">
        <v>0.2652517098101278</v>
      </c>
      <c r="AE36" s="210">
        <v>0.27014826511155293</v>
      </c>
      <c r="AF36" s="210">
        <v>0.27513562181589368</v>
      </c>
      <c r="AG36" s="210">
        <v>0.28021546373845951</v>
      </c>
      <c r="AH36" s="56">
        <v>0.28538950591911932</v>
      </c>
      <c r="AI36" s="214">
        <f t="shared" ref="AI36:AI38" si="78">SUM(AD36:AH36)</f>
        <v>1.3761405663951534</v>
      </c>
      <c r="AJ36" s="32"/>
      <c r="AK36" s="29" t="str">
        <f t="shared" ref="AK36:AL38" si="79">N36</f>
        <v>12</v>
      </c>
      <c r="AL36" s="29" t="str">
        <f t="shared" si="79"/>
        <v>New Main - Estate</v>
      </c>
      <c r="AM36" s="214"/>
      <c r="AN36" s="214"/>
      <c r="AO36" s="209">
        <f>AD36*(1+'Real Cost Escalation'!E$18)</f>
        <v>0.26703736330114614</v>
      </c>
      <c r="AP36" s="210">
        <f>AE36*(1+'Real Cost Escalation'!F$18)</f>
        <v>0.27352135229117136</v>
      </c>
      <c r="AQ36" s="210">
        <f>AF36*(1+'Real Cost Escalation'!G$18)</f>
        <v>0.28053847842700858</v>
      </c>
      <c r="AR36" s="210">
        <f>AG36*(1+'Real Cost Escalation'!H$18)</f>
        <v>0.28819583958331985</v>
      </c>
      <c r="AS36" s="56">
        <f>AH36*(1+'Real Cost Escalation'!I$18)</f>
        <v>0.29636809670382297</v>
      </c>
      <c r="AT36" s="214">
        <f>SUM(AO36:AS36)</f>
        <v>1.405661130306469</v>
      </c>
      <c r="AU36" s="66"/>
      <c r="AV36" s="29" t="str">
        <f t="shared" ref="AV36:AW38" si="80">Z36</f>
        <v>12</v>
      </c>
      <c r="AW36" s="29" t="str">
        <f t="shared" si="80"/>
        <v>New Main - Estate</v>
      </c>
      <c r="AX36" s="363"/>
      <c r="AY36" s="363"/>
      <c r="AZ36" s="209">
        <f t="shared" ref="AZ36:BD38" si="81">AO36-AD36</f>
        <v>1.7856534910183353E-3</v>
      </c>
      <c r="BA36" s="210">
        <f t="shared" si="81"/>
        <v>3.3730871796184281E-3</v>
      </c>
      <c r="BB36" s="210">
        <f t="shared" si="81"/>
        <v>5.4028566111148923E-3</v>
      </c>
      <c r="BC36" s="210">
        <f t="shared" si="81"/>
        <v>7.9803758448603324E-3</v>
      </c>
      <c r="BD36" s="56">
        <f t="shared" si="81"/>
        <v>1.0978590784703646E-2</v>
      </c>
      <c r="BE36" s="214">
        <f t="shared" ref="BE36:BE38" si="82">SUM(AZ36:BD36)</f>
        <v>2.9520563911315634E-2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08" t="s">
        <v>414</v>
      </c>
      <c r="G37" s="609" t="s">
        <v>414</v>
      </c>
      <c r="H37" s="609" t="s">
        <v>414</v>
      </c>
      <c r="I37" s="609" t="s">
        <v>414</v>
      </c>
      <c r="J37" s="609" t="s">
        <v>414</v>
      </c>
      <c r="K37" s="16">
        <v>142.95652357697512</v>
      </c>
      <c r="L37" s="412" t="s">
        <v>318</v>
      </c>
      <c r="M37" s="32"/>
      <c r="N37" s="29" t="str">
        <f t="shared" si="76"/>
        <v>13</v>
      </c>
      <c r="O37" s="29" t="str">
        <f t="shared" si="76"/>
        <v>New Main - Existing Domestic</v>
      </c>
      <c r="P37" s="41"/>
      <c r="Q37" s="41"/>
      <c r="R37" s="596" t="s">
        <v>414</v>
      </c>
      <c r="S37" s="597" t="s">
        <v>414</v>
      </c>
      <c r="T37" s="597" t="s">
        <v>414</v>
      </c>
      <c r="U37" s="597" t="s">
        <v>414</v>
      </c>
      <c r="V37" s="598" t="s">
        <v>414</v>
      </c>
      <c r="W37" s="42"/>
      <c r="X37" s="412" t="str">
        <f t="shared" si="77"/>
        <v>Attachment 8.4 Unit Rates Forecast</v>
      </c>
      <c r="Y37" s="32"/>
      <c r="Z37" s="29" t="str">
        <f t="shared" ref="Z37:AA38" si="83">B37</f>
        <v>13</v>
      </c>
      <c r="AA37" s="29" t="str">
        <f t="shared" si="83"/>
        <v>New Main - Existing Domestic</v>
      </c>
      <c r="AB37" s="214"/>
      <c r="AC37" s="214"/>
      <c r="AD37" s="209">
        <v>2.8993038156657556E-3</v>
      </c>
      <c r="AE37" s="210">
        <v>2.9528250596162751E-3</v>
      </c>
      <c r="AF37" s="210">
        <v>3.0073387980322566E-3</v>
      </c>
      <c r="AG37" s="210">
        <v>3.0628634356665132E-3</v>
      </c>
      <c r="AH37" s="56">
        <v>3.1194177185683665E-3</v>
      </c>
      <c r="AI37" s="214">
        <f t="shared" si="78"/>
        <v>1.5041748827549169E-2</v>
      </c>
      <c r="AJ37" s="32"/>
      <c r="AK37" s="29" t="str">
        <f t="shared" si="79"/>
        <v>13</v>
      </c>
      <c r="AL37" s="29" t="str">
        <f t="shared" si="79"/>
        <v>New Main - Existing Domestic</v>
      </c>
      <c r="AM37" s="214"/>
      <c r="AN37" s="214"/>
      <c r="AO37" s="209">
        <f>AD37*(1+'Real Cost Escalation'!E$18)</f>
        <v>2.9188216992023868E-3</v>
      </c>
      <c r="AP37" s="210">
        <f>AE37*(1+'Real Cost Escalation'!F$18)</f>
        <v>2.9896942075567025E-3</v>
      </c>
      <c r="AQ37" s="210">
        <f>AF37*(1+'Real Cost Escalation'!G$18)</f>
        <v>3.0663941111886291E-3</v>
      </c>
      <c r="AR37" s="210">
        <f>AG37*(1+'Real Cost Escalation'!H$18)</f>
        <v>3.1500920313050204E-3</v>
      </c>
      <c r="AS37" s="56">
        <f>AH37*(1+'Real Cost Escalation'!I$18)</f>
        <v>3.2394179635262931E-3</v>
      </c>
      <c r="AT37" s="214">
        <f>SUM(AO37:AS37)</f>
        <v>1.5364420012779033E-2</v>
      </c>
      <c r="AU37" s="66"/>
      <c r="AV37" s="29" t="str">
        <f t="shared" si="80"/>
        <v>13</v>
      </c>
      <c r="AW37" s="29" t="str">
        <f t="shared" si="80"/>
        <v>New Main - Existing Domestic</v>
      </c>
      <c r="AX37" s="363"/>
      <c r="AY37" s="363"/>
      <c r="AZ37" s="209">
        <f t="shared" si="81"/>
        <v>1.9517883536631156E-5</v>
      </c>
      <c r="BA37" s="210">
        <f t="shared" si="81"/>
        <v>3.6869147940427408E-5</v>
      </c>
      <c r="BB37" s="210">
        <f t="shared" si="81"/>
        <v>5.9055313156372493E-5</v>
      </c>
      <c r="BC37" s="210">
        <f t="shared" si="81"/>
        <v>8.7228595638507225E-5</v>
      </c>
      <c r="BD37" s="56">
        <f t="shared" si="81"/>
        <v>1.2000024495792665E-4</v>
      </c>
      <c r="BE37" s="214">
        <f t="shared" si="82"/>
        <v>3.2267118522986494E-4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08" t="s">
        <v>414</v>
      </c>
      <c r="G38" s="609" t="s">
        <v>414</v>
      </c>
      <c r="H38" s="609" t="s">
        <v>414</v>
      </c>
      <c r="I38" s="609" t="s">
        <v>414</v>
      </c>
      <c r="J38" s="613" t="s">
        <v>414</v>
      </c>
      <c r="K38" s="16">
        <v>2444.2112151802885</v>
      </c>
      <c r="L38" s="412" t="s">
        <v>318</v>
      </c>
      <c r="M38" s="32"/>
      <c r="N38" s="362" t="str">
        <f t="shared" si="76"/>
        <v>14</v>
      </c>
      <c r="O38" s="362" t="str">
        <f t="shared" si="76"/>
        <v>New Main - I&amp;C&lt;10TJ</v>
      </c>
      <c r="P38" s="512"/>
      <c r="Q38" s="512"/>
      <c r="R38" s="599" t="s">
        <v>414</v>
      </c>
      <c r="S38" s="600" t="s">
        <v>414</v>
      </c>
      <c r="T38" s="600" t="s">
        <v>414</v>
      </c>
      <c r="U38" s="600" t="s">
        <v>414</v>
      </c>
      <c r="V38" s="601" t="s">
        <v>414</v>
      </c>
      <c r="W38" s="513"/>
      <c r="X38" s="514" t="str">
        <f t="shared" si="77"/>
        <v>Attachment 8.4 Unit Rates Forecast</v>
      </c>
      <c r="Y38" s="32"/>
      <c r="Z38" s="29" t="str">
        <f t="shared" si="83"/>
        <v>14</v>
      </c>
      <c r="AA38" s="29" t="str">
        <f t="shared" si="83"/>
        <v>New Main - I&amp;C&lt;10TJ</v>
      </c>
      <c r="AB38" s="214"/>
      <c r="AC38" s="214"/>
      <c r="AD38" s="209">
        <v>0.18286296957786646</v>
      </c>
      <c r="AE38" s="210">
        <v>0.18392272552471939</v>
      </c>
      <c r="AF38" s="210">
        <v>0.18498862313420364</v>
      </c>
      <c r="AG38" s="210">
        <v>0.1860606979994392</v>
      </c>
      <c r="AH38" s="56">
        <v>0.18713898591981856</v>
      </c>
      <c r="AI38" s="214">
        <f t="shared" si="78"/>
        <v>0.92497400215604719</v>
      </c>
      <c r="AJ38" s="32"/>
      <c r="AK38" s="29" t="str">
        <f t="shared" si="79"/>
        <v>14</v>
      </c>
      <c r="AL38" s="29" t="str">
        <f t="shared" si="79"/>
        <v>New Main - I&amp;C&lt;10TJ</v>
      </c>
      <c r="AM38" s="214"/>
      <c r="AN38" s="214"/>
      <c r="AO38" s="209">
        <f>AD38*(1+'Real Cost Escalation'!E$18)</f>
        <v>0.18409398859839768</v>
      </c>
      <c r="AP38" s="210">
        <f>AE38*(1+'Real Cost Escalation'!F$18)</f>
        <v>0.18621919552889182</v>
      </c>
      <c r="AQ38" s="210">
        <f>AF38*(1+'Real Cost Escalation'!G$18)</f>
        <v>0.18862125710171826</v>
      </c>
      <c r="AR38" s="210">
        <f>AG38*(1+'Real Cost Escalation'!H$18)</f>
        <v>0.19135960006638025</v>
      </c>
      <c r="AS38" s="56">
        <f>AH38*(1+'Real Cost Escalation'!I$18)</f>
        <v>0.19433799745901781</v>
      </c>
      <c r="AT38" s="214">
        <f>SUM(AO38:AS38)</f>
        <v>0.94463203875440582</v>
      </c>
      <c r="AU38" s="66"/>
      <c r="AV38" s="29" t="str">
        <f t="shared" si="80"/>
        <v>14</v>
      </c>
      <c r="AW38" s="29" t="str">
        <f t="shared" si="80"/>
        <v>New Main - I&amp;C&lt;10TJ</v>
      </c>
      <c r="AX38" s="363"/>
      <c r="AY38" s="363"/>
      <c r="AZ38" s="209">
        <f t="shared" si="81"/>
        <v>1.2310190205312155E-3</v>
      </c>
      <c r="BA38" s="210">
        <f t="shared" si="81"/>
        <v>2.2964700041724351E-3</v>
      </c>
      <c r="BB38" s="210">
        <f t="shared" si="81"/>
        <v>3.6326339675146202E-3</v>
      </c>
      <c r="BC38" s="210">
        <f t="shared" si="81"/>
        <v>5.298902066941058E-3</v>
      </c>
      <c r="BD38" s="56">
        <f t="shared" si="81"/>
        <v>7.199011539199246E-3</v>
      </c>
      <c r="BE38" s="214">
        <f t="shared" si="82"/>
        <v>1.9658036598358575E-2</v>
      </c>
      <c r="BF38" s="32"/>
    </row>
    <row r="39" spans="1:58" ht="18" customHeight="1" thickBot="1" x14ac:dyDescent="0.25">
      <c r="A39" s="66"/>
      <c r="B39" s="24"/>
      <c r="C39" s="24" t="s">
        <v>81</v>
      </c>
      <c r="D39" s="22"/>
      <c r="E39" s="22"/>
      <c r="F39" s="26">
        <v>5902.7967806264151</v>
      </c>
      <c r="G39" s="27">
        <v>6005.6429181817657</v>
      </c>
      <c r="H39" s="27">
        <v>6110.3605271099495</v>
      </c>
      <c r="I39" s="27">
        <v>6216.98410495606</v>
      </c>
      <c r="J39" s="28">
        <v>6325.5487877863261</v>
      </c>
      <c r="K39" s="26">
        <v>30561.333118660514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81</v>
      </c>
      <c r="AB39" s="212"/>
      <c r="AC39" s="212"/>
      <c r="AD39" s="211">
        <f>SUM(AD36:AD38)</f>
        <v>0.45101398320366004</v>
      </c>
      <c r="AE39" s="212">
        <f t="shared" ref="AE39:AI39" si="84">SUM(AE36:AE38)</f>
        <v>0.45702381569588857</v>
      </c>
      <c r="AF39" s="212">
        <f t="shared" si="84"/>
        <v>0.46313158374812957</v>
      </c>
      <c r="AG39" s="212">
        <f t="shared" si="84"/>
        <v>0.46933902517356524</v>
      </c>
      <c r="AH39" s="213">
        <f t="shared" si="84"/>
        <v>0.47564790955750624</v>
      </c>
      <c r="AI39" s="211">
        <f t="shared" si="84"/>
        <v>2.3161563173787498</v>
      </c>
      <c r="AJ39" s="32"/>
      <c r="AK39" s="24"/>
      <c r="AL39" s="24" t="s">
        <v>81</v>
      </c>
      <c r="AM39" s="212"/>
      <c r="AN39" s="212"/>
      <c r="AO39" s="211">
        <f>SUM(AO36:AO38)</f>
        <v>0.45405017359874622</v>
      </c>
      <c r="AP39" s="212">
        <f t="shared" ref="AP39:AT39" si="85">SUM(AP36:AP38)</f>
        <v>0.46273024202761986</v>
      </c>
      <c r="AQ39" s="212">
        <f t="shared" si="85"/>
        <v>0.4722261296399155</v>
      </c>
      <c r="AR39" s="212">
        <f t="shared" si="85"/>
        <v>0.48270553168100511</v>
      </c>
      <c r="AS39" s="213">
        <f t="shared" si="85"/>
        <v>0.49394551212636706</v>
      </c>
      <c r="AT39" s="211">
        <f t="shared" si="85"/>
        <v>2.3656575890736535</v>
      </c>
      <c r="AU39" s="66"/>
      <c r="AV39" s="24"/>
      <c r="AW39" s="24" t="s">
        <v>81</v>
      </c>
      <c r="AX39" s="268"/>
      <c r="AY39" s="268"/>
      <c r="AZ39" s="211">
        <f>SUM(AZ36:AZ38)</f>
        <v>3.0361903950861819E-3</v>
      </c>
      <c r="BA39" s="212">
        <f t="shared" ref="BA39:BE39" si="86">SUM(BA36:BA38)</f>
        <v>5.7064263317312906E-3</v>
      </c>
      <c r="BB39" s="212">
        <f t="shared" si="86"/>
        <v>9.0945458917858855E-3</v>
      </c>
      <c r="BC39" s="212">
        <f t="shared" si="86"/>
        <v>1.3366506507439898E-2</v>
      </c>
      <c r="BD39" s="213">
        <f t="shared" si="86"/>
        <v>1.8297602568860819E-2</v>
      </c>
      <c r="BE39" s="211">
        <f t="shared" si="86"/>
        <v>4.9501271694904078E-2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7" t="s">
        <v>193</v>
      </c>
      <c r="C41" s="357"/>
      <c r="D41" s="358"/>
      <c r="E41" s="358"/>
      <c r="F41" s="358"/>
      <c r="G41" s="358"/>
      <c r="H41" s="358"/>
      <c r="I41" s="358"/>
      <c r="J41" s="358"/>
      <c r="K41" s="358"/>
      <c r="L41" s="358"/>
      <c r="M41" s="32"/>
      <c r="N41" s="357" t="s">
        <v>190</v>
      </c>
      <c r="O41" s="357"/>
      <c r="P41" s="358"/>
      <c r="Q41" s="358"/>
      <c r="R41" s="358"/>
      <c r="S41" s="358"/>
      <c r="T41" s="358"/>
      <c r="U41" s="358"/>
      <c r="V41" s="358"/>
      <c r="W41" s="358"/>
      <c r="X41" s="358"/>
      <c r="Y41" s="70"/>
      <c r="Z41" s="357" t="s">
        <v>207</v>
      </c>
      <c r="AA41" s="357"/>
      <c r="AB41" s="358"/>
      <c r="AC41" s="358"/>
      <c r="AD41" s="358"/>
      <c r="AE41" s="358"/>
      <c r="AF41" s="358"/>
      <c r="AG41" s="358"/>
      <c r="AH41" s="358"/>
      <c r="AI41" s="358"/>
      <c r="AJ41" s="32"/>
      <c r="AK41" s="357" t="s">
        <v>256</v>
      </c>
      <c r="AL41" s="357"/>
      <c r="AM41" s="358"/>
      <c r="AN41" s="358"/>
      <c r="AO41" s="358"/>
      <c r="AP41" s="358"/>
      <c r="AQ41" s="358"/>
      <c r="AR41" s="358"/>
      <c r="AS41" s="358"/>
      <c r="AT41" s="358"/>
      <c r="AU41" s="66"/>
      <c r="AV41" s="357" t="s">
        <v>261</v>
      </c>
      <c r="AW41" s="357"/>
      <c r="AX41" s="358"/>
      <c r="AY41" s="358"/>
      <c r="AZ41" s="358"/>
      <c r="BA41" s="358"/>
      <c r="BB41" s="358"/>
      <c r="BC41" s="358"/>
      <c r="BD41" s="358"/>
      <c r="BE41" s="358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83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75</v>
      </c>
      <c r="L43" s="30" t="s">
        <v>104</v>
      </c>
      <c r="M43" s="32"/>
      <c r="N43" s="10" t="s">
        <v>184</v>
      </c>
      <c r="O43" s="11"/>
      <c r="P43" s="3"/>
      <c r="Q43" s="4"/>
      <c r="R43" s="5">
        <f t="shared" ref="R43:W43" si="87">F43</f>
        <v>2018</v>
      </c>
      <c r="S43" s="4">
        <f t="shared" si="87"/>
        <v>2019</v>
      </c>
      <c r="T43" s="4">
        <f t="shared" si="87"/>
        <v>2020</v>
      </c>
      <c r="U43" s="4">
        <f t="shared" si="87"/>
        <v>2021</v>
      </c>
      <c r="V43" s="6">
        <f t="shared" si="87"/>
        <v>2022</v>
      </c>
      <c r="W43" s="3" t="str">
        <f t="shared" si="87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88">R43</f>
        <v>2018</v>
      </c>
      <c r="AE43" s="4">
        <f t="shared" si="88"/>
        <v>2019</v>
      </c>
      <c r="AF43" s="4">
        <f t="shared" si="88"/>
        <v>2020</v>
      </c>
      <c r="AG43" s="4">
        <f t="shared" si="88"/>
        <v>2021</v>
      </c>
      <c r="AH43" s="6">
        <f t="shared" si="88"/>
        <v>2022</v>
      </c>
      <c r="AI43" s="3" t="str">
        <f t="shared" si="88"/>
        <v>Total for 
2018-2022</v>
      </c>
      <c r="AJ43" s="32"/>
      <c r="AK43" s="10"/>
      <c r="AL43" s="11"/>
      <c r="AM43" s="3"/>
      <c r="AN43" s="4"/>
      <c r="AO43" s="5">
        <f t="shared" ref="AO43:AT43" si="89">AD43</f>
        <v>2018</v>
      </c>
      <c r="AP43" s="4">
        <f t="shared" si="89"/>
        <v>2019</v>
      </c>
      <c r="AQ43" s="4">
        <f t="shared" si="89"/>
        <v>2020</v>
      </c>
      <c r="AR43" s="4">
        <f t="shared" si="89"/>
        <v>2021</v>
      </c>
      <c r="AS43" s="6">
        <f t="shared" si="89"/>
        <v>2022</v>
      </c>
      <c r="AT43" s="3" t="str">
        <f t="shared" si="89"/>
        <v>Total for 
2018-2022</v>
      </c>
      <c r="AU43" s="66"/>
      <c r="AV43" s="10"/>
      <c r="AW43" s="11"/>
      <c r="AX43" s="3"/>
      <c r="AY43" s="4"/>
      <c r="AZ43" s="5">
        <f t="shared" ref="AZ43:BE43" si="90">AO43</f>
        <v>2018</v>
      </c>
      <c r="BA43" s="4">
        <f t="shared" si="90"/>
        <v>2019</v>
      </c>
      <c r="BB43" s="4">
        <f t="shared" si="90"/>
        <v>2020</v>
      </c>
      <c r="BC43" s="4">
        <f t="shared" si="90"/>
        <v>2021</v>
      </c>
      <c r="BD43" s="6">
        <f t="shared" si="90"/>
        <v>2022</v>
      </c>
      <c r="BE43" s="3" t="str">
        <f t="shared" si="90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05" t="s">
        <v>414</v>
      </c>
      <c r="G44" s="606" t="s">
        <v>414</v>
      </c>
      <c r="H44" s="606" t="s">
        <v>414</v>
      </c>
      <c r="I44" s="606" t="s">
        <v>414</v>
      </c>
      <c r="J44" s="607" t="s">
        <v>414</v>
      </c>
      <c r="K44" s="14">
        <v>2344.3086149040769</v>
      </c>
      <c r="L44" s="412" t="s">
        <v>318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6" t="s">
        <v>414</v>
      </c>
      <c r="S44" s="597" t="s">
        <v>414</v>
      </c>
      <c r="T44" s="597" t="s">
        <v>414</v>
      </c>
      <c r="U44" s="597" t="s">
        <v>414</v>
      </c>
      <c r="V44" s="598" t="s">
        <v>414</v>
      </c>
      <c r="W44" s="62"/>
      <c r="X44" s="412" t="str">
        <f t="shared" ref="X44:X45" si="91">$X$10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4"/>
      <c r="AC44" s="214"/>
      <c r="AD44" s="209">
        <v>0.10463147026939211</v>
      </c>
      <c r="AE44" s="210">
        <v>0.10656297065749605</v>
      </c>
      <c r="AF44" s="210">
        <v>0.10853028866312406</v>
      </c>
      <c r="AG44" s="210">
        <v>0.11053408848584574</v>
      </c>
      <c r="AH44" s="56">
        <v>0.11257504664210349</v>
      </c>
      <c r="AI44" s="214">
        <f t="shared" ref="AI44:AI45" si="92">SUM(AD44:AH44)</f>
        <v>0.54283386471796136</v>
      </c>
      <c r="AJ44" s="32"/>
      <c r="AK44" s="29" t="str">
        <f>N44</f>
        <v>15</v>
      </c>
      <c r="AL44" s="29" t="str">
        <f>O44</f>
        <v>New Meter - Domestic</v>
      </c>
      <c r="AM44" s="363"/>
      <c r="AN44" s="363"/>
      <c r="AO44" s="209">
        <f>AD44*(1-'Real Cost Escalation'!E$25)</f>
        <v>0.10463147026939211</v>
      </c>
      <c r="AP44" s="210">
        <f>AE44*(1-'Real Cost Escalation'!F$25)</f>
        <v>0.10618094240768894</v>
      </c>
      <c r="AQ44" s="210">
        <f>AF44*(1-'Real Cost Escalation'!G$25)</f>
        <v>0.10813981272257754</v>
      </c>
      <c r="AR44" s="210">
        <f>AG44*(1+'Real Cost Escalation'!H$18)</f>
        <v>0.11368203599030399</v>
      </c>
      <c r="AS44" s="56">
        <f>AH44*(1+'Real Cost Escalation'!I$18)</f>
        <v>0.11690567318589395</v>
      </c>
      <c r="AT44" s="214">
        <f t="shared" ref="AT44:AT45" si="93">SUM(AO44:AS44)</f>
        <v>0.54953993457585659</v>
      </c>
      <c r="AU44" s="66"/>
      <c r="AV44" s="29" t="str">
        <f>Z44</f>
        <v>15</v>
      </c>
      <c r="AW44" s="29" t="str">
        <f>AA44</f>
        <v>New Meter - Domestic</v>
      </c>
      <c r="AX44" s="363"/>
      <c r="AY44" s="363"/>
      <c r="AZ44" s="209">
        <f t="shared" ref="AZ44:BD45" si="94">AO44-AD44</f>
        <v>0</v>
      </c>
      <c r="BA44" s="210">
        <f t="shared" si="94"/>
        <v>-3.8202824980711203E-4</v>
      </c>
      <c r="BB44" s="210">
        <f t="shared" si="94"/>
        <v>-3.9047594054651691E-4</v>
      </c>
      <c r="BC44" s="210">
        <f t="shared" si="94"/>
        <v>3.1479475044582511E-3</v>
      </c>
      <c r="BD44" s="56">
        <f t="shared" si="94"/>
        <v>4.3306265437904612E-3</v>
      </c>
      <c r="BE44" s="214">
        <f t="shared" ref="BE44:BE45" si="95">SUM(AZ44:BD44)</f>
        <v>6.7060698578950834E-3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10" t="s">
        <v>414</v>
      </c>
      <c r="G45" s="611" t="s">
        <v>414</v>
      </c>
      <c r="H45" s="611" t="s">
        <v>414</v>
      </c>
      <c r="I45" s="611" t="s">
        <v>414</v>
      </c>
      <c r="J45" s="612" t="s">
        <v>414</v>
      </c>
      <c r="K45" s="17">
        <v>125.58567579603282</v>
      </c>
      <c r="L45" s="412" t="s">
        <v>318</v>
      </c>
      <c r="M45" s="32"/>
      <c r="N45" s="362" t="str">
        <f>B45</f>
        <v>16</v>
      </c>
      <c r="O45" s="362" t="str">
        <f>C45</f>
        <v>New Meter - I&amp;C&lt;10TJ</v>
      </c>
      <c r="P45" s="512"/>
      <c r="Q45" s="512"/>
      <c r="R45" s="599" t="s">
        <v>414</v>
      </c>
      <c r="S45" s="600" t="s">
        <v>414</v>
      </c>
      <c r="T45" s="600" t="s">
        <v>414</v>
      </c>
      <c r="U45" s="600" t="s">
        <v>414</v>
      </c>
      <c r="V45" s="601" t="s">
        <v>414</v>
      </c>
      <c r="W45" s="512"/>
      <c r="X45" s="514" t="str">
        <f t="shared" si="91"/>
        <v>Attachment 8.4 Unit Rates Forecast</v>
      </c>
      <c r="Y45" s="32"/>
      <c r="Z45" s="29" t="str">
        <f t="shared" ref="Z45:AA45" si="96">B45</f>
        <v>16</v>
      </c>
      <c r="AA45" s="29" t="str">
        <f t="shared" si="96"/>
        <v>New Meter - I&amp;C&lt;10TJ</v>
      </c>
      <c r="AB45" s="214"/>
      <c r="AC45" s="214"/>
      <c r="AD45" s="209">
        <v>0.18007623365478992</v>
      </c>
      <c r="AE45" s="210">
        <v>0.18111983947582128</v>
      </c>
      <c r="AF45" s="210">
        <v>0.18216949336376076</v>
      </c>
      <c r="AG45" s="210">
        <v>0.18322523036930788</v>
      </c>
      <c r="AH45" s="56">
        <v>0.1842870857462911</v>
      </c>
      <c r="AI45" s="214">
        <f t="shared" si="92"/>
        <v>0.91087788260997082</v>
      </c>
      <c r="AJ45" s="32"/>
      <c r="AK45" s="29" t="str">
        <f>N45</f>
        <v>16</v>
      </c>
      <c r="AL45" s="29" t="str">
        <f>O45</f>
        <v>New Meter - I&amp;C&lt;10TJ</v>
      </c>
      <c r="AM45" s="363"/>
      <c r="AN45" s="363"/>
      <c r="AO45" s="209">
        <f>AD45*(1+'Real Cost Escalation'!E$18)</f>
        <v>0.18128849258991717</v>
      </c>
      <c r="AP45" s="210">
        <f>AE45*(1+'Real Cost Escalation'!F$18)</f>
        <v>0.18338131247938902</v>
      </c>
      <c r="AQ45" s="210">
        <f>AF45*(1+'Real Cost Escalation'!G$18)</f>
        <v>0.18574676789138422</v>
      </c>
      <c r="AR45" s="210">
        <f>AG45*(1+'Real Cost Escalation'!H$18)</f>
        <v>0.18844337994285515</v>
      </c>
      <c r="AS45" s="56">
        <f>AH45*(1+'Real Cost Escalation'!I$18)</f>
        <v>0.19137638811849364</v>
      </c>
      <c r="AT45" s="214">
        <f t="shared" si="93"/>
        <v>0.93023634102203923</v>
      </c>
      <c r="AU45" s="66"/>
      <c r="AV45" s="29" t="str">
        <f>Z45</f>
        <v>16</v>
      </c>
      <c r="AW45" s="29" t="str">
        <f>AA45</f>
        <v>New Meter - I&amp;C&lt;10TJ</v>
      </c>
      <c r="AX45" s="363"/>
      <c r="AY45" s="363"/>
      <c r="AZ45" s="209">
        <f t="shared" si="94"/>
        <v>1.2122589351272473E-3</v>
      </c>
      <c r="BA45" s="210">
        <f t="shared" si="94"/>
        <v>2.2614730035677433E-3</v>
      </c>
      <c r="BB45" s="210">
        <f t="shared" si="94"/>
        <v>3.5772745276234641E-3</v>
      </c>
      <c r="BC45" s="210">
        <f t="shared" si="94"/>
        <v>5.2181495735472705E-3</v>
      </c>
      <c r="BD45" s="56">
        <f t="shared" si="94"/>
        <v>7.0893023722025383E-3</v>
      </c>
      <c r="BE45" s="214">
        <f t="shared" si="95"/>
        <v>1.9358458412068263E-2</v>
      </c>
      <c r="BF45" s="32"/>
    </row>
    <row r="46" spans="1:58" ht="15" thickBot="1" x14ac:dyDescent="0.25">
      <c r="A46" s="66"/>
      <c r="B46" s="24"/>
      <c r="C46" s="24" t="s">
        <v>85</v>
      </c>
      <c r="D46" s="22"/>
      <c r="E46" s="22"/>
      <c r="F46" s="26">
        <v>476.69422626222149</v>
      </c>
      <c r="G46" s="27">
        <v>485.17958267658008</v>
      </c>
      <c r="H46" s="27">
        <v>493.82045665496616</v>
      </c>
      <c r="I46" s="27">
        <v>502.6197214743583</v>
      </c>
      <c r="J46" s="28">
        <v>511.58030363198367</v>
      </c>
      <c r="K46" s="27">
        <v>2469.8942907001097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85</v>
      </c>
      <c r="AB46" s="212"/>
      <c r="AC46" s="212"/>
      <c r="AD46" s="211">
        <f>SUM(AD44:AD45)</f>
        <v>0.28470770392418204</v>
      </c>
      <c r="AE46" s="212">
        <f t="shared" ref="AE46:AI46" si="97">SUM(AE44:AE45)</f>
        <v>0.28768281013331731</v>
      </c>
      <c r="AF46" s="212">
        <f t="shared" si="97"/>
        <v>0.29069978202688485</v>
      </c>
      <c r="AG46" s="212">
        <f t="shared" si="97"/>
        <v>0.29375931885515361</v>
      </c>
      <c r="AH46" s="213">
        <f t="shared" si="97"/>
        <v>0.2968621323883946</v>
      </c>
      <c r="AI46" s="212">
        <f t="shared" si="97"/>
        <v>1.4537117473279322</v>
      </c>
      <c r="AJ46" s="32"/>
      <c r="AK46" s="24"/>
      <c r="AL46" s="24" t="s">
        <v>85</v>
      </c>
      <c r="AM46" s="268"/>
      <c r="AN46" s="268"/>
      <c r="AO46" s="211">
        <f>SUM(AO44:AO45)</f>
        <v>0.28591996285930926</v>
      </c>
      <c r="AP46" s="212">
        <f t="shared" ref="AP46:AT46" si="98">SUM(AP44:AP45)</f>
        <v>0.28956225488707799</v>
      </c>
      <c r="AQ46" s="212">
        <f t="shared" si="98"/>
        <v>0.29388658061396178</v>
      </c>
      <c r="AR46" s="212">
        <f t="shared" si="98"/>
        <v>0.30212541593315911</v>
      </c>
      <c r="AS46" s="213">
        <f t="shared" si="98"/>
        <v>0.30828206130438762</v>
      </c>
      <c r="AT46" s="212">
        <f t="shared" si="98"/>
        <v>1.4797762755978958</v>
      </c>
      <c r="AU46" s="66"/>
      <c r="AV46" s="24"/>
      <c r="AW46" s="24" t="s">
        <v>85</v>
      </c>
      <c r="AX46" s="212"/>
      <c r="AY46" s="212"/>
      <c r="AZ46" s="211">
        <f>SUM(AZ44:AZ45)</f>
        <v>1.2122589351272473E-3</v>
      </c>
      <c r="BA46" s="212">
        <f t="shared" ref="BA46:BE46" si="99">SUM(BA44:BA45)</f>
        <v>1.8794447537606312E-3</v>
      </c>
      <c r="BB46" s="212">
        <f t="shared" si="99"/>
        <v>3.1867985870769472E-3</v>
      </c>
      <c r="BC46" s="212">
        <f t="shared" si="99"/>
        <v>8.3660970780055216E-3</v>
      </c>
      <c r="BD46" s="213">
        <f t="shared" si="99"/>
        <v>1.1419928915993E-2</v>
      </c>
      <c r="BE46" s="212">
        <f t="shared" si="99"/>
        <v>2.6064528269963347E-2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7" t="s">
        <v>192</v>
      </c>
      <c r="C48" s="357"/>
      <c r="D48" s="358"/>
      <c r="E48" s="358"/>
      <c r="F48" s="358"/>
      <c r="G48" s="358"/>
      <c r="H48" s="358"/>
      <c r="I48" s="358"/>
      <c r="J48" s="358"/>
      <c r="K48" s="358"/>
      <c r="L48" s="358"/>
      <c r="M48" s="32"/>
      <c r="N48" s="357" t="s">
        <v>189</v>
      </c>
      <c r="O48" s="357"/>
      <c r="P48" s="358"/>
      <c r="Q48" s="358"/>
      <c r="R48" s="358"/>
      <c r="S48" s="358"/>
      <c r="T48" s="358"/>
      <c r="U48" s="358"/>
      <c r="V48" s="358"/>
      <c r="W48" s="358"/>
      <c r="X48" s="358"/>
      <c r="Y48" s="70"/>
      <c r="Z48" s="357" t="s">
        <v>206</v>
      </c>
      <c r="AA48" s="357"/>
      <c r="AB48" s="358"/>
      <c r="AC48" s="358"/>
      <c r="AD48" s="358"/>
      <c r="AE48" s="358"/>
      <c r="AF48" s="358"/>
      <c r="AG48" s="358"/>
      <c r="AH48" s="358"/>
      <c r="AI48" s="358"/>
      <c r="AJ48" s="32"/>
      <c r="AK48" s="357" t="s">
        <v>257</v>
      </c>
      <c r="AL48" s="357"/>
      <c r="AM48" s="358"/>
      <c r="AN48" s="358"/>
      <c r="AO48" s="358"/>
      <c r="AP48" s="358"/>
      <c r="AQ48" s="358"/>
      <c r="AR48" s="358"/>
      <c r="AS48" s="358"/>
      <c r="AT48" s="358"/>
      <c r="AU48" s="66"/>
      <c r="AV48" s="357" t="s">
        <v>262</v>
      </c>
      <c r="AW48" s="357"/>
      <c r="AX48" s="358"/>
      <c r="AY48" s="358"/>
      <c r="AZ48" s="358"/>
      <c r="BA48" s="358"/>
      <c r="BB48" s="358"/>
      <c r="BC48" s="358"/>
      <c r="BD48" s="358"/>
      <c r="BE48" s="358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84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75</v>
      </c>
      <c r="L50" s="30" t="s">
        <v>104</v>
      </c>
      <c r="M50" s="32"/>
      <c r="N50" s="10" t="s">
        <v>183</v>
      </c>
      <c r="O50" s="11"/>
      <c r="P50" s="332"/>
      <c r="Q50" s="333"/>
      <c r="R50" s="334">
        <f t="shared" ref="R50:W50" si="100">F50</f>
        <v>2018</v>
      </c>
      <c r="S50" s="333">
        <f t="shared" si="100"/>
        <v>2019</v>
      </c>
      <c r="T50" s="333">
        <f t="shared" si="100"/>
        <v>2020</v>
      </c>
      <c r="U50" s="333">
        <f t="shared" si="100"/>
        <v>2021</v>
      </c>
      <c r="V50" s="335">
        <f t="shared" si="100"/>
        <v>2022</v>
      </c>
      <c r="W50" s="3" t="str">
        <f t="shared" si="100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101">R50</f>
        <v>2018</v>
      </c>
      <c r="AE50" s="4">
        <f t="shared" si="101"/>
        <v>2019</v>
      </c>
      <c r="AF50" s="4">
        <f t="shared" si="101"/>
        <v>2020</v>
      </c>
      <c r="AG50" s="4">
        <f t="shared" si="101"/>
        <v>2021</v>
      </c>
      <c r="AH50" s="6">
        <f t="shared" si="101"/>
        <v>2022</v>
      </c>
      <c r="AI50" s="3" t="str">
        <f t="shared" si="101"/>
        <v>Total for 
2018-2022</v>
      </c>
      <c r="AJ50" s="32"/>
      <c r="AK50" s="10"/>
      <c r="AL50" s="11"/>
      <c r="AM50" s="3"/>
      <c r="AN50" s="4"/>
      <c r="AO50" s="5">
        <f t="shared" ref="AO50:AT50" si="102">AD50</f>
        <v>2018</v>
      </c>
      <c r="AP50" s="4">
        <f t="shared" si="102"/>
        <v>2019</v>
      </c>
      <c r="AQ50" s="4">
        <f t="shared" si="102"/>
        <v>2020</v>
      </c>
      <c r="AR50" s="4">
        <f t="shared" si="102"/>
        <v>2021</v>
      </c>
      <c r="AS50" s="6">
        <f t="shared" si="102"/>
        <v>2022</v>
      </c>
      <c r="AT50" s="3" t="str">
        <f t="shared" si="102"/>
        <v>Total for 
2018-2022</v>
      </c>
      <c r="AU50" s="66"/>
      <c r="AV50" s="10"/>
      <c r="AW50" s="11"/>
      <c r="AX50" s="3"/>
      <c r="AY50" s="4"/>
      <c r="AZ50" s="5">
        <f t="shared" ref="AZ50:BE50" si="103">AO50</f>
        <v>2018</v>
      </c>
      <c r="BA50" s="4">
        <f t="shared" si="103"/>
        <v>2019</v>
      </c>
      <c r="BB50" s="4">
        <f t="shared" si="103"/>
        <v>2020</v>
      </c>
      <c r="BC50" s="4">
        <f t="shared" si="103"/>
        <v>2021</v>
      </c>
      <c r="BD50" s="6">
        <f t="shared" si="103"/>
        <v>2022</v>
      </c>
      <c r="BE50" s="3" t="str">
        <f t="shared" si="103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05" t="s">
        <v>414</v>
      </c>
      <c r="G51" s="606" t="s">
        <v>414</v>
      </c>
      <c r="H51" s="606" t="s">
        <v>414</v>
      </c>
      <c r="I51" s="606" t="s">
        <v>414</v>
      </c>
      <c r="J51" s="607" t="s">
        <v>414</v>
      </c>
      <c r="K51" s="16">
        <v>1929.6127535052301</v>
      </c>
      <c r="L51" s="412" t="s">
        <v>318</v>
      </c>
      <c r="M51" s="32"/>
      <c r="N51" s="29" t="str">
        <f t="shared" ref="N51:O54" si="104">B51</f>
        <v>17</v>
      </c>
      <c r="O51" s="29" t="str">
        <f t="shared" si="104"/>
        <v>New Service - New Home</v>
      </c>
      <c r="P51" s="41"/>
      <c r="Q51" s="41"/>
      <c r="R51" s="596" t="s">
        <v>414</v>
      </c>
      <c r="S51" s="597" t="s">
        <v>414</v>
      </c>
      <c r="T51" s="597" t="s">
        <v>414</v>
      </c>
      <c r="U51" s="597" t="s">
        <v>414</v>
      </c>
      <c r="V51" s="598" t="s">
        <v>414</v>
      </c>
      <c r="W51" s="42"/>
      <c r="X51" s="412" t="str">
        <f t="shared" ref="X51:X54" si="105">$X$10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4"/>
      <c r="AC51" s="214"/>
      <c r="AD51" s="209">
        <v>0.36991619507191992</v>
      </c>
      <c r="AE51" s="210">
        <v>0.37674486021929637</v>
      </c>
      <c r="AF51" s="210">
        <v>0.38370015568885907</v>
      </c>
      <c r="AG51" s="210">
        <v>0.39078442970506616</v>
      </c>
      <c r="AH51" s="56">
        <v>0.39800007403769394</v>
      </c>
      <c r="AI51" s="214">
        <f t="shared" ref="AI51:AI54" si="106">SUM(AD51:AH51)</f>
        <v>1.9191457147228355</v>
      </c>
      <c r="AJ51" s="32"/>
      <c r="AK51" s="29" t="str">
        <f t="shared" ref="AK51:AL54" si="107">N51</f>
        <v>17</v>
      </c>
      <c r="AL51" s="29" t="str">
        <f t="shared" si="107"/>
        <v>New Service - New Home</v>
      </c>
      <c r="AM51" s="363"/>
      <c r="AN51" s="363"/>
      <c r="AO51" s="209">
        <f>AD51*(1+'Real Cost Escalation'!E$18)</f>
        <v>0.37240644158376041</v>
      </c>
      <c r="AP51" s="210">
        <f>AE51*(1+'Real Cost Escalation'!F$18)</f>
        <v>0.38144891877568982</v>
      </c>
      <c r="AQ51" s="210">
        <f>AF51*(1+'Real Cost Escalation'!G$18)</f>
        <v>0.39123490131418764</v>
      </c>
      <c r="AR51" s="210">
        <f>AG51*(1+'Real Cost Escalation'!H$18)</f>
        <v>0.40191374634505211</v>
      </c>
      <c r="AS51" s="56">
        <f>AH51*(1+'Real Cost Escalation'!I$18)</f>
        <v>0.41331065783463261</v>
      </c>
      <c r="AT51" s="214">
        <f>SUM(AO51:AS51)</f>
        <v>1.9603146658533226</v>
      </c>
      <c r="AU51" s="66"/>
      <c r="AV51" s="29" t="str">
        <f t="shared" ref="AV51:AW54" si="108">Z51</f>
        <v>17</v>
      </c>
      <c r="AW51" s="29" t="str">
        <f t="shared" si="108"/>
        <v>New Service - New Home</v>
      </c>
      <c r="AX51" s="363"/>
      <c r="AY51" s="363"/>
      <c r="AZ51" s="209">
        <f t="shared" ref="AZ51:BD54" si="109">AO51-AD51</f>
        <v>2.4902465118404882E-3</v>
      </c>
      <c r="BA51" s="210">
        <f t="shared" si="109"/>
        <v>4.7040585563934423E-3</v>
      </c>
      <c r="BB51" s="210">
        <f t="shared" si="109"/>
        <v>7.5347456253285761E-3</v>
      </c>
      <c r="BC51" s="210">
        <f t="shared" si="109"/>
        <v>1.1129316639985953E-2</v>
      </c>
      <c r="BD51" s="56">
        <f t="shared" si="109"/>
        <v>1.531058379693867E-2</v>
      </c>
      <c r="BE51" s="214">
        <f t="shared" ref="BE51:BE54" si="110">SUM(AZ51:BD51)</f>
        <v>4.116895113048713E-2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08" t="s">
        <v>414</v>
      </c>
      <c r="G52" s="609" t="s">
        <v>414</v>
      </c>
      <c r="H52" s="609" t="s">
        <v>414</v>
      </c>
      <c r="I52" s="609" t="s">
        <v>414</v>
      </c>
      <c r="J52" s="609" t="s">
        <v>414</v>
      </c>
      <c r="K52" s="16">
        <v>154.48854685800012</v>
      </c>
      <c r="L52" s="412" t="s">
        <v>318</v>
      </c>
      <c r="M52" s="32"/>
      <c r="N52" s="29" t="str">
        <f t="shared" si="104"/>
        <v>18</v>
      </c>
      <c r="O52" s="29" t="str">
        <f t="shared" si="104"/>
        <v>New Service - Exist Home</v>
      </c>
      <c r="P52" s="41"/>
      <c r="Q52" s="41"/>
      <c r="R52" s="596" t="s">
        <v>414</v>
      </c>
      <c r="S52" s="597" t="s">
        <v>414</v>
      </c>
      <c r="T52" s="597" t="s">
        <v>414</v>
      </c>
      <c r="U52" s="597" t="s">
        <v>414</v>
      </c>
      <c r="V52" s="598" t="s">
        <v>414</v>
      </c>
      <c r="W52" s="42"/>
      <c r="X52" s="412" t="str">
        <f t="shared" si="105"/>
        <v>Attachment 8.4 Unit Rates Forecast</v>
      </c>
      <c r="Y52" s="32"/>
      <c r="Z52" s="29" t="str">
        <f t="shared" ref="Z52:AA54" si="111">B52</f>
        <v>18</v>
      </c>
      <c r="AA52" s="29" t="str">
        <f t="shared" si="111"/>
        <v>New Service - Exist Home</v>
      </c>
      <c r="AB52" s="214"/>
      <c r="AC52" s="214"/>
      <c r="AD52" s="209">
        <v>4.4807403641719951E-2</v>
      </c>
      <c r="AE52" s="210">
        <v>4.563454978906057E-2</v>
      </c>
      <c r="AF52" s="210">
        <v>4.6477034480739268E-2</v>
      </c>
      <c r="AG52" s="210">
        <v>4.7335142153724565E-2</v>
      </c>
      <c r="AH52" s="56">
        <v>4.8209162519565217E-2</v>
      </c>
      <c r="AI52" s="214">
        <f t="shared" si="106"/>
        <v>0.23246329258480958</v>
      </c>
      <c r="AJ52" s="32"/>
      <c r="AK52" s="29" t="str">
        <f t="shared" si="107"/>
        <v>18</v>
      </c>
      <c r="AL52" s="29" t="str">
        <f t="shared" si="107"/>
        <v>New Service - Exist Home</v>
      </c>
      <c r="AM52" s="363"/>
      <c r="AN52" s="363"/>
      <c r="AO52" s="209">
        <f>AD52*(1+'Real Cost Escalation'!E$18)</f>
        <v>4.5109043532349034E-2</v>
      </c>
      <c r="AP52" s="210">
        <f>AE52*(1+'Real Cost Escalation'!F$18)</f>
        <v>4.6204345470619274E-2</v>
      </c>
      <c r="AQ52" s="210">
        <f>AF52*(1+'Real Cost Escalation'!G$18)</f>
        <v>4.738970711597261E-2</v>
      </c>
      <c r="AR52" s="210">
        <f>AG52*(1+'Real Cost Escalation'!H$18)</f>
        <v>4.8683219879403508E-2</v>
      </c>
      <c r="AS52" s="56">
        <f>AH52*(1+'Real Cost Escalation'!I$18)</f>
        <v>5.006371097491584E-2</v>
      </c>
      <c r="AT52" s="214">
        <f>SUM(AO52:AS52)</f>
        <v>0.23745002697326029</v>
      </c>
      <c r="AU52" s="66"/>
      <c r="AV52" s="29" t="str">
        <f t="shared" si="108"/>
        <v>18</v>
      </c>
      <c r="AW52" s="29" t="str">
        <f t="shared" si="108"/>
        <v>New Service - Exist Home</v>
      </c>
      <c r="AX52" s="363"/>
      <c r="AY52" s="363"/>
      <c r="AZ52" s="209">
        <f t="shared" si="109"/>
        <v>3.0163989062908375E-4</v>
      </c>
      <c r="BA52" s="210">
        <f t="shared" si="109"/>
        <v>5.6979568155870325E-4</v>
      </c>
      <c r="BB52" s="210">
        <f t="shared" si="109"/>
        <v>9.1267263523334141E-4</v>
      </c>
      <c r="BC52" s="210">
        <f t="shared" si="109"/>
        <v>1.3480777256789436E-3</v>
      </c>
      <c r="BD52" s="56">
        <f t="shared" si="109"/>
        <v>1.8545484553506228E-3</v>
      </c>
      <c r="BE52" s="214">
        <f t="shared" si="110"/>
        <v>4.9867343884506948E-3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08" t="s">
        <v>414</v>
      </c>
      <c r="G53" s="609" t="s">
        <v>414</v>
      </c>
      <c r="H53" s="609" t="s">
        <v>414</v>
      </c>
      <c r="I53" s="609" t="s">
        <v>414</v>
      </c>
      <c r="J53" s="609" t="s">
        <v>414</v>
      </c>
      <c r="K53" s="16">
        <v>65.051828635211663</v>
      </c>
      <c r="L53" s="412" t="s">
        <v>318</v>
      </c>
      <c r="M53" s="32"/>
      <c r="N53" s="29" t="str">
        <f t="shared" si="104"/>
        <v>19</v>
      </c>
      <c r="O53" s="29" t="str">
        <f t="shared" si="104"/>
        <v>New Service - Multi User</v>
      </c>
      <c r="P53" s="41"/>
      <c r="Q53" s="41"/>
      <c r="R53" s="596" t="s">
        <v>414</v>
      </c>
      <c r="S53" s="597" t="s">
        <v>414</v>
      </c>
      <c r="T53" s="597" t="s">
        <v>414</v>
      </c>
      <c r="U53" s="597" t="s">
        <v>414</v>
      </c>
      <c r="V53" s="598" t="s">
        <v>414</v>
      </c>
      <c r="W53" s="42"/>
      <c r="X53" s="412" t="str">
        <f t="shared" si="105"/>
        <v>Attachment 8.4 Unit Rates Forecast</v>
      </c>
      <c r="Y53" s="32"/>
      <c r="Z53" s="29" t="str">
        <f t="shared" si="111"/>
        <v>19</v>
      </c>
      <c r="AA53" s="29" t="str">
        <f t="shared" si="111"/>
        <v>New Service - Multi User</v>
      </c>
      <c r="AB53" s="214"/>
      <c r="AC53" s="214"/>
      <c r="AD53" s="209">
        <v>6.2011903003653446E-2</v>
      </c>
      <c r="AE53" s="210">
        <v>6.3156644775992463E-2</v>
      </c>
      <c r="AF53" s="210">
        <v>6.4322614565275174E-2</v>
      </c>
      <c r="AG53" s="210">
        <v>6.5510206022467057E-2</v>
      </c>
      <c r="AH53" s="56">
        <v>6.6719820098370866E-2</v>
      </c>
      <c r="AI53" s="214">
        <f t="shared" si="106"/>
        <v>0.32172118846575898</v>
      </c>
      <c r="AJ53" s="32"/>
      <c r="AK53" s="29" t="str">
        <f t="shared" si="107"/>
        <v>19</v>
      </c>
      <c r="AL53" s="29" t="str">
        <f t="shared" si="107"/>
        <v>New Service - Multi User</v>
      </c>
      <c r="AM53" s="363"/>
      <c r="AN53" s="363"/>
      <c r="AO53" s="209">
        <f>AD53*(1+'Real Cost Escalation'!E$18)</f>
        <v>6.2429362220645587E-2</v>
      </c>
      <c r="AP53" s="210">
        <f>AE53*(1+'Real Cost Escalation'!F$18)</f>
        <v>6.394522236953594E-2</v>
      </c>
      <c r="AQ53" s="210">
        <f>AF53*(1+'Real Cost Escalation'!G$18)</f>
        <v>6.5585722050429299E-2</v>
      </c>
      <c r="AR53" s="210">
        <f>AG53*(1+'Real Cost Escalation'!H$18)</f>
        <v>6.7375899152884278E-2</v>
      </c>
      <c r="AS53" s="56">
        <f>AH53*(1+'Real Cost Escalation'!I$18)</f>
        <v>6.9286451270494806E-2</v>
      </c>
      <c r="AT53" s="214">
        <f>SUM(AO53:AS53)</f>
        <v>0.32862265706398991</v>
      </c>
      <c r="AU53" s="66"/>
      <c r="AV53" s="29" t="str">
        <f t="shared" si="108"/>
        <v>19</v>
      </c>
      <c r="AW53" s="29" t="str">
        <f t="shared" si="108"/>
        <v>New Service - Multi User</v>
      </c>
      <c r="AX53" s="363"/>
      <c r="AY53" s="363"/>
      <c r="AZ53" s="209">
        <f t="shared" si="109"/>
        <v>4.174592169921415E-4</v>
      </c>
      <c r="BA53" s="210">
        <f t="shared" si="109"/>
        <v>7.885775935434769E-4</v>
      </c>
      <c r="BB53" s="210">
        <f t="shared" si="109"/>
        <v>1.2631074851541246E-3</v>
      </c>
      <c r="BC53" s="210">
        <f t="shared" si="109"/>
        <v>1.8656931304172203E-3</v>
      </c>
      <c r="BD53" s="56">
        <f t="shared" si="109"/>
        <v>2.5666311721239399E-3</v>
      </c>
      <c r="BE53" s="214">
        <f t="shared" si="110"/>
        <v>6.9014685982309032E-3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10" t="s">
        <v>414</v>
      </c>
      <c r="G54" s="611" t="s">
        <v>414</v>
      </c>
      <c r="H54" s="611" t="s">
        <v>414</v>
      </c>
      <c r="I54" s="611" t="s">
        <v>414</v>
      </c>
      <c r="J54" s="612" t="s">
        <v>414</v>
      </c>
      <c r="K54" s="16">
        <v>125.58567579603282</v>
      </c>
      <c r="L54" s="412" t="s">
        <v>318</v>
      </c>
      <c r="M54" s="32"/>
      <c r="N54" s="362" t="str">
        <f t="shared" si="104"/>
        <v>20</v>
      </c>
      <c r="O54" s="362" t="str">
        <f t="shared" si="104"/>
        <v>New Service - I&amp;C &lt; 10 Tj</v>
      </c>
      <c r="P54" s="512"/>
      <c r="Q54" s="512"/>
      <c r="R54" s="599" t="s">
        <v>414</v>
      </c>
      <c r="S54" s="600" t="s">
        <v>414</v>
      </c>
      <c r="T54" s="600" t="s">
        <v>414</v>
      </c>
      <c r="U54" s="600" t="s">
        <v>414</v>
      </c>
      <c r="V54" s="601" t="s">
        <v>414</v>
      </c>
      <c r="W54" s="513"/>
      <c r="X54" s="514" t="str">
        <f t="shared" si="105"/>
        <v>Attachment 8.4 Unit Rates Forecast</v>
      </c>
      <c r="Y54" s="32"/>
      <c r="Z54" s="29" t="str">
        <f t="shared" si="111"/>
        <v>20</v>
      </c>
      <c r="AA54" s="29" t="str">
        <f t="shared" si="111"/>
        <v>New Service - I&amp;C &lt; 10 Tj</v>
      </c>
      <c r="AB54" s="214"/>
      <c r="AC54" s="214"/>
      <c r="AD54" s="209">
        <v>0.12334260563434706</v>
      </c>
      <c r="AE54" s="210">
        <v>0.12405741990277484</v>
      </c>
      <c r="AF54" s="210">
        <v>0.12477637677412338</v>
      </c>
      <c r="AG54" s="210">
        <v>0.12549950025625048</v>
      </c>
      <c r="AH54" s="56">
        <v>0.12622681449614639</v>
      </c>
      <c r="AI54" s="214">
        <f t="shared" si="106"/>
        <v>0.62390271706364209</v>
      </c>
      <c r="AJ54" s="32"/>
      <c r="AK54" s="29" t="str">
        <f t="shared" si="107"/>
        <v>20</v>
      </c>
      <c r="AL54" s="29" t="str">
        <f t="shared" si="107"/>
        <v>New Service - I&amp;C &lt; 10 Tj</v>
      </c>
      <c r="AM54" s="363"/>
      <c r="AN54" s="363"/>
      <c r="AO54" s="209">
        <f>AD54*(1+'Real Cost Escalation'!E$18)</f>
        <v>0.12417293828140115</v>
      </c>
      <c r="AP54" s="210">
        <f>AE54*(1+'Real Cost Escalation'!F$18)</f>
        <v>0.12560640816830301</v>
      </c>
      <c r="AQ54" s="210">
        <f>AF54*(1+'Real Cost Escalation'!G$18)</f>
        <v>0.12722661883189712</v>
      </c>
      <c r="AR54" s="210">
        <f>AG54*(1+'Real Cost Escalation'!H$18)</f>
        <v>0.12907365411280497</v>
      </c>
      <c r="AS54" s="56">
        <f>AH54*(1+'Real Cost Escalation'!I$18)</f>
        <v>0.13108260811738287</v>
      </c>
      <c r="AT54" s="214">
        <f>SUM(AO54:AS54)</f>
        <v>0.63716222751178919</v>
      </c>
      <c r="AU54" s="66"/>
      <c r="AV54" s="29" t="str">
        <f t="shared" si="108"/>
        <v>20</v>
      </c>
      <c r="AW54" s="29" t="str">
        <f t="shared" si="108"/>
        <v>New Service - I&amp;C &lt; 10 Tj</v>
      </c>
      <c r="AX54" s="363"/>
      <c r="AY54" s="363"/>
      <c r="AZ54" s="209">
        <f t="shared" si="109"/>
        <v>8.3033264705409393E-4</v>
      </c>
      <c r="BA54" s="210">
        <f t="shared" si="109"/>
        <v>1.54898826552817E-3</v>
      </c>
      <c r="BB54" s="210">
        <f t="shared" si="109"/>
        <v>2.4502420577737355E-3</v>
      </c>
      <c r="BC54" s="210">
        <f t="shared" si="109"/>
        <v>3.5741538565544906E-3</v>
      </c>
      <c r="BD54" s="56">
        <f t="shared" si="109"/>
        <v>4.8557936212364761E-3</v>
      </c>
      <c r="BE54" s="214">
        <f t="shared" si="110"/>
        <v>1.3259510448146966E-2</v>
      </c>
      <c r="BF54" s="32"/>
    </row>
    <row r="55" spans="1:58" ht="18" customHeight="1" thickBot="1" x14ac:dyDescent="0.25">
      <c r="A55" s="66"/>
      <c r="B55" s="24"/>
      <c r="C55" s="24" t="s">
        <v>82</v>
      </c>
      <c r="D55" s="27"/>
      <c r="E55" s="27"/>
      <c r="F55" s="26">
        <v>439.07791904812848</v>
      </c>
      <c r="G55" s="27">
        <v>446.86887719210068</v>
      </c>
      <c r="H55" s="27">
        <v>454.80247602375522</v>
      </c>
      <c r="I55" s="27">
        <v>462.88135003211335</v>
      </c>
      <c r="J55" s="28">
        <v>471.10818249837689</v>
      </c>
      <c r="K55" s="27">
        <v>2274.7388047944746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82</v>
      </c>
      <c r="AB55" s="212"/>
      <c r="AC55" s="212"/>
      <c r="AD55" s="211">
        <f>SUM(AD51:AD54)</f>
        <v>0.60007810735164036</v>
      </c>
      <c r="AE55" s="212">
        <f t="shared" ref="AE55:AI55" si="112">SUM(AE51:AE54)</f>
        <v>0.60959347468712421</v>
      </c>
      <c r="AF55" s="212">
        <f t="shared" si="112"/>
        <v>0.61927618150899688</v>
      </c>
      <c r="AG55" s="212">
        <f t="shared" si="112"/>
        <v>0.6291292781375083</v>
      </c>
      <c r="AH55" s="213">
        <f t="shared" si="112"/>
        <v>0.63915587115177641</v>
      </c>
      <c r="AI55" s="212">
        <f t="shared" si="112"/>
        <v>3.0972329128370459</v>
      </c>
      <c r="AJ55" s="32"/>
      <c r="AK55" s="24"/>
      <c r="AL55" s="24" t="s">
        <v>82</v>
      </c>
      <c r="AM55" s="268"/>
      <c r="AN55" s="268"/>
      <c r="AO55" s="211">
        <f>SUM(AO51:AO54)</f>
        <v>0.60411778561815621</v>
      </c>
      <c r="AP55" s="212">
        <f t="shared" ref="AP55:AT55" si="113">SUM(AP51:AP54)</f>
        <v>0.61720489478414808</v>
      </c>
      <c r="AQ55" s="212">
        <f t="shared" si="113"/>
        <v>0.63143694931248673</v>
      </c>
      <c r="AR55" s="212">
        <f t="shared" si="113"/>
        <v>0.64704651949014491</v>
      </c>
      <c r="AS55" s="213">
        <f t="shared" si="113"/>
        <v>0.66374342819742616</v>
      </c>
      <c r="AT55" s="212">
        <f t="shared" si="113"/>
        <v>3.1635495774023621</v>
      </c>
      <c r="AU55" s="66"/>
      <c r="AV55" s="24"/>
      <c r="AW55" s="24" t="s">
        <v>82</v>
      </c>
      <c r="AX55" s="212"/>
      <c r="AY55" s="212"/>
      <c r="AZ55" s="211">
        <f>SUM(AZ51:AZ54)</f>
        <v>4.0396782665158074E-3</v>
      </c>
      <c r="BA55" s="212">
        <f t="shared" ref="BA55:BE55" si="114">SUM(BA51:BA54)</f>
        <v>7.6114200970237925E-3</v>
      </c>
      <c r="BB55" s="212">
        <f t="shared" si="114"/>
        <v>1.2160767803489778E-2</v>
      </c>
      <c r="BC55" s="212">
        <f t="shared" si="114"/>
        <v>1.7917241352636608E-2</v>
      </c>
      <c r="BD55" s="213">
        <f t="shared" si="114"/>
        <v>2.4587557045649709E-2</v>
      </c>
      <c r="BE55" s="212">
        <f t="shared" si="114"/>
        <v>6.6316664565315694E-2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8" t="s">
        <v>240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7" t="s">
        <v>242</v>
      </c>
      <c r="C59" s="357"/>
      <c r="D59" s="358"/>
      <c r="E59" s="358"/>
      <c r="F59" s="358"/>
      <c r="G59" s="358"/>
      <c r="H59" s="358"/>
      <c r="I59" s="358"/>
      <c r="J59" s="358"/>
      <c r="K59" s="358"/>
      <c r="L59" s="358"/>
      <c r="M59" s="32"/>
      <c r="N59" s="357" t="s">
        <v>243</v>
      </c>
      <c r="O59" s="357"/>
      <c r="P59" s="358"/>
      <c r="Q59" s="358"/>
      <c r="R59" s="358"/>
      <c r="S59" s="358"/>
      <c r="T59" s="358"/>
      <c r="U59" s="358"/>
      <c r="V59" s="358"/>
      <c r="W59" s="358"/>
      <c r="X59" s="358"/>
      <c r="Y59" s="66"/>
      <c r="Z59" s="357" t="s">
        <v>244</v>
      </c>
      <c r="AA59" s="357"/>
      <c r="AB59" s="358"/>
      <c r="AC59" s="358"/>
      <c r="AD59" s="358"/>
      <c r="AE59" s="358"/>
      <c r="AF59" s="358"/>
      <c r="AG59" s="358"/>
      <c r="AH59" s="358"/>
      <c r="AI59" s="358"/>
      <c r="AJ59" s="32"/>
      <c r="AK59" s="357" t="s">
        <v>245</v>
      </c>
      <c r="AL59" s="357"/>
      <c r="AM59" s="358"/>
      <c r="AN59" s="358"/>
      <c r="AO59" s="358"/>
      <c r="AP59" s="358"/>
      <c r="AQ59" s="358"/>
      <c r="AR59" s="358"/>
      <c r="AS59" s="358"/>
      <c r="AT59" s="358"/>
      <c r="AU59" s="66"/>
      <c r="AV59" s="357" t="s">
        <v>263</v>
      </c>
      <c r="AW59" s="357"/>
      <c r="AX59" s="357"/>
      <c r="AY59" s="357"/>
      <c r="AZ59" s="357"/>
      <c r="BA59" s="357"/>
      <c r="BB59" s="357"/>
      <c r="BC59" s="357"/>
      <c r="BD59" s="357"/>
      <c r="BE59" s="357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264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264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75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75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75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3"/>
      <c r="AC62" s="363"/>
      <c r="AD62" s="209">
        <f>'Business Cases'!M58/1000</f>
        <v>0</v>
      </c>
      <c r="AE62" s="210">
        <f>'Business Cases'!N58/1000</f>
        <v>0</v>
      </c>
      <c r="AF62" s="210">
        <f>'Business Cases'!O58/1000</f>
        <v>0</v>
      </c>
      <c r="AG62" s="210">
        <f>'Business Cases'!P58/1000</f>
        <v>8.7999999999999995E-2</v>
      </c>
      <c r="AH62" s="56">
        <f>'Business Cases'!Q58/1000</f>
        <v>0</v>
      </c>
      <c r="AI62" s="214">
        <f>SUM(AD62:AH62)</f>
        <v>8.7999999999999995E-2</v>
      </c>
      <c r="AJ62" s="32"/>
      <c r="AK62" s="595">
        <f t="shared" ref="AK62:AK69" si="115">$Z62</f>
        <v>21</v>
      </c>
      <c r="AL62" s="29" t="str">
        <f t="shared" ref="AL62:AL69" si="116">$AA62</f>
        <v>Telemetry</v>
      </c>
      <c r="AM62" s="363"/>
      <c r="AN62" s="363"/>
      <c r="AO62" s="209">
        <f>AD62*(1+'Real Cost Escalation'!E$18)</f>
        <v>0</v>
      </c>
      <c r="AP62" s="210">
        <f>AE62*(1+'Real Cost Escalation'!F$18)</f>
        <v>0</v>
      </c>
      <c r="AQ62" s="210">
        <f>AF62*(1+'Real Cost Escalation'!G$18)</f>
        <v>0</v>
      </c>
      <c r="AR62" s="210">
        <f>AG62*(1+'Real Cost Escalation'!H$18)</f>
        <v>9.0506189576329651E-2</v>
      </c>
      <c r="AS62" s="56">
        <f>AH62*(1+'Real Cost Escalation'!I$18)</f>
        <v>0</v>
      </c>
      <c r="AT62" s="214">
        <f>SUM(AO62:AS62)</f>
        <v>9.0506189576329651E-2</v>
      </c>
      <c r="AU62" s="32"/>
      <c r="AV62" s="595">
        <f t="shared" ref="AV62:AV69" si="117">$Z62</f>
        <v>21</v>
      </c>
      <c r="AW62" s="29" t="str">
        <f t="shared" ref="AW62:AW69" si="118">$AA62</f>
        <v>Telemetry</v>
      </c>
      <c r="AX62" s="15"/>
      <c r="AY62" s="15"/>
      <c r="AZ62" s="209">
        <f t="shared" ref="AZ62:BD69" si="119">AO62-AD62</f>
        <v>0</v>
      </c>
      <c r="BA62" s="210">
        <f t="shared" si="119"/>
        <v>0</v>
      </c>
      <c r="BB62" s="210">
        <f t="shared" si="119"/>
        <v>0</v>
      </c>
      <c r="BC62" s="210">
        <f t="shared" si="119"/>
        <v>2.5061895763296566E-3</v>
      </c>
      <c r="BD62" s="56">
        <f t="shared" si="119"/>
        <v>0</v>
      </c>
      <c r="BE62" s="214">
        <f>SUM(AZ62:BD62)</f>
        <v>2.5061895763296566E-3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3"/>
      <c r="AC63" s="363"/>
      <c r="AD63" s="209">
        <f>'Business Cases'!M52/1000</f>
        <v>0</v>
      </c>
      <c r="AE63" s="210">
        <f>'Business Cases'!N52/1000</f>
        <v>0.05</v>
      </c>
      <c r="AF63" s="210">
        <f>'Business Cases'!O52/1000</f>
        <v>0.08</v>
      </c>
      <c r="AG63" s="210">
        <f>'Business Cases'!P52/1000</f>
        <v>6.7000000000000004E-2</v>
      </c>
      <c r="AH63" s="56">
        <f>'Business Cases'!Q52/1000</f>
        <v>0</v>
      </c>
      <c r="AI63" s="214">
        <f t="shared" ref="AI63:AI69" si="120">SUM(AD63:AH63)</f>
        <v>0.19700000000000001</v>
      </c>
      <c r="AJ63" s="32"/>
      <c r="AK63" s="595">
        <f t="shared" si="115"/>
        <v>22</v>
      </c>
      <c r="AL63" s="29" t="str">
        <f t="shared" si="116"/>
        <v>Regulators</v>
      </c>
      <c r="AM63" s="363"/>
      <c r="AN63" s="363"/>
      <c r="AO63" s="209">
        <f>AD63*(1+'Real Cost Escalation'!E$18)</f>
        <v>0</v>
      </c>
      <c r="AP63" s="210">
        <f>AE63*(1+'Real Cost Escalation'!F$18)</f>
        <v>5.0624302950497496E-2</v>
      </c>
      <c r="AQ63" s="210">
        <f>AF63*(1+'Real Cost Escalation'!G$18)</f>
        <v>8.1570965351692684E-2</v>
      </c>
      <c r="AR63" s="210">
        <f>AG63*(1+'Real Cost Escalation'!H$18)</f>
        <v>6.8908121609250986E-2</v>
      </c>
      <c r="AS63" s="56">
        <f>AH63*(1+'Real Cost Escalation'!I$18)</f>
        <v>0</v>
      </c>
      <c r="AT63" s="214">
        <f t="shared" ref="AT63:AT69" si="121">SUM(AO63:AS63)</f>
        <v>0.20110338991144117</v>
      </c>
      <c r="AU63" s="32"/>
      <c r="AV63" s="595">
        <f t="shared" si="117"/>
        <v>22</v>
      </c>
      <c r="AW63" s="29" t="str">
        <f t="shared" si="118"/>
        <v>Regulators</v>
      </c>
      <c r="AX63" s="15"/>
      <c r="AY63" s="15"/>
      <c r="AZ63" s="209">
        <f t="shared" si="119"/>
        <v>0</v>
      </c>
      <c r="BA63" s="210">
        <f t="shared" si="119"/>
        <v>6.243029504974934E-4</v>
      </c>
      <c r="BB63" s="210">
        <f t="shared" si="119"/>
        <v>1.5709653516926825E-3</v>
      </c>
      <c r="BC63" s="210">
        <f t="shared" si="119"/>
        <v>1.9081216092509817E-3</v>
      </c>
      <c r="BD63" s="56">
        <f t="shared" si="119"/>
        <v>0</v>
      </c>
      <c r="BE63" s="214">
        <f t="shared" ref="BE63:BE69" si="122">SUM(AZ63:BD63)</f>
        <v>4.1033899114411576E-3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3"/>
      <c r="AC64" s="363"/>
      <c r="AD64" s="209">
        <f>'Business Cases'!M27/1000</f>
        <v>0.38082887116930247</v>
      </c>
      <c r="AE64" s="210">
        <f>'Business Cases'!N27/1000</f>
        <v>0.79971774336648649</v>
      </c>
      <c r="AF64" s="210">
        <f>'Business Cases'!O27/1000</f>
        <v>0.54378733662028433</v>
      </c>
      <c r="AG64" s="210">
        <f>'Business Cases'!P27/1000</f>
        <v>0.17301416744819531</v>
      </c>
      <c r="AH64" s="56">
        <f>'Business Cases'!Q27/1000</f>
        <v>0.20189481906278933</v>
      </c>
      <c r="AI64" s="214">
        <f t="shared" si="120"/>
        <v>2.0992429376670581</v>
      </c>
      <c r="AJ64" s="32"/>
      <c r="AK64" s="595">
        <f t="shared" si="115"/>
        <v>23</v>
      </c>
      <c r="AL64" s="29" t="str">
        <f t="shared" si="116"/>
        <v>Information Technology</v>
      </c>
      <c r="AM64" s="363"/>
      <c r="AN64" s="363"/>
      <c r="AO64" s="209">
        <f>AD64*(1+'Real Cost Escalation'!E$18)</f>
        <v>0.38339258095187395</v>
      </c>
      <c r="AP64" s="210">
        <f>AE64*(1+'Real Cost Escalation'!F$18)</f>
        <v>0.80970306630146438</v>
      </c>
      <c r="AQ64" s="210">
        <f>AF64*(1+'Real Cost Escalation'!G$18)</f>
        <v>0.5544657249267807</v>
      </c>
      <c r="AR64" s="210">
        <f>AG64*(1+'Real Cost Escalation'!H$18)</f>
        <v>0.1779415118006501</v>
      </c>
      <c r="AS64" s="56">
        <f>AH64*(1+'Real Cost Escalation'!I$18)</f>
        <v>0.20966146974219563</v>
      </c>
      <c r="AT64" s="214">
        <f t="shared" si="121"/>
        <v>2.1351643537229643</v>
      </c>
      <c r="AU64" s="32"/>
      <c r="AV64" s="595">
        <f t="shared" si="117"/>
        <v>23</v>
      </c>
      <c r="AW64" s="29" t="str">
        <f t="shared" si="118"/>
        <v>Information Technology</v>
      </c>
      <c r="AX64" s="15"/>
      <c r="AY64" s="15"/>
      <c r="AZ64" s="209">
        <f t="shared" si="119"/>
        <v>2.5637097825714772E-3</v>
      </c>
      <c r="BA64" s="210">
        <f t="shared" si="119"/>
        <v>9.9853229349778916E-3</v>
      </c>
      <c r="BB64" s="210">
        <f t="shared" si="119"/>
        <v>1.0678388306496367E-2</v>
      </c>
      <c r="BC64" s="210">
        <f t="shared" si="119"/>
        <v>4.9273443524547877E-3</v>
      </c>
      <c r="BD64" s="56">
        <f t="shared" si="119"/>
        <v>7.7666506794062951E-3</v>
      </c>
      <c r="BE64" s="214">
        <f t="shared" si="122"/>
        <v>3.5921416055906819E-2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3"/>
      <c r="AC65" s="363"/>
      <c r="AD65" s="209">
        <f>'Business Cases'!M34/1000</f>
        <v>0</v>
      </c>
      <c r="AE65" s="210">
        <f>'Business Cases'!N34/1000</f>
        <v>0.03</v>
      </c>
      <c r="AF65" s="210">
        <f>'Business Cases'!O34/1000</f>
        <v>0</v>
      </c>
      <c r="AG65" s="210">
        <f>'Business Cases'!P34/1000</f>
        <v>0</v>
      </c>
      <c r="AH65" s="56">
        <f>'Business Cases'!Q34/1000</f>
        <v>0</v>
      </c>
      <c r="AI65" s="209">
        <f t="shared" si="120"/>
        <v>0.03</v>
      </c>
      <c r="AJ65" s="32"/>
      <c r="AK65" s="595">
        <f t="shared" si="115"/>
        <v>24</v>
      </c>
      <c r="AL65" s="29" t="str">
        <f t="shared" si="116"/>
        <v>Other Distribution System</v>
      </c>
      <c r="AM65" s="363"/>
      <c r="AN65" s="363"/>
      <c r="AO65" s="209">
        <f>AD65*(1+'Real Cost Escalation'!E$18)</f>
        <v>0</v>
      </c>
      <c r="AP65" s="210">
        <f>AE65*(1+'Real Cost Escalation'!F$18)</f>
        <v>3.0374581770298493E-2</v>
      </c>
      <c r="AQ65" s="210">
        <f>AF65*(1+'Real Cost Escalation'!G$18)</f>
        <v>0</v>
      </c>
      <c r="AR65" s="210">
        <f>AG65*(1+'Real Cost Escalation'!H$18)</f>
        <v>0</v>
      </c>
      <c r="AS65" s="56">
        <f>AH65*(1+'Real Cost Escalation'!I$18)</f>
        <v>0</v>
      </c>
      <c r="AT65" s="209">
        <f t="shared" si="121"/>
        <v>3.0374581770298493E-2</v>
      </c>
      <c r="AU65" s="32"/>
      <c r="AV65" s="595">
        <f t="shared" si="117"/>
        <v>24</v>
      </c>
      <c r="AW65" s="29" t="str">
        <f t="shared" si="118"/>
        <v>Other Distribution System</v>
      </c>
      <c r="AX65" s="32"/>
      <c r="AY65" s="32"/>
      <c r="AZ65" s="209">
        <f t="shared" si="119"/>
        <v>0</v>
      </c>
      <c r="BA65" s="210">
        <f t="shared" si="119"/>
        <v>3.7458177029849396E-4</v>
      </c>
      <c r="BB65" s="210">
        <f t="shared" si="119"/>
        <v>0</v>
      </c>
      <c r="BC65" s="210">
        <f t="shared" si="119"/>
        <v>0</v>
      </c>
      <c r="BD65" s="56">
        <f t="shared" si="119"/>
        <v>0</v>
      </c>
      <c r="BE65" s="209">
        <f t="shared" si="122"/>
        <v>3.7458177029849396E-4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3"/>
      <c r="AC66" s="363"/>
      <c r="AD66" s="209">
        <f>'Business Cases'!M39/1000</f>
        <v>7.0000000000000007E-2</v>
      </c>
      <c r="AE66" s="210">
        <f>'Business Cases'!N39/1000</f>
        <v>2.3E-2</v>
      </c>
      <c r="AF66" s="210">
        <f>'Business Cases'!O39/1000</f>
        <v>2.3E-2</v>
      </c>
      <c r="AG66" s="210">
        <f>'Business Cases'!P39/1000</f>
        <v>2.3E-2</v>
      </c>
      <c r="AH66" s="56">
        <f>'Business Cases'!Q39/1000</f>
        <v>2.3E-2</v>
      </c>
      <c r="AI66" s="209">
        <f t="shared" si="120"/>
        <v>0.16199999999999998</v>
      </c>
      <c r="AJ66" s="32"/>
      <c r="AK66" s="595">
        <f t="shared" si="115"/>
        <v>25</v>
      </c>
      <c r="AL66" s="29" t="str">
        <f t="shared" si="116"/>
        <v>Other Non-Distribution System</v>
      </c>
      <c r="AM66" s="363"/>
      <c r="AN66" s="363"/>
      <c r="AO66" s="209">
        <f>AD66*(1+'Real Cost Escalation'!E$18)</f>
        <v>7.0471234452968309E-2</v>
      </c>
      <c r="AP66" s="210">
        <f>AE66*(1+'Real Cost Escalation'!F$18)</f>
        <v>2.3287179357228845E-2</v>
      </c>
      <c r="AQ66" s="210">
        <f>AF66*(1+'Real Cost Escalation'!G$18)</f>
        <v>2.3451652538611645E-2</v>
      </c>
      <c r="AR66" s="210">
        <f>AG66*(1+'Real Cost Escalation'!H$18)</f>
        <v>2.365502682108616E-2</v>
      </c>
      <c r="AS66" s="56">
        <f>AH66*(1+'Real Cost Escalation'!I$18)</f>
        <v>2.3884782316136551E-2</v>
      </c>
      <c r="AT66" s="209">
        <f t="shared" si="121"/>
        <v>0.16474987548603151</v>
      </c>
      <c r="AU66" s="32"/>
      <c r="AV66" s="595">
        <f t="shared" si="117"/>
        <v>25</v>
      </c>
      <c r="AW66" s="29" t="str">
        <f t="shared" si="118"/>
        <v>Other Non-Distribution System</v>
      </c>
      <c r="AX66" s="32"/>
      <c r="AY66" s="32"/>
      <c r="AZ66" s="209">
        <f t="shared" si="119"/>
        <v>4.7123445296830269E-4</v>
      </c>
      <c r="BA66" s="210">
        <f t="shared" si="119"/>
        <v>2.8717935722884572E-4</v>
      </c>
      <c r="BB66" s="210">
        <f t="shared" si="119"/>
        <v>4.5165253861164517E-4</v>
      </c>
      <c r="BC66" s="210">
        <f t="shared" si="119"/>
        <v>6.5502682108616039E-4</v>
      </c>
      <c r="BD66" s="56">
        <f t="shared" si="119"/>
        <v>8.8478231613655159E-4</v>
      </c>
      <c r="BE66" s="209">
        <f t="shared" si="122"/>
        <v>2.7498754860315056E-3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3"/>
      <c r="AC67" s="363"/>
      <c r="AD67" s="209">
        <v>0</v>
      </c>
      <c r="AE67" s="210">
        <v>0</v>
      </c>
      <c r="AF67" s="210">
        <v>0</v>
      </c>
      <c r="AG67" s="210">
        <v>0</v>
      </c>
      <c r="AH67" s="56">
        <v>0</v>
      </c>
      <c r="AI67" s="209">
        <f t="shared" si="120"/>
        <v>0</v>
      </c>
      <c r="AJ67" s="32"/>
      <c r="AK67" s="595">
        <f t="shared" si="115"/>
        <v>26</v>
      </c>
      <c r="AL67" s="29" t="str">
        <f t="shared" si="116"/>
        <v>Large Consumers</v>
      </c>
      <c r="AM67" s="363"/>
      <c r="AN67" s="363"/>
      <c r="AO67" s="209">
        <f>AD67*(1+'Real Cost Escalation'!E$18)</f>
        <v>0</v>
      </c>
      <c r="AP67" s="210">
        <f>AE67*(1+'Real Cost Escalation'!F$18)</f>
        <v>0</v>
      </c>
      <c r="AQ67" s="210">
        <f>AF67*(1+'Real Cost Escalation'!G$18)</f>
        <v>0</v>
      </c>
      <c r="AR67" s="210">
        <f>AG67*(1+'Real Cost Escalation'!H$18)</f>
        <v>0</v>
      </c>
      <c r="AS67" s="56">
        <f>AH67*(1+'Real Cost Escalation'!I$18)</f>
        <v>0</v>
      </c>
      <c r="AT67" s="209">
        <f t="shared" si="121"/>
        <v>0</v>
      </c>
      <c r="AU67" s="32"/>
      <c r="AV67" s="595">
        <f t="shared" si="117"/>
        <v>26</v>
      </c>
      <c r="AW67" s="29" t="str">
        <f t="shared" si="118"/>
        <v>Large Consumers</v>
      </c>
      <c r="AX67" s="32"/>
      <c r="AY67" s="32"/>
      <c r="AZ67" s="209">
        <f t="shared" si="119"/>
        <v>0</v>
      </c>
      <c r="BA67" s="210">
        <f t="shared" si="119"/>
        <v>0</v>
      </c>
      <c r="BB67" s="210">
        <f t="shared" si="119"/>
        <v>0</v>
      </c>
      <c r="BC67" s="210">
        <f t="shared" si="119"/>
        <v>0</v>
      </c>
      <c r="BD67" s="56">
        <f t="shared" si="119"/>
        <v>0</v>
      </c>
      <c r="BE67" s="209">
        <f t="shared" si="122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3"/>
      <c r="AC68" s="363"/>
      <c r="AD68" s="209">
        <f>'Business Cases'!M18/1000</f>
        <v>0</v>
      </c>
      <c r="AE68" s="210">
        <f>'Business Cases'!N18/1000</f>
        <v>0</v>
      </c>
      <c r="AF68" s="210">
        <f>'Business Cases'!O18/1000</f>
        <v>0</v>
      </c>
      <c r="AG68" s="210">
        <f>'Business Cases'!P18/1000</f>
        <v>0</v>
      </c>
      <c r="AH68" s="56">
        <f>'Business Cases'!Q18/1000</f>
        <v>0</v>
      </c>
      <c r="AI68" s="209">
        <f t="shared" si="120"/>
        <v>0</v>
      </c>
      <c r="AJ68" s="32"/>
      <c r="AK68" s="595">
        <f t="shared" si="115"/>
        <v>27</v>
      </c>
      <c r="AL68" s="29" t="str">
        <f t="shared" si="116"/>
        <v>Mains Augmentation</v>
      </c>
      <c r="AM68" s="363"/>
      <c r="AN68" s="363"/>
      <c r="AO68" s="209">
        <f>AD68*(1+'Real Cost Escalation'!E$18)</f>
        <v>0</v>
      </c>
      <c r="AP68" s="210">
        <f>AE68*(1+'Real Cost Escalation'!F$18)</f>
        <v>0</v>
      </c>
      <c r="AQ68" s="210">
        <f>AF68*(1+'Real Cost Escalation'!G$18)</f>
        <v>0</v>
      </c>
      <c r="AR68" s="210">
        <f>AG68*(1+'Real Cost Escalation'!H$18)</f>
        <v>0</v>
      </c>
      <c r="AS68" s="56">
        <f>AH68*(1+'Real Cost Escalation'!I$18)</f>
        <v>0</v>
      </c>
      <c r="AT68" s="209">
        <f t="shared" si="121"/>
        <v>0</v>
      </c>
      <c r="AU68" s="32"/>
      <c r="AV68" s="595">
        <f t="shared" si="117"/>
        <v>27</v>
      </c>
      <c r="AW68" s="29" t="str">
        <f t="shared" si="118"/>
        <v>Mains Augmentation</v>
      </c>
      <c r="AX68" s="32"/>
      <c r="AY68" s="32"/>
      <c r="AZ68" s="209">
        <f t="shared" si="119"/>
        <v>0</v>
      </c>
      <c r="BA68" s="210">
        <f t="shared" si="119"/>
        <v>0</v>
      </c>
      <c r="BB68" s="210">
        <f t="shared" si="119"/>
        <v>0</v>
      </c>
      <c r="BC68" s="210">
        <f t="shared" si="119"/>
        <v>0</v>
      </c>
      <c r="BD68" s="56">
        <f t="shared" si="119"/>
        <v>0</v>
      </c>
      <c r="BE68" s="209">
        <f t="shared" si="122"/>
        <v>0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3"/>
      <c r="AC69" s="363"/>
      <c r="AD69" s="209">
        <v>0</v>
      </c>
      <c r="AE69" s="210">
        <v>0</v>
      </c>
      <c r="AF69" s="210">
        <v>0</v>
      </c>
      <c r="AG69" s="210">
        <v>0</v>
      </c>
      <c r="AH69" s="210">
        <v>0</v>
      </c>
      <c r="AI69" s="217">
        <f t="shared" si="120"/>
        <v>0</v>
      </c>
      <c r="AJ69" s="32"/>
      <c r="AK69" s="595">
        <f t="shared" si="115"/>
        <v>28</v>
      </c>
      <c r="AL69" s="29" t="str">
        <f t="shared" si="116"/>
        <v>Growth New Areas</v>
      </c>
      <c r="AM69" s="363"/>
      <c r="AN69" s="363"/>
      <c r="AO69" s="209">
        <f>AD69*(1+'Real Cost Escalation'!E$18)</f>
        <v>0</v>
      </c>
      <c r="AP69" s="210">
        <f>AE69*(1+'Real Cost Escalation'!F$18)</f>
        <v>0</v>
      </c>
      <c r="AQ69" s="210">
        <f>AF69*(1+'Real Cost Escalation'!G$18)</f>
        <v>0</v>
      </c>
      <c r="AR69" s="210">
        <f>AG69*(1+'Real Cost Escalation'!H$18)</f>
        <v>0</v>
      </c>
      <c r="AS69" s="56">
        <f>AH69*(1+'Real Cost Escalation'!I$18)</f>
        <v>0</v>
      </c>
      <c r="AT69" s="217">
        <f t="shared" si="121"/>
        <v>0</v>
      </c>
      <c r="AU69" s="32"/>
      <c r="AV69" s="595">
        <f t="shared" si="117"/>
        <v>28</v>
      </c>
      <c r="AW69" s="29" t="str">
        <f t="shared" si="118"/>
        <v>Growth New Areas</v>
      </c>
      <c r="AX69" s="32"/>
      <c r="AY69" s="32"/>
      <c r="AZ69" s="209">
        <f t="shared" si="119"/>
        <v>0</v>
      </c>
      <c r="BA69" s="210">
        <f t="shared" si="119"/>
        <v>0</v>
      </c>
      <c r="BB69" s="210">
        <f t="shared" si="119"/>
        <v>0</v>
      </c>
      <c r="BC69" s="210">
        <f t="shared" si="119"/>
        <v>0</v>
      </c>
      <c r="BD69" s="56">
        <f t="shared" si="119"/>
        <v>0</v>
      </c>
      <c r="BE69" s="217">
        <f t="shared" si="122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96</v>
      </c>
      <c r="AB70" s="268"/>
      <c r="AC70" s="268"/>
      <c r="AD70" s="211">
        <f>SUM(AD62:AD69)</f>
        <v>0.45082887116930248</v>
      </c>
      <c r="AE70" s="212">
        <f t="shared" ref="AE70:AI70" si="123">SUM(AE62:AE69)</f>
        <v>0.90271774336648658</v>
      </c>
      <c r="AF70" s="212">
        <f t="shared" si="123"/>
        <v>0.64678733662028431</v>
      </c>
      <c r="AG70" s="212">
        <f t="shared" si="123"/>
        <v>0.35101416744819536</v>
      </c>
      <c r="AH70" s="213">
        <f t="shared" si="123"/>
        <v>0.22489481906278933</v>
      </c>
      <c r="AI70" s="212">
        <f t="shared" si="123"/>
        <v>2.5762429376670579</v>
      </c>
      <c r="AJ70" s="32"/>
      <c r="AK70" s="24"/>
      <c r="AL70" s="24" t="str">
        <f>AA70</f>
        <v>Total</v>
      </c>
      <c r="AM70" s="268"/>
      <c r="AN70" s="268"/>
      <c r="AO70" s="211">
        <f>SUM(AO62:AO69)</f>
        <v>0.45386381540484227</v>
      </c>
      <c r="AP70" s="212">
        <f t="shared" ref="AP70:AT70" si="124">SUM(AP62:AP69)</f>
        <v>0.91398913037948915</v>
      </c>
      <c r="AQ70" s="212">
        <f t="shared" si="124"/>
        <v>0.65948834281708502</v>
      </c>
      <c r="AR70" s="212">
        <f t="shared" si="124"/>
        <v>0.3610108498073169</v>
      </c>
      <c r="AS70" s="213">
        <f t="shared" si="124"/>
        <v>0.23354625205833218</v>
      </c>
      <c r="AT70" s="328">
        <f t="shared" si="124"/>
        <v>2.6218983904670652</v>
      </c>
      <c r="AU70" s="32"/>
      <c r="AV70" s="24"/>
      <c r="AW70" s="24" t="str">
        <f>AL70</f>
        <v>Total</v>
      </c>
      <c r="AX70" s="22"/>
      <c r="AY70" s="22"/>
      <c r="AZ70" s="211">
        <f>SUM(AZ62:AZ69)</f>
        <v>3.0349442355397799E-3</v>
      </c>
      <c r="BA70" s="212">
        <f t="shared" ref="BA70:BD70" si="125">SUM(BA62:BA69)</f>
        <v>1.1271387013002725E-2</v>
      </c>
      <c r="BB70" s="212">
        <f t="shared" si="125"/>
        <v>1.2701006196800695E-2</v>
      </c>
      <c r="BC70" s="212">
        <f t="shared" si="125"/>
        <v>9.9966823591215864E-3</v>
      </c>
      <c r="BD70" s="213">
        <f t="shared" si="125"/>
        <v>8.6514329955428466E-3</v>
      </c>
      <c r="BE70" s="328">
        <f>SUM(BE62:BE69)</f>
        <v>4.5655452800007629E-2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32"/>
      <c r="AA71" s="537"/>
      <c r="AB71" s="535"/>
      <c r="AC71" s="535"/>
      <c r="AD71" s="536"/>
      <c r="AE71" s="536"/>
      <c r="AF71" s="536"/>
      <c r="AG71" s="536"/>
      <c r="AH71" s="536"/>
      <c r="AI71" s="536"/>
      <c r="AJ71" s="32"/>
      <c r="AK71" s="532"/>
      <c r="AL71" s="532"/>
      <c r="AM71" s="533"/>
      <c r="AN71" s="533"/>
      <c r="AO71" s="534"/>
      <c r="AP71" s="534"/>
      <c r="AQ71" s="534"/>
      <c r="AR71" s="534"/>
      <c r="AS71" s="534"/>
      <c r="AT71" s="534"/>
      <c r="AU71" s="32"/>
      <c r="AV71" s="532"/>
      <c r="AW71" s="532"/>
      <c r="AX71" s="533"/>
      <c r="AY71" s="533"/>
      <c r="AZ71" s="534"/>
      <c r="BA71" s="534"/>
      <c r="BB71" s="534"/>
      <c r="BC71" s="534"/>
      <c r="BD71" s="534"/>
      <c r="BE71" s="534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8" t="s">
        <v>265</v>
      </c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264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264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266</v>
      </c>
      <c r="AA75" s="11"/>
      <c r="AB75" s="304"/>
      <c r="AC75" s="8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4" t="s">
        <v>75</v>
      </c>
      <c r="AJ75" s="32"/>
      <c r="AK75" s="10" t="s">
        <v>251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4" t="s">
        <v>75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4" t="s">
        <v>75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7"/>
      <c r="AA76" s="327"/>
      <c r="AB76" s="212"/>
      <c r="AC76" s="212"/>
      <c r="AD76" s="211">
        <f>AD70+AD55+AD46+AD39+AD31+AD25+AD12</f>
        <v>2.1444541923704863</v>
      </c>
      <c r="AE76" s="212">
        <f t="shared" ref="AE76:AH76" si="126">AE70+AE55+AE46+AE39+AE31+AE25+AE12</f>
        <v>2.6148433706045178</v>
      </c>
      <c r="AF76" s="212">
        <f t="shared" si="126"/>
        <v>2.3777204106259968</v>
      </c>
      <c r="AG76" s="212">
        <f t="shared" si="126"/>
        <v>1.9767234132183638</v>
      </c>
      <c r="AH76" s="212">
        <f t="shared" si="126"/>
        <v>1.8700423557644079</v>
      </c>
      <c r="AI76" s="211">
        <f>SUM(AD76:AH76)</f>
        <v>10.983783742583773</v>
      </c>
      <c r="AJ76" s="32"/>
      <c r="AK76" s="327"/>
      <c r="AL76" s="327"/>
      <c r="AM76" s="327"/>
      <c r="AN76" s="327"/>
      <c r="AO76" s="211">
        <f>AO12+AO25+AO31+AO39+AO46+AO55+AO70</f>
        <v>2.1564704269054555</v>
      </c>
      <c r="AP76" s="212">
        <f>AP12+AP25+AP31+AP39+AP46+AP55+AP70</f>
        <v>2.6416840259012613</v>
      </c>
      <c r="AQ76" s="212">
        <f>AQ12+AQ25+AQ31+AQ39+AQ46+AQ55+AQ70</f>
        <v>2.4159685453630879</v>
      </c>
      <c r="AR76" s="212">
        <f>AR12+AR25+AR31+AR39+AR46+AR55+AR70</f>
        <v>2.0330193633717117</v>
      </c>
      <c r="AS76" s="213">
        <f>AS12+AS25+AS31+AS39+AS46+AS55+AS70</f>
        <v>1.9419806343212203</v>
      </c>
      <c r="AT76" s="211">
        <f>SUM(AO76:AS76)</f>
        <v>11.189122995862737</v>
      </c>
      <c r="AU76" s="32"/>
      <c r="AV76" s="327"/>
      <c r="AW76" s="327"/>
      <c r="AX76" s="327"/>
      <c r="AY76" s="327"/>
      <c r="AZ76" s="211">
        <f>AO76-AD76</f>
        <v>1.201623453496925E-2</v>
      </c>
      <c r="BA76" s="212">
        <f>AP76-AE76</f>
        <v>2.684065529674351E-2</v>
      </c>
      <c r="BB76" s="212">
        <f>AQ76-AF76</f>
        <v>3.82481347370911E-2</v>
      </c>
      <c r="BC76" s="212">
        <f>AR76-AG76</f>
        <v>5.6295950153347984E-2</v>
      </c>
      <c r="BD76" s="213">
        <f>AS76-AH76</f>
        <v>7.1938278556812341E-2</v>
      </c>
      <c r="BE76" s="211">
        <f>SUM(AZ76:BD76)</f>
        <v>0.20533925327896418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9"/>
  <sheetViews>
    <sheetView zoomScaleNormal="100" workbookViewId="0">
      <selection activeCell="B2" sqref="B2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6" width="9.5703125" style="44" bestFit="1" customWidth="1"/>
    <col min="7" max="7" width="8.85546875" style="44" customWidth="1"/>
    <col min="8" max="10" width="9.5703125" style="44" bestFit="1" customWidth="1"/>
    <col min="11" max="11" width="13" style="44" customWidth="1"/>
    <col min="12" max="12" width="49.140625" style="44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18" width="12.42578125" style="44" bestFit="1" customWidth="1"/>
    <col min="19" max="19" width="9.85546875" style="44" bestFit="1" customWidth="1"/>
    <col min="20" max="20" width="10.140625" style="44" customWidth="1"/>
    <col min="21" max="22" width="9.85546875" style="44" bestFit="1" customWidth="1"/>
    <col min="23" max="23" width="12.140625" style="44" customWidth="1"/>
    <col min="24" max="24" width="33.85546875" style="44" customWidth="1"/>
    <col min="25" max="25" width="2.5703125" style="44" customWidth="1"/>
    <col min="26" max="26" width="4.140625" style="44" customWidth="1"/>
    <col min="27" max="27" width="41.85546875" style="44" bestFit="1" customWidth="1"/>
    <col min="28" max="28" width="10.85546875" style="44" bestFit="1" customWidth="1"/>
    <col min="29" max="29" width="9.140625" style="44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" style="44" customWidth="1"/>
    <col min="39" max="40" width="9.140625" style="44"/>
    <col min="41" max="41" width="9.7109375" style="44" customWidth="1"/>
    <col min="42" max="45" width="9.140625" style="44"/>
    <col min="46" max="46" width="10.28515625" style="44" customWidth="1"/>
    <col min="47" max="47" width="3.7109375" style="44" customWidth="1"/>
    <col min="48" max="48" width="3.5703125" style="44" customWidth="1"/>
    <col min="49" max="49" width="32" style="44" bestFit="1" customWidth="1"/>
    <col min="50" max="56" width="9.140625" style="44"/>
    <col min="57" max="57" width="11.1406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64" t="s">
        <v>377</v>
      </c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8" t="s">
        <v>239</v>
      </c>
      <c r="C5" s="318"/>
      <c r="D5" s="319"/>
      <c r="E5" s="319"/>
      <c r="F5" s="319"/>
      <c r="G5" s="319"/>
      <c r="H5" s="319"/>
      <c r="I5" s="319"/>
      <c r="J5" s="319"/>
      <c r="K5" s="319"/>
      <c r="L5" s="319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7" t="s">
        <v>191</v>
      </c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2"/>
      <c r="N7" s="357" t="s">
        <v>187</v>
      </c>
      <c r="O7" s="357"/>
      <c r="P7" s="358"/>
      <c r="Q7" s="358"/>
      <c r="R7" s="358"/>
      <c r="S7" s="358"/>
      <c r="T7" s="358"/>
      <c r="U7" s="358"/>
      <c r="V7" s="358"/>
      <c r="W7" s="358"/>
      <c r="X7" s="358"/>
      <c r="Y7" s="66"/>
      <c r="Z7" s="357" t="s">
        <v>204</v>
      </c>
      <c r="AA7" s="357"/>
      <c r="AB7" s="358"/>
      <c r="AC7" s="358"/>
      <c r="AD7" s="358"/>
      <c r="AE7" s="358"/>
      <c r="AF7" s="358"/>
      <c r="AG7" s="358"/>
      <c r="AH7" s="358"/>
      <c r="AI7" s="358"/>
      <c r="AJ7" s="32"/>
      <c r="AK7" s="357" t="s">
        <v>241</v>
      </c>
      <c r="AL7" s="357"/>
      <c r="AM7" s="358"/>
      <c r="AN7" s="358"/>
      <c r="AO7" s="358"/>
      <c r="AP7" s="358"/>
      <c r="AQ7" s="358"/>
      <c r="AR7" s="358"/>
      <c r="AS7" s="358"/>
      <c r="AT7" s="358"/>
      <c r="AU7" s="66"/>
      <c r="AV7" s="357" t="s">
        <v>252</v>
      </c>
      <c r="AW7" s="357"/>
      <c r="AX7" s="358"/>
      <c r="AY7" s="358"/>
      <c r="AZ7" s="358"/>
      <c r="BA7" s="358"/>
      <c r="BB7" s="358"/>
      <c r="BC7" s="358"/>
      <c r="BD7" s="358"/>
      <c r="BE7" s="358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79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75</v>
      </c>
      <c r="L9" s="30" t="s">
        <v>104</v>
      </c>
      <c r="M9" s="32"/>
      <c r="N9" s="10" t="s">
        <v>180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6"/>
      <c r="AA9" s="359"/>
      <c r="AB9" s="304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6"/>
      <c r="AW9" s="359"/>
      <c r="AX9" s="304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605" t="s">
        <v>414</v>
      </c>
      <c r="G10" s="606" t="s">
        <v>414</v>
      </c>
      <c r="H10" s="606" t="s">
        <v>414</v>
      </c>
      <c r="I10" s="606" t="s">
        <v>414</v>
      </c>
      <c r="J10" s="607" t="s">
        <v>414</v>
      </c>
      <c r="K10" s="14">
        <v>152621</v>
      </c>
      <c r="L10" s="412" t="str">
        <f>'Capex Category Summary (Alb)'!L10</f>
        <v>Attachment 8.3 Meter Replacement Plan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6" t="s">
        <v>414</v>
      </c>
      <c r="S10" s="597" t="s">
        <v>414</v>
      </c>
      <c r="T10" s="597" t="s">
        <v>414</v>
      </c>
      <c r="U10" s="597" t="s">
        <v>414</v>
      </c>
      <c r="V10" s="598" t="s">
        <v>414</v>
      </c>
      <c r="W10" s="62"/>
      <c r="X10" s="412" t="str">
        <f>'Capex Category Summary (Alb)'!X10</f>
        <v>Attachment 8.4 Unit Rates Forecast</v>
      </c>
      <c r="Y10" s="32"/>
      <c r="Z10" s="361" t="str">
        <f>B10</f>
        <v>01</v>
      </c>
      <c r="AA10" s="361" t="str">
        <f>C10</f>
        <v>Meter Replacement - Meters &lt; 25m3</v>
      </c>
      <c r="AB10" s="215"/>
      <c r="AC10" s="216"/>
      <c r="AD10" s="210">
        <v>5.0746028452863357</v>
      </c>
      <c r="AE10" s="210">
        <v>5.0746028452863357</v>
      </c>
      <c r="AF10" s="210">
        <v>5.0746028452863357</v>
      </c>
      <c r="AG10" s="210">
        <v>2.5987397222940811</v>
      </c>
      <c r="AH10" s="56">
        <v>2.5987397222940811</v>
      </c>
      <c r="AI10" s="214">
        <f>SUM(AD10:AH10)</f>
        <v>20.421287980447168</v>
      </c>
      <c r="AJ10" s="32"/>
      <c r="AK10" s="29" t="str">
        <f>N10</f>
        <v>01</v>
      </c>
      <c r="AL10" s="29" t="str">
        <f>O10</f>
        <v>Meter Replacement - Meters &lt; 25m3</v>
      </c>
      <c r="AM10" s="214"/>
      <c r="AN10" s="214"/>
      <c r="AO10" s="209">
        <f>AD10*(1-'Real Cost Escalation'!E$25)</f>
        <v>5.0746028452863357</v>
      </c>
      <c r="AP10" s="210">
        <f>AE10*(1-'Real Cost Escalation'!F$25)</f>
        <v>5.0564103940859848</v>
      </c>
      <c r="AQ10" s="210">
        <f>AF10*(1-'Real Cost Escalation'!G$25)</f>
        <v>5.0563451741484311</v>
      </c>
      <c r="AR10" s="210">
        <f>AG10*(1+'Real Cost Escalation'!H$18)</f>
        <v>2.6727503405168909</v>
      </c>
      <c r="AS10" s="56">
        <f>AH10*(1+'Real Cost Escalation'!I$18)</f>
        <v>2.698710111447447</v>
      </c>
      <c r="AT10" s="214">
        <f>SUM(AO10:AS10)</f>
        <v>20.55881886548509</v>
      </c>
      <c r="AU10" s="66"/>
      <c r="AV10" s="361" t="str">
        <f>Z10</f>
        <v>01</v>
      </c>
      <c r="AW10" s="361" t="str">
        <f>AA10</f>
        <v>Meter Replacement - Meters &lt; 25m3</v>
      </c>
      <c r="AX10" s="215"/>
      <c r="AY10" s="216"/>
      <c r="AZ10" s="210">
        <f t="shared" ref="AZ10:BD11" si="4">AO10-AD10</f>
        <v>0</v>
      </c>
      <c r="BA10" s="210">
        <f t="shared" si="4"/>
        <v>-1.8192451200350845E-2</v>
      </c>
      <c r="BB10" s="210">
        <f t="shared" si="4"/>
        <v>-1.8257671137904552E-2</v>
      </c>
      <c r="BC10" s="210">
        <f t="shared" si="4"/>
        <v>7.4010618222809743E-2</v>
      </c>
      <c r="BD10" s="56">
        <f t="shared" si="4"/>
        <v>9.9970389153365868E-2</v>
      </c>
      <c r="BE10" s="214">
        <f>SUM(AZ10:BD10)</f>
        <v>0.13753088503792021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608" t="s">
        <v>414</v>
      </c>
      <c r="G11" s="609" t="s">
        <v>414</v>
      </c>
      <c r="H11" s="609" t="s">
        <v>414</v>
      </c>
      <c r="I11" s="609" t="s">
        <v>414</v>
      </c>
      <c r="J11" s="613" t="s">
        <v>414</v>
      </c>
      <c r="K11" s="17">
        <v>7055</v>
      </c>
      <c r="L11" s="412" t="str">
        <f>'Capex Category Summary (Alb)'!L11</f>
        <v>Attachment 8.3 Meter Replacement Plan</v>
      </c>
      <c r="M11" s="32"/>
      <c r="N11" s="362" t="str">
        <f>B11</f>
        <v>02</v>
      </c>
      <c r="O11" s="362" t="str">
        <f>C11</f>
        <v>Meter Replacement - Meters &gt; 25m3</v>
      </c>
      <c r="P11" s="512"/>
      <c r="Q11" s="512"/>
      <c r="R11" s="599" t="s">
        <v>414</v>
      </c>
      <c r="S11" s="600" t="s">
        <v>414</v>
      </c>
      <c r="T11" s="600" t="s">
        <v>414</v>
      </c>
      <c r="U11" s="600" t="s">
        <v>414</v>
      </c>
      <c r="V11" s="601" t="s">
        <v>414</v>
      </c>
      <c r="W11" s="512"/>
      <c r="X11" s="514" t="str">
        <f>'Capex Category Summary (Alb)'!X11</f>
        <v>Attachment 8.4 Unit Rates Forecast</v>
      </c>
      <c r="Y11" s="32"/>
      <c r="Z11" s="362" t="str">
        <f>B11</f>
        <v>02</v>
      </c>
      <c r="AA11" s="362" t="str">
        <f>C11</f>
        <v>Meter Replacement - Meters &gt; 25m3</v>
      </c>
      <c r="AB11" s="218"/>
      <c r="AC11" s="219"/>
      <c r="AD11" s="210">
        <v>2.4223740593614975</v>
      </c>
      <c r="AE11" s="210">
        <v>2.4223740593614975</v>
      </c>
      <c r="AF11" s="210">
        <v>2.4223740593614975</v>
      </c>
      <c r="AG11" s="210">
        <v>2.4223740593614975</v>
      </c>
      <c r="AH11" s="56">
        <v>2.4223740593614975</v>
      </c>
      <c r="AI11" s="214">
        <f>SUM(AD11:AH11)</f>
        <v>12.111870296807489</v>
      </c>
      <c r="AJ11" s="32"/>
      <c r="AK11" s="29" t="str">
        <f>N11</f>
        <v>02</v>
      </c>
      <c r="AL11" s="29" t="str">
        <f>O11</f>
        <v>Meter Replacement - Meters &gt; 25m3</v>
      </c>
      <c r="AM11" s="214"/>
      <c r="AN11" s="214"/>
      <c r="AO11" s="209">
        <f>AD11*(1+'Real Cost Escalation'!E$18)</f>
        <v>2.4386812895721808</v>
      </c>
      <c r="AP11" s="210">
        <f>AE11*(1+'Real Cost Escalation'!F$18)</f>
        <v>2.4526199648108569</v>
      </c>
      <c r="AQ11" s="210">
        <f>AF11*(1+'Real Cost Escalation'!G$18)</f>
        <v>2.4699423808126983</v>
      </c>
      <c r="AR11" s="210">
        <f>AG11*(1+'Real Cost Escalation'!H$18)</f>
        <v>2.4913618845608512</v>
      </c>
      <c r="AS11" s="56">
        <f>AH11*(1+'Real Cost Escalation'!I$18)</f>
        <v>2.5155598737437135</v>
      </c>
      <c r="AT11" s="214">
        <f>SUM(AO11:AS11)</f>
        <v>12.3681653935003</v>
      </c>
      <c r="AU11" s="66"/>
      <c r="AV11" s="362" t="str">
        <f>Z11</f>
        <v>02</v>
      </c>
      <c r="AW11" s="362" t="str">
        <f>AA11</f>
        <v>Meter Replacement - Meters &gt; 25m3</v>
      </c>
      <c r="AX11" s="218"/>
      <c r="AY11" s="219"/>
      <c r="AZ11" s="210">
        <f t="shared" si="4"/>
        <v>1.6307230210683255E-2</v>
      </c>
      <c r="BA11" s="210">
        <f t="shared" si="4"/>
        <v>3.0245905449359345E-2</v>
      </c>
      <c r="BB11" s="210">
        <f t="shared" si="4"/>
        <v>4.7568321451200823E-2</v>
      </c>
      <c r="BC11" s="210">
        <f t="shared" si="4"/>
        <v>6.8987825199353647E-2</v>
      </c>
      <c r="BD11" s="56">
        <f t="shared" si="4"/>
        <v>9.3185814382215959E-2</v>
      </c>
      <c r="BE11" s="214">
        <f>SUM(AZ11:BD11)</f>
        <v>0.25629509669281303</v>
      </c>
      <c r="BF11" s="32"/>
    </row>
    <row r="12" spans="1:58" s="67" customFormat="1" ht="18" customHeight="1" thickBot="1" x14ac:dyDescent="0.25">
      <c r="A12" s="66"/>
      <c r="B12" s="24"/>
      <c r="C12" s="24" t="s">
        <v>78</v>
      </c>
      <c r="D12" s="22"/>
      <c r="E12" s="22"/>
      <c r="F12" s="26">
        <v>39336.666666666664</v>
      </c>
      <c r="G12" s="27">
        <v>39336.666666666664</v>
      </c>
      <c r="H12" s="27">
        <v>39336.666666666664</v>
      </c>
      <c r="I12" s="27">
        <v>20833</v>
      </c>
      <c r="J12" s="28">
        <v>20833</v>
      </c>
      <c r="K12" s="27">
        <v>159676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60"/>
      <c r="AA12" s="360" t="s">
        <v>78</v>
      </c>
      <c r="AB12" s="328"/>
      <c r="AC12" s="328"/>
      <c r="AD12" s="211">
        <f>SUM(AD10:AD11)</f>
        <v>7.4969769046478332</v>
      </c>
      <c r="AE12" s="212">
        <f t="shared" ref="AE12:AI12" si="5">SUM(AE10:AE11)</f>
        <v>7.4969769046478332</v>
      </c>
      <c r="AF12" s="212">
        <f t="shared" si="5"/>
        <v>7.4969769046478332</v>
      </c>
      <c r="AG12" s="212">
        <f t="shared" si="5"/>
        <v>5.0211137816555791</v>
      </c>
      <c r="AH12" s="213">
        <f t="shared" si="5"/>
        <v>5.0211137816555791</v>
      </c>
      <c r="AI12" s="212">
        <f t="shared" si="5"/>
        <v>32.533158277254657</v>
      </c>
      <c r="AJ12" s="32"/>
      <c r="AK12" s="24"/>
      <c r="AL12" s="24" t="s">
        <v>78</v>
      </c>
      <c r="AM12" s="212"/>
      <c r="AN12" s="212"/>
      <c r="AO12" s="211">
        <f>SUM(AO10:AO11)</f>
        <v>7.513284134858516</v>
      </c>
      <c r="AP12" s="212">
        <f t="shared" ref="AP12:AT12" si="6">SUM(AP10:AP11)</f>
        <v>7.5090303588968421</v>
      </c>
      <c r="AQ12" s="212">
        <f t="shared" si="6"/>
        <v>7.5262875549611294</v>
      </c>
      <c r="AR12" s="212">
        <f t="shared" si="6"/>
        <v>5.1641122250777425</v>
      </c>
      <c r="AS12" s="213">
        <f t="shared" si="6"/>
        <v>5.2142699851911605</v>
      </c>
      <c r="AT12" s="212">
        <f t="shared" si="6"/>
        <v>32.926984258985392</v>
      </c>
      <c r="AU12" s="66"/>
      <c r="AV12" s="360"/>
      <c r="AW12" s="360" t="s">
        <v>78</v>
      </c>
      <c r="AX12" s="328"/>
      <c r="AY12" s="328"/>
      <c r="AZ12" s="211">
        <f>SUM(AZ10:AZ11)</f>
        <v>1.6307230210683255E-2</v>
      </c>
      <c r="BA12" s="212">
        <f t="shared" ref="BA12:BE12" si="7">SUM(BA10:BA11)</f>
        <v>1.2053454249008499E-2</v>
      </c>
      <c r="BB12" s="212">
        <f t="shared" si="7"/>
        <v>2.9310650313296271E-2</v>
      </c>
      <c r="BC12" s="212">
        <f t="shared" si="7"/>
        <v>0.14299844342216339</v>
      </c>
      <c r="BD12" s="213">
        <f t="shared" si="7"/>
        <v>0.19315620353558183</v>
      </c>
      <c r="BE12" s="212">
        <f t="shared" si="7"/>
        <v>0.39382598173073324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9"/>
      <c r="Q13" s="589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340"/>
      <c r="AC13" s="340"/>
      <c r="AD13" s="66"/>
      <c r="AE13" s="66"/>
      <c r="AF13" s="66"/>
      <c r="AG13" s="66"/>
      <c r="AH13" s="66"/>
      <c r="AI13" s="66"/>
      <c r="AJ13" s="32"/>
      <c r="AK13" s="66"/>
      <c r="AL13" s="66"/>
      <c r="AM13" s="584"/>
      <c r="AN13" s="584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7" t="s">
        <v>179</v>
      </c>
      <c r="C14" s="357"/>
      <c r="D14" s="358"/>
      <c r="E14" s="358"/>
      <c r="F14" s="358"/>
      <c r="G14" s="358"/>
      <c r="H14" s="358"/>
      <c r="I14" s="358"/>
      <c r="J14" s="358"/>
      <c r="K14" s="358"/>
      <c r="L14" s="358"/>
      <c r="M14" s="32"/>
      <c r="N14" s="357" t="s">
        <v>185</v>
      </c>
      <c r="O14" s="357"/>
      <c r="P14" s="358"/>
      <c r="Q14" s="358"/>
      <c r="R14" s="358"/>
      <c r="S14" s="358"/>
      <c r="T14" s="358"/>
      <c r="U14" s="358"/>
      <c r="V14" s="358"/>
      <c r="W14" s="358"/>
      <c r="X14" s="358"/>
      <c r="Y14" s="70"/>
      <c r="Z14" s="357" t="s">
        <v>202</v>
      </c>
      <c r="AA14" s="357"/>
      <c r="AB14" s="358"/>
      <c r="AC14" s="358"/>
      <c r="AD14" s="358"/>
      <c r="AE14" s="358"/>
      <c r="AF14" s="358"/>
      <c r="AG14" s="358"/>
      <c r="AH14" s="358"/>
      <c r="AI14" s="358"/>
      <c r="AJ14" s="32"/>
      <c r="AK14" s="357" t="s">
        <v>317</v>
      </c>
      <c r="AL14" s="357"/>
      <c r="AM14" s="358"/>
      <c r="AN14" s="358"/>
      <c r="AO14" s="358"/>
      <c r="AP14" s="358"/>
      <c r="AQ14" s="358"/>
      <c r="AR14" s="358"/>
      <c r="AS14" s="358"/>
      <c r="AT14" s="358"/>
      <c r="AU14" s="66"/>
      <c r="AV14" s="357" t="s">
        <v>258</v>
      </c>
      <c r="AW14" s="357"/>
      <c r="AX14" s="358"/>
      <c r="AY14" s="358"/>
      <c r="AZ14" s="358"/>
      <c r="BA14" s="358"/>
      <c r="BB14" s="358"/>
      <c r="BC14" s="358"/>
      <c r="BD14" s="358"/>
      <c r="BE14" s="358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175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75</v>
      </c>
      <c r="L16" s="30" t="s">
        <v>104</v>
      </c>
      <c r="M16" s="32"/>
      <c r="N16" s="10" t="s">
        <v>177</v>
      </c>
      <c r="O16" s="11"/>
      <c r="P16" s="3"/>
      <c r="Q16" s="3"/>
      <c r="R16" s="30">
        <f t="shared" ref="R16:X16" si="8">F16</f>
        <v>2018</v>
      </c>
      <c r="S16" s="3">
        <f t="shared" si="8"/>
        <v>2019</v>
      </c>
      <c r="T16" s="3">
        <f t="shared" si="8"/>
        <v>2020</v>
      </c>
      <c r="U16" s="3">
        <f t="shared" si="8"/>
        <v>2021</v>
      </c>
      <c r="V16" s="31">
        <f t="shared" si="8"/>
        <v>2022</v>
      </c>
      <c r="W16" s="3" t="str">
        <f t="shared" si="8"/>
        <v>Total for 
2018-2022</v>
      </c>
      <c r="X16" s="30" t="str">
        <f t="shared" si="8"/>
        <v>Source</v>
      </c>
      <c r="Y16" s="66"/>
      <c r="Z16" s="10"/>
      <c r="AA16" s="11"/>
      <c r="AB16" s="3"/>
      <c r="AC16" s="4"/>
      <c r="AD16" s="5">
        <f t="shared" ref="AD16:AI16" si="9">R16</f>
        <v>2018</v>
      </c>
      <c r="AE16" s="4">
        <f t="shared" si="9"/>
        <v>2019</v>
      </c>
      <c r="AF16" s="4">
        <f t="shared" si="9"/>
        <v>2020</v>
      </c>
      <c r="AG16" s="4">
        <f t="shared" si="9"/>
        <v>2021</v>
      </c>
      <c r="AH16" s="6">
        <f t="shared" si="9"/>
        <v>2022</v>
      </c>
      <c r="AI16" s="3" t="str">
        <f t="shared" si="9"/>
        <v>Total for 
2018-2022</v>
      </c>
      <c r="AJ16" s="32"/>
      <c r="AK16" s="10"/>
      <c r="AL16" s="11"/>
      <c r="AM16" s="304"/>
      <c r="AN16" s="4"/>
      <c r="AO16" s="5">
        <f t="shared" ref="AO16:AT16" si="10">AD16</f>
        <v>2018</v>
      </c>
      <c r="AP16" s="4">
        <f t="shared" si="10"/>
        <v>2019</v>
      </c>
      <c r="AQ16" s="4">
        <f t="shared" si="10"/>
        <v>2020</v>
      </c>
      <c r="AR16" s="4">
        <f t="shared" si="10"/>
        <v>2021</v>
      </c>
      <c r="AS16" s="6">
        <f t="shared" si="10"/>
        <v>2022</v>
      </c>
      <c r="AT16" s="3" t="str">
        <f t="shared" si="10"/>
        <v>Total for 
2018-2022</v>
      </c>
      <c r="AU16" s="66"/>
      <c r="AV16" s="10"/>
      <c r="AW16" s="11"/>
      <c r="AX16" s="3"/>
      <c r="AY16" s="4"/>
      <c r="AZ16" s="5">
        <f t="shared" ref="AZ16:BE16" si="11">AO16</f>
        <v>2018</v>
      </c>
      <c r="BA16" s="4">
        <f t="shared" si="11"/>
        <v>2019</v>
      </c>
      <c r="BB16" s="4">
        <f t="shared" si="11"/>
        <v>2020</v>
      </c>
      <c r="BC16" s="4">
        <f t="shared" si="11"/>
        <v>2021</v>
      </c>
      <c r="BD16" s="6">
        <f t="shared" si="11"/>
        <v>2022</v>
      </c>
      <c r="BE16" s="3" t="str">
        <f t="shared" si="11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605" t="s">
        <v>414</v>
      </c>
      <c r="G17" s="606" t="s">
        <v>414</v>
      </c>
      <c r="H17" s="606" t="s">
        <v>414</v>
      </c>
      <c r="I17" s="606" t="s">
        <v>414</v>
      </c>
      <c r="J17" s="607" t="s">
        <v>414</v>
      </c>
      <c r="K17" s="15">
        <v>10200</v>
      </c>
      <c r="L17" s="412" t="str">
        <f>'Capex Category Summary (Alb)'!L17</f>
        <v>Attachment 8.2 Distribution Mains and Services Integrity Plan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96" t="s">
        <v>414</v>
      </c>
      <c r="S17" s="597" t="s">
        <v>414</v>
      </c>
      <c r="T17" s="597" t="s">
        <v>414</v>
      </c>
      <c r="U17" s="597" t="s">
        <v>414</v>
      </c>
      <c r="V17" s="598" t="s">
        <v>414</v>
      </c>
      <c r="W17" s="41"/>
      <c r="X17" s="412" t="str">
        <f>'Capex Category Summary (Alb)'!X17</f>
        <v>Attachment 8.4 Unit Rates Forecast</v>
      </c>
      <c r="Y17" s="66"/>
      <c r="Z17" s="29" t="str">
        <f t="shared" ref="Z17:AA23" si="12">B17</f>
        <v>03</v>
      </c>
      <c r="AA17" s="29" t="str">
        <f t="shared" si="12"/>
        <v>Mains Replacement - General Trunk Replacement</v>
      </c>
      <c r="AB17" s="214"/>
      <c r="AC17" s="214"/>
      <c r="AD17" s="209">
        <v>2.08</v>
      </c>
      <c r="AE17" s="210">
        <v>2.08</v>
      </c>
      <c r="AF17" s="210">
        <v>2.08</v>
      </c>
      <c r="AG17" s="210">
        <v>1.6</v>
      </c>
      <c r="AH17" s="56">
        <v>0.32</v>
      </c>
      <c r="AI17" s="214">
        <f>SUM(AD17:AH17)</f>
        <v>8.16</v>
      </c>
      <c r="AJ17" s="32"/>
      <c r="AK17" s="29" t="str">
        <f t="shared" ref="AK17:AL23" si="13">N17</f>
        <v>03</v>
      </c>
      <c r="AL17" s="29" t="str">
        <f t="shared" si="13"/>
        <v>Mains Replacement - General Trunk Replacement</v>
      </c>
      <c r="AM17" s="62"/>
      <c r="AN17" s="210"/>
      <c r="AO17" s="209">
        <f>AD17*(1+'Real Cost Escalation'!E$18)</f>
        <v>2.0940023951739155</v>
      </c>
      <c r="AP17" s="210">
        <f>AE17*(1+'Real Cost Escalation'!F$18)</f>
        <v>2.1059710027406955</v>
      </c>
      <c r="AQ17" s="210">
        <f>AF17*(1+'Real Cost Escalation'!G$18)</f>
        <v>2.12084509914401</v>
      </c>
      <c r="AR17" s="210">
        <f>AG17*(1+'Real Cost Escalation'!H$18)</f>
        <v>1.6455670832059939</v>
      </c>
      <c r="AS17" s="56">
        <f>AH17*(1+'Real Cost Escalation'!I$18)</f>
        <v>0.33231001483320421</v>
      </c>
      <c r="AT17" s="214">
        <f>SUM(AO17:AS17)</f>
        <v>8.2986955950978185</v>
      </c>
      <c r="AU17" s="66"/>
      <c r="AV17" s="29" t="str">
        <f t="shared" ref="AV17:AV23" si="14">Z17</f>
        <v>03</v>
      </c>
      <c r="AW17" s="29" t="str">
        <f t="shared" ref="AW17:AW23" si="15">AA17</f>
        <v>Mains Replacement - General Trunk Replacement</v>
      </c>
      <c r="AX17" s="214"/>
      <c r="AY17" s="214"/>
      <c r="AZ17" s="209">
        <f t="shared" ref="AZ17:AZ23" si="16">AO17-AD17</f>
        <v>1.4002395173915438E-2</v>
      </c>
      <c r="BA17" s="210">
        <f t="shared" ref="BA17:BA23" si="17">AP17-AE17</f>
        <v>2.5971002740695415E-2</v>
      </c>
      <c r="BB17" s="210">
        <f t="shared" ref="BB17:BB23" si="18">AQ17-AF17</f>
        <v>4.0845099144009911E-2</v>
      </c>
      <c r="BC17" s="210">
        <f t="shared" ref="BC17:BC23" si="19">AR17-AG17</f>
        <v>4.5567083205993786E-2</v>
      </c>
      <c r="BD17" s="56">
        <f t="shared" ref="BD17:BD23" si="20">AS17-AH17</f>
        <v>1.2310014833204208E-2</v>
      </c>
      <c r="BE17" s="214">
        <f>SUM(AZ17:BD17)</f>
        <v>0.13869559509781876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608" t="s">
        <v>414</v>
      </c>
      <c r="G18" s="609" t="s">
        <v>414</v>
      </c>
      <c r="H18" s="609" t="s">
        <v>414</v>
      </c>
      <c r="I18" s="609" t="s">
        <v>414</v>
      </c>
      <c r="J18" s="609" t="s">
        <v>414</v>
      </c>
      <c r="K18" s="16">
        <v>32400</v>
      </c>
      <c r="L18" s="412" t="str">
        <f>'Capex Category Summary (Alb)'!L18</f>
        <v>Attachment 8.2 Distribution Mains and Services Integrity Plan</v>
      </c>
      <c r="M18" s="32"/>
      <c r="N18" s="29" t="str">
        <f t="shared" ref="N18:O23" si="21">B18</f>
        <v>04</v>
      </c>
      <c r="O18" s="29" t="str">
        <f t="shared" si="21"/>
        <v>Mains Replacement - Decommissioned Trunk Replacement</v>
      </c>
      <c r="P18" s="41"/>
      <c r="Q18" s="41"/>
      <c r="R18" s="596" t="s">
        <v>414</v>
      </c>
      <c r="S18" s="597" t="s">
        <v>414</v>
      </c>
      <c r="T18" s="597" t="s">
        <v>414</v>
      </c>
      <c r="U18" s="597" t="s">
        <v>414</v>
      </c>
      <c r="V18" s="598" t="s">
        <v>414</v>
      </c>
      <c r="W18" s="41"/>
      <c r="X18" s="412" t="str">
        <f>'Capex Category Summary (Alb)'!X18</f>
        <v>Attachment 8.4 Unit Rates Forecast</v>
      </c>
      <c r="Y18" s="66"/>
      <c r="Z18" s="29" t="str">
        <f t="shared" si="12"/>
        <v>04</v>
      </c>
      <c r="AA18" s="29" t="str">
        <f t="shared" si="12"/>
        <v>Mains Replacement - Decommissioned Trunk Replacement</v>
      </c>
      <c r="AB18" s="214"/>
      <c r="AC18" s="214"/>
      <c r="AD18" s="209">
        <v>1.2474000000000001</v>
      </c>
      <c r="AE18" s="210">
        <v>1.2474000000000001</v>
      </c>
      <c r="AF18" s="210">
        <v>1.2474000000000001</v>
      </c>
      <c r="AG18" s="210">
        <v>1.2474000000000001</v>
      </c>
      <c r="AH18" s="56">
        <v>0</v>
      </c>
      <c r="AI18" s="214">
        <f t="shared" ref="AI18:AI23" si="22">SUM(AD18:AH18)</f>
        <v>4.9896000000000003</v>
      </c>
      <c r="AJ18" s="32"/>
      <c r="AK18" s="29" t="str">
        <f t="shared" si="13"/>
        <v>04</v>
      </c>
      <c r="AL18" s="29" t="str">
        <f t="shared" si="13"/>
        <v>Mains Replacement - Decommissioned Trunk Replacement</v>
      </c>
      <c r="AM18" s="214"/>
      <c r="AN18" s="214"/>
      <c r="AO18" s="209">
        <f>AD18*(1+'Real Cost Escalation'!E$18)</f>
        <v>1.2557973979518953</v>
      </c>
      <c r="AP18" s="210">
        <f>AE18*(1+'Real Cost Escalation'!F$18)</f>
        <v>1.2629751100090114</v>
      </c>
      <c r="AQ18" s="210">
        <f>AF18*(1+'Real Cost Escalation'!G$18)</f>
        <v>1.2718952772462682</v>
      </c>
      <c r="AR18" s="210">
        <f>AG18*(1+'Real Cost Escalation'!H$18)</f>
        <v>1.2829252372444728</v>
      </c>
      <c r="AS18" s="56">
        <f>AH18*(1+'Real Cost Escalation'!I$18)</f>
        <v>0</v>
      </c>
      <c r="AT18" s="214">
        <f t="shared" ref="AT18:AT23" si="23">SUM(AO18:AS18)</f>
        <v>5.0735930224516474</v>
      </c>
      <c r="AU18" s="66"/>
      <c r="AV18" s="29" t="str">
        <f t="shared" si="14"/>
        <v>04</v>
      </c>
      <c r="AW18" s="29" t="str">
        <f t="shared" si="15"/>
        <v>Mains Replacement - Decommissioned Trunk Replacement</v>
      </c>
      <c r="AX18" s="214"/>
      <c r="AY18" s="214"/>
      <c r="AZ18" s="209">
        <f t="shared" si="16"/>
        <v>8.3973979518952024E-3</v>
      </c>
      <c r="BA18" s="210">
        <f t="shared" si="17"/>
        <v>1.557511000901135E-2</v>
      </c>
      <c r="BB18" s="210">
        <f t="shared" si="18"/>
        <v>2.4495277246268099E-2</v>
      </c>
      <c r="BC18" s="210">
        <f t="shared" si="19"/>
        <v>3.5525237244472763E-2</v>
      </c>
      <c r="BD18" s="56">
        <f t="shared" si="20"/>
        <v>0</v>
      </c>
      <c r="BE18" s="214">
        <f t="shared" ref="BE18:BE23" si="24">SUM(AZ18:BD18)</f>
        <v>8.3993022451647414E-2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608" t="s">
        <v>414</v>
      </c>
      <c r="G19" s="609" t="s">
        <v>414</v>
      </c>
      <c r="H19" s="609" t="s">
        <v>414</v>
      </c>
      <c r="I19" s="609" t="s">
        <v>414</v>
      </c>
      <c r="J19" s="609" t="s">
        <v>414</v>
      </c>
      <c r="K19" s="16">
        <v>2000</v>
      </c>
      <c r="L19" s="412" t="str">
        <f>'Capex Category Summary (Alb)'!L19</f>
        <v>Attachment 8.2 Distribution Mains and Services Integrity Plan</v>
      </c>
      <c r="M19" s="32"/>
      <c r="N19" s="29" t="str">
        <f t="shared" si="21"/>
        <v>05</v>
      </c>
      <c r="O19" s="29" t="str">
        <f t="shared" si="21"/>
        <v>Mains Replacement - Piecemeal Replacement</v>
      </c>
      <c r="P19" s="43"/>
      <c r="Q19" s="43"/>
      <c r="R19" s="596" t="s">
        <v>414</v>
      </c>
      <c r="S19" s="597" t="s">
        <v>414</v>
      </c>
      <c r="T19" s="597" t="s">
        <v>414</v>
      </c>
      <c r="U19" s="597" t="s">
        <v>414</v>
      </c>
      <c r="V19" s="598" t="s">
        <v>414</v>
      </c>
      <c r="W19" s="41"/>
      <c r="X19" s="412" t="str">
        <f>'Capex Category Summary (Alb)'!X19</f>
        <v>Attachment 8.4 Unit Rates Forecast</v>
      </c>
      <c r="Y19" s="66"/>
      <c r="Z19" s="29" t="str">
        <f t="shared" si="12"/>
        <v>05</v>
      </c>
      <c r="AA19" s="29" t="str">
        <f t="shared" si="12"/>
        <v>Mains Replacement - Piecemeal Replacement</v>
      </c>
      <c r="AB19" s="214"/>
      <c r="AC19" s="214"/>
      <c r="AD19" s="209">
        <v>0.27443504825373616</v>
      </c>
      <c r="AE19" s="210">
        <v>0.27443504825373616</v>
      </c>
      <c r="AF19" s="210">
        <v>0.27443504825373616</v>
      </c>
      <c r="AG19" s="210">
        <v>0.27443504825373616</v>
      </c>
      <c r="AH19" s="56">
        <v>0</v>
      </c>
      <c r="AI19" s="214">
        <f t="shared" si="22"/>
        <v>1.0977401930149446</v>
      </c>
      <c r="AJ19" s="32"/>
      <c r="AK19" s="29" t="str">
        <f t="shared" si="13"/>
        <v>05</v>
      </c>
      <c r="AL19" s="29" t="str">
        <f t="shared" si="13"/>
        <v>Mains Replacement - Piecemeal Replacement</v>
      </c>
      <c r="AM19" s="214"/>
      <c r="AN19" s="214"/>
      <c r="AO19" s="209">
        <f>AD19*(1-'Real Cost Escalation'!E$25)</f>
        <v>0.27443504825373616</v>
      </c>
      <c r="AP19" s="210">
        <f>AE19*(1-'Real Cost Escalation'!F$25)</f>
        <v>0.27345119860574651</v>
      </c>
      <c r="AQ19" s="210">
        <f>AF19*(1-'Real Cost Escalation'!G$25)</f>
        <v>0.27344767150475846</v>
      </c>
      <c r="AR19" s="210">
        <f>AG19*(1+'Real Cost Escalation'!H$18)</f>
        <v>0.28225080117774798</v>
      </c>
      <c r="AS19" s="56">
        <f>AH19*(1+'Real Cost Escalation'!I$18)</f>
        <v>0</v>
      </c>
      <c r="AT19" s="214">
        <f>SUM(AO19:AS19)</f>
        <v>1.1035847195419892</v>
      </c>
      <c r="AU19" s="66"/>
      <c r="AV19" s="29" t="str">
        <f t="shared" si="14"/>
        <v>05</v>
      </c>
      <c r="AW19" s="29" t="str">
        <f t="shared" si="15"/>
        <v>Mains Replacement - Piecemeal Replacement</v>
      </c>
      <c r="AX19" s="214"/>
      <c r="AY19" s="214"/>
      <c r="AZ19" s="209">
        <f t="shared" si="16"/>
        <v>0</v>
      </c>
      <c r="BA19" s="210">
        <f t="shared" si="17"/>
        <v>-9.8384964798964303E-4</v>
      </c>
      <c r="BB19" s="210">
        <f t="shared" si="18"/>
        <v>-9.8737674897769745E-4</v>
      </c>
      <c r="BC19" s="210">
        <f t="shared" si="19"/>
        <v>7.8157529240118206E-3</v>
      </c>
      <c r="BD19" s="56">
        <f t="shared" si="20"/>
        <v>0</v>
      </c>
      <c r="BE19" s="214">
        <f t="shared" si="24"/>
        <v>5.8445265270444802E-3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608" t="s">
        <v>414</v>
      </c>
      <c r="G20" s="609" t="s">
        <v>414</v>
      </c>
      <c r="H20" s="609" t="s">
        <v>414</v>
      </c>
      <c r="I20" s="609" t="s">
        <v>414</v>
      </c>
      <c r="J20" s="609" t="s">
        <v>414</v>
      </c>
      <c r="K20" s="16">
        <v>10000</v>
      </c>
      <c r="L20" s="412" t="str">
        <f>'Capex Category Summary (Alb)'!L20</f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96" t="s">
        <v>414</v>
      </c>
      <c r="S20" s="597" t="s">
        <v>414</v>
      </c>
      <c r="T20" s="597" t="s">
        <v>414</v>
      </c>
      <c r="U20" s="597" t="s">
        <v>414</v>
      </c>
      <c r="V20" s="598" t="s">
        <v>414</v>
      </c>
      <c r="W20" s="41"/>
      <c r="X20" s="412" t="str">
        <f>'Capex Category Summary (Alb)'!X20</f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4"/>
      <c r="AC20" s="214"/>
      <c r="AD20" s="209">
        <v>1.0977401930149446</v>
      </c>
      <c r="AE20" s="210">
        <v>1.0977401930149446</v>
      </c>
      <c r="AF20" s="210">
        <v>1.0977401930149446</v>
      </c>
      <c r="AG20" s="210">
        <v>1.0977401930149446</v>
      </c>
      <c r="AH20" s="56">
        <v>1.0977401930149446</v>
      </c>
      <c r="AI20" s="214">
        <f>SUM(AD20:AH20)</f>
        <v>5.4887009650747229</v>
      </c>
      <c r="AJ20" s="32"/>
      <c r="AK20" s="29" t="str">
        <f>N20</f>
        <v>06</v>
      </c>
      <c r="AL20" s="29" t="str">
        <f>O20</f>
        <v>Mains Replacement - HDPE Replacement</v>
      </c>
      <c r="AM20" s="214"/>
      <c r="AN20" s="214"/>
      <c r="AO20" s="209">
        <f>AD20*(1-'Real Cost Escalation'!E$25)</f>
        <v>1.0977401930149446</v>
      </c>
      <c r="AP20" s="210">
        <f>AE20*(1-'Real Cost Escalation'!F$25)</f>
        <v>1.0938047944229861</v>
      </c>
      <c r="AQ20" s="210">
        <f>AF20*(1-'Real Cost Escalation'!G$25)</f>
        <v>1.0937906860190338</v>
      </c>
      <c r="AR20" s="210">
        <f>AG20*(1+'Real Cost Escalation'!H$18)</f>
        <v>1.1290032047109919</v>
      </c>
      <c r="AS20" s="56">
        <f>AH20*(1+'Real Cost Escalation'!I$18)</f>
        <v>1.1399689369493771</v>
      </c>
      <c r="AT20" s="214">
        <f>SUM(AO20:AS20)</f>
        <v>5.5543078151173342</v>
      </c>
      <c r="AU20" s="66"/>
      <c r="AV20" s="29" t="str">
        <f>Z20</f>
        <v>06</v>
      </c>
      <c r="AW20" s="29" t="str">
        <f>AA20</f>
        <v>Mains Replacement - HDPE Replacement</v>
      </c>
      <c r="AX20" s="214"/>
      <c r="AY20" s="214"/>
      <c r="AZ20" s="209">
        <f>AO20-AD20</f>
        <v>0</v>
      </c>
      <c r="BA20" s="210">
        <f>AP20-AE20</f>
        <v>-3.9353985919585721E-3</v>
      </c>
      <c r="BB20" s="210">
        <f>AQ20-AF20</f>
        <v>-3.9495069959107898E-3</v>
      </c>
      <c r="BC20" s="210">
        <f>AR20-AG20</f>
        <v>3.1263011696047283E-2</v>
      </c>
      <c r="BD20" s="56">
        <f>AS20-AH20</f>
        <v>4.2228743934432433E-2</v>
      </c>
      <c r="BE20" s="214">
        <f>SUM(AZ20:BD20)</f>
        <v>6.5606850042610354E-2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608" t="s">
        <v>414</v>
      </c>
      <c r="G21" s="609" t="s">
        <v>414</v>
      </c>
      <c r="H21" s="609" t="s">
        <v>414</v>
      </c>
      <c r="I21" s="609" t="s">
        <v>414</v>
      </c>
      <c r="J21" s="609" t="s">
        <v>414</v>
      </c>
      <c r="K21" s="16">
        <v>178458</v>
      </c>
      <c r="L21" s="412" t="str">
        <f>'Capex Category Summary (Alb)'!L21</f>
        <v>Attachment 8.2 Distribution Mains and Services Integrity Plan</v>
      </c>
      <c r="M21" s="32"/>
      <c r="N21" s="29" t="str">
        <f t="shared" si="21"/>
        <v>07</v>
      </c>
      <c r="O21" s="29" t="str">
        <f t="shared" si="21"/>
        <v>Mains Replacement - HDICS Block Replacement</v>
      </c>
      <c r="P21" s="41"/>
      <c r="Q21" s="41"/>
      <c r="R21" s="596" t="s">
        <v>414</v>
      </c>
      <c r="S21" s="597" t="s">
        <v>414</v>
      </c>
      <c r="T21" s="597" t="s">
        <v>414</v>
      </c>
      <c r="U21" s="597" t="s">
        <v>414</v>
      </c>
      <c r="V21" s="598" t="s">
        <v>414</v>
      </c>
      <c r="W21" s="41"/>
      <c r="X21" s="412" t="str">
        <f>'Capex Category Summary (Alb)'!X21</f>
        <v>Attachment 8.4 Unit Rates Forecast</v>
      </c>
      <c r="Y21" s="66"/>
      <c r="Z21" s="29" t="str">
        <f t="shared" si="12"/>
        <v>07</v>
      </c>
      <c r="AA21" s="29" t="str">
        <f t="shared" si="12"/>
        <v>Mains Replacement - HDICS Block Replacement</v>
      </c>
      <c r="AB21" s="214"/>
      <c r="AC21" s="214"/>
      <c r="AD21" s="209">
        <v>19.935182651178454</v>
      </c>
      <c r="AE21" s="210">
        <v>19.935182651178454</v>
      </c>
      <c r="AF21" s="210">
        <v>19.935182651178454</v>
      </c>
      <c r="AG21" s="210">
        <v>19.935182651178454</v>
      </c>
      <c r="AH21" s="56">
        <v>0</v>
      </c>
      <c r="AI21" s="214">
        <f t="shared" si="22"/>
        <v>79.740730604713818</v>
      </c>
      <c r="AJ21" s="32"/>
      <c r="AK21" s="29" t="str">
        <f t="shared" si="13"/>
        <v>07</v>
      </c>
      <c r="AL21" s="29" t="str">
        <f t="shared" si="13"/>
        <v>Mains Replacement - HDICS Block Replacement</v>
      </c>
      <c r="AM21" s="214"/>
      <c r="AN21" s="214"/>
      <c r="AO21" s="209">
        <f>AD21*(1+'Real Cost Escalation'!E$18)</f>
        <v>20.069384721056331</v>
      </c>
      <c r="AP21" s="210">
        <f>AE21*(1+'Real Cost Escalation'!F$18)</f>
        <v>20.184094518135197</v>
      </c>
      <c r="AQ21" s="210">
        <f>AF21*(1+'Real Cost Escalation'!G$18)</f>
        <v>20.326651166486783</v>
      </c>
      <c r="AR21" s="210">
        <f>AG21*(1+'Real Cost Escalation'!H$18)</f>
        <v>20.502925230299034</v>
      </c>
      <c r="AS21" s="56">
        <f>AH21*(1+'Real Cost Escalation'!I$18)</f>
        <v>0</v>
      </c>
      <c r="AT21" s="214">
        <f t="shared" si="23"/>
        <v>81.083055635977345</v>
      </c>
      <c r="AU21" s="66"/>
      <c r="AV21" s="29" t="str">
        <f t="shared" si="14"/>
        <v>07</v>
      </c>
      <c r="AW21" s="29" t="str">
        <f t="shared" si="15"/>
        <v>Mains Replacement - HDICS Block Replacement</v>
      </c>
      <c r="AX21" s="214"/>
      <c r="AY21" s="214"/>
      <c r="AZ21" s="209">
        <f t="shared" si="16"/>
        <v>0.13420206987787608</v>
      </c>
      <c r="BA21" s="210">
        <f t="shared" si="17"/>
        <v>0.2489118669567425</v>
      </c>
      <c r="BB21" s="210">
        <f t="shared" si="18"/>
        <v>0.39146851530832905</v>
      </c>
      <c r="BC21" s="210">
        <f t="shared" si="19"/>
        <v>0.5677425791205799</v>
      </c>
      <c r="BD21" s="56">
        <f t="shared" si="20"/>
        <v>0</v>
      </c>
      <c r="BE21" s="214">
        <f t="shared" si="24"/>
        <v>1.3423250312635275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608" t="s">
        <v>414</v>
      </c>
      <c r="G22" s="609" t="s">
        <v>414</v>
      </c>
      <c r="H22" s="609" t="s">
        <v>414</v>
      </c>
      <c r="I22" s="609" t="s">
        <v>414</v>
      </c>
      <c r="J22" s="609" t="s">
        <v>414</v>
      </c>
      <c r="K22" s="16">
        <v>36874</v>
      </c>
      <c r="L22" s="412" t="str">
        <f>'Capex Category Summary (Alb)'!L22</f>
        <v>Attachment 8.2 Distribution Mains and Services Integrity Plan</v>
      </c>
      <c r="M22" s="32"/>
      <c r="N22" s="29" t="str">
        <f t="shared" ref="N22" si="25">B22</f>
        <v>08</v>
      </c>
      <c r="O22" s="29" t="str">
        <f t="shared" ref="O22" si="26">C22</f>
        <v>Mains Replacement - LDS Block Replacement</v>
      </c>
      <c r="P22" s="41"/>
      <c r="Q22" s="41"/>
      <c r="R22" s="596" t="s">
        <v>414</v>
      </c>
      <c r="S22" s="597" t="s">
        <v>414</v>
      </c>
      <c r="T22" s="597" t="s">
        <v>414</v>
      </c>
      <c r="U22" s="597" t="s">
        <v>414</v>
      </c>
      <c r="V22" s="598" t="s">
        <v>414</v>
      </c>
      <c r="W22" s="41"/>
      <c r="X22" s="412" t="str">
        <f>'Capex Category Summary (Alb)'!X22</f>
        <v>Attachment 8.4 Unit Rates Forecast</v>
      </c>
      <c r="Y22" s="66"/>
      <c r="Z22" s="29" t="str">
        <f t="shared" ref="Z22" si="27">B22</f>
        <v>08</v>
      </c>
      <c r="AA22" s="29" t="str">
        <f t="shared" ref="AA22" si="28">C22</f>
        <v>Mains Replacement - LDS Block Replacement</v>
      </c>
      <c r="AB22" s="214"/>
      <c r="AC22" s="214"/>
      <c r="AD22" s="209">
        <v>3.3204327568460243</v>
      </c>
      <c r="AE22" s="210">
        <v>3.3204327568460243</v>
      </c>
      <c r="AF22" s="210">
        <v>3.3204327568460243</v>
      </c>
      <c r="AG22" s="210">
        <v>3.3204327568460243</v>
      </c>
      <c r="AH22" s="56">
        <v>0</v>
      </c>
      <c r="AI22" s="214">
        <f t="shared" ref="AI22" si="29">SUM(AD22:AH22)</f>
        <v>13.281731027384097</v>
      </c>
      <c r="AJ22" s="32"/>
      <c r="AK22" s="29" t="str">
        <f t="shared" ref="AK22" si="30">N22</f>
        <v>08</v>
      </c>
      <c r="AL22" s="29" t="str">
        <f t="shared" ref="AL22" si="31">O22</f>
        <v>Mains Replacement - LDS Block Replacement</v>
      </c>
      <c r="AM22" s="214"/>
      <c r="AN22" s="214"/>
      <c r="AO22" s="209">
        <f>AD22*(1+'Real Cost Escalation'!E$18)</f>
        <v>3.3427856470430295</v>
      </c>
      <c r="AP22" s="210">
        <f>AE22*(1+'Real Cost Escalation'!F$18)</f>
        <v>3.3618918761865739</v>
      </c>
      <c r="AQ22" s="210">
        <f>AF22*(1+'Real Cost Escalation'!G$18)</f>
        <v>3.3856363170164059</v>
      </c>
      <c r="AR22" s="210">
        <f>AG22*(1+'Real Cost Escalation'!H$18)</f>
        <v>3.4149967791654681</v>
      </c>
      <c r="AS22" s="56">
        <f>AH22*(1+'Real Cost Escalation'!I$18)</f>
        <v>0</v>
      </c>
      <c r="AT22" s="214">
        <f t="shared" ref="AT22" si="32">SUM(AO22:AS22)</f>
        <v>13.505310619411478</v>
      </c>
      <c r="AU22" s="66"/>
      <c r="AV22" s="29" t="str">
        <f t="shared" ref="AV22" si="33">Z22</f>
        <v>08</v>
      </c>
      <c r="AW22" s="29" t="str">
        <f t="shared" ref="AW22" si="34">AA22</f>
        <v>Mains Replacement - LDS Block Replacement</v>
      </c>
      <c r="AX22" s="214"/>
      <c r="AY22" s="214"/>
      <c r="AZ22" s="209">
        <f t="shared" ref="AZ22" si="35">AO22-AD22</f>
        <v>2.2352890197005149E-2</v>
      </c>
      <c r="BA22" s="210">
        <f t="shared" ref="BA22" si="36">AP22-AE22</f>
        <v>4.1459119340549577E-2</v>
      </c>
      <c r="BB22" s="210">
        <f t="shared" ref="BB22" si="37">AQ22-AF22</f>
        <v>6.5203560170381536E-2</v>
      </c>
      <c r="BC22" s="210">
        <f t="shared" ref="BC22" si="38">AR22-AG22</f>
        <v>9.4564022319443719E-2</v>
      </c>
      <c r="BD22" s="56">
        <f t="shared" ref="BD22" si="39">AS22-AH22</f>
        <v>0</v>
      </c>
      <c r="BE22" s="214">
        <f t="shared" ref="BE22" si="40">SUM(AZ22:BD22)</f>
        <v>0.22357959202737998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608" t="s">
        <v>414</v>
      </c>
      <c r="G23" s="609" t="s">
        <v>414</v>
      </c>
      <c r="H23" s="609" t="s">
        <v>414</v>
      </c>
      <c r="I23" s="609" t="s">
        <v>414</v>
      </c>
      <c r="J23" s="609" t="s">
        <v>414</v>
      </c>
      <c r="K23" s="16">
        <v>25300</v>
      </c>
      <c r="L23" s="412" t="str">
        <f>'Capex Category Summary (Alb)'!L23</f>
        <v>Attachment 8.2 Distribution Mains and Services Integrity Plan</v>
      </c>
      <c r="M23" s="32"/>
      <c r="N23" s="29" t="str">
        <f t="shared" si="21"/>
        <v>09</v>
      </c>
      <c r="O23" s="29" t="str">
        <f t="shared" si="21"/>
        <v>Mains Replacement - CBD Block Replacement</v>
      </c>
      <c r="P23" s="41"/>
      <c r="Q23" s="41"/>
      <c r="R23" s="596" t="s">
        <v>414</v>
      </c>
      <c r="S23" s="597" t="s">
        <v>414</v>
      </c>
      <c r="T23" s="597" t="s">
        <v>414</v>
      </c>
      <c r="U23" s="597" t="s">
        <v>414</v>
      </c>
      <c r="V23" s="598" t="s">
        <v>414</v>
      </c>
      <c r="W23" s="41"/>
      <c r="X23" s="412" t="str">
        <f>'Capex Category Summary (Alb)'!X23</f>
        <v>Attachment 8.4 Unit Rates Forecast</v>
      </c>
      <c r="Y23" s="66"/>
      <c r="Z23" s="29" t="str">
        <f t="shared" si="12"/>
        <v>09</v>
      </c>
      <c r="AA23" s="29" t="str">
        <f t="shared" si="12"/>
        <v>Mains Replacement - CBD Block Replacement</v>
      </c>
      <c r="AB23" s="214"/>
      <c r="AC23" s="214"/>
      <c r="AD23" s="209">
        <v>6.02</v>
      </c>
      <c r="AE23" s="210">
        <v>6.02</v>
      </c>
      <c r="AF23" s="210">
        <v>6.02</v>
      </c>
      <c r="AG23" s="210">
        <v>6.1403999999999996</v>
      </c>
      <c r="AH23" s="56">
        <v>6.2607999999999997</v>
      </c>
      <c r="AI23" s="214">
        <f t="shared" si="22"/>
        <v>30.461199999999998</v>
      </c>
      <c r="AJ23" s="32"/>
      <c r="AK23" s="29" t="str">
        <f t="shared" si="13"/>
        <v>09</v>
      </c>
      <c r="AL23" s="29" t="str">
        <f t="shared" si="13"/>
        <v>Mains Replacement - CBD Block Replacement</v>
      </c>
      <c r="AM23" s="214"/>
      <c r="AN23" s="214"/>
      <c r="AO23" s="209">
        <f>AD23*(1+'Real Cost Escalation'!E$18)</f>
        <v>6.0605261629552736</v>
      </c>
      <c r="AP23" s="210">
        <f>AE23*(1+'Real Cost Escalation'!F$18)</f>
        <v>6.0951660752398977</v>
      </c>
      <c r="AQ23" s="210">
        <f>AF23*(1+'Real Cost Escalation'!G$18)</f>
        <v>6.1382151427148735</v>
      </c>
      <c r="AR23" s="210">
        <f>AG23*(1+'Real Cost Escalation'!H$18)</f>
        <v>6.3152750735738019</v>
      </c>
      <c r="AS23" s="56">
        <f>AH23*(1+'Real Cost Escalation'!I$18)</f>
        <v>6.5016454402116395</v>
      </c>
      <c r="AT23" s="214">
        <f t="shared" si="23"/>
        <v>31.110827894695486</v>
      </c>
      <c r="AU23" s="66"/>
      <c r="AV23" s="29" t="str">
        <f t="shared" si="14"/>
        <v>09</v>
      </c>
      <c r="AW23" s="29" t="str">
        <f t="shared" si="15"/>
        <v>Mains Replacement - CBD Block Replacement</v>
      </c>
      <c r="AX23" s="214"/>
      <c r="AY23" s="214"/>
      <c r="AZ23" s="209">
        <f t="shared" si="16"/>
        <v>4.0526162955274003E-2</v>
      </c>
      <c r="BA23" s="210">
        <f t="shared" si="17"/>
        <v>7.5166075239898156E-2</v>
      </c>
      <c r="BB23" s="210">
        <f t="shared" si="18"/>
        <v>0.11821514271487388</v>
      </c>
      <c r="BC23" s="210">
        <f t="shared" si="19"/>
        <v>0.17487507357380228</v>
      </c>
      <c r="BD23" s="56">
        <f t="shared" si="20"/>
        <v>0.24084544021163978</v>
      </c>
      <c r="BE23" s="214">
        <f t="shared" si="24"/>
        <v>0.6496278946954881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608" t="s">
        <v>414</v>
      </c>
      <c r="G24" s="609" t="s">
        <v>414</v>
      </c>
      <c r="H24" s="609" t="s">
        <v>414</v>
      </c>
      <c r="I24" s="609" t="s">
        <v>414</v>
      </c>
      <c r="J24" s="609" t="s">
        <v>414</v>
      </c>
      <c r="K24" s="61">
        <v>1600</v>
      </c>
      <c r="L24" s="412" t="str">
        <f>'Capex Category Summary (Alb)'!L24</f>
        <v>Attachment 8.2 Distribution Mains and Services Integrity Plan</v>
      </c>
      <c r="M24" s="32"/>
      <c r="N24" s="362" t="str">
        <f t="shared" ref="N24" si="41">B24</f>
        <v>10</v>
      </c>
      <c r="O24" s="362" t="str">
        <f t="shared" ref="O24" si="42">C24</f>
        <v>Mains Replacement - CBD Trunk Replacement</v>
      </c>
      <c r="P24" s="512"/>
      <c r="Q24" s="512"/>
      <c r="R24" s="599" t="s">
        <v>414</v>
      </c>
      <c r="S24" s="600" t="s">
        <v>414</v>
      </c>
      <c r="T24" s="600" t="s">
        <v>414</v>
      </c>
      <c r="U24" s="600" t="s">
        <v>414</v>
      </c>
      <c r="V24" s="601" t="s">
        <v>414</v>
      </c>
      <c r="W24" s="512"/>
      <c r="X24" s="514" t="str">
        <f>'Capex Category Summary (Alb)'!X24</f>
        <v>Attachment 8.4 Unit Rates Forecast</v>
      </c>
      <c r="Y24" s="66"/>
      <c r="Z24" s="29" t="str">
        <f t="shared" ref="Z24" si="43">B24</f>
        <v>10</v>
      </c>
      <c r="AA24" s="29" t="str">
        <f t="shared" ref="AA24" si="44">C24</f>
        <v>Mains Replacement - CBD Trunk Replacement</v>
      </c>
      <c r="AB24" s="214"/>
      <c r="AC24" s="214"/>
      <c r="AD24" s="209">
        <v>0</v>
      </c>
      <c r="AE24" s="210">
        <v>1.9290381600000002</v>
      </c>
      <c r="AF24" s="210">
        <v>1.9290381600000002</v>
      </c>
      <c r="AG24" s="210">
        <v>0</v>
      </c>
      <c r="AH24" s="56">
        <v>0</v>
      </c>
      <c r="AI24" s="214">
        <f t="shared" ref="AI24" si="45">SUM(AD24:AH24)</f>
        <v>3.8580763200000003</v>
      </c>
      <c r="AJ24" s="32"/>
      <c r="AK24" s="29" t="str">
        <f t="shared" ref="AK24" si="46">N24</f>
        <v>10</v>
      </c>
      <c r="AL24" s="29" t="str">
        <f t="shared" ref="AL24" si="47">O24</f>
        <v>Mains Replacement - CBD Trunk Replacement</v>
      </c>
      <c r="AM24" s="214"/>
      <c r="AN24" s="214"/>
      <c r="AO24" s="209">
        <f>AD24*(1+'Real Cost Escalation'!E$18)</f>
        <v>0</v>
      </c>
      <c r="AP24" s="210">
        <f>AE24*(1+'Real Cost Escalation'!F$18)</f>
        <v>1.9531242442982051</v>
      </c>
      <c r="AQ24" s="210">
        <f>AF24*(1+'Real Cost Escalation'!G$18)</f>
        <v>1.9669188113931626</v>
      </c>
      <c r="AR24" s="210">
        <f>AG24*(1+'Real Cost Escalation'!H$18)</f>
        <v>0</v>
      </c>
      <c r="AS24" s="56">
        <f>AH24*(1+'Real Cost Escalation'!I$18)</f>
        <v>0</v>
      </c>
      <c r="AT24" s="214">
        <f t="shared" ref="AT24" si="48">SUM(AO24:AS24)</f>
        <v>3.9200430556913677</v>
      </c>
      <c r="AU24" s="66"/>
      <c r="AV24" s="29" t="str">
        <f t="shared" ref="AV24" si="49">Z24</f>
        <v>10</v>
      </c>
      <c r="AW24" s="29" t="str">
        <f t="shared" ref="AW24" si="50">AA24</f>
        <v>Mains Replacement - CBD Trunk Replacement</v>
      </c>
      <c r="AX24" s="214"/>
      <c r="AY24" s="214"/>
      <c r="AZ24" s="209">
        <f t="shared" ref="AZ24" si="51">AO24-AD24</f>
        <v>0</v>
      </c>
      <c r="BA24" s="210">
        <f t="shared" ref="BA24" si="52">AP24-AE24</f>
        <v>2.4086084298204913E-2</v>
      </c>
      <c r="BB24" s="210">
        <f t="shared" ref="BB24" si="53">AQ24-AF24</f>
        <v>3.7880651393162434E-2</v>
      </c>
      <c r="BC24" s="210">
        <f t="shared" ref="BC24" si="54">AR24-AG24</f>
        <v>0</v>
      </c>
      <c r="BD24" s="56">
        <f t="shared" ref="BD24" si="55">AS24-AH24</f>
        <v>0</v>
      </c>
      <c r="BE24" s="214">
        <f t="shared" ref="BE24" si="56">SUM(AZ24:BD24)</f>
        <v>6.1966735691367347E-2</v>
      </c>
      <c r="BF24" s="32"/>
    </row>
    <row r="25" spans="1:58" s="67" customFormat="1" ht="18" customHeight="1" thickBot="1" x14ac:dyDescent="0.25">
      <c r="A25" s="66"/>
      <c r="B25" s="19"/>
      <c r="C25" s="20" t="s">
        <v>77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v>296832</v>
      </c>
      <c r="L25" s="21"/>
      <c r="M25" s="32"/>
      <c r="N25" s="72"/>
      <c r="O25" s="73"/>
      <c r="P25" s="12"/>
      <c r="Q25" s="12"/>
      <c r="R25" s="12"/>
      <c r="S25" s="12"/>
      <c r="T25" s="52"/>
      <c r="U25" s="12"/>
      <c r="V25" s="492"/>
      <c r="W25" s="12"/>
      <c r="X25" s="12"/>
      <c r="Y25" s="66"/>
      <c r="Z25" s="19"/>
      <c r="AA25" s="20" t="s">
        <v>77</v>
      </c>
      <c r="AB25" s="212"/>
      <c r="AC25" s="212"/>
      <c r="AD25" s="211">
        <f t="shared" ref="AD25:AI25" si="57">SUM(AD17:AD24)</f>
        <v>33.975190649293154</v>
      </c>
      <c r="AE25" s="212">
        <f t="shared" si="57"/>
        <v>35.904228809293151</v>
      </c>
      <c r="AF25" s="212">
        <f t="shared" si="57"/>
        <v>35.904228809293151</v>
      </c>
      <c r="AG25" s="212">
        <f t="shared" si="57"/>
        <v>33.615590649293161</v>
      </c>
      <c r="AH25" s="213">
        <f t="shared" si="57"/>
        <v>7.6785401930149444</v>
      </c>
      <c r="AI25" s="212">
        <f t="shared" si="57"/>
        <v>147.07777911018758</v>
      </c>
      <c r="AJ25" s="32"/>
      <c r="AK25" s="19"/>
      <c r="AL25" s="20" t="s">
        <v>77</v>
      </c>
      <c r="AM25" s="212"/>
      <c r="AN25" s="212"/>
      <c r="AO25" s="211">
        <f t="shared" ref="AO25:AT25" si="58">SUM(AO17:AO24)</f>
        <v>34.194671565449127</v>
      </c>
      <c r="AP25" s="212">
        <f t="shared" si="58"/>
        <v>36.330478819638309</v>
      </c>
      <c r="AQ25" s="212">
        <f t="shared" si="58"/>
        <v>36.577400171525298</v>
      </c>
      <c r="AR25" s="212">
        <f t="shared" si="58"/>
        <v>34.572943409377508</v>
      </c>
      <c r="AS25" s="213">
        <f t="shared" si="58"/>
        <v>7.9739243919942204</v>
      </c>
      <c r="AT25" s="212">
        <f t="shared" si="58"/>
        <v>149.64941835798444</v>
      </c>
      <c r="AU25" s="66"/>
      <c r="AV25" s="19"/>
      <c r="AW25" s="20" t="s">
        <v>77</v>
      </c>
      <c r="AX25" s="268"/>
      <c r="AY25" s="268"/>
      <c r="AZ25" s="269">
        <f>SUM(AZ17:AZ24)</f>
        <v>0.21948091615596588</v>
      </c>
      <c r="BA25" s="268">
        <f t="shared" ref="BA25:BE25" si="59">SUM(BA17:BA24)</f>
        <v>0.4262500103451537</v>
      </c>
      <c r="BB25" s="268">
        <f t="shared" si="59"/>
        <v>0.67317136223213647</v>
      </c>
      <c r="BC25" s="268">
        <f t="shared" si="59"/>
        <v>0.95735276008435155</v>
      </c>
      <c r="BD25" s="270">
        <f t="shared" si="59"/>
        <v>0.29538419897927642</v>
      </c>
      <c r="BE25" s="212">
        <f t="shared" si="59"/>
        <v>2.5716392477968837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472"/>
      <c r="L26" s="472"/>
      <c r="M26" s="32"/>
      <c r="N26" s="72"/>
      <c r="O26" s="73"/>
      <c r="P26" s="12"/>
      <c r="Q26" s="12"/>
      <c r="R26" s="12"/>
      <c r="S26" s="12"/>
      <c r="T26" s="52"/>
      <c r="U26" s="12"/>
      <c r="V26" s="49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7" t="s">
        <v>173</v>
      </c>
      <c r="C27" s="357"/>
      <c r="D27" s="358"/>
      <c r="E27" s="358"/>
      <c r="F27" s="358"/>
      <c r="G27" s="358"/>
      <c r="H27" s="358"/>
      <c r="I27" s="358"/>
      <c r="J27" s="358"/>
      <c r="K27" s="358"/>
      <c r="L27" s="358"/>
      <c r="M27" s="32"/>
      <c r="N27" s="357" t="s">
        <v>186</v>
      </c>
      <c r="O27" s="357"/>
      <c r="P27" s="358"/>
      <c r="Q27" s="358"/>
      <c r="R27" s="358"/>
      <c r="S27" s="358"/>
      <c r="T27" s="358"/>
      <c r="U27" s="358"/>
      <c r="V27" s="358"/>
      <c r="W27" s="358"/>
      <c r="X27" s="358"/>
      <c r="Y27" s="70"/>
      <c r="Z27" s="357" t="s">
        <v>203</v>
      </c>
      <c r="AA27" s="357"/>
      <c r="AB27" s="358"/>
      <c r="AC27" s="358"/>
      <c r="AD27" s="358"/>
      <c r="AE27" s="358"/>
      <c r="AF27" s="358"/>
      <c r="AG27" s="358"/>
      <c r="AH27" s="358"/>
      <c r="AI27" s="358"/>
      <c r="AJ27" s="32"/>
      <c r="AK27" s="357" t="s">
        <v>254</v>
      </c>
      <c r="AL27" s="357"/>
      <c r="AM27" s="358"/>
      <c r="AN27" s="358"/>
      <c r="AO27" s="358"/>
      <c r="AP27" s="358"/>
      <c r="AQ27" s="358"/>
      <c r="AR27" s="358"/>
      <c r="AS27" s="358"/>
      <c r="AT27" s="358"/>
      <c r="AU27" s="66"/>
      <c r="AV27" s="357" t="s">
        <v>259</v>
      </c>
      <c r="AW27" s="357"/>
      <c r="AX27" s="358"/>
      <c r="AY27" s="358"/>
      <c r="AZ27" s="358"/>
      <c r="BA27" s="358"/>
      <c r="BB27" s="358"/>
      <c r="BC27" s="358"/>
      <c r="BD27" s="358"/>
      <c r="BE27" s="358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174</v>
      </c>
      <c r="C29" s="11"/>
      <c r="D29" s="3"/>
      <c r="E29" s="3"/>
      <c r="F29" s="30">
        <f t="shared" ref="F29:L29" si="60">F16</f>
        <v>2018</v>
      </c>
      <c r="G29" s="3">
        <f t="shared" si="60"/>
        <v>2019</v>
      </c>
      <c r="H29" s="3">
        <f t="shared" si="60"/>
        <v>2020</v>
      </c>
      <c r="I29" s="3">
        <f t="shared" si="60"/>
        <v>2021</v>
      </c>
      <c r="J29" s="31">
        <f t="shared" si="60"/>
        <v>2022</v>
      </c>
      <c r="K29" s="366" t="str">
        <f t="shared" si="60"/>
        <v>Total for 
2018-2022</v>
      </c>
      <c r="L29" s="3" t="str">
        <f t="shared" si="60"/>
        <v>Source</v>
      </c>
      <c r="M29" s="32"/>
      <c r="N29" s="10" t="s">
        <v>178</v>
      </c>
      <c r="O29" s="11"/>
      <c r="P29" s="3"/>
      <c r="Q29" s="3"/>
      <c r="R29" s="30">
        <f t="shared" ref="R29:W29" si="61">R16</f>
        <v>2018</v>
      </c>
      <c r="S29" s="3">
        <f t="shared" si="61"/>
        <v>2019</v>
      </c>
      <c r="T29" s="3">
        <f t="shared" si="61"/>
        <v>2020</v>
      </c>
      <c r="U29" s="3">
        <f t="shared" si="61"/>
        <v>2021</v>
      </c>
      <c r="V29" s="31">
        <f t="shared" si="61"/>
        <v>2022</v>
      </c>
      <c r="W29" s="3" t="str">
        <f t="shared" si="61"/>
        <v>Total for 
2018-2022</v>
      </c>
      <c r="X29" s="30" t="s">
        <v>104</v>
      </c>
      <c r="Y29" s="32"/>
      <c r="Z29" s="10"/>
      <c r="AA29" s="11"/>
      <c r="AB29" s="3"/>
      <c r="AC29" s="3"/>
      <c r="AD29" s="30">
        <f t="shared" ref="AD29:AI29" si="62">AD16</f>
        <v>2018</v>
      </c>
      <c r="AE29" s="3">
        <f t="shared" si="62"/>
        <v>2019</v>
      </c>
      <c r="AF29" s="3">
        <f t="shared" si="62"/>
        <v>2020</v>
      </c>
      <c r="AG29" s="3">
        <f t="shared" si="62"/>
        <v>2021</v>
      </c>
      <c r="AH29" s="31">
        <f t="shared" si="62"/>
        <v>2022</v>
      </c>
      <c r="AI29" s="3" t="str">
        <f t="shared" si="62"/>
        <v>Total for 
2018-2022</v>
      </c>
      <c r="AJ29" s="32"/>
      <c r="AK29" s="10"/>
      <c r="AL29" s="11"/>
      <c r="AM29" s="3"/>
      <c r="AN29" s="3"/>
      <c r="AO29" s="30">
        <f t="shared" ref="AO29:AT29" si="63">AO16</f>
        <v>2018</v>
      </c>
      <c r="AP29" s="3">
        <f t="shared" si="63"/>
        <v>2019</v>
      </c>
      <c r="AQ29" s="3">
        <f t="shared" si="63"/>
        <v>2020</v>
      </c>
      <c r="AR29" s="3">
        <f t="shared" si="63"/>
        <v>2021</v>
      </c>
      <c r="AS29" s="31">
        <f t="shared" si="63"/>
        <v>2022</v>
      </c>
      <c r="AT29" s="3" t="str">
        <f t="shared" si="63"/>
        <v>Total for 
2018-2022</v>
      </c>
      <c r="AU29" s="66"/>
      <c r="AV29" s="10"/>
      <c r="AW29" s="11"/>
      <c r="AX29" s="3"/>
      <c r="AY29" s="3"/>
      <c r="AZ29" s="30">
        <f t="shared" ref="AZ29:BE29" si="64">AZ16</f>
        <v>2018</v>
      </c>
      <c r="BA29" s="3">
        <f t="shared" si="64"/>
        <v>2019</v>
      </c>
      <c r="BB29" s="3">
        <f t="shared" si="64"/>
        <v>2020</v>
      </c>
      <c r="BC29" s="3">
        <f t="shared" si="64"/>
        <v>2021</v>
      </c>
      <c r="BD29" s="31">
        <f t="shared" si="64"/>
        <v>2022</v>
      </c>
      <c r="BE29" s="3" t="str">
        <f t="shared" si="64"/>
        <v>Total for 
2018-2022</v>
      </c>
      <c r="BF29" s="32"/>
    </row>
    <row r="30" spans="1:58" s="67" customFormat="1" ht="20.100000000000001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608" t="s">
        <v>414</v>
      </c>
      <c r="G30" s="609" t="s">
        <v>414</v>
      </c>
      <c r="H30" s="609" t="s">
        <v>414</v>
      </c>
      <c r="I30" s="609" t="s">
        <v>414</v>
      </c>
      <c r="J30" s="613" t="s">
        <v>414</v>
      </c>
      <c r="K30" s="61">
        <v>3640</v>
      </c>
      <c r="L30" s="412" t="str">
        <f>'Capex Category Summary (Alb)'!L30</f>
        <v>Attachment 8.2 Distribution Mains and Services Integrity Plan</v>
      </c>
      <c r="M30" s="32"/>
      <c r="N30" s="515" t="str">
        <f>B30</f>
        <v>11</v>
      </c>
      <c r="O30" s="515" t="str">
        <f>C30</f>
        <v>Service Renewal - Non AMRP</v>
      </c>
      <c r="P30" s="516"/>
      <c r="Q30" s="516"/>
      <c r="R30" s="602" t="s">
        <v>414</v>
      </c>
      <c r="S30" s="603" t="s">
        <v>414</v>
      </c>
      <c r="T30" s="603" t="s">
        <v>414</v>
      </c>
      <c r="U30" s="603" t="s">
        <v>414</v>
      </c>
      <c r="V30" s="604" t="s">
        <v>414</v>
      </c>
      <c r="W30" s="516"/>
      <c r="X30" s="517" t="str">
        <f>'Capex Category Summary (Alb)'!X30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4"/>
      <c r="AC30" s="214"/>
      <c r="AD30" s="217">
        <v>0.73174451664003937</v>
      </c>
      <c r="AE30" s="218">
        <v>0.73174451664003937</v>
      </c>
      <c r="AF30" s="218">
        <v>0.73174451664003937</v>
      </c>
      <c r="AG30" s="218">
        <v>0.73174451664003937</v>
      </c>
      <c r="AH30" s="219">
        <v>0.73174451664003937</v>
      </c>
      <c r="AI30" s="214">
        <f>SUM(AD30:AH30)</f>
        <v>3.6587225832001966</v>
      </c>
      <c r="AJ30" s="32"/>
      <c r="AK30" s="29" t="str">
        <f>Z30</f>
        <v>11</v>
      </c>
      <c r="AL30" s="29" t="str">
        <f>AA30</f>
        <v>Service Renewal - Non AMRP</v>
      </c>
      <c r="AM30" s="214"/>
      <c r="AN30" s="214"/>
      <c r="AO30" s="217">
        <f>AD30*(1+'Real Cost Escalation'!E$18)</f>
        <v>0.73667056274020259</v>
      </c>
      <c r="AP30" s="218">
        <f>AE30*(1+'Real Cost Escalation'!F$18)</f>
        <v>0.74088112185501409</v>
      </c>
      <c r="AQ30" s="218">
        <f>AF30*(1+'Real Cost Escalation'!G$18)</f>
        <v>0.74611383266419695</v>
      </c>
      <c r="AR30" s="218">
        <f>AG30*(1+'Real Cost Escalation'!H$18)</f>
        <v>0.75258418118708081</v>
      </c>
      <c r="AS30" s="219">
        <f>AH30*(1+'Real Cost Escalation'!I$18)</f>
        <v>0.75989384743364785</v>
      </c>
      <c r="AT30" s="214">
        <f>SUM(AO30:AS30)</f>
        <v>3.7361435458801422</v>
      </c>
      <c r="AU30" s="66"/>
      <c r="AV30" s="29" t="str">
        <f>AK30</f>
        <v>11</v>
      </c>
      <c r="AW30" s="29" t="str">
        <f>AL30</f>
        <v>Service Renewal - Non AMRP</v>
      </c>
      <c r="AX30" s="363"/>
      <c r="AY30" s="363"/>
      <c r="AZ30" s="217">
        <f t="shared" ref="AZ30:BD30" si="65">AO30-AD30</f>
        <v>4.9260461001632283E-3</v>
      </c>
      <c r="BA30" s="218">
        <f t="shared" si="65"/>
        <v>9.1366052149747246E-3</v>
      </c>
      <c r="BB30" s="218">
        <f t="shared" si="65"/>
        <v>1.4369316024157586E-2</v>
      </c>
      <c r="BC30" s="218">
        <f t="shared" si="65"/>
        <v>2.0839664547041448E-2</v>
      </c>
      <c r="BD30" s="219">
        <f t="shared" si="65"/>
        <v>2.8149330793608485E-2</v>
      </c>
      <c r="BE30" s="214">
        <f>SUM(AZ30:BD30)</f>
        <v>7.7420962679945471E-2</v>
      </c>
      <c r="BF30" s="32"/>
    </row>
    <row r="31" spans="1:58" s="67" customFormat="1" ht="20.100000000000001" customHeight="1" thickBot="1" x14ac:dyDescent="0.25">
      <c r="A31" s="66"/>
      <c r="B31" s="24"/>
      <c r="C31" s="24" t="s">
        <v>176</v>
      </c>
      <c r="D31" s="22"/>
      <c r="E31" s="22"/>
      <c r="F31" s="21">
        <v>728</v>
      </c>
      <c r="G31" s="22">
        <v>728</v>
      </c>
      <c r="H31" s="22">
        <v>728</v>
      </c>
      <c r="I31" s="22">
        <v>728</v>
      </c>
      <c r="J31" s="23">
        <v>728</v>
      </c>
      <c r="K31" s="58">
        <v>3640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176</v>
      </c>
      <c r="AB31" s="212"/>
      <c r="AC31" s="212"/>
      <c r="AD31" s="211">
        <f t="shared" ref="AD31:AI31" si="66">SUM(AD30:AD30)</f>
        <v>0.73174451664003937</v>
      </c>
      <c r="AE31" s="212">
        <f t="shared" si="66"/>
        <v>0.73174451664003937</v>
      </c>
      <c r="AF31" s="212">
        <f t="shared" si="66"/>
        <v>0.73174451664003937</v>
      </c>
      <c r="AG31" s="212">
        <f t="shared" si="66"/>
        <v>0.73174451664003937</v>
      </c>
      <c r="AH31" s="213">
        <f t="shared" si="66"/>
        <v>0.73174451664003937</v>
      </c>
      <c r="AI31" s="212">
        <f t="shared" si="66"/>
        <v>3.6587225832001966</v>
      </c>
      <c r="AJ31" s="32"/>
      <c r="AK31" s="24"/>
      <c r="AL31" s="24" t="s">
        <v>176</v>
      </c>
      <c r="AM31" s="212"/>
      <c r="AN31" s="212"/>
      <c r="AO31" s="211">
        <f t="shared" ref="AO31:AT31" si="67">SUM(AO30:AO30)</f>
        <v>0.73667056274020259</v>
      </c>
      <c r="AP31" s="212">
        <f t="shared" si="67"/>
        <v>0.74088112185501409</v>
      </c>
      <c r="AQ31" s="212">
        <f t="shared" si="67"/>
        <v>0.74611383266419695</v>
      </c>
      <c r="AR31" s="212">
        <f t="shared" si="67"/>
        <v>0.75258418118708081</v>
      </c>
      <c r="AS31" s="213">
        <f t="shared" si="67"/>
        <v>0.75989384743364785</v>
      </c>
      <c r="AT31" s="212">
        <f t="shared" si="67"/>
        <v>3.7361435458801422</v>
      </c>
      <c r="AU31" s="66"/>
      <c r="AV31" s="24"/>
      <c r="AW31" s="24" t="s">
        <v>176</v>
      </c>
      <c r="AX31" s="268"/>
      <c r="AY31" s="268"/>
      <c r="AZ31" s="211">
        <f t="shared" ref="AZ31:BE31" si="68">SUM(AZ30:AZ30)</f>
        <v>4.9260461001632283E-3</v>
      </c>
      <c r="BA31" s="212">
        <f t="shared" si="68"/>
        <v>9.1366052149747246E-3</v>
      </c>
      <c r="BB31" s="212">
        <f t="shared" si="68"/>
        <v>1.4369316024157586E-2</v>
      </c>
      <c r="BC31" s="212">
        <f t="shared" si="68"/>
        <v>2.0839664547041448E-2</v>
      </c>
      <c r="BD31" s="213">
        <f t="shared" si="68"/>
        <v>2.8149330793608485E-2</v>
      </c>
      <c r="BE31" s="212">
        <f t="shared" si="68"/>
        <v>7.7420962679945471E-2</v>
      </c>
      <c r="BF31" s="32"/>
    </row>
    <row r="32" spans="1:58" s="67" customFormat="1" ht="20.100000000000001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7" t="s">
        <v>194</v>
      </c>
      <c r="C33" s="357"/>
      <c r="D33" s="358"/>
      <c r="E33" s="358"/>
      <c r="F33" s="358"/>
      <c r="G33" s="358"/>
      <c r="H33" s="358"/>
      <c r="I33" s="358"/>
      <c r="J33" s="358"/>
      <c r="K33" s="358"/>
      <c r="L33" s="358"/>
      <c r="M33" s="32"/>
      <c r="N33" s="357" t="s">
        <v>188</v>
      </c>
      <c r="O33" s="357"/>
      <c r="P33" s="358"/>
      <c r="Q33" s="358"/>
      <c r="R33" s="358"/>
      <c r="S33" s="358"/>
      <c r="T33" s="358"/>
      <c r="U33" s="358"/>
      <c r="V33" s="358"/>
      <c r="W33" s="358"/>
      <c r="X33" s="358"/>
      <c r="Y33" s="70"/>
      <c r="Z33" s="357" t="s">
        <v>205</v>
      </c>
      <c r="AA33" s="357"/>
      <c r="AB33" s="358"/>
      <c r="AC33" s="358"/>
      <c r="AD33" s="358"/>
      <c r="AE33" s="358"/>
      <c r="AF33" s="358"/>
      <c r="AG33" s="358"/>
      <c r="AH33" s="358"/>
      <c r="AI33" s="358"/>
      <c r="AJ33" s="32"/>
      <c r="AK33" s="357" t="s">
        <v>255</v>
      </c>
      <c r="AL33" s="357"/>
      <c r="AM33" s="358"/>
      <c r="AN33" s="358"/>
      <c r="AO33" s="358"/>
      <c r="AP33" s="358"/>
      <c r="AQ33" s="358"/>
      <c r="AR33" s="358"/>
      <c r="AS33" s="358"/>
      <c r="AT33" s="358"/>
      <c r="AU33" s="66"/>
      <c r="AV33" s="357" t="s">
        <v>260</v>
      </c>
      <c r="AW33" s="357"/>
      <c r="AX33" s="358"/>
      <c r="AY33" s="358"/>
      <c r="AZ33" s="358"/>
      <c r="BA33" s="358"/>
      <c r="BB33" s="358"/>
      <c r="BC33" s="358"/>
      <c r="BD33" s="358"/>
      <c r="BE33" s="358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182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75</v>
      </c>
      <c r="L35" s="30" t="s">
        <v>104</v>
      </c>
      <c r="M35" s="32"/>
      <c r="N35" s="10" t="s">
        <v>181</v>
      </c>
      <c r="O35" s="11"/>
      <c r="P35" s="3"/>
      <c r="Q35" s="4"/>
      <c r="R35" s="5">
        <f t="shared" ref="R35:W35" si="69">F35</f>
        <v>2018</v>
      </c>
      <c r="S35" s="4">
        <f t="shared" si="69"/>
        <v>2019</v>
      </c>
      <c r="T35" s="4">
        <f t="shared" si="69"/>
        <v>2020</v>
      </c>
      <c r="U35" s="4">
        <f t="shared" si="69"/>
        <v>2021</v>
      </c>
      <c r="V35" s="6">
        <f t="shared" si="69"/>
        <v>2022</v>
      </c>
      <c r="W35" s="30" t="str">
        <f t="shared" si="69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0">R35</f>
        <v>2018</v>
      </c>
      <c r="AE35" s="4">
        <f t="shared" si="70"/>
        <v>2019</v>
      </c>
      <c r="AF35" s="4">
        <f t="shared" si="70"/>
        <v>2020</v>
      </c>
      <c r="AG35" s="4">
        <f t="shared" si="70"/>
        <v>2021</v>
      </c>
      <c r="AH35" s="6">
        <f t="shared" si="70"/>
        <v>2022</v>
      </c>
      <c r="AI35" s="3" t="str">
        <f t="shared" si="70"/>
        <v>Total for 
2018-2022</v>
      </c>
      <c r="AJ35" s="32"/>
      <c r="AK35" s="10"/>
      <c r="AL35" s="11"/>
      <c r="AM35" s="3"/>
      <c r="AN35" s="4"/>
      <c r="AO35" s="5">
        <f t="shared" ref="AO35:AT35" si="71">AD35</f>
        <v>2018</v>
      </c>
      <c r="AP35" s="4">
        <f t="shared" si="71"/>
        <v>2019</v>
      </c>
      <c r="AQ35" s="4">
        <f t="shared" si="71"/>
        <v>2020</v>
      </c>
      <c r="AR35" s="4">
        <f t="shared" si="71"/>
        <v>2021</v>
      </c>
      <c r="AS35" s="6">
        <f t="shared" si="71"/>
        <v>2022</v>
      </c>
      <c r="AT35" s="3" t="str">
        <f t="shared" si="71"/>
        <v>Total for 
2018-2022</v>
      </c>
      <c r="AU35" s="66"/>
      <c r="AV35" s="10"/>
      <c r="AW35" s="11"/>
      <c r="AX35" s="3"/>
      <c r="AY35" s="4"/>
      <c r="AZ35" s="5">
        <f t="shared" ref="AZ35:BE35" si="72">AO35</f>
        <v>2018</v>
      </c>
      <c r="BA35" s="4">
        <f t="shared" si="72"/>
        <v>2019</v>
      </c>
      <c r="BB35" s="4">
        <f t="shared" si="72"/>
        <v>2020</v>
      </c>
      <c r="BC35" s="4">
        <f t="shared" si="72"/>
        <v>2021</v>
      </c>
      <c r="BD35" s="6">
        <f t="shared" si="72"/>
        <v>2022</v>
      </c>
      <c r="BE35" s="3" t="str">
        <f t="shared" si="72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605" t="s">
        <v>414</v>
      </c>
      <c r="G36" s="606" t="s">
        <v>414</v>
      </c>
      <c r="H36" s="606" t="s">
        <v>414</v>
      </c>
      <c r="I36" s="606" t="s">
        <v>414</v>
      </c>
      <c r="J36" s="606" t="s">
        <v>414</v>
      </c>
      <c r="K36" s="16">
        <v>652342.26183934812</v>
      </c>
      <c r="L36" s="412" t="str">
        <f>'Capex Category Summary (Alb)'!L36</f>
        <v>Derived from Core Energy customer number forecast</v>
      </c>
      <c r="M36" s="32"/>
      <c r="N36" s="29" t="str">
        <f t="shared" ref="N36:O38" si="73">B36</f>
        <v>12</v>
      </c>
      <c r="O36" s="29" t="str">
        <f t="shared" si="73"/>
        <v>New Main - Estate</v>
      </c>
      <c r="P36" s="41"/>
      <c r="Q36" s="41"/>
      <c r="R36" s="596" t="s">
        <v>414</v>
      </c>
      <c r="S36" s="597" t="s">
        <v>414</v>
      </c>
      <c r="T36" s="597" t="s">
        <v>414</v>
      </c>
      <c r="U36" s="597" t="s">
        <v>414</v>
      </c>
      <c r="V36" s="598" t="s">
        <v>414</v>
      </c>
      <c r="W36" s="42"/>
      <c r="X36" s="412" t="str">
        <f>'Capex Category Summary (Alb)'!X36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4"/>
      <c r="AC36" s="214"/>
      <c r="AD36" s="209">
        <v>6.4598967178330025</v>
      </c>
      <c r="AE36" s="210">
        <v>6.2654880713646239</v>
      </c>
      <c r="AF36" s="210">
        <v>6.3448584652992492</v>
      </c>
      <c r="AG36" s="210">
        <v>6.4551122443307349</v>
      </c>
      <c r="AH36" s="56">
        <v>6.5654910912199931</v>
      </c>
      <c r="AI36" s="214">
        <f t="shared" ref="AI36:AI38" si="74">SUM(AD36:AH36)</f>
        <v>32.090846590047605</v>
      </c>
      <c r="AJ36" s="32"/>
      <c r="AK36" s="29" t="str">
        <f t="shared" ref="AK36:AL38" si="75">N36</f>
        <v>12</v>
      </c>
      <c r="AL36" s="29" t="str">
        <f t="shared" si="75"/>
        <v>New Main - Estate</v>
      </c>
      <c r="AM36" s="214"/>
      <c r="AN36" s="214"/>
      <c r="AO36" s="209">
        <f>AD36*(1+'Real Cost Escalation'!E$18)</f>
        <v>6.5033842306338565</v>
      </c>
      <c r="AP36" s="210">
        <f>AE36*(1+'Real Cost Escalation'!F$18)</f>
        <v>6.3437193251498192</v>
      </c>
      <c r="AQ36" s="210">
        <f>AF36*(1+'Real Cost Escalation'!G$18)</f>
        <v>6.4694528754289884</v>
      </c>
      <c r="AR36" s="210">
        <f>AG36*(1+'Real Cost Escalation'!H$18)</f>
        <v>6.6389501422941395</v>
      </c>
      <c r="AS36" s="56">
        <f>AH36*(1+'Real Cost Escalation'!I$18)</f>
        <v>6.8180576309705812</v>
      </c>
      <c r="AT36" s="214">
        <f>SUM(AO36:AS36)</f>
        <v>32.773564204477381</v>
      </c>
      <c r="AU36" s="66"/>
      <c r="AV36" s="29" t="str">
        <f t="shared" ref="AV36:AW38" si="76">Z36</f>
        <v>12</v>
      </c>
      <c r="AW36" s="29" t="str">
        <f t="shared" si="76"/>
        <v>New Main - Estate</v>
      </c>
      <c r="AX36" s="363"/>
      <c r="AY36" s="363"/>
      <c r="AZ36" s="209">
        <f t="shared" ref="AZ36:BD38" si="77">AO36-AD36</f>
        <v>4.3487512800854056E-2</v>
      </c>
      <c r="BA36" s="210">
        <f t="shared" si="77"/>
        <v>7.8231253785195243E-2</v>
      </c>
      <c r="BB36" s="210">
        <f t="shared" si="77"/>
        <v>0.12459441012973915</v>
      </c>
      <c r="BC36" s="210">
        <f t="shared" si="77"/>
        <v>0.18383789796340455</v>
      </c>
      <c r="BD36" s="56">
        <f t="shared" si="77"/>
        <v>0.25256653975058807</v>
      </c>
      <c r="BE36" s="214">
        <f t="shared" ref="BE36:BE38" si="78">SUM(AZ36:BD36)</f>
        <v>0.68271761442978107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608" t="s">
        <v>414</v>
      </c>
      <c r="G37" s="609" t="s">
        <v>414</v>
      </c>
      <c r="H37" s="609" t="s">
        <v>414</v>
      </c>
      <c r="I37" s="609" t="s">
        <v>414</v>
      </c>
      <c r="J37" s="609" t="s">
        <v>414</v>
      </c>
      <c r="K37" s="16">
        <v>40137.073970490637</v>
      </c>
      <c r="L37" s="412" t="str">
        <f>'Capex Category Summary (Alb)'!L37</f>
        <v>Derived from Core Energy customer number forecast</v>
      </c>
      <c r="M37" s="32"/>
      <c r="N37" s="29" t="str">
        <f t="shared" si="73"/>
        <v>13</v>
      </c>
      <c r="O37" s="29" t="str">
        <f t="shared" si="73"/>
        <v>New Main - Existing Domestic</v>
      </c>
      <c r="P37" s="41"/>
      <c r="Q37" s="41"/>
      <c r="R37" s="596" t="s">
        <v>414</v>
      </c>
      <c r="S37" s="597" t="s">
        <v>414</v>
      </c>
      <c r="T37" s="597" t="s">
        <v>414</v>
      </c>
      <c r="U37" s="597" t="s">
        <v>414</v>
      </c>
      <c r="V37" s="598" t="s">
        <v>414</v>
      </c>
      <c r="W37" s="42"/>
      <c r="X37" s="412" t="str">
        <f>'Capex Category Summary (Alb)'!X37</f>
        <v>Attachment 8.4 Unit Rates Forecast</v>
      </c>
      <c r="Y37" s="32"/>
      <c r="Z37" s="29" t="str">
        <f t="shared" ref="Z37:AA38" si="79">B37</f>
        <v>13</v>
      </c>
      <c r="AA37" s="29" t="str">
        <f t="shared" si="79"/>
        <v>New Main - Existing Domestic</v>
      </c>
      <c r="AB37" s="214"/>
      <c r="AC37" s="214"/>
      <c r="AD37" s="209">
        <v>0.85161167417655737</v>
      </c>
      <c r="AE37" s="210">
        <v>0.82435890264663114</v>
      </c>
      <c r="AF37" s="210">
        <v>0.83460444488798757</v>
      </c>
      <c r="AG37" s="210">
        <v>0.84906957997921406</v>
      </c>
      <c r="AH37" s="56">
        <v>0.8635399738061007</v>
      </c>
      <c r="AI37" s="214">
        <f t="shared" si="74"/>
        <v>4.2231845754964912</v>
      </c>
      <c r="AJ37" s="32"/>
      <c r="AK37" s="29" t="str">
        <f t="shared" si="75"/>
        <v>13</v>
      </c>
      <c r="AL37" s="29" t="str">
        <f t="shared" si="75"/>
        <v>New Main - Existing Domestic</v>
      </c>
      <c r="AM37" s="214"/>
      <c r="AN37" s="214"/>
      <c r="AO37" s="209">
        <f>AD37*(1+'Real Cost Escalation'!E$18)</f>
        <v>0.85734465648258606</v>
      </c>
      <c r="AP37" s="210">
        <f>AE37*(1+'Real Cost Escalation'!F$18)</f>
        <v>0.83465189655045446</v>
      </c>
      <c r="AQ37" s="210">
        <f>AF37*(1+'Real Cost Escalation'!G$18)</f>
        <v>0.8509936282040842</v>
      </c>
      <c r="AR37" s="210">
        <f>AG37*(1+'Real Cost Escalation'!H$18)</f>
        <v>0.87325059510333347</v>
      </c>
      <c r="AS37" s="56">
        <f>AH37*(1+'Real Cost Escalation'!I$18)</f>
        <v>0.89675931720178148</v>
      </c>
      <c r="AT37" s="214">
        <f>SUM(AO37:AS37)</f>
        <v>4.3130000935422395</v>
      </c>
      <c r="AU37" s="66"/>
      <c r="AV37" s="29" t="str">
        <f t="shared" si="76"/>
        <v>13</v>
      </c>
      <c r="AW37" s="29" t="str">
        <f t="shared" si="76"/>
        <v>New Main - Existing Domestic</v>
      </c>
      <c r="AX37" s="363"/>
      <c r="AY37" s="363"/>
      <c r="AZ37" s="209">
        <f t="shared" si="77"/>
        <v>5.7329823060287E-3</v>
      </c>
      <c r="BA37" s="210">
        <f t="shared" si="77"/>
        <v>1.0292993903823322E-2</v>
      </c>
      <c r="BB37" s="210">
        <f t="shared" si="77"/>
        <v>1.6389183316096623E-2</v>
      </c>
      <c r="BC37" s="210">
        <f t="shared" si="77"/>
        <v>2.4181015124119409E-2</v>
      </c>
      <c r="BD37" s="56">
        <f t="shared" si="77"/>
        <v>3.3219343395680778E-2</v>
      </c>
      <c r="BE37" s="214">
        <f t="shared" si="78"/>
        <v>8.9815518045748832E-2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608" t="s">
        <v>414</v>
      </c>
      <c r="G38" s="609" t="s">
        <v>414</v>
      </c>
      <c r="H38" s="609" t="s">
        <v>414</v>
      </c>
      <c r="I38" s="609" t="s">
        <v>414</v>
      </c>
      <c r="J38" s="613" t="s">
        <v>414</v>
      </c>
      <c r="K38" s="16">
        <v>29744.033272347042</v>
      </c>
      <c r="L38" s="412" t="str">
        <f>'Capex Category Summary (Alb)'!L38</f>
        <v>Derived from Core Energy customer number forecast</v>
      </c>
      <c r="M38" s="32"/>
      <c r="N38" s="362" t="str">
        <f t="shared" si="73"/>
        <v>14</v>
      </c>
      <c r="O38" s="362" t="str">
        <f t="shared" si="73"/>
        <v>New Main - I&amp;C&lt;10TJ</v>
      </c>
      <c r="P38" s="512"/>
      <c r="Q38" s="512"/>
      <c r="R38" s="599" t="s">
        <v>414</v>
      </c>
      <c r="S38" s="600" t="s">
        <v>414</v>
      </c>
      <c r="T38" s="600" t="s">
        <v>414</v>
      </c>
      <c r="U38" s="600" t="s">
        <v>414</v>
      </c>
      <c r="V38" s="601" t="s">
        <v>414</v>
      </c>
      <c r="W38" s="513"/>
      <c r="X38" s="514" t="str">
        <f>'Capex Category Summary (Alb)'!X38</f>
        <v>Attachment 8.4 Unit Rates Forecast</v>
      </c>
      <c r="Y38" s="32"/>
      <c r="Z38" s="29" t="str">
        <f t="shared" si="79"/>
        <v>14</v>
      </c>
      <c r="AA38" s="29" t="str">
        <f t="shared" si="79"/>
        <v>New Main - I&amp;C&lt;10TJ</v>
      </c>
      <c r="AB38" s="214"/>
      <c r="AC38" s="214"/>
      <c r="AD38" s="209">
        <v>2.2247927751032091</v>
      </c>
      <c r="AE38" s="210">
        <v>2.2379237684861684</v>
      </c>
      <c r="AF38" s="210">
        <v>2.2511439658709302</v>
      </c>
      <c r="AG38" s="210">
        <v>2.2644542392916485</v>
      </c>
      <c r="AH38" s="56">
        <v>2.277855473082214</v>
      </c>
      <c r="AI38" s="214">
        <f t="shared" si="74"/>
        <v>11.25617022183417</v>
      </c>
      <c r="AJ38" s="32"/>
      <c r="AK38" s="29" t="str">
        <f t="shared" si="75"/>
        <v>14</v>
      </c>
      <c r="AL38" s="29" t="str">
        <f t="shared" si="75"/>
        <v>New Main - I&amp;C&lt;10TJ</v>
      </c>
      <c r="AM38" s="214"/>
      <c r="AN38" s="214"/>
      <c r="AO38" s="209">
        <f>AD38*(1+'Real Cost Escalation'!E$18)</f>
        <v>2.2397699037652603</v>
      </c>
      <c r="AP38" s="210">
        <f>AE38*(1+'Real Cost Escalation'!F$18)</f>
        <v>2.265866616719256</v>
      </c>
      <c r="AQ38" s="210">
        <f>AF38*(1+'Real Cost Escalation'!G$18)</f>
        <v>2.2953498305216211</v>
      </c>
      <c r="AR38" s="210">
        <f>AG38*(1+'Real Cost Escalation'!H$18)</f>
        <v>2.3289445985028783</v>
      </c>
      <c r="AS38" s="56">
        <f>AH38*(1+'Real Cost Escalation'!I$18)</f>
        <v>2.3654818313995185</v>
      </c>
      <c r="AT38" s="214">
        <f>SUM(AO38:AS38)</f>
        <v>11.495412780908536</v>
      </c>
      <c r="AU38" s="66"/>
      <c r="AV38" s="29" t="str">
        <f t="shared" si="76"/>
        <v>14</v>
      </c>
      <c r="AW38" s="29" t="str">
        <f t="shared" si="76"/>
        <v>New Main - I&amp;C&lt;10TJ</v>
      </c>
      <c r="AX38" s="363"/>
      <c r="AY38" s="363"/>
      <c r="AZ38" s="209">
        <f t="shared" si="77"/>
        <v>1.4977128662051253E-2</v>
      </c>
      <c r="BA38" s="210">
        <f t="shared" si="77"/>
        <v>2.794284823308768E-2</v>
      </c>
      <c r="BB38" s="210">
        <f t="shared" si="77"/>
        <v>4.4205864650690874E-2</v>
      </c>
      <c r="BC38" s="210">
        <f t="shared" si="77"/>
        <v>6.4490359211229809E-2</v>
      </c>
      <c r="BD38" s="56">
        <f t="shared" si="77"/>
        <v>8.7626358317304476E-2</v>
      </c>
      <c r="BE38" s="214">
        <f t="shared" si="78"/>
        <v>0.23924255907436409</v>
      </c>
      <c r="BF38" s="32"/>
    </row>
    <row r="39" spans="1:58" ht="18" customHeight="1" thickBot="1" x14ac:dyDescent="0.25">
      <c r="A39" s="66"/>
      <c r="B39" s="24"/>
      <c r="C39" s="24" t="s">
        <v>81</v>
      </c>
      <c r="D39" s="22"/>
      <c r="E39" s="22"/>
      <c r="F39" s="26">
        <v>145289.32566040769</v>
      </c>
      <c r="G39" s="27">
        <v>141113.07784096416</v>
      </c>
      <c r="H39" s="27">
        <v>142858.82541632251</v>
      </c>
      <c r="I39" s="27">
        <v>145272.71095490572</v>
      </c>
      <c r="J39" s="28">
        <v>147689.4292095858</v>
      </c>
      <c r="K39" s="26">
        <v>722223.36908218579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81</v>
      </c>
      <c r="AB39" s="212"/>
      <c r="AC39" s="212"/>
      <c r="AD39" s="211">
        <f>SUM(AD36:AD38)</f>
        <v>9.536301167112768</v>
      </c>
      <c r="AE39" s="212">
        <f t="shared" ref="AE39:AI39" si="80">SUM(AE36:AE38)</f>
        <v>9.3277707424974245</v>
      </c>
      <c r="AF39" s="212">
        <f t="shared" si="80"/>
        <v>9.4306068760581674</v>
      </c>
      <c r="AG39" s="212">
        <f t="shared" si="80"/>
        <v>9.5686360636015984</v>
      </c>
      <c r="AH39" s="213">
        <f t="shared" si="80"/>
        <v>9.7068865381083071</v>
      </c>
      <c r="AI39" s="211">
        <f t="shared" si="80"/>
        <v>47.570201387378262</v>
      </c>
      <c r="AJ39" s="32"/>
      <c r="AK39" s="24"/>
      <c r="AL39" s="24" t="s">
        <v>81</v>
      </c>
      <c r="AM39" s="212"/>
      <c r="AN39" s="212"/>
      <c r="AO39" s="211">
        <f>SUM(AO36:AO38)</f>
        <v>9.6004987908817032</v>
      </c>
      <c r="AP39" s="212">
        <f t="shared" ref="AP39:AT39" si="81">SUM(AP36:AP38)</f>
        <v>9.4442378384195287</v>
      </c>
      <c r="AQ39" s="212">
        <f t="shared" si="81"/>
        <v>9.6157963341546946</v>
      </c>
      <c r="AR39" s="212">
        <f t="shared" si="81"/>
        <v>9.8411453359003502</v>
      </c>
      <c r="AS39" s="213">
        <f t="shared" si="81"/>
        <v>10.080298779571882</v>
      </c>
      <c r="AT39" s="211">
        <f t="shared" si="81"/>
        <v>48.581977078928162</v>
      </c>
      <c r="AU39" s="66"/>
      <c r="AV39" s="24"/>
      <c r="AW39" s="24" t="s">
        <v>81</v>
      </c>
      <c r="AX39" s="268"/>
      <c r="AY39" s="268"/>
      <c r="AZ39" s="211">
        <f>SUM(AZ36:AZ38)</f>
        <v>6.4197623768934009E-2</v>
      </c>
      <c r="BA39" s="212">
        <f t="shared" ref="BA39:BE39" si="82">SUM(BA36:BA38)</f>
        <v>0.11646709592210625</v>
      </c>
      <c r="BB39" s="212">
        <f t="shared" si="82"/>
        <v>0.18518945809652665</v>
      </c>
      <c r="BC39" s="212">
        <f t="shared" si="82"/>
        <v>0.27250927229875377</v>
      </c>
      <c r="BD39" s="213">
        <f t="shared" si="82"/>
        <v>0.37341224146357332</v>
      </c>
      <c r="BE39" s="211">
        <f t="shared" si="82"/>
        <v>1.0117756915498939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7" t="s">
        <v>193</v>
      </c>
      <c r="C41" s="357"/>
      <c r="D41" s="358"/>
      <c r="E41" s="358"/>
      <c r="F41" s="358"/>
      <c r="G41" s="358"/>
      <c r="H41" s="358"/>
      <c r="I41" s="358"/>
      <c r="J41" s="358"/>
      <c r="K41" s="358"/>
      <c r="L41" s="358"/>
      <c r="M41" s="32"/>
      <c r="N41" s="357" t="s">
        <v>190</v>
      </c>
      <c r="O41" s="357"/>
      <c r="P41" s="358"/>
      <c r="Q41" s="358"/>
      <c r="R41" s="358"/>
      <c r="S41" s="358"/>
      <c r="T41" s="358"/>
      <c r="U41" s="358"/>
      <c r="V41" s="358"/>
      <c r="W41" s="358"/>
      <c r="X41" s="358"/>
      <c r="Y41" s="70"/>
      <c r="Z41" s="357" t="s">
        <v>207</v>
      </c>
      <c r="AA41" s="357"/>
      <c r="AB41" s="358"/>
      <c r="AC41" s="358"/>
      <c r="AD41" s="358"/>
      <c r="AE41" s="358"/>
      <c r="AF41" s="358"/>
      <c r="AG41" s="358"/>
      <c r="AH41" s="358"/>
      <c r="AI41" s="358"/>
      <c r="AJ41" s="32"/>
      <c r="AK41" s="357" t="s">
        <v>256</v>
      </c>
      <c r="AL41" s="357"/>
      <c r="AM41" s="358"/>
      <c r="AN41" s="358"/>
      <c r="AO41" s="358"/>
      <c r="AP41" s="358"/>
      <c r="AQ41" s="358"/>
      <c r="AR41" s="358"/>
      <c r="AS41" s="358"/>
      <c r="AT41" s="358"/>
      <c r="AU41" s="66"/>
      <c r="AV41" s="357" t="s">
        <v>261</v>
      </c>
      <c r="AW41" s="357"/>
      <c r="AX41" s="358"/>
      <c r="AY41" s="358"/>
      <c r="AZ41" s="358"/>
      <c r="BA41" s="358"/>
      <c r="BB41" s="358"/>
      <c r="BC41" s="358"/>
      <c r="BD41" s="358"/>
      <c r="BE41" s="358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83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75</v>
      </c>
      <c r="L43" s="30" t="s">
        <v>104</v>
      </c>
      <c r="M43" s="32"/>
      <c r="N43" s="10" t="s">
        <v>184</v>
      </c>
      <c r="O43" s="11"/>
      <c r="P43" s="3"/>
      <c r="Q43" s="4"/>
      <c r="R43" s="5">
        <f t="shared" ref="R43:W43" si="83">F43</f>
        <v>2018</v>
      </c>
      <c r="S43" s="4">
        <f t="shared" si="83"/>
        <v>2019</v>
      </c>
      <c r="T43" s="4">
        <f t="shared" si="83"/>
        <v>2020</v>
      </c>
      <c r="U43" s="4">
        <f t="shared" si="83"/>
        <v>2021</v>
      </c>
      <c r="V43" s="6">
        <f t="shared" si="83"/>
        <v>2022</v>
      </c>
      <c r="W43" s="3" t="str">
        <f t="shared" si="83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84">R43</f>
        <v>2018</v>
      </c>
      <c r="AE43" s="4">
        <f t="shared" si="84"/>
        <v>2019</v>
      </c>
      <c r="AF43" s="4">
        <f t="shared" si="84"/>
        <v>2020</v>
      </c>
      <c r="AG43" s="4">
        <f t="shared" si="84"/>
        <v>2021</v>
      </c>
      <c r="AH43" s="6">
        <f t="shared" si="84"/>
        <v>2022</v>
      </c>
      <c r="AI43" s="3" t="str">
        <f t="shared" si="84"/>
        <v>Total for 
2018-2022</v>
      </c>
      <c r="AJ43" s="32"/>
      <c r="AK43" s="10"/>
      <c r="AL43" s="11"/>
      <c r="AM43" s="3"/>
      <c r="AN43" s="4"/>
      <c r="AO43" s="5">
        <f t="shared" ref="AO43:AT43" si="85">AD43</f>
        <v>2018</v>
      </c>
      <c r="AP43" s="4">
        <f t="shared" si="85"/>
        <v>2019</v>
      </c>
      <c r="AQ43" s="4">
        <f t="shared" si="85"/>
        <v>2020</v>
      </c>
      <c r="AR43" s="4">
        <f t="shared" si="85"/>
        <v>2021</v>
      </c>
      <c r="AS43" s="6">
        <f t="shared" si="85"/>
        <v>2022</v>
      </c>
      <c r="AT43" s="3" t="str">
        <f t="shared" si="85"/>
        <v>Total for 
2018-2022</v>
      </c>
      <c r="AU43" s="66"/>
      <c r="AV43" s="10"/>
      <c r="AW43" s="11"/>
      <c r="AX43" s="3"/>
      <c r="AY43" s="4"/>
      <c r="AZ43" s="5">
        <f t="shared" ref="AZ43:BE43" si="86">AO43</f>
        <v>2018</v>
      </c>
      <c r="BA43" s="4">
        <f t="shared" si="86"/>
        <v>2019</v>
      </c>
      <c r="BB43" s="4">
        <f t="shared" si="86"/>
        <v>2020</v>
      </c>
      <c r="BC43" s="4">
        <f t="shared" si="86"/>
        <v>2021</v>
      </c>
      <c r="BD43" s="6">
        <f t="shared" si="86"/>
        <v>2022</v>
      </c>
      <c r="BE43" s="3" t="str">
        <f t="shared" si="86"/>
        <v>Total for 
2018-2022</v>
      </c>
      <c r="BF43" s="32"/>
    </row>
    <row r="44" spans="1:58" ht="20.100000000000001" customHeight="1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605" t="s">
        <v>414</v>
      </c>
      <c r="G44" s="606" t="s">
        <v>414</v>
      </c>
      <c r="H44" s="606" t="s">
        <v>414</v>
      </c>
      <c r="I44" s="606" t="s">
        <v>414</v>
      </c>
      <c r="J44" s="607" t="s">
        <v>414</v>
      </c>
      <c r="K44" s="14">
        <v>78320.774231369171</v>
      </c>
      <c r="L44" s="412" t="str">
        <f>'Capex Category Summary (Alb)'!L44</f>
        <v>Derived from Core Energy customer number forecast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6" t="s">
        <v>414</v>
      </c>
      <c r="S44" s="597" t="s">
        <v>414</v>
      </c>
      <c r="T44" s="597" t="s">
        <v>414</v>
      </c>
      <c r="U44" s="597" t="s">
        <v>414</v>
      </c>
      <c r="V44" s="598" t="s">
        <v>414</v>
      </c>
      <c r="W44" s="62"/>
      <c r="X44" s="412" t="str">
        <f>'Capex Category Summary (Alb)'!X44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4"/>
      <c r="AC44" s="214"/>
      <c r="AD44" s="209">
        <v>3.652775959151541</v>
      </c>
      <c r="AE44" s="210">
        <v>3.5405502072113499</v>
      </c>
      <c r="AF44" s="210">
        <v>3.5851223497506104</v>
      </c>
      <c r="AG44" s="210">
        <v>3.6473672650599731</v>
      </c>
      <c r="AH44" s="56">
        <v>3.7096670189256358</v>
      </c>
      <c r="AI44" s="214">
        <f t="shared" ref="AI44:AI45" si="87">SUM(AD44:AH44)</f>
        <v>18.135482800099112</v>
      </c>
      <c r="AJ44" s="32"/>
      <c r="AK44" s="29" t="str">
        <f>N44</f>
        <v>15</v>
      </c>
      <c r="AL44" s="29" t="str">
        <f>O44</f>
        <v>New Meter - Domestic</v>
      </c>
      <c r="AM44" s="363"/>
      <c r="AN44" s="363"/>
      <c r="AO44" s="209">
        <f>AD44*(1-'Real Cost Escalation'!E$25)</f>
        <v>3.652775959151541</v>
      </c>
      <c r="AP44" s="210">
        <f>AE44*(1-'Real Cost Escalation'!F$25)</f>
        <v>3.5278573347184974</v>
      </c>
      <c r="AQ44" s="210">
        <f>AF44*(1-'Real Cost Escalation'!G$25)</f>
        <v>3.5722236093276631</v>
      </c>
      <c r="AR44" s="210">
        <f>AG44*(1+'Real Cost Escalation'!H$18)</f>
        <v>3.7512421948411014</v>
      </c>
      <c r="AS44" s="56">
        <f>AH44*(1+'Real Cost Escalation'!I$18)</f>
        <v>3.8523734440169575</v>
      </c>
      <c r="AT44" s="214">
        <f t="shared" ref="AT44:AT45" si="88">SUM(AO44:AS44)</f>
        <v>18.356472542055759</v>
      </c>
      <c r="AU44" s="66"/>
      <c r="AV44" s="29" t="str">
        <f>Z44</f>
        <v>15</v>
      </c>
      <c r="AW44" s="29" t="str">
        <f>AA44</f>
        <v>New Meter - Domestic</v>
      </c>
      <c r="AX44" s="363"/>
      <c r="AY44" s="363"/>
      <c r="AZ44" s="209">
        <f t="shared" ref="AZ44:BD45" si="89">AO44-AD44</f>
        <v>0</v>
      </c>
      <c r="BA44" s="210">
        <f t="shared" si="89"/>
        <v>-1.2692872492852558E-2</v>
      </c>
      <c r="BB44" s="210">
        <f t="shared" si="89"/>
        <v>-1.2898740422947252E-2</v>
      </c>
      <c r="BC44" s="210">
        <f t="shared" si="89"/>
        <v>0.10387492978112833</v>
      </c>
      <c r="BD44" s="56">
        <f t="shared" si="89"/>
        <v>0.1427064250913217</v>
      </c>
      <c r="BE44" s="214">
        <f t="shared" ref="BE44:BE45" si="90">SUM(AZ44:BD44)</f>
        <v>0.22098974195665022</v>
      </c>
      <c r="BF44" s="32"/>
    </row>
    <row r="45" spans="1:58" ht="20.100000000000001" customHeight="1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610" t="s">
        <v>414</v>
      </c>
      <c r="G45" s="611" t="s">
        <v>414</v>
      </c>
      <c r="H45" s="611" t="s">
        <v>414</v>
      </c>
      <c r="I45" s="611" t="s">
        <v>414</v>
      </c>
      <c r="J45" s="612" t="s">
        <v>414</v>
      </c>
      <c r="K45" s="17">
        <v>1803.173974917672</v>
      </c>
      <c r="L45" s="412" t="str">
        <f>'Capex Category Summary (Alb)'!L45</f>
        <v>Derived from Core Energy customer number forecast</v>
      </c>
      <c r="M45" s="32"/>
      <c r="N45" s="362" t="str">
        <f>B45</f>
        <v>16</v>
      </c>
      <c r="O45" s="362" t="str">
        <f>C45</f>
        <v>New Meter - I&amp;C&lt;10TJ</v>
      </c>
      <c r="P45" s="512"/>
      <c r="Q45" s="512"/>
      <c r="R45" s="599" t="s">
        <v>414</v>
      </c>
      <c r="S45" s="600" t="s">
        <v>414</v>
      </c>
      <c r="T45" s="600" t="s">
        <v>414</v>
      </c>
      <c r="U45" s="600" t="s">
        <v>414</v>
      </c>
      <c r="V45" s="601" t="s">
        <v>414</v>
      </c>
      <c r="W45" s="512"/>
      <c r="X45" s="514" t="str">
        <f>'Capex Category Summary (Alb)'!X45</f>
        <v>Attachment 8.4 Unit Rates Forecast</v>
      </c>
      <c r="Y45" s="32"/>
      <c r="Z45" s="29" t="str">
        <f t="shared" ref="Z45:AA45" si="91">B45</f>
        <v>16</v>
      </c>
      <c r="AA45" s="29" t="str">
        <f t="shared" si="91"/>
        <v>New Meter - I&amp;C&lt;10TJ</v>
      </c>
      <c r="AB45" s="214"/>
      <c r="AC45" s="214"/>
      <c r="AD45" s="209">
        <v>2.5849685603581878</v>
      </c>
      <c r="AE45" s="210">
        <v>2.6002291222201923</v>
      </c>
      <c r="AF45" s="210">
        <v>2.6155935592054371</v>
      </c>
      <c r="AG45" s="210">
        <v>2.6310628914869412</v>
      </c>
      <c r="AH45" s="56">
        <v>2.6466381536839827</v>
      </c>
      <c r="AI45" s="214">
        <f t="shared" si="87"/>
        <v>13.07849228695474</v>
      </c>
      <c r="AJ45" s="32"/>
      <c r="AK45" s="29" t="str">
        <f>N45</f>
        <v>16</v>
      </c>
      <c r="AL45" s="29" t="str">
        <f>O45</f>
        <v>New Meter - I&amp;C&lt;10TJ</v>
      </c>
      <c r="AM45" s="363"/>
      <c r="AN45" s="363"/>
      <c r="AO45" s="209">
        <f>AD45*(1+'Real Cost Escalation'!E$18)</f>
        <v>2.6023703638650542</v>
      </c>
      <c r="AP45" s="210">
        <f>AE45*(1+'Real Cost Escalation'!F$18)</f>
        <v>2.6326957364796235</v>
      </c>
      <c r="AQ45" s="210">
        <f>AF45*(1+'Real Cost Escalation'!G$18)</f>
        <v>2.6669561449007158</v>
      </c>
      <c r="AR45" s="210">
        <f>AG45*(1+'Real Cost Escalation'!H$18)</f>
        <v>2.7059940550473085</v>
      </c>
      <c r="AS45" s="56">
        <f>AH45*(1+'Real Cost Escalation'!I$18)</f>
        <v>2.7484511378401515</v>
      </c>
      <c r="AT45" s="214">
        <f t="shared" si="88"/>
        <v>13.356467438132855</v>
      </c>
      <c r="AU45" s="66"/>
      <c r="AV45" s="29" t="str">
        <f>Z45</f>
        <v>16</v>
      </c>
      <c r="AW45" s="29" t="str">
        <f>AA45</f>
        <v>New Meter - I&amp;C&lt;10TJ</v>
      </c>
      <c r="AX45" s="363"/>
      <c r="AY45" s="363"/>
      <c r="AZ45" s="209">
        <f t="shared" si="89"/>
        <v>1.7401803506866376E-2</v>
      </c>
      <c r="BA45" s="210">
        <f t="shared" si="89"/>
        <v>3.2466614259431203E-2</v>
      </c>
      <c r="BB45" s="210">
        <f t="shared" si="89"/>
        <v>5.1362585695278629E-2</v>
      </c>
      <c r="BC45" s="210">
        <f t="shared" si="89"/>
        <v>7.4931163560367331E-2</v>
      </c>
      <c r="BD45" s="56">
        <f t="shared" si="89"/>
        <v>0.1018129841561688</v>
      </c>
      <c r="BE45" s="214">
        <f t="shared" si="90"/>
        <v>0.27797515117811233</v>
      </c>
      <c r="BF45" s="32"/>
    </row>
    <row r="46" spans="1:58" ht="20.100000000000001" customHeight="1" thickBot="1" x14ac:dyDescent="0.25">
      <c r="A46" s="66"/>
      <c r="B46" s="24"/>
      <c r="C46" s="24" t="s">
        <v>85</v>
      </c>
      <c r="D46" s="22"/>
      <c r="E46" s="22"/>
      <c r="F46" s="26">
        <v>16131.453107711694</v>
      </c>
      <c r="G46" s="27">
        <v>15648.893563805368</v>
      </c>
      <c r="H46" s="27">
        <v>15843.503321535716</v>
      </c>
      <c r="I46" s="27">
        <v>16114.450033808462</v>
      </c>
      <c r="J46" s="28">
        <v>16385.648179425603</v>
      </c>
      <c r="K46" s="27">
        <v>80123.948206286848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85</v>
      </c>
      <c r="AB46" s="212"/>
      <c r="AC46" s="212"/>
      <c r="AD46" s="211">
        <f>SUM(AD44:AD45)</f>
        <v>6.2377445195097287</v>
      </c>
      <c r="AE46" s="212">
        <f t="shared" ref="AE46:AI46" si="92">SUM(AE44:AE45)</f>
        <v>6.1407793294315418</v>
      </c>
      <c r="AF46" s="212">
        <f t="shared" si="92"/>
        <v>6.2007159089560471</v>
      </c>
      <c r="AG46" s="212">
        <f t="shared" si="92"/>
        <v>6.2784301565469143</v>
      </c>
      <c r="AH46" s="213">
        <f t="shared" si="92"/>
        <v>6.356305172609618</v>
      </c>
      <c r="AI46" s="212">
        <f t="shared" si="92"/>
        <v>31.213975087053853</v>
      </c>
      <c r="AJ46" s="32"/>
      <c r="AK46" s="24"/>
      <c r="AL46" s="24" t="s">
        <v>85</v>
      </c>
      <c r="AM46" s="268"/>
      <c r="AN46" s="268"/>
      <c r="AO46" s="211">
        <f>SUM(AO44:AO45)</f>
        <v>6.2551463230165947</v>
      </c>
      <c r="AP46" s="212">
        <f t="shared" ref="AP46:AT46" si="93">SUM(AP44:AP45)</f>
        <v>6.1605530711981213</v>
      </c>
      <c r="AQ46" s="212">
        <f t="shared" si="93"/>
        <v>6.2391797542283793</v>
      </c>
      <c r="AR46" s="212">
        <f t="shared" si="93"/>
        <v>6.4572362498884104</v>
      </c>
      <c r="AS46" s="213">
        <f t="shared" si="93"/>
        <v>6.6008245818571094</v>
      </c>
      <c r="AT46" s="212">
        <f t="shared" si="93"/>
        <v>31.712939980188615</v>
      </c>
      <c r="AU46" s="66"/>
      <c r="AV46" s="24"/>
      <c r="AW46" s="24" t="s">
        <v>85</v>
      </c>
      <c r="AX46" s="212"/>
      <c r="AY46" s="212"/>
      <c r="AZ46" s="211">
        <f>SUM(AZ44:AZ45)</f>
        <v>1.7401803506866376E-2</v>
      </c>
      <c r="BA46" s="212">
        <f t="shared" ref="BA46:BE46" si="94">SUM(BA44:BA45)</f>
        <v>1.9773741766578645E-2</v>
      </c>
      <c r="BB46" s="212">
        <f t="shared" si="94"/>
        <v>3.8463845272331376E-2</v>
      </c>
      <c r="BC46" s="212">
        <f t="shared" si="94"/>
        <v>0.17880609334149566</v>
      </c>
      <c r="BD46" s="213">
        <f t="shared" si="94"/>
        <v>0.24451940924749049</v>
      </c>
      <c r="BE46" s="212">
        <f t="shared" si="94"/>
        <v>0.49896489313476255</v>
      </c>
      <c r="BF46" s="32"/>
    </row>
    <row r="47" spans="1:58" ht="20.100000000000001" customHeight="1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7" t="s">
        <v>192</v>
      </c>
      <c r="C48" s="357"/>
      <c r="D48" s="358"/>
      <c r="E48" s="358"/>
      <c r="F48" s="358"/>
      <c r="G48" s="358"/>
      <c r="H48" s="358"/>
      <c r="I48" s="358"/>
      <c r="J48" s="358"/>
      <c r="K48" s="358"/>
      <c r="L48" s="358"/>
      <c r="M48" s="32"/>
      <c r="N48" s="357" t="s">
        <v>189</v>
      </c>
      <c r="O48" s="357"/>
      <c r="P48" s="358"/>
      <c r="Q48" s="358"/>
      <c r="R48" s="358"/>
      <c r="S48" s="358"/>
      <c r="T48" s="358"/>
      <c r="U48" s="358"/>
      <c r="V48" s="358"/>
      <c r="W48" s="358"/>
      <c r="X48" s="358"/>
      <c r="Y48" s="70"/>
      <c r="Z48" s="357" t="s">
        <v>206</v>
      </c>
      <c r="AA48" s="357"/>
      <c r="AB48" s="358"/>
      <c r="AC48" s="358"/>
      <c r="AD48" s="358"/>
      <c r="AE48" s="358"/>
      <c r="AF48" s="358"/>
      <c r="AG48" s="358"/>
      <c r="AH48" s="358"/>
      <c r="AI48" s="358"/>
      <c r="AJ48" s="32"/>
      <c r="AK48" s="357" t="s">
        <v>257</v>
      </c>
      <c r="AL48" s="357"/>
      <c r="AM48" s="358"/>
      <c r="AN48" s="358"/>
      <c r="AO48" s="358"/>
      <c r="AP48" s="358"/>
      <c r="AQ48" s="358"/>
      <c r="AR48" s="358"/>
      <c r="AS48" s="358"/>
      <c r="AT48" s="358"/>
      <c r="AU48" s="66"/>
      <c r="AV48" s="357" t="s">
        <v>262</v>
      </c>
      <c r="AW48" s="357"/>
      <c r="AX48" s="358"/>
      <c r="AY48" s="358"/>
      <c r="AZ48" s="358"/>
      <c r="BA48" s="358"/>
      <c r="BB48" s="358"/>
      <c r="BC48" s="358"/>
      <c r="BD48" s="358"/>
      <c r="BE48" s="358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84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75</v>
      </c>
      <c r="L50" s="30" t="s">
        <v>104</v>
      </c>
      <c r="M50" s="32"/>
      <c r="N50" s="10" t="s">
        <v>183</v>
      </c>
      <c r="O50" s="11"/>
      <c r="P50" s="332"/>
      <c r="Q50" s="333"/>
      <c r="R50" s="334">
        <f t="shared" ref="R50:W50" si="95">F50</f>
        <v>2018</v>
      </c>
      <c r="S50" s="333">
        <f t="shared" si="95"/>
        <v>2019</v>
      </c>
      <c r="T50" s="333">
        <f t="shared" si="95"/>
        <v>2020</v>
      </c>
      <c r="U50" s="333">
        <f t="shared" si="95"/>
        <v>2021</v>
      </c>
      <c r="V50" s="335">
        <f t="shared" si="95"/>
        <v>2022</v>
      </c>
      <c r="W50" s="3" t="str">
        <f t="shared" si="95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96">R50</f>
        <v>2018</v>
      </c>
      <c r="AE50" s="4">
        <f t="shared" si="96"/>
        <v>2019</v>
      </c>
      <c r="AF50" s="4">
        <f t="shared" si="96"/>
        <v>2020</v>
      </c>
      <c r="AG50" s="4">
        <f t="shared" si="96"/>
        <v>2021</v>
      </c>
      <c r="AH50" s="6">
        <f t="shared" si="96"/>
        <v>2022</v>
      </c>
      <c r="AI50" s="3" t="str">
        <f t="shared" si="96"/>
        <v>Total for 
2018-2022</v>
      </c>
      <c r="AJ50" s="32"/>
      <c r="AK50" s="10"/>
      <c r="AL50" s="11"/>
      <c r="AM50" s="3"/>
      <c r="AN50" s="4"/>
      <c r="AO50" s="5">
        <f t="shared" ref="AO50:AT50" si="97">AD50</f>
        <v>2018</v>
      </c>
      <c r="AP50" s="4">
        <f t="shared" si="97"/>
        <v>2019</v>
      </c>
      <c r="AQ50" s="4">
        <f t="shared" si="97"/>
        <v>2020</v>
      </c>
      <c r="AR50" s="4">
        <f t="shared" si="97"/>
        <v>2021</v>
      </c>
      <c r="AS50" s="6">
        <f t="shared" si="97"/>
        <v>2022</v>
      </c>
      <c r="AT50" s="3" t="str">
        <f t="shared" si="97"/>
        <v>Total for 
2018-2022</v>
      </c>
      <c r="AU50" s="66"/>
      <c r="AV50" s="10"/>
      <c r="AW50" s="11"/>
      <c r="AX50" s="3"/>
      <c r="AY50" s="4"/>
      <c r="AZ50" s="5">
        <f t="shared" ref="AZ50:BE50" si="98">AO50</f>
        <v>2018</v>
      </c>
      <c r="BA50" s="4">
        <f t="shared" si="98"/>
        <v>2019</v>
      </c>
      <c r="BB50" s="4">
        <f t="shared" si="98"/>
        <v>2020</v>
      </c>
      <c r="BC50" s="4">
        <f t="shared" si="98"/>
        <v>2021</v>
      </c>
      <c r="BD50" s="6">
        <f t="shared" si="98"/>
        <v>2022</v>
      </c>
      <c r="BE50" s="3" t="str">
        <f t="shared" si="98"/>
        <v>Total for 
2018-2022</v>
      </c>
      <c r="BF50" s="32"/>
    </row>
    <row r="51" spans="1:58" ht="20.100000000000001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605" t="s">
        <v>414</v>
      </c>
      <c r="G51" s="606" t="s">
        <v>414</v>
      </c>
      <c r="H51" s="606" t="s">
        <v>414</v>
      </c>
      <c r="I51" s="606" t="s">
        <v>414</v>
      </c>
      <c r="J51" s="607" t="s">
        <v>414</v>
      </c>
      <c r="K51" s="16">
        <v>60781.043135072156</v>
      </c>
      <c r="L51" s="412" t="str">
        <f>'Capex Category Summary (Alb)'!L51</f>
        <v>Derived from Core Energy customer number forecast</v>
      </c>
      <c r="M51" s="32"/>
      <c r="N51" s="29" t="str">
        <f t="shared" ref="N51:O54" si="99">B51</f>
        <v>17</v>
      </c>
      <c r="O51" s="29" t="str">
        <f t="shared" si="99"/>
        <v>New Service - New Home</v>
      </c>
      <c r="P51" s="41"/>
      <c r="Q51" s="41"/>
      <c r="R51" s="596" t="s">
        <v>414</v>
      </c>
      <c r="S51" s="597" t="s">
        <v>414</v>
      </c>
      <c r="T51" s="597" t="s">
        <v>414</v>
      </c>
      <c r="U51" s="597" t="s">
        <v>414</v>
      </c>
      <c r="V51" s="598" t="s">
        <v>414</v>
      </c>
      <c r="W51" s="42"/>
      <c r="X51" s="412" t="str">
        <f>'Capex Category Summary (Alb)'!X51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4"/>
      <c r="AC51" s="214"/>
      <c r="AD51" s="209">
        <v>12.17488580022107</v>
      </c>
      <c r="AE51" s="210">
        <v>11.801903863470603</v>
      </c>
      <c r="AF51" s="210">
        <v>11.950608927087483</v>
      </c>
      <c r="AG51" s="210">
        <v>12.158120365084301</v>
      </c>
      <c r="AH51" s="56">
        <v>12.365821996958131</v>
      </c>
      <c r="AI51" s="214">
        <f t="shared" ref="AI51:AI54" si="100">SUM(AD51:AH51)</f>
        <v>60.451340952821589</v>
      </c>
      <c r="AJ51" s="32"/>
      <c r="AK51" s="29" t="str">
        <f t="shared" ref="AK51:AL54" si="101">N51</f>
        <v>17</v>
      </c>
      <c r="AL51" s="29" t="str">
        <f t="shared" si="101"/>
        <v>New Service - New Home</v>
      </c>
      <c r="AM51" s="363"/>
      <c r="AN51" s="363"/>
      <c r="AO51" s="209">
        <f>AD51*(1+'Real Cost Escalation'!E$18)</f>
        <v>12.256846166649909</v>
      </c>
      <c r="AP51" s="210">
        <f>AE51*(1+'Real Cost Escalation'!F$18)</f>
        <v>11.949263131539652</v>
      </c>
      <c r="AQ51" s="210">
        <f>AF51*(1+'Real Cost Escalation'!G$18)</f>
        <v>12.185283834038529</v>
      </c>
      <c r="AR51" s="210">
        <f>AG51*(1+'Real Cost Escalation'!H$18)</f>
        <v>12.504376666524477</v>
      </c>
      <c r="AS51" s="56">
        <f>AH51*(1+'Real Cost Escalation'!I$18)</f>
        <v>12.841520285105997</v>
      </c>
      <c r="AT51" s="214">
        <f>SUM(AO51:AS51)</f>
        <v>61.737290083858568</v>
      </c>
      <c r="AU51" s="66"/>
      <c r="AV51" s="29" t="str">
        <f t="shared" ref="AV51:AW54" si="102">Z51</f>
        <v>17</v>
      </c>
      <c r="AW51" s="29" t="str">
        <f t="shared" si="102"/>
        <v>New Service - New Home</v>
      </c>
      <c r="AX51" s="363"/>
      <c r="AY51" s="363"/>
      <c r="AZ51" s="209">
        <f t="shared" ref="AZ51:BD54" si="103">AO51-AD51</f>
        <v>8.1960366428839748E-2</v>
      </c>
      <c r="BA51" s="210">
        <f t="shared" si="103"/>
        <v>0.14735926806904942</v>
      </c>
      <c r="BB51" s="210">
        <f t="shared" si="103"/>
        <v>0.23467490695104587</v>
      </c>
      <c r="BC51" s="210">
        <f t="shared" si="103"/>
        <v>0.34625630144017627</v>
      </c>
      <c r="BD51" s="56">
        <f t="shared" si="103"/>
        <v>0.47569828814786597</v>
      </c>
      <c r="BE51" s="214">
        <f t="shared" ref="BE51:BE54" si="104">SUM(AZ51:BD51)</f>
        <v>1.2859491310369773</v>
      </c>
      <c r="BF51" s="32"/>
    </row>
    <row r="52" spans="1:58" ht="20.100000000000001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608" t="s">
        <v>414</v>
      </c>
      <c r="G52" s="609" t="s">
        <v>414</v>
      </c>
      <c r="H52" s="609" t="s">
        <v>414</v>
      </c>
      <c r="I52" s="609" t="s">
        <v>414</v>
      </c>
      <c r="J52" s="609" t="s">
        <v>414</v>
      </c>
      <c r="K52" s="16">
        <v>4153.1799949284286</v>
      </c>
      <c r="L52" s="412" t="str">
        <f>'Capex Category Summary (Alb)'!L52</f>
        <v>Derived from Core Energy customer number forecast</v>
      </c>
      <c r="M52" s="32"/>
      <c r="N52" s="29" t="str">
        <f t="shared" si="99"/>
        <v>18</v>
      </c>
      <c r="O52" s="29" t="str">
        <f t="shared" si="99"/>
        <v>New Service - Exist Home</v>
      </c>
      <c r="P52" s="41"/>
      <c r="Q52" s="41"/>
      <c r="R52" s="596" t="s">
        <v>414</v>
      </c>
      <c r="S52" s="597" t="s">
        <v>414</v>
      </c>
      <c r="T52" s="597" t="s">
        <v>414</v>
      </c>
      <c r="U52" s="597" t="s">
        <v>414</v>
      </c>
      <c r="V52" s="598" t="s">
        <v>414</v>
      </c>
      <c r="W52" s="42"/>
      <c r="X52" s="412" t="str">
        <f>'Capex Category Summary (Alb)'!X52</f>
        <v>Attachment 8.4 Unit Rates Forecast</v>
      </c>
      <c r="Y52" s="32"/>
      <c r="Z52" s="29" t="str">
        <f t="shared" ref="Z52:AA54" si="105">B52</f>
        <v>18</v>
      </c>
      <c r="AA52" s="29" t="str">
        <f t="shared" si="105"/>
        <v>New Service - Exist Home</v>
      </c>
      <c r="AB52" s="214"/>
      <c r="AC52" s="214"/>
      <c r="AD52" s="209">
        <v>1.2583249247723014</v>
      </c>
      <c r="AE52" s="210">
        <v>1.2201086141780724</v>
      </c>
      <c r="AF52" s="210">
        <v>1.2355225745292853</v>
      </c>
      <c r="AG52" s="210">
        <v>1.2569840283637796</v>
      </c>
      <c r="AH52" s="56">
        <v>1.2784674417869555</v>
      </c>
      <c r="AI52" s="214">
        <f t="shared" si="100"/>
        <v>6.2494075836303944</v>
      </c>
      <c r="AJ52" s="32"/>
      <c r="AK52" s="29" t="str">
        <f t="shared" si="101"/>
        <v>18</v>
      </c>
      <c r="AL52" s="29" t="str">
        <f t="shared" si="101"/>
        <v>New Service - Exist Home</v>
      </c>
      <c r="AM52" s="363"/>
      <c r="AN52" s="363"/>
      <c r="AO52" s="209">
        <f>AD52*(1+'Real Cost Escalation'!E$18)</f>
        <v>1.2667958684520364</v>
      </c>
      <c r="AP52" s="210">
        <f>AE52*(1+'Real Cost Escalation'!F$18)</f>
        <v>1.2353429623332479</v>
      </c>
      <c r="AQ52" s="210">
        <f>AF52*(1+'Real Cost Escalation'!G$18)</f>
        <v>1.2597846139770308</v>
      </c>
      <c r="AR52" s="210">
        <f>AG52*(1+'Real Cost Escalation'!H$18)</f>
        <v>1.2927822132444406</v>
      </c>
      <c r="AS52" s="56">
        <f>AH52*(1+'Real Cost Escalation'!I$18)</f>
        <v>1.3276485454499745</v>
      </c>
      <c r="AT52" s="214">
        <f>SUM(AO52:AS52)</f>
        <v>6.38235420345673</v>
      </c>
      <c r="AU52" s="66"/>
      <c r="AV52" s="29" t="str">
        <f t="shared" si="102"/>
        <v>18</v>
      </c>
      <c r="AW52" s="29" t="str">
        <f t="shared" si="102"/>
        <v>New Service - Exist Home</v>
      </c>
      <c r="AX52" s="363"/>
      <c r="AY52" s="363"/>
      <c r="AZ52" s="209">
        <f t="shared" si="103"/>
        <v>8.4709436797349991E-3</v>
      </c>
      <c r="BA52" s="210">
        <f t="shared" si="103"/>
        <v>1.5234348155175548E-2</v>
      </c>
      <c r="BB52" s="210">
        <f t="shared" si="103"/>
        <v>2.426203944774552E-2</v>
      </c>
      <c r="BC52" s="210">
        <f t="shared" si="103"/>
        <v>3.5798184880660999E-2</v>
      </c>
      <c r="BD52" s="56">
        <f t="shared" si="103"/>
        <v>4.9181103663018977E-2</v>
      </c>
      <c r="BE52" s="214">
        <f t="shared" si="104"/>
        <v>0.13294661982633604</v>
      </c>
      <c r="BF52" s="32"/>
    </row>
    <row r="53" spans="1:58" ht="20.100000000000001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608" t="s">
        <v>414</v>
      </c>
      <c r="G53" s="609" t="s">
        <v>414</v>
      </c>
      <c r="H53" s="609" t="s">
        <v>414</v>
      </c>
      <c r="I53" s="609" t="s">
        <v>414</v>
      </c>
      <c r="J53" s="609" t="s">
        <v>414</v>
      </c>
      <c r="K53" s="16">
        <v>3346.6377753421466</v>
      </c>
      <c r="L53" s="412" t="str">
        <f>'Capex Category Summary (Alb)'!L53</f>
        <v>Derived from Core Energy customer number forecast</v>
      </c>
      <c r="M53" s="32"/>
      <c r="N53" s="29" t="str">
        <f t="shared" si="99"/>
        <v>19</v>
      </c>
      <c r="O53" s="29" t="str">
        <f t="shared" si="99"/>
        <v>New Service - Multi User</v>
      </c>
      <c r="P53" s="41"/>
      <c r="Q53" s="41"/>
      <c r="R53" s="596" t="s">
        <v>414</v>
      </c>
      <c r="S53" s="597" t="s">
        <v>414</v>
      </c>
      <c r="T53" s="597" t="s">
        <v>414</v>
      </c>
      <c r="U53" s="597" t="s">
        <v>414</v>
      </c>
      <c r="V53" s="598" t="s">
        <v>414</v>
      </c>
      <c r="W53" s="42"/>
      <c r="X53" s="412" t="str">
        <f>'Capex Category Summary (Alb)'!X53</f>
        <v>Attachment 8.4 Unit Rates Forecast</v>
      </c>
      <c r="Y53" s="32"/>
      <c r="Z53" s="29" t="str">
        <f t="shared" si="105"/>
        <v>19</v>
      </c>
      <c r="AA53" s="29" t="str">
        <f t="shared" si="105"/>
        <v>New Service - Multi User</v>
      </c>
      <c r="AB53" s="214"/>
      <c r="AC53" s="214"/>
      <c r="AD53" s="209">
        <v>3.3352228797998222</v>
      </c>
      <c r="AE53" s="210">
        <v>3.2310560220663627</v>
      </c>
      <c r="AF53" s="210">
        <v>3.2715255150816387</v>
      </c>
      <c r="AG53" s="210">
        <v>3.3282863451944649</v>
      </c>
      <c r="AH53" s="56">
        <v>3.3850855081691167</v>
      </c>
      <c r="AI53" s="214">
        <f t="shared" si="100"/>
        <v>16.551176270311405</v>
      </c>
      <c r="AJ53" s="32"/>
      <c r="AK53" s="29" t="str">
        <f t="shared" si="101"/>
        <v>19</v>
      </c>
      <c r="AL53" s="29" t="str">
        <f t="shared" si="101"/>
        <v>New Service - Multi User</v>
      </c>
      <c r="AM53" s="363"/>
      <c r="AN53" s="363"/>
      <c r="AO53" s="209">
        <f>AD53*(1+'Real Cost Escalation'!E$18)</f>
        <v>3.3576753359325342</v>
      </c>
      <c r="AP53" s="210">
        <f>AE53*(1+'Real Cost Escalation'!F$18)</f>
        <v>3.2713991782223371</v>
      </c>
      <c r="AQ53" s="210">
        <f>AF53*(1+'Real Cost Escalation'!G$18)</f>
        <v>3.3357686804737865</v>
      </c>
      <c r="AR53" s="210">
        <f>AG53*(1+'Real Cost Escalation'!H$18)</f>
        <v>3.4230740332099954</v>
      </c>
      <c r="AS53" s="56">
        <f>AH53*(1+'Real Cost Escalation'!I$18)</f>
        <v>3.5153056732229491</v>
      </c>
      <c r="AT53" s="214">
        <f>SUM(AO53:AS53)</f>
        <v>16.903222901061604</v>
      </c>
      <c r="AU53" s="66"/>
      <c r="AV53" s="29" t="str">
        <f t="shared" si="102"/>
        <v>19</v>
      </c>
      <c r="AW53" s="29" t="str">
        <f t="shared" si="102"/>
        <v>New Service - Multi User</v>
      </c>
      <c r="AX53" s="363"/>
      <c r="AY53" s="363"/>
      <c r="AZ53" s="209">
        <f t="shared" si="103"/>
        <v>2.2452456132711962E-2</v>
      </c>
      <c r="BA53" s="210">
        <f t="shared" si="103"/>
        <v>4.0343156155974391E-2</v>
      </c>
      <c r="BB53" s="210">
        <f t="shared" si="103"/>
        <v>6.4243165392147805E-2</v>
      </c>
      <c r="BC53" s="210">
        <f t="shared" si="103"/>
        <v>9.4787688015530502E-2</v>
      </c>
      <c r="BD53" s="56">
        <f t="shared" si="103"/>
        <v>0.13022016505383238</v>
      </c>
      <c r="BE53" s="214">
        <f t="shared" si="104"/>
        <v>0.35204663075019704</v>
      </c>
      <c r="BF53" s="32"/>
    </row>
    <row r="54" spans="1:58" ht="20.100000000000001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610" t="s">
        <v>414</v>
      </c>
      <c r="G54" s="611" t="s">
        <v>414</v>
      </c>
      <c r="H54" s="611" t="s">
        <v>414</v>
      </c>
      <c r="I54" s="611" t="s">
        <v>414</v>
      </c>
      <c r="J54" s="612" t="s">
        <v>414</v>
      </c>
      <c r="K54" s="16">
        <v>1803.173974917672</v>
      </c>
      <c r="L54" s="412" t="str">
        <f>'Capex Category Summary (Alb)'!L54</f>
        <v>Derived from Core Energy customer number forecast</v>
      </c>
      <c r="M54" s="32"/>
      <c r="N54" s="362" t="str">
        <f t="shared" si="99"/>
        <v>20</v>
      </c>
      <c r="O54" s="362" t="str">
        <f t="shared" si="99"/>
        <v>New Service - I&amp;C &lt; 10 Tj</v>
      </c>
      <c r="P54" s="512"/>
      <c r="Q54" s="512"/>
      <c r="R54" s="599" t="s">
        <v>414</v>
      </c>
      <c r="S54" s="600" t="s">
        <v>414</v>
      </c>
      <c r="T54" s="600" t="s">
        <v>414</v>
      </c>
      <c r="U54" s="600" t="s">
        <v>414</v>
      </c>
      <c r="V54" s="601" t="s">
        <v>414</v>
      </c>
      <c r="W54" s="513"/>
      <c r="X54" s="514" t="str">
        <f>'Capex Category Summary (Alb)'!X54</f>
        <v>Attachment 8.4 Unit Rates Forecast</v>
      </c>
      <c r="Y54" s="32"/>
      <c r="Z54" s="29" t="str">
        <f t="shared" si="105"/>
        <v>20</v>
      </c>
      <c r="AA54" s="29" t="str">
        <f t="shared" si="105"/>
        <v>New Service - I&amp;C &lt; 10 Tj</v>
      </c>
      <c r="AB54" s="214"/>
      <c r="AC54" s="214"/>
      <c r="AD54" s="209">
        <v>1.770565450234054</v>
      </c>
      <c r="AE54" s="210">
        <v>1.7810181203354967</v>
      </c>
      <c r="AF54" s="210">
        <v>1.79154193935038</v>
      </c>
      <c r="AG54" s="210">
        <v>1.802137606042753</v>
      </c>
      <c r="AH54" s="56">
        <v>1.8128058290715845</v>
      </c>
      <c r="AI54" s="214">
        <f t="shared" si="100"/>
        <v>8.9580689450342685</v>
      </c>
      <c r="AJ54" s="32"/>
      <c r="AK54" s="29" t="str">
        <f t="shared" si="101"/>
        <v>20</v>
      </c>
      <c r="AL54" s="29" t="str">
        <f t="shared" si="101"/>
        <v>New Service - I&amp;C &lt; 10 Tj</v>
      </c>
      <c r="AM54" s="363"/>
      <c r="AN54" s="363"/>
      <c r="AO54" s="209">
        <f>AD54*(1+'Real Cost Escalation'!E$18)</f>
        <v>1.782484756539563</v>
      </c>
      <c r="AP54" s="210">
        <f>AE54*(1+'Real Cost Escalation'!F$18)</f>
        <v>1.8032560176837955</v>
      </c>
      <c r="AQ54" s="210">
        <f>AF54*(1+'Real Cost Escalation'!G$18)</f>
        <v>1.8267225682606769</v>
      </c>
      <c r="AR54" s="210">
        <f>AG54*(1+'Real Cost Escalation'!H$18)</f>
        <v>1.8534614524447532</v>
      </c>
      <c r="AS54" s="56">
        <f>AH54*(1+'Real Cost Escalation'!I$18)</f>
        <v>1.882542287339054</v>
      </c>
      <c r="AT54" s="214">
        <f>SUM(AO54:AS54)</f>
        <v>9.1484670822678424</v>
      </c>
      <c r="AU54" s="66"/>
      <c r="AV54" s="29" t="str">
        <f t="shared" si="102"/>
        <v>20</v>
      </c>
      <c r="AW54" s="29" t="str">
        <f t="shared" si="102"/>
        <v>New Service - I&amp;C &lt; 10 Tj</v>
      </c>
      <c r="AX54" s="363"/>
      <c r="AY54" s="363"/>
      <c r="AZ54" s="209">
        <f t="shared" si="103"/>
        <v>1.191930630550897E-2</v>
      </c>
      <c r="BA54" s="210">
        <f t="shared" si="103"/>
        <v>2.2237897348298841E-2</v>
      </c>
      <c r="BB54" s="210">
        <f t="shared" si="103"/>
        <v>3.5180628910296941E-2</v>
      </c>
      <c r="BC54" s="210">
        <f t="shared" si="103"/>
        <v>5.1323846402000273E-2</v>
      </c>
      <c r="BD54" s="56">
        <f t="shared" si="103"/>
        <v>6.9736458267469548E-2</v>
      </c>
      <c r="BE54" s="214">
        <f t="shared" si="104"/>
        <v>0.19039813723357457</v>
      </c>
      <c r="BF54" s="32"/>
    </row>
    <row r="55" spans="1:58" ht="20.100000000000001" customHeight="1" thickBot="1" x14ac:dyDescent="0.25">
      <c r="A55" s="66"/>
      <c r="B55" s="24"/>
      <c r="C55" s="24" t="s">
        <v>82</v>
      </c>
      <c r="D55" s="27"/>
      <c r="E55" s="27"/>
      <c r="F55" s="26">
        <v>14108.312994326841</v>
      </c>
      <c r="G55" s="27">
        <v>13688.940876257095</v>
      </c>
      <c r="H55" s="27">
        <v>13859.00191336567</v>
      </c>
      <c r="I55" s="27">
        <v>14095.517609658706</v>
      </c>
      <c r="J55" s="28">
        <v>14332.261486652094</v>
      </c>
      <c r="K55" s="27">
        <v>70084.034880260398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82</v>
      </c>
      <c r="AB55" s="212"/>
      <c r="AC55" s="212"/>
      <c r="AD55" s="211">
        <f>SUM(AD51:AD54)</f>
        <v>18.538999055027247</v>
      </c>
      <c r="AE55" s="212">
        <f t="shared" ref="AE55:AI55" si="106">SUM(AE51:AE54)</f>
        <v>18.034086620050534</v>
      </c>
      <c r="AF55" s="212">
        <f t="shared" si="106"/>
        <v>18.24919895604879</v>
      </c>
      <c r="AG55" s="212">
        <f t="shared" si="106"/>
        <v>18.545528344685298</v>
      </c>
      <c r="AH55" s="213">
        <f t="shared" si="106"/>
        <v>18.842180775985788</v>
      </c>
      <c r="AI55" s="212">
        <f t="shared" si="106"/>
        <v>92.209993751797654</v>
      </c>
      <c r="AJ55" s="32"/>
      <c r="AK55" s="24"/>
      <c r="AL55" s="24" t="s">
        <v>82</v>
      </c>
      <c r="AM55" s="268"/>
      <c r="AN55" s="268"/>
      <c r="AO55" s="211">
        <f>SUM(AO51:AO54)</f>
        <v>18.663802127574044</v>
      </c>
      <c r="AP55" s="212">
        <f t="shared" ref="AP55:AT55" si="107">SUM(AP51:AP54)</f>
        <v>18.259261289779037</v>
      </c>
      <c r="AQ55" s="212">
        <f t="shared" si="107"/>
        <v>18.607559696750023</v>
      </c>
      <c r="AR55" s="212">
        <f t="shared" si="107"/>
        <v>19.07369436542367</v>
      </c>
      <c r="AS55" s="213">
        <f t="shared" si="107"/>
        <v>19.567016791117975</v>
      </c>
      <c r="AT55" s="212">
        <f t="shared" si="107"/>
        <v>94.171334270644735</v>
      </c>
      <c r="AU55" s="66"/>
      <c r="AV55" s="24"/>
      <c r="AW55" s="24" t="s">
        <v>82</v>
      </c>
      <c r="AX55" s="212"/>
      <c r="AY55" s="212"/>
      <c r="AZ55" s="211">
        <f>SUM(AZ51:AZ54)</f>
        <v>0.12480307254679568</v>
      </c>
      <c r="BA55" s="212">
        <f t="shared" ref="BA55:BE55" si="108">SUM(BA51:BA54)</f>
        <v>0.2251746697284982</v>
      </c>
      <c r="BB55" s="212">
        <f t="shared" si="108"/>
        <v>0.35836074070123614</v>
      </c>
      <c r="BC55" s="212">
        <f t="shared" si="108"/>
        <v>0.52816602073836805</v>
      </c>
      <c r="BD55" s="213">
        <f t="shared" si="108"/>
        <v>0.72483601513218687</v>
      </c>
      <c r="BE55" s="212">
        <f t="shared" si="108"/>
        <v>1.9613405188470849</v>
      </c>
      <c r="BF55" s="32"/>
    </row>
    <row r="56" spans="1:58" ht="20.100000000000001" customHeight="1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52"/>
      <c r="AC56" s="52"/>
      <c r="AD56" s="52"/>
      <c r="AE56" s="52"/>
      <c r="AF56" s="52"/>
      <c r="AG56" s="52"/>
      <c r="AH56" s="52"/>
      <c r="AI56" s="32"/>
      <c r="AJ56" s="32"/>
      <c r="AK56" s="32"/>
      <c r="AL56" s="32"/>
      <c r="AM56" s="32"/>
      <c r="AN56" s="32"/>
      <c r="AO56" s="37"/>
      <c r="AP56" s="37"/>
      <c r="AQ56" s="37"/>
      <c r="AR56" s="37"/>
      <c r="AS56" s="37"/>
      <c r="AT56" s="37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8" t="s">
        <v>240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7" t="s">
        <v>242</v>
      </c>
      <c r="C59" s="357"/>
      <c r="D59" s="358"/>
      <c r="E59" s="358"/>
      <c r="F59" s="358"/>
      <c r="G59" s="358"/>
      <c r="H59" s="358"/>
      <c r="I59" s="358"/>
      <c r="J59" s="358"/>
      <c r="K59" s="358"/>
      <c r="L59" s="358"/>
      <c r="M59" s="32"/>
      <c r="N59" s="357" t="s">
        <v>243</v>
      </c>
      <c r="O59" s="357"/>
      <c r="P59" s="358"/>
      <c r="Q59" s="358"/>
      <c r="R59" s="358"/>
      <c r="S59" s="358"/>
      <c r="T59" s="358"/>
      <c r="U59" s="358"/>
      <c r="V59" s="358"/>
      <c r="W59" s="358"/>
      <c r="X59" s="358"/>
      <c r="Y59" s="66"/>
      <c r="Z59" s="357" t="s">
        <v>244</v>
      </c>
      <c r="AA59" s="357"/>
      <c r="AB59" s="358"/>
      <c r="AC59" s="358"/>
      <c r="AD59" s="358"/>
      <c r="AE59" s="358"/>
      <c r="AF59" s="358"/>
      <c r="AG59" s="358"/>
      <c r="AH59" s="358"/>
      <c r="AI59" s="358"/>
      <c r="AJ59" s="32"/>
      <c r="AK59" s="357" t="s">
        <v>245</v>
      </c>
      <c r="AL59" s="357"/>
      <c r="AM59" s="358"/>
      <c r="AN59" s="358"/>
      <c r="AO59" s="358"/>
      <c r="AP59" s="358"/>
      <c r="AQ59" s="358"/>
      <c r="AR59" s="358"/>
      <c r="AS59" s="358"/>
      <c r="AT59" s="358"/>
      <c r="AU59" s="66"/>
      <c r="AV59" s="357" t="s">
        <v>263</v>
      </c>
      <c r="AW59" s="357"/>
      <c r="AX59" s="357"/>
      <c r="AY59" s="357"/>
      <c r="AZ59" s="357"/>
      <c r="BA59" s="357"/>
      <c r="BB59" s="357"/>
      <c r="BC59" s="357"/>
      <c r="BD59" s="357"/>
      <c r="BE59" s="357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264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264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7">
        <v>2018</v>
      </c>
      <c r="AE61" s="8">
        <v>2019</v>
      </c>
      <c r="AF61" s="8">
        <v>2020</v>
      </c>
      <c r="AG61" s="8">
        <v>2021</v>
      </c>
      <c r="AH61" s="9">
        <v>2022</v>
      </c>
      <c r="AI61" s="3" t="s">
        <v>75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75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75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3"/>
      <c r="AC62" s="363"/>
      <c r="AD62" s="521">
        <f>'Capex Category Summary (Vic)'!AD62+'Capex Category Summary (Alb)'!AD62</f>
        <v>0.26675599999999999</v>
      </c>
      <c r="AE62" s="215">
        <f>'Capex Category Summary (Vic)'!AE62+'Capex Category Summary (Alb)'!AE62</f>
        <v>0.25515599999999999</v>
      </c>
      <c r="AF62" s="215">
        <f>'Capex Category Summary (Vic)'!AF62+'Capex Category Summary (Alb)'!AF62</f>
        <v>0.248638</v>
      </c>
      <c r="AG62" s="215">
        <f>'Capex Category Summary (Vic)'!AG62+'Capex Category Summary (Alb)'!AG62</f>
        <v>0.25009999999999999</v>
      </c>
      <c r="AH62" s="216">
        <f>'Capex Category Summary (Vic)'!AH62+'Capex Category Summary (Alb)'!AH62</f>
        <v>0.13900000000000001</v>
      </c>
      <c r="AI62" s="214">
        <f>SUM(AD62:AH62)</f>
        <v>1.1596499999999998</v>
      </c>
      <c r="AJ62" s="32"/>
      <c r="AK62" s="29">
        <f t="shared" ref="AK62:AK69" si="109">$Z62</f>
        <v>21</v>
      </c>
      <c r="AL62" s="29" t="str">
        <f t="shared" ref="AL62:AL69" si="110">$AA62</f>
        <v>Telemetry</v>
      </c>
      <c r="AM62" s="363"/>
      <c r="AN62" s="363"/>
      <c r="AO62" s="209">
        <f>AD62*(1+'Real Cost Escalation'!E$18)</f>
        <v>0.26855178025337162</v>
      </c>
      <c r="AP62" s="210">
        <f>AE62*(1+'Real Cost Escalation'!F$18)</f>
        <v>0.25834189287274273</v>
      </c>
      <c r="AQ62" s="210">
        <f>AF62*(1+'Real Cost Escalation'!G$18)</f>
        <v>0.25352052103892708</v>
      </c>
      <c r="AR62" s="210">
        <f>AG62*(1+'Real Cost Escalation'!H$18)</f>
        <v>0.25722270469363689</v>
      </c>
      <c r="AS62" s="56">
        <f>AH62*(1+'Real Cost Escalation'!I$18)</f>
        <v>0.14434716269317308</v>
      </c>
      <c r="AT62" s="214">
        <f>SUM(AO62:AS62)</f>
        <v>1.1819840615518515</v>
      </c>
      <c r="AU62" s="32"/>
      <c r="AV62" s="29">
        <f t="shared" ref="AV62:AV69" si="111">$Z62</f>
        <v>21</v>
      </c>
      <c r="AW62" s="29" t="str">
        <f t="shared" ref="AW62:AW69" si="112">$AA62</f>
        <v>Telemetry</v>
      </c>
      <c r="AX62" s="15"/>
      <c r="AY62" s="15"/>
      <c r="AZ62" s="209">
        <f t="shared" ref="AZ62:BD69" si="113">AO62-AD62</f>
        <v>1.7957802533716261E-3</v>
      </c>
      <c r="BA62" s="210">
        <f t="shared" si="113"/>
        <v>3.1858928727427349E-3</v>
      </c>
      <c r="BB62" s="210">
        <f t="shared" si="113"/>
        <v>4.8825210389270846E-3</v>
      </c>
      <c r="BC62" s="210">
        <f t="shared" si="113"/>
        <v>7.1227046936369054E-3</v>
      </c>
      <c r="BD62" s="56">
        <f t="shared" si="113"/>
        <v>5.3471626931730631E-3</v>
      </c>
      <c r="BE62" s="214">
        <f>SUM(AZ62:BD62)</f>
        <v>2.2334061551851414E-2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3"/>
      <c r="AC63" s="363"/>
      <c r="AD63" s="209">
        <f>'Capex Category Summary (Vic)'!AD63+'Capex Category Summary (Alb)'!AD63</f>
        <v>2.3807279999999995</v>
      </c>
      <c r="AE63" s="210">
        <f>'Capex Category Summary (Vic)'!AE63+'Capex Category Summary (Alb)'!AE63</f>
        <v>4.3546110000000002</v>
      </c>
      <c r="AF63" s="210">
        <f>'Capex Category Summary (Vic)'!AF63+'Capex Category Summary (Alb)'!AF63</f>
        <v>9.7115519999999993</v>
      </c>
      <c r="AG63" s="210">
        <f>'Capex Category Summary (Vic)'!AG63+'Capex Category Summary (Alb)'!AG63</f>
        <v>5.5008200000000009</v>
      </c>
      <c r="AH63" s="56">
        <f>'Capex Category Summary (Vic)'!AH63+'Capex Category Summary (Alb)'!AH63</f>
        <v>2.6496019999999998</v>
      </c>
      <c r="AI63" s="214">
        <f t="shared" ref="AI63:AI69" si="114">SUM(AD63:AH63)</f>
        <v>24.597313</v>
      </c>
      <c r="AJ63" s="32"/>
      <c r="AK63" s="29">
        <f t="shared" si="109"/>
        <v>22</v>
      </c>
      <c r="AL63" s="29" t="str">
        <f t="shared" si="110"/>
        <v>Regulators</v>
      </c>
      <c r="AM63" s="363"/>
      <c r="AN63" s="363"/>
      <c r="AO63" s="209">
        <f>AD63*(1+'Real Cost Escalation'!E$18)</f>
        <v>2.3967548722392329</v>
      </c>
      <c r="AP63" s="210">
        <f>AE63*(1+'Real Cost Escalation'!F$18)</f>
        <v>4.4089829299113772</v>
      </c>
      <c r="AQ63" s="210">
        <f>AF63*(1+'Real Cost Escalation'!G$18)</f>
        <v>9.9022583962895219</v>
      </c>
      <c r="AR63" s="210">
        <f>AG63*(1+'Real Cost Escalation'!H$18)</f>
        <v>5.6574802016507473</v>
      </c>
      <c r="AS63" s="56">
        <f>AH63*(1+'Real Cost Escalation'!I$18)</f>
        <v>2.7515289997565233</v>
      </c>
      <c r="AT63" s="214">
        <f t="shared" ref="AT63:AT69" si="115">SUM(AO63:AS63)</f>
        <v>25.1170053998474</v>
      </c>
      <c r="AU63" s="32"/>
      <c r="AV63" s="29">
        <f t="shared" si="111"/>
        <v>22</v>
      </c>
      <c r="AW63" s="29" t="str">
        <f t="shared" si="112"/>
        <v>Regulators</v>
      </c>
      <c r="AX63" s="15"/>
      <c r="AY63" s="15"/>
      <c r="AZ63" s="209">
        <f t="shared" si="113"/>
        <v>1.6026872239233381E-2</v>
      </c>
      <c r="BA63" s="210">
        <f t="shared" si="113"/>
        <v>5.4371929911376959E-2</v>
      </c>
      <c r="BB63" s="210">
        <f t="shared" si="113"/>
        <v>0.19070639628952257</v>
      </c>
      <c r="BC63" s="210">
        <f t="shared" si="113"/>
        <v>0.15666020165074634</v>
      </c>
      <c r="BD63" s="56">
        <f t="shared" si="113"/>
        <v>0.10192699975652353</v>
      </c>
      <c r="BE63" s="214">
        <f t="shared" ref="BE63:BE69" si="116">SUM(AZ63:BD63)</f>
        <v>0.51969239984740279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3"/>
      <c r="AC64" s="363"/>
      <c r="AD64" s="209">
        <f>'Capex Category Summary (Vic)'!AD64+'Capex Category Summary (Alb)'!AD64</f>
        <v>11.305724141864102</v>
      </c>
      <c r="AE64" s="210">
        <f>'Capex Category Summary (Vic)'!AE64+'Capex Category Summary (Alb)'!AE64</f>
        <v>23.741341275136925</v>
      </c>
      <c r="AF64" s="210">
        <f>'Capex Category Summary (Vic)'!AF64+'Capex Category Summary (Alb)'!AF64</f>
        <v>16.143496686034588</v>
      </c>
      <c r="AG64" s="210">
        <f>'Capex Category Summary (Vic)'!AG64+'Capex Category Summary (Alb)'!AG64</f>
        <v>5.1362976861436298</v>
      </c>
      <c r="AH64" s="56">
        <f>'Capex Category Summary (Vic)'!AH64+'Capex Category Summary (Alb)'!AH64</f>
        <v>5.9936819469254905</v>
      </c>
      <c r="AI64" s="214">
        <f t="shared" si="114"/>
        <v>62.320541736104737</v>
      </c>
      <c r="AJ64" s="32"/>
      <c r="AK64" s="29">
        <f t="shared" si="109"/>
        <v>23</v>
      </c>
      <c r="AL64" s="29" t="str">
        <f t="shared" si="110"/>
        <v>Information Technology</v>
      </c>
      <c r="AM64" s="363"/>
      <c r="AN64" s="363"/>
      <c r="AO64" s="209">
        <f>AD64*(1+'Real Cost Escalation'!E$18)</f>
        <v>11.38183338088413</v>
      </c>
      <c r="AP64" s="210">
        <f>AE64*(1+'Real Cost Escalation'!F$18)</f>
        <v>24.037777063273641</v>
      </c>
      <c r="AQ64" s="210">
        <f>AF64*(1+'Real Cost Escalation'!G$18)</f>
        <v>16.460507610396164</v>
      </c>
      <c r="AR64" s="210">
        <f>AG64*(1+'Real Cost Escalation'!H$18)</f>
        <v>5.2825765011656669</v>
      </c>
      <c r="AS64" s="56">
        <f>AH64*(1+'Real Cost Escalation'!I$18)</f>
        <v>6.2242516771509937</v>
      </c>
      <c r="AT64" s="214">
        <f t="shared" si="115"/>
        <v>63.386946232870592</v>
      </c>
      <c r="AU64" s="32"/>
      <c r="AV64" s="29">
        <f t="shared" si="111"/>
        <v>23</v>
      </c>
      <c r="AW64" s="29" t="str">
        <f t="shared" si="112"/>
        <v>Information Technology</v>
      </c>
      <c r="AX64" s="15"/>
      <c r="AY64" s="15"/>
      <c r="AZ64" s="209">
        <f t="shared" si="113"/>
        <v>7.610923902002753E-2</v>
      </c>
      <c r="BA64" s="210">
        <f t="shared" si="113"/>
        <v>0.29643578813671567</v>
      </c>
      <c r="BB64" s="210">
        <f t="shared" si="113"/>
        <v>0.31701092436157552</v>
      </c>
      <c r="BC64" s="210">
        <f t="shared" si="113"/>
        <v>0.1462788150220371</v>
      </c>
      <c r="BD64" s="56">
        <f t="shared" si="113"/>
        <v>0.2305697302255032</v>
      </c>
      <c r="BE64" s="214">
        <f t="shared" si="116"/>
        <v>1.066404496765859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3"/>
      <c r="AC65" s="363"/>
      <c r="AD65" s="209">
        <f>'Capex Category Summary (Vic)'!AD65+'Capex Category Summary (Alb)'!AD65</f>
        <v>0.58140000000000003</v>
      </c>
      <c r="AE65" s="210">
        <f>'Capex Category Summary (Vic)'!AE65+'Capex Category Summary (Alb)'!AE65</f>
        <v>0.35439999999999994</v>
      </c>
      <c r="AF65" s="210">
        <f>'Capex Category Summary (Vic)'!AF65+'Capex Category Summary (Alb)'!AF65</f>
        <v>0.33839999999999998</v>
      </c>
      <c r="AG65" s="210">
        <f>'Capex Category Summary (Vic)'!AG65+'Capex Category Summary (Alb)'!AG65</f>
        <v>0.33239999999999997</v>
      </c>
      <c r="AH65" s="56">
        <f>'Capex Category Summary (Vic)'!AH65+'Capex Category Summary (Alb)'!AH65</f>
        <v>0.33169999999999999</v>
      </c>
      <c r="AI65" s="210">
        <f t="shared" si="114"/>
        <v>1.9382999999999999</v>
      </c>
      <c r="AJ65" s="32"/>
      <c r="AK65" s="29">
        <f t="shared" si="109"/>
        <v>24</v>
      </c>
      <c r="AL65" s="29" t="str">
        <f t="shared" si="110"/>
        <v>Other Distribution System</v>
      </c>
      <c r="AM65" s="363"/>
      <c r="AN65" s="363"/>
      <c r="AO65" s="209">
        <f>AD65*(1+'Real Cost Escalation'!E$18)</f>
        <v>0.58531393872793958</v>
      </c>
      <c r="AP65" s="210">
        <f>AE65*(1+'Real Cost Escalation'!F$18)</f>
        <v>0.35882505931312614</v>
      </c>
      <c r="AQ65" s="210">
        <f>AF65*(1+'Real Cost Escalation'!G$18)</f>
        <v>0.34504518343766</v>
      </c>
      <c r="AR65" s="210">
        <f>AG65*(1+'Real Cost Escalation'!H$18)</f>
        <v>0.34186656153604517</v>
      </c>
      <c r="AS65" s="56">
        <f>AH65*(1+'Real Cost Escalation'!I$18)</f>
        <v>0.3444600997505432</v>
      </c>
      <c r="AT65" s="209">
        <f t="shared" si="115"/>
        <v>1.9755108427653141</v>
      </c>
      <c r="AU65" s="32"/>
      <c r="AV65" s="29">
        <f t="shared" si="111"/>
        <v>24</v>
      </c>
      <c r="AW65" s="29" t="str">
        <f t="shared" si="112"/>
        <v>Other Distribution System</v>
      </c>
      <c r="AX65" s="32"/>
      <c r="AY65" s="32"/>
      <c r="AZ65" s="209">
        <f t="shared" si="113"/>
        <v>3.9139387279395477E-3</v>
      </c>
      <c r="BA65" s="210">
        <f t="shared" si="113"/>
        <v>4.4250593131262006E-3</v>
      </c>
      <c r="BB65" s="210">
        <f t="shared" si="113"/>
        <v>6.6451834376600183E-3</v>
      </c>
      <c r="BC65" s="210">
        <f t="shared" si="113"/>
        <v>9.4665615360451927E-3</v>
      </c>
      <c r="BD65" s="56">
        <f t="shared" si="113"/>
        <v>1.2760099750543208E-2</v>
      </c>
      <c r="BE65" s="209">
        <f t="shared" si="116"/>
        <v>3.7210842765314167E-2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3"/>
      <c r="AC66" s="363"/>
      <c r="AD66" s="209">
        <f>'Capex Category Summary (Vic)'!AD66+'Capex Category Summary (Alb)'!AD66</f>
        <v>1.6700000000000002</v>
      </c>
      <c r="AE66" s="210">
        <f>'Capex Category Summary (Vic)'!AE66+'Capex Category Summary (Alb)'!AE66</f>
        <v>1.6239999999999999</v>
      </c>
      <c r="AF66" s="210">
        <f>'Capex Category Summary (Vic)'!AF66+'Capex Category Summary (Alb)'!AF66</f>
        <v>1.214</v>
      </c>
      <c r="AG66" s="210">
        <f>'Capex Category Summary (Vic)'!AG66+'Capex Category Summary (Alb)'!AG66</f>
        <v>2.1360000000000001</v>
      </c>
      <c r="AH66" s="56">
        <f>'Capex Category Summary (Vic)'!AH66+'Capex Category Summary (Alb)'!AH66</f>
        <v>0.94600000000000006</v>
      </c>
      <c r="AI66" s="210">
        <f t="shared" si="114"/>
        <v>7.59</v>
      </c>
      <c r="AJ66" s="32"/>
      <c r="AK66" s="29">
        <f t="shared" si="109"/>
        <v>25</v>
      </c>
      <c r="AL66" s="29" t="str">
        <f t="shared" si="110"/>
        <v>Other Non-Distribution System</v>
      </c>
      <c r="AM66" s="363"/>
      <c r="AN66" s="363"/>
      <c r="AO66" s="209">
        <f>AD66*(1+'Real Cost Escalation'!E$18)</f>
        <v>1.6812423076636724</v>
      </c>
      <c r="AP66" s="210">
        <f>AE66*(1+'Real Cost Escalation'!F$18)</f>
        <v>1.6442773598321583</v>
      </c>
      <c r="AQ66" s="210">
        <f>AF66*(1+'Real Cost Escalation'!G$18)</f>
        <v>1.2378393992119363</v>
      </c>
      <c r="AR66" s="210">
        <f>AG66*(1+'Real Cost Escalation'!H$18)</f>
        <v>2.1968320560800016</v>
      </c>
      <c r="AS66" s="56">
        <f>AH66*(1+'Real Cost Escalation'!I$18)</f>
        <v>0.98239148135066001</v>
      </c>
      <c r="AT66" s="209">
        <f t="shared" si="115"/>
        <v>7.7425826041384287</v>
      </c>
      <c r="AU66" s="32"/>
      <c r="AV66" s="29">
        <f t="shared" si="111"/>
        <v>25</v>
      </c>
      <c r="AW66" s="29" t="str">
        <f t="shared" si="112"/>
        <v>Other Non-Distribution System</v>
      </c>
      <c r="AX66" s="32"/>
      <c r="AY66" s="32"/>
      <c r="AZ66" s="209">
        <f t="shared" si="113"/>
        <v>1.1242307663672291E-2</v>
      </c>
      <c r="BA66" s="210">
        <f t="shared" si="113"/>
        <v>2.0277359832158393E-2</v>
      </c>
      <c r="BB66" s="210">
        <f t="shared" si="113"/>
        <v>2.3839399211936341E-2</v>
      </c>
      <c r="BC66" s="210">
        <f t="shared" si="113"/>
        <v>6.0832056080001529E-2</v>
      </c>
      <c r="BD66" s="56">
        <f t="shared" si="113"/>
        <v>3.6391481350659949E-2</v>
      </c>
      <c r="BE66" s="209">
        <f t="shared" si="116"/>
        <v>0.1525826041384285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3"/>
      <c r="AC67" s="363"/>
      <c r="AD67" s="209">
        <f>'Capex Category Summary (Vic)'!AD67+'Capex Category Summary (Alb)'!AD67</f>
        <v>0</v>
      </c>
      <c r="AE67" s="210">
        <f>'Capex Category Summary (Vic)'!AE67+'Capex Category Summary (Alb)'!AE67</f>
        <v>0</v>
      </c>
      <c r="AF67" s="210">
        <f>'Capex Category Summary (Vic)'!AF67+'Capex Category Summary (Alb)'!AF67</f>
        <v>0</v>
      </c>
      <c r="AG67" s="210">
        <f>'Capex Category Summary (Vic)'!AG67+'Capex Category Summary (Alb)'!AG67</f>
        <v>0</v>
      </c>
      <c r="AH67" s="56">
        <f>'Capex Category Summary (Vic)'!AH67+'Capex Category Summary (Alb)'!AH67</f>
        <v>0</v>
      </c>
      <c r="AI67" s="210">
        <f t="shared" si="114"/>
        <v>0</v>
      </c>
      <c r="AJ67" s="32"/>
      <c r="AK67" s="29">
        <f t="shared" si="109"/>
        <v>26</v>
      </c>
      <c r="AL67" s="29" t="str">
        <f t="shared" si="110"/>
        <v>Large Consumers</v>
      </c>
      <c r="AM67" s="363"/>
      <c r="AN67" s="363"/>
      <c r="AO67" s="209">
        <f>AD67*(1+'Real Cost Escalation'!E$18)</f>
        <v>0</v>
      </c>
      <c r="AP67" s="210">
        <f>AE67*(1+'Real Cost Escalation'!F$18)</f>
        <v>0</v>
      </c>
      <c r="AQ67" s="210">
        <f>AF67*(1+'Real Cost Escalation'!G$18)</f>
        <v>0</v>
      </c>
      <c r="AR67" s="210">
        <f>AG67*(1+'Real Cost Escalation'!H$18)</f>
        <v>0</v>
      </c>
      <c r="AS67" s="56">
        <f>AH67*(1+'Real Cost Escalation'!I$18)</f>
        <v>0</v>
      </c>
      <c r="AT67" s="209">
        <f t="shared" si="115"/>
        <v>0</v>
      </c>
      <c r="AU67" s="32"/>
      <c r="AV67" s="29">
        <f t="shared" si="111"/>
        <v>26</v>
      </c>
      <c r="AW67" s="29" t="str">
        <f t="shared" si="112"/>
        <v>Large Consumers</v>
      </c>
      <c r="AX67" s="32"/>
      <c r="AY67" s="32"/>
      <c r="AZ67" s="209">
        <f t="shared" si="113"/>
        <v>0</v>
      </c>
      <c r="BA67" s="210">
        <f t="shared" si="113"/>
        <v>0</v>
      </c>
      <c r="BB67" s="210">
        <f t="shared" si="113"/>
        <v>0</v>
      </c>
      <c r="BC67" s="210">
        <f t="shared" si="113"/>
        <v>0</v>
      </c>
      <c r="BD67" s="56">
        <f t="shared" si="113"/>
        <v>0</v>
      </c>
      <c r="BE67" s="209">
        <f t="shared" si="116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3"/>
      <c r="AC68" s="363"/>
      <c r="AD68" s="209">
        <f>'Capex Category Summary (Vic)'!AD68+'Capex Category Summary (Alb)'!AD68</f>
        <v>5.6124999999999998</v>
      </c>
      <c r="AE68" s="210">
        <f>'Capex Category Summary (Vic)'!AE68+'Capex Category Summary (Alb)'!AE68</f>
        <v>9.1690000000000005</v>
      </c>
      <c r="AF68" s="210">
        <f>'Capex Category Summary (Vic)'!AF68+'Capex Category Summary (Alb)'!AF68</f>
        <v>7.24</v>
      </c>
      <c r="AG68" s="210">
        <f>'Capex Category Summary (Vic)'!AG68+'Capex Category Summary (Alb)'!AG68</f>
        <v>3.387</v>
      </c>
      <c r="AH68" s="56">
        <f>'Capex Category Summary (Vic)'!AH68+'Capex Category Summary (Alb)'!AH68</f>
        <v>2.0990000000000002</v>
      </c>
      <c r="AI68" s="210">
        <f t="shared" si="114"/>
        <v>27.507500000000004</v>
      </c>
      <c r="AJ68" s="32"/>
      <c r="AK68" s="29">
        <f t="shared" si="109"/>
        <v>27</v>
      </c>
      <c r="AL68" s="29" t="str">
        <f t="shared" si="110"/>
        <v>Mains Augmentation</v>
      </c>
      <c r="AM68" s="363"/>
      <c r="AN68" s="363"/>
      <c r="AO68" s="209">
        <f>AD68*(1+'Real Cost Escalation'!E$18)</f>
        <v>5.6502829052469226</v>
      </c>
      <c r="AP68" s="210">
        <f>AE68*(1+'Real Cost Escalation'!F$18)</f>
        <v>9.2834846750622297</v>
      </c>
      <c r="AQ68" s="210">
        <f>AF68*(1+'Real Cost Escalation'!G$18)</f>
        <v>7.3821723643281878</v>
      </c>
      <c r="AR68" s="210">
        <f>AG68*(1+'Real Cost Escalation'!H$18)</f>
        <v>3.4834598192616881</v>
      </c>
      <c r="AS68" s="56">
        <f>AH68*(1+'Real Cost Escalation'!I$18)</f>
        <v>2.179746003546549</v>
      </c>
      <c r="AT68" s="209">
        <f t="shared" si="115"/>
        <v>27.979145767445576</v>
      </c>
      <c r="AU68" s="32"/>
      <c r="AV68" s="29">
        <f t="shared" si="111"/>
        <v>27</v>
      </c>
      <c r="AW68" s="29" t="str">
        <f t="shared" si="112"/>
        <v>Mains Augmentation</v>
      </c>
      <c r="AX68" s="32"/>
      <c r="AY68" s="32"/>
      <c r="AZ68" s="209">
        <f t="shared" si="113"/>
        <v>3.7782905246922738E-2</v>
      </c>
      <c r="BA68" s="210">
        <f t="shared" si="113"/>
        <v>0.11448467506222926</v>
      </c>
      <c r="BB68" s="210">
        <f t="shared" si="113"/>
        <v>0.14217236432818758</v>
      </c>
      <c r="BC68" s="210">
        <f t="shared" si="113"/>
        <v>9.6459819261688118E-2</v>
      </c>
      <c r="BD68" s="56">
        <f t="shared" si="113"/>
        <v>8.0746003546548817E-2</v>
      </c>
      <c r="BE68" s="209">
        <f t="shared" si="116"/>
        <v>0.47164576744557651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3"/>
      <c r="AC69" s="363"/>
      <c r="AD69" s="209">
        <f>'Capex Category Summary (Vic)'!AD69+'Capex Category Summary (Alb)'!AD69</f>
        <v>0</v>
      </c>
      <c r="AE69" s="210">
        <f>'Capex Category Summary (Vic)'!AE69+'Capex Category Summary (Alb)'!AE69</f>
        <v>0</v>
      </c>
      <c r="AF69" s="210">
        <f>'Capex Category Summary (Vic)'!AF69+'Capex Category Summary (Alb)'!AF69</f>
        <v>0</v>
      </c>
      <c r="AG69" s="210">
        <f>'Capex Category Summary (Vic)'!AG69+'Capex Category Summary (Alb)'!AG69</f>
        <v>0</v>
      </c>
      <c r="AH69" s="56">
        <f>'Capex Category Summary (Vic)'!AH69+'Capex Category Summary (Alb)'!AH69</f>
        <v>0</v>
      </c>
      <c r="AI69" s="218">
        <f t="shared" si="114"/>
        <v>0</v>
      </c>
      <c r="AJ69" s="32"/>
      <c r="AK69" s="29">
        <f t="shared" si="109"/>
        <v>28</v>
      </c>
      <c r="AL69" s="29" t="str">
        <f t="shared" si="110"/>
        <v>Growth New Areas</v>
      </c>
      <c r="AM69" s="363"/>
      <c r="AN69" s="363"/>
      <c r="AO69" s="209">
        <f>AD69*(1+'Real Cost Escalation'!E$18)</f>
        <v>0</v>
      </c>
      <c r="AP69" s="210">
        <f>AE69*(1+'Real Cost Escalation'!F$18)</f>
        <v>0</v>
      </c>
      <c r="AQ69" s="210">
        <f>AF69*(1+'Real Cost Escalation'!G$18)</f>
        <v>0</v>
      </c>
      <c r="AR69" s="210">
        <f>AG69*(1+'Real Cost Escalation'!H$18)</f>
        <v>0</v>
      </c>
      <c r="AS69" s="56">
        <f>AH69*(1+'Real Cost Escalation'!I$18)</f>
        <v>0</v>
      </c>
      <c r="AT69" s="217">
        <f t="shared" si="115"/>
        <v>0</v>
      </c>
      <c r="AU69" s="32"/>
      <c r="AV69" s="29">
        <f t="shared" si="111"/>
        <v>28</v>
      </c>
      <c r="AW69" s="29" t="str">
        <f t="shared" si="112"/>
        <v>Growth New Areas</v>
      </c>
      <c r="AX69" s="32"/>
      <c r="AY69" s="32"/>
      <c r="AZ69" s="209">
        <f t="shared" si="113"/>
        <v>0</v>
      </c>
      <c r="BA69" s="210">
        <f t="shared" si="113"/>
        <v>0</v>
      </c>
      <c r="BB69" s="210">
        <f t="shared" si="113"/>
        <v>0</v>
      </c>
      <c r="BC69" s="210">
        <f t="shared" si="113"/>
        <v>0</v>
      </c>
      <c r="BD69" s="56">
        <f t="shared" si="113"/>
        <v>0</v>
      </c>
      <c r="BE69" s="217">
        <f t="shared" si="116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96</v>
      </c>
      <c r="AB70" s="268"/>
      <c r="AC70" s="268"/>
      <c r="AD70" s="211">
        <f>SUM(AD62:AD69)</f>
        <v>21.817108141864104</v>
      </c>
      <c r="AE70" s="212">
        <f t="shared" ref="AE70:AH70" si="117">SUM(AE62:AE69)</f>
        <v>39.498508275136928</v>
      </c>
      <c r="AF70" s="212">
        <f t="shared" si="117"/>
        <v>34.896086686034586</v>
      </c>
      <c r="AG70" s="212">
        <f t="shared" si="117"/>
        <v>16.742617686143632</v>
      </c>
      <c r="AH70" s="213">
        <f t="shared" si="117"/>
        <v>12.15898394692549</v>
      </c>
      <c r="AI70" s="212">
        <f>SUM(AI62:AI69)</f>
        <v>125.11330473610475</v>
      </c>
      <c r="AJ70" s="32"/>
      <c r="AK70" s="24"/>
      <c r="AL70" s="24" t="str">
        <f>AA70</f>
        <v>Total</v>
      </c>
      <c r="AM70" s="268"/>
      <c r="AN70" s="268"/>
      <c r="AO70" s="211">
        <f>SUM(AO62:AO69)</f>
        <v>21.963979185015269</v>
      </c>
      <c r="AP70" s="212">
        <f t="shared" ref="AP70:AT70" si="118">SUM(AP62:AP69)</f>
        <v>39.99168898026528</v>
      </c>
      <c r="AQ70" s="212">
        <f t="shared" si="118"/>
        <v>35.581343474702393</v>
      </c>
      <c r="AR70" s="212">
        <f t="shared" si="118"/>
        <v>17.219437844387787</v>
      </c>
      <c r="AS70" s="213">
        <f t="shared" si="118"/>
        <v>12.626725424248443</v>
      </c>
      <c r="AT70" s="328">
        <f t="shared" si="118"/>
        <v>127.38317490861917</v>
      </c>
      <c r="AU70" s="32"/>
      <c r="AV70" s="24"/>
      <c r="AW70" s="24" t="str">
        <f>AL70</f>
        <v>Total</v>
      </c>
      <c r="AX70" s="22"/>
      <c r="AY70" s="22"/>
      <c r="AZ70" s="211">
        <f>SUM(AZ62:AZ69)</f>
        <v>0.14687104315116711</v>
      </c>
      <c r="BA70" s="212">
        <f t="shared" ref="BA70:BD70" si="119">SUM(BA62:BA69)</f>
        <v>0.49318070512834922</v>
      </c>
      <c r="BB70" s="212">
        <f t="shared" si="119"/>
        <v>0.68525678866780915</v>
      </c>
      <c r="BC70" s="212">
        <f t="shared" si="119"/>
        <v>0.47682015824415519</v>
      </c>
      <c r="BD70" s="213">
        <f t="shared" si="119"/>
        <v>0.46774147732295174</v>
      </c>
      <c r="BE70" s="328">
        <f>SUM(BE62:BE69)</f>
        <v>2.2698701725144326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37"/>
      <c r="AA71" s="537"/>
      <c r="AB71" s="535"/>
      <c r="AC71" s="535"/>
      <c r="AD71" s="536"/>
      <c r="AE71" s="536"/>
      <c r="AF71" s="536"/>
      <c r="AG71" s="536"/>
      <c r="AH71" s="536"/>
      <c r="AI71" s="536"/>
      <c r="AJ71" s="32"/>
      <c r="AK71" s="532"/>
      <c r="AL71" s="532"/>
      <c r="AM71" s="533"/>
      <c r="AN71" s="533"/>
      <c r="AO71" s="534"/>
      <c r="AP71" s="534"/>
      <c r="AQ71" s="534"/>
      <c r="AR71" s="534"/>
      <c r="AS71" s="534"/>
      <c r="AT71" s="534"/>
      <c r="AU71" s="32"/>
      <c r="AV71" s="532"/>
      <c r="AW71" s="532"/>
      <c r="AX71" s="533"/>
      <c r="AY71" s="533"/>
      <c r="AZ71" s="534"/>
      <c r="BA71" s="534"/>
      <c r="BB71" s="534"/>
      <c r="BC71" s="534"/>
      <c r="BD71" s="534"/>
      <c r="BE71" s="534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52"/>
      <c r="AE72" s="52"/>
      <c r="AF72" s="52"/>
      <c r="AG72" s="52"/>
      <c r="AH72" s="5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8" t="s">
        <v>265</v>
      </c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264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264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266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4" t="s">
        <v>75</v>
      </c>
      <c r="AJ75" s="32"/>
      <c r="AK75" s="10" t="s">
        <v>251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4" t="s">
        <v>75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4" t="s">
        <v>75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7"/>
      <c r="AA76" s="327"/>
      <c r="AB76" s="327"/>
      <c r="AC76" s="327"/>
      <c r="AD76" s="211">
        <f>AD12+AD25+AD31+AD39+AD46+AD55+AD70</f>
        <v>98.334064954094885</v>
      </c>
      <c r="AE76" s="212">
        <f>AE12+AE25+AE31+AE39+AE46+AE55+AE70</f>
        <v>117.13409519769745</v>
      </c>
      <c r="AF76" s="212">
        <f>AF12+AF25+AF31+AF39+AF46+AF55+AF70</f>
        <v>112.90955865767862</v>
      </c>
      <c r="AG76" s="212">
        <f>AG12+AG25+AG31+AG39+AG46+AG55+AG70</f>
        <v>90.50366119856622</v>
      </c>
      <c r="AH76" s="212">
        <f>AH12+AH25+AH31+AH39+AH46+AH55+AH70</f>
        <v>60.495754924939767</v>
      </c>
      <c r="AI76" s="211">
        <f>SUM(AD76:AH76)</f>
        <v>479.3771349329769</v>
      </c>
      <c r="AJ76" s="32"/>
      <c r="AK76" s="327"/>
      <c r="AL76" s="327"/>
      <c r="AM76" s="327"/>
      <c r="AN76" s="327"/>
      <c r="AO76" s="211">
        <f>AO12+AO25+AO31+AO39+AO46+AO55+AO70</f>
        <v>98.928052689535463</v>
      </c>
      <c r="AP76" s="212">
        <f>AP12+AP25+AP31+AP39+AP46+AP55+AP70</f>
        <v>118.43613148005213</v>
      </c>
      <c r="AQ76" s="212">
        <f>AQ12+AQ25+AQ31+AQ39+AQ46+AQ55+AQ70</f>
        <v>114.89368081898611</v>
      </c>
      <c r="AR76" s="212">
        <f>AR12+AR25+AR31+AR39+AR46+AR55+AR70</f>
        <v>93.081153611242542</v>
      </c>
      <c r="AS76" s="213">
        <f>AS12+AS25+AS31+AS39+AS46+AS55+AS70</f>
        <v>62.822953801414435</v>
      </c>
      <c r="AT76" s="211">
        <f>SUM(AO76:AS76)</f>
        <v>488.16197240123068</v>
      </c>
      <c r="AU76" s="32"/>
      <c r="AV76" s="327"/>
      <c r="AW76" s="327"/>
      <c r="AX76" s="327"/>
      <c r="AY76" s="327"/>
      <c r="AZ76" s="211">
        <f>AO76-AD76</f>
        <v>0.59398773544057804</v>
      </c>
      <c r="BA76" s="212">
        <f>AP76-AE76</f>
        <v>1.3020362823546776</v>
      </c>
      <c r="BB76" s="212">
        <f>AQ76-AF76</f>
        <v>1.9841221613074964</v>
      </c>
      <c r="BC76" s="212">
        <f>AR76-AG76</f>
        <v>2.577492412676321</v>
      </c>
      <c r="BD76" s="213">
        <f>AS76-AH76</f>
        <v>2.3271988764746681</v>
      </c>
      <c r="BE76" s="211">
        <f>SUM(AZ76:BD76)</f>
        <v>8.7848374682537411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9" spans="11:11" x14ac:dyDescent="0.2">
      <c r="K89" s="341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B2" sqref="B2"/>
    </sheetView>
  </sheetViews>
  <sheetFormatPr defaultRowHeight="14.25" x14ac:dyDescent="0.2"/>
  <cols>
    <col min="1" max="1" width="3.85546875" style="44" customWidth="1"/>
    <col min="2" max="2" width="6.8554687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2" width="3.85546875" style="44" customWidth="1"/>
    <col min="13" max="13" width="4.71093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26" width="5.5703125" style="44" bestFit="1" customWidth="1"/>
    <col min="27" max="27" width="5.85546875" style="44" bestFit="1" customWidth="1"/>
    <col min="28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64" t="s">
        <v>76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65"/>
      <c r="Q2" s="65"/>
      <c r="R2" s="65"/>
      <c r="S2" s="65"/>
      <c r="T2" s="65"/>
      <c r="U2" s="65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7" t="s">
        <v>237</v>
      </c>
      <c r="C5" s="357"/>
      <c r="D5" s="357"/>
      <c r="E5" s="357"/>
      <c r="F5" s="357"/>
      <c r="G5" s="357"/>
      <c r="H5" s="357"/>
      <c r="I5" s="357"/>
      <c r="J5" s="357"/>
      <c r="K5" s="357"/>
      <c r="L5" s="32"/>
      <c r="M5" s="357" t="s">
        <v>233</v>
      </c>
      <c r="N5" s="357"/>
      <c r="O5" s="357"/>
      <c r="P5" s="357"/>
      <c r="Q5" s="357"/>
      <c r="R5" s="357"/>
      <c r="S5" s="357"/>
      <c r="T5" s="357"/>
      <c r="U5" s="357"/>
      <c r="V5" s="357"/>
      <c r="W5" s="32"/>
      <c r="X5" s="357" t="s">
        <v>236</v>
      </c>
      <c r="Y5" s="357"/>
      <c r="Z5" s="357"/>
      <c r="AA5" s="357"/>
      <c r="AB5" s="357"/>
      <c r="AC5" s="357"/>
      <c r="AD5" s="357"/>
      <c r="AE5" s="357"/>
      <c r="AF5" s="357"/>
      <c r="AG5" s="357"/>
      <c r="AH5" s="32"/>
    </row>
    <row r="6" spans="1:34" ht="16.5" customHeight="1" x14ac:dyDescent="0.2">
      <c r="A6" s="325"/>
      <c r="B6" s="32"/>
      <c r="C6" s="32"/>
      <c r="D6" s="32"/>
      <c r="E6" s="32"/>
      <c r="F6" s="32"/>
      <c r="G6" s="32"/>
      <c r="H6" s="32"/>
      <c r="I6" s="32"/>
      <c r="J6" s="32"/>
      <c r="K6" s="32"/>
      <c r="L6" s="325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2"/>
      <c r="C7" s="301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75</v>
      </c>
      <c r="L7" s="32"/>
      <c r="M7" s="302"/>
      <c r="N7" s="301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75</v>
      </c>
      <c r="W7" s="45"/>
      <c r="X7" s="36"/>
      <c r="Y7" s="81"/>
      <c r="Z7" s="304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4" t="s">
        <v>75</v>
      </c>
      <c r="AH7" s="32"/>
    </row>
    <row r="8" spans="1:34" x14ac:dyDescent="0.2">
      <c r="A8" s="32"/>
      <c r="B8" s="36"/>
      <c r="C8" s="81"/>
      <c r="D8" s="304"/>
      <c r="E8" s="8"/>
      <c r="F8" s="8"/>
      <c r="G8" s="8"/>
      <c r="H8" s="8"/>
      <c r="I8" s="8"/>
      <c r="J8" s="8"/>
      <c r="K8" s="304"/>
      <c r="L8" s="32"/>
      <c r="M8" s="36"/>
      <c r="N8" s="81"/>
      <c r="O8" s="304"/>
      <c r="P8" s="8"/>
      <c r="Q8" s="8"/>
      <c r="R8" s="8"/>
      <c r="S8" s="8"/>
      <c r="T8" s="8"/>
      <c r="U8" s="8"/>
      <c r="V8" s="304"/>
      <c r="W8" s="45"/>
      <c r="X8" s="38"/>
      <c r="Y8" s="184"/>
      <c r="Z8" s="306"/>
      <c r="AA8" s="307"/>
      <c r="AB8" s="307"/>
      <c r="AC8" s="307"/>
      <c r="AD8" s="307"/>
      <c r="AE8" s="307"/>
      <c r="AF8" s="307"/>
      <c r="AG8" s="306"/>
      <c r="AH8" s="32"/>
    </row>
    <row r="9" spans="1:34" ht="18" customHeight="1" x14ac:dyDescent="0.2">
      <c r="A9" s="32"/>
      <c r="B9" s="305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5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5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200" t="str">
        <f>'Capex Model Category Index'!B8</f>
        <v>01</v>
      </c>
      <c r="C10" s="200" t="str">
        <f>'Capex Model Category Index'!C8</f>
        <v>Meter Replacement - Meters &lt; 25m3</v>
      </c>
      <c r="D10" s="96"/>
      <c r="E10" s="52"/>
      <c r="F10" s="55">
        <f t="shared" ref="F10:J29" si="0">Q10+AB10</f>
        <v>5.3750714932685151</v>
      </c>
      <c r="G10" s="54">
        <f t="shared" si="0"/>
        <v>5.2806821395116854</v>
      </c>
      <c r="H10" s="54">
        <f t="shared" si="0"/>
        <v>5.291882487854779</v>
      </c>
      <c r="I10" s="54">
        <f t="shared" si="0"/>
        <v>2.8461985076643366</v>
      </c>
      <c r="J10" s="95">
        <f t="shared" si="0"/>
        <v>3.0023743707187998</v>
      </c>
      <c r="K10" s="52">
        <f>SUM(F10:J10)</f>
        <v>21.796208999018116</v>
      </c>
      <c r="L10" s="32"/>
      <c r="M10" s="200" t="str">
        <f>B10</f>
        <v>01</v>
      </c>
      <c r="N10" s="200" t="str">
        <f>C10</f>
        <v>Meter Replacement - Meters &lt; 25m3</v>
      </c>
      <c r="O10" s="96"/>
      <c r="P10" s="52"/>
      <c r="Q10" s="55">
        <f>'Capex Category Summary (Vic)'!AO10</f>
        <v>4.8197438756221365</v>
      </c>
      <c r="R10" s="54">
        <f>'Capex Category Summary (Vic)'!AP10</f>
        <v>4.8024650938280313</v>
      </c>
      <c r="S10" s="54">
        <f>'Capex Category Summary (Vic)'!AQ10</f>
        <v>4.8024031493952997</v>
      </c>
      <c r="T10" s="54">
        <f>'Capex Category Summary (Vic)'!AR10</f>
        <v>2.5385182796598529</v>
      </c>
      <c r="U10" s="95">
        <f>'Capex Category Summary (Vic)'!AS10</f>
        <v>2.5631742873849346</v>
      </c>
      <c r="V10" s="52">
        <f>SUM(Q10:U10)</f>
        <v>19.526304685890256</v>
      </c>
      <c r="W10" s="45"/>
      <c r="X10" s="200" t="str">
        <f>M10</f>
        <v>01</v>
      </c>
      <c r="Y10" s="200" t="str">
        <f>N10</f>
        <v>Meter Replacement - Meters &lt; 25m3</v>
      </c>
      <c r="Z10" s="96"/>
      <c r="AA10" s="52"/>
      <c r="AB10" s="55">
        <f t="shared" ref="AB10:AB29" si="1">(Q10/Q$43)*Q$45</f>
        <v>0.55532761764637872</v>
      </c>
      <c r="AC10" s="54">
        <f t="shared" ref="AC10:AC29" si="2">(R10/R$43)*R$45</f>
        <v>0.4782170456836537</v>
      </c>
      <c r="AD10" s="54">
        <f t="shared" ref="AD10:AD29" si="3">(S10/S$43)*S$45</f>
        <v>0.48947933845947961</v>
      </c>
      <c r="AE10" s="54">
        <f t="shared" ref="AE10:AE29" si="4">(T10/T$43)*T$45</f>
        <v>0.30768022800448375</v>
      </c>
      <c r="AF10" s="95">
        <f t="shared" ref="AF10:AF29" si="5">(U10/U$43)*U$45</f>
        <v>0.43920008333386501</v>
      </c>
      <c r="AG10" s="52">
        <f>SUM(AB10:AF10)</f>
        <v>2.2699043131278609</v>
      </c>
      <c r="AH10" s="32"/>
    </row>
    <row r="11" spans="1:34" ht="18" customHeight="1" x14ac:dyDescent="0.2">
      <c r="A11" s="32"/>
      <c r="B11" s="200" t="str">
        <f>'Capex Model Category Index'!B9</f>
        <v>02</v>
      </c>
      <c r="C11" s="200" t="str">
        <f>'Capex Model Category Index'!C9</f>
        <v>Meter Replacement - Meters &gt; 25m3</v>
      </c>
      <c r="D11" s="52"/>
      <c r="E11" s="52"/>
      <c r="F11" s="55">
        <f t="shared" si="0"/>
        <v>2.623290839182971</v>
      </c>
      <c r="G11" s="54">
        <f t="shared" si="0"/>
        <v>2.6012804707307597</v>
      </c>
      <c r="H11" s="54">
        <f t="shared" si="0"/>
        <v>2.6252430052676252</v>
      </c>
      <c r="I11" s="54">
        <f t="shared" si="0"/>
        <v>2.6943426068608733</v>
      </c>
      <c r="J11" s="95">
        <f t="shared" si="0"/>
        <v>2.8421858724861582</v>
      </c>
      <c r="K11" s="52">
        <f t="shared" ref="K11:K18" si="6">SUM(F11:J11)</f>
        <v>13.386342794528389</v>
      </c>
      <c r="L11" s="32"/>
      <c r="M11" s="200" t="str">
        <f t="shared" ref="M11:N29" si="7">B11</f>
        <v>02</v>
      </c>
      <c r="N11" s="200" t="str">
        <f t="shared" si="7"/>
        <v>Meter Replacement - Meters &gt; 25m3</v>
      </c>
      <c r="O11" s="52"/>
      <c r="P11" s="52"/>
      <c r="Q11" s="55">
        <f>'Capex Category Summary (Vic)'!AO11</f>
        <v>2.3522645181486448</v>
      </c>
      <c r="R11" s="54">
        <f>'Capex Category Summary (Vic)'!AP11</f>
        <v>2.3657092644277649</v>
      </c>
      <c r="S11" s="54">
        <f>'Capex Category Summary (Vic)'!AQ11</f>
        <v>2.3824178457023972</v>
      </c>
      <c r="T11" s="54">
        <f>'Capex Category Summary (Vic)'!AR11</f>
        <v>2.4030783308910837</v>
      </c>
      <c r="U11" s="95">
        <f>'Capex Category Summary (Vic)'!AS11</f>
        <v>2.4264188434905698</v>
      </c>
      <c r="V11" s="52">
        <f t="shared" ref="V11:V29" si="8">SUM(Q11:U11)</f>
        <v>11.929888802660461</v>
      </c>
      <c r="W11" s="45"/>
      <c r="X11" s="200" t="str">
        <f t="shared" ref="X11:Y29" si="9">M11</f>
        <v>02</v>
      </c>
      <c r="Y11" s="200" t="str">
        <f t="shared" si="9"/>
        <v>Meter Replacement - Meters &gt; 25m3</v>
      </c>
      <c r="Z11" s="52"/>
      <c r="AA11" s="52"/>
      <c r="AB11" s="55">
        <f t="shared" si="1"/>
        <v>0.27102632103432645</v>
      </c>
      <c r="AC11" s="54">
        <f t="shared" si="2"/>
        <v>0.23557120630299494</v>
      </c>
      <c r="AD11" s="54">
        <f t="shared" si="3"/>
        <v>0.24282515956522818</v>
      </c>
      <c r="AE11" s="54">
        <f t="shared" si="4"/>
        <v>0.2912642759697896</v>
      </c>
      <c r="AF11" s="95">
        <f t="shared" si="5"/>
        <v>0.41576702899558837</v>
      </c>
      <c r="AG11" s="52">
        <f t="shared" ref="AG11:AG18" si="10">SUM(AB11:AF11)</f>
        <v>1.4564539918679276</v>
      </c>
      <c r="AH11" s="32"/>
    </row>
    <row r="12" spans="1:34" ht="18" customHeight="1" x14ac:dyDescent="0.2">
      <c r="A12" s="32"/>
      <c r="B12" s="200" t="str">
        <f>'Capex Model Category Index'!B10</f>
        <v>03</v>
      </c>
      <c r="C12" s="200" t="str">
        <f>'Capex Model Category Index'!C10</f>
        <v>Mains Replacement - General Trunk Replacement</v>
      </c>
      <c r="D12" s="52"/>
      <c r="E12" s="52"/>
      <c r="F12" s="55">
        <f t="shared" si="0"/>
        <v>2.335271929710673</v>
      </c>
      <c r="G12" s="54">
        <f t="shared" si="0"/>
        <v>2.3156781451248021</v>
      </c>
      <c r="H12" s="54">
        <f t="shared" si="0"/>
        <v>2.3370097616702608</v>
      </c>
      <c r="I12" s="54">
        <f t="shared" si="0"/>
        <v>1.845017471022518</v>
      </c>
      <c r="J12" s="95">
        <f t="shared" si="0"/>
        <v>0.38925135781005132</v>
      </c>
      <c r="K12" s="52">
        <f t="shared" si="6"/>
        <v>9.2222286653383048</v>
      </c>
      <c r="L12" s="32"/>
      <c r="M12" s="200" t="str">
        <f t="shared" si="7"/>
        <v>03</v>
      </c>
      <c r="N12" s="200" t="str">
        <f t="shared" si="7"/>
        <v>Mains Replacement - General Trunk Replacement</v>
      </c>
      <c r="O12" s="52"/>
      <c r="P12" s="52"/>
      <c r="Q12" s="55">
        <f>'Capex Category Summary (Vic)'!AO17</f>
        <v>2.0940023951739155</v>
      </c>
      <c r="R12" s="54">
        <f>'Capex Category Summary (Vic)'!AP17</f>
        <v>2.1059710027406955</v>
      </c>
      <c r="S12" s="54">
        <f>'Capex Category Summary (Vic)'!AQ17</f>
        <v>2.12084509914401</v>
      </c>
      <c r="T12" s="54">
        <f>'Capex Category Summary (Vic)'!AR17</f>
        <v>1.6455670832059939</v>
      </c>
      <c r="U12" s="95">
        <f>'Capex Category Summary (Vic)'!AS17</f>
        <v>0.33231001483320421</v>
      </c>
      <c r="V12" s="52">
        <f t="shared" si="8"/>
        <v>8.2986955950978185</v>
      </c>
      <c r="W12" s="45"/>
      <c r="X12" s="200" t="str">
        <f t="shared" si="9"/>
        <v>03</v>
      </c>
      <c r="Y12" s="200" t="str">
        <f t="shared" si="9"/>
        <v>Mains Replacement - General Trunk Replacement</v>
      </c>
      <c r="Z12" s="52"/>
      <c r="AA12" s="52"/>
      <c r="AB12" s="55">
        <f t="shared" si="1"/>
        <v>0.24126953453675767</v>
      </c>
      <c r="AC12" s="54">
        <f t="shared" si="2"/>
        <v>0.20970714238410668</v>
      </c>
      <c r="AD12" s="54">
        <f t="shared" si="3"/>
        <v>0.21616466252625091</v>
      </c>
      <c r="AE12" s="54">
        <f t="shared" si="4"/>
        <v>0.19945038781652422</v>
      </c>
      <c r="AF12" s="95">
        <f t="shared" si="5"/>
        <v>5.6941342976847095E-2</v>
      </c>
      <c r="AG12" s="52">
        <f t="shared" si="10"/>
        <v>0.92353307024048659</v>
      </c>
      <c r="AH12" s="32"/>
    </row>
    <row r="13" spans="1:34" ht="18" customHeight="1" x14ac:dyDescent="0.2">
      <c r="A13" s="32"/>
      <c r="B13" s="200" t="str">
        <f>'Capex Model Category Index'!B11</f>
        <v>04</v>
      </c>
      <c r="C13" s="200" t="str">
        <f>'Capex Model Category Index'!C11</f>
        <v>Mains Replacement - Decommissioned Trunk Replacement</v>
      </c>
      <c r="D13" s="52"/>
      <c r="E13" s="52"/>
      <c r="F13" s="55">
        <f t="shared" si="0"/>
        <v>1.4004895216928335</v>
      </c>
      <c r="G13" s="54">
        <f t="shared" si="0"/>
        <v>1.3887389029945569</v>
      </c>
      <c r="H13" s="54">
        <f t="shared" si="0"/>
        <v>1.4015317195709054</v>
      </c>
      <c r="I13" s="54">
        <f t="shared" si="0"/>
        <v>1.4384217458459305</v>
      </c>
      <c r="J13" s="95">
        <f t="shared" si="0"/>
        <v>0</v>
      </c>
      <c r="K13" s="52">
        <f t="shared" si="6"/>
        <v>5.6291818901042268</v>
      </c>
      <c r="L13" s="32"/>
      <c r="M13" s="200" t="str">
        <f t="shared" si="7"/>
        <v>04</v>
      </c>
      <c r="N13" s="200" t="str">
        <f t="shared" si="7"/>
        <v>Mains Replacement - Decommissioned Trunk Replacement</v>
      </c>
      <c r="O13" s="52"/>
      <c r="P13" s="52"/>
      <c r="Q13" s="55">
        <f>'Capex Category Summary (Vic)'!AO18</f>
        <v>1.2557973979518953</v>
      </c>
      <c r="R13" s="54">
        <f>'Capex Category Summary (Vic)'!AP18</f>
        <v>1.2629751100090114</v>
      </c>
      <c r="S13" s="54">
        <f>'Capex Category Summary (Vic)'!AQ18</f>
        <v>1.2718952772462682</v>
      </c>
      <c r="T13" s="54">
        <f>'Capex Category Summary (Vic)'!AR18</f>
        <v>1.2829252372444728</v>
      </c>
      <c r="U13" s="95">
        <f>'Capex Category Summary (Vic)'!AS18</f>
        <v>0</v>
      </c>
      <c r="V13" s="52">
        <f t="shared" si="8"/>
        <v>5.0735930224516474</v>
      </c>
      <c r="W13" s="45"/>
      <c r="X13" s="200" t="str">
        <f t="shared" si="9"/>
        <v>04</v>
      </c>
      <c r="Y13" s="200" t="str">
        <f t="shared" si="9"/>
        <v>Mains Replacement - Decommissioned Trunk Replacement</v>
      </c>
      <c r="Z13" s="52"/>
      <c r="AA13" s="52"/>
      <c r="AB13" s="55">
        <f t="shared" si="1"/>
        <v>0.14469212374093823</v>
      </c>
      <c r="AC13" s="54">
        <f t="shared" si="2"/>
        <v>0.12576379298554552</v>
      </c>
      <c r="AD13" s="54">
        <f t="shared" si="3"/>
        <v>0.1296364423246372</v>
      </c>
      <c r="AE13" s="54">
        <f t="shared" si="4"/>
        <v>0.15549650860145767</v>
      </c>
      <c r="AF13" s="95">
        <f t="shared" si="5"/>
        <v>0</v>
      </c>
      <c r="AG13" s="52">
        <f t="shared" si="10"/>
        <v>0.55558886765257864</v>
      </c>
      <c r="AH13" s="32"/>
    </row>
    <row r="14" spans="1:34" ht="18" customHeight="1" x14ac:dyDescent="0.2">
      <c r="A14" s="32"/>
      <c r="B14" s="200" t="str">
        <f>'Capex Model Category Index'!B12</f>
        <v>05</v>
      </c>
      <c r="C14" s="200" t="str">
        <f>'Capex Model Category Index'!C12</f>
        <v>Mains Replacement - Piecemeal Replacement</v>
      </c>
      <c r="D14" s="52"/>
      <c r="E14" s="52"/>
      <c r="F14" s="55">
        <f t="shared" si="0"/>
        <v>0.30605526822356688</v>
      </c>
      <c r="G14" s="54">
        <f t="shared" si="0"/>
        <v>0.30068076129511495</v>
      </c>
      <c r="H14" s="54">
        <f t="shared" si="0"/>
        <v>0.30131850641546098</v>
      </c>
      <c r="I14" s="54">
        <f t="shared" si="0"/>
        <v>0.31646091168065688</v>
      </c>
      <c r="J14" s="95">
        <f t="shared" si="0"/>
        <v>0</v>
      </c>
      <c r="K14" s="52">
        <f t="shared" si="6"/>
        <v>1.2245154476147997</v>
      </c>
      <c r="L14" s="32"/>
      <c r="M14" s="200" t="str">
        <f t="shared" si="7"/>
        <v>05</v>
      </c>
      <c r="N14" s="200" t="str">
        <f t="shared" si="7"/>
        <v>Mains Replacement - Piecemeal Replacement</v>
      </c>
      <c r="O14" s="52"/>
      <c r="P14" s="52"/>
      <c r="Q14" s="55">
        <f>'Capex Category Summary (Vic)'!AO19</f>
        <v>0.27443504825373616</v>
      </c>
      <c r="R14" s="54">
        <f>'Capex Category Summary (Vic)'!AP19</f>
        <v>0.27345119860574651</v>
      </c>
      <c r="S14" s="54">
        <f>'Capex Category Summary (Vic)'!AQ19</f>
        <v>0.27344767150475846</v>
      </c>
      <c r="T14" s="54">
        <f>'Capex Category Summary (Vic)'!AR19</f>
        <v>0.28225080117774798</v>
      </c>
      <c r="U14" s="95">
        <f>'Capex Category Summary (Vic)'!AS19</f>
        <v>0</v>
      </c>
      <c r="V14" s="52">
        <f t="shared" si="8"/>
        <v>1.1035847195419892</v>
      </c>
      <c r="W14" s="45"/>
      <c r="X14" s="200" t="str">
        <f t="shared" si="9"/>
        <v>05</v>
      </c>
      <c r="Y14" s="200" t="str">
        <f t="shared" si="9"/>
        <v>Mains Replacement - Piecemeal Replacement</v>
      </c>
      <c r="Z14" s="52"/>
      <c r="AA14" s="52"/>
      <c r="AB14" s="55">
        <f t="shared" si="1"/>
        <v>3.16202199698307E-2</v>
      </c>
      <c r="AC14" s="54">
        <f t="shared" si="2"/>
        <v>2.7229562689368454E-2</v>
      </c>
      <c r="AD14" s="54">
        <f t="shared" si="3"/>
        <v>2.7870834910702521E-2</v>
      </c>
      <c r="AE14" s="54">
        <f t="shared" si="4"/>
        <v>3.4210110502908876E-2</v>
      </c>
      <c r="AF14" s="95">
        <f t="shared" si="5"/>
        <v>0</v>
      </c>
      <c r="AG14" s="52">
        <f t="shared" si="10"/>
        <v>0.12093072807281055</v>
      </c>
      <c r="AH14" s="32"/>
    </row>
    <row r="15" spans="1:34" ht="18" customHeight="1" x14ac:dyDescent="0.2">
      <c r="A15" s="32"/>
      <c r="B15" s="200" t="str">
        <f>'Capex Model Category Index'!B13</f>
        <v>06</v>
      </c>
      <c r="C15" s="200" t="str">
        <f>'Capex Model Category Index'!C13</f>
        <v>Mains Replacement - HDPE Replacement</v>
      </c>
      <c r="D15" s="52"/>
      <c r="E15" s="52"/>
      <c r="F15" s="55">
        <f>Q15+AB15</f>
        <v>1.2242210728942675</v>
      </c>
      <c r="G15" s="54">
        <f>R15+AC15</f>
        <v>1.2027230451804598</v>
      </c>
      <c r="H15" s="54">
        <f>S15+AD15</f>
        <v>1.2052740256618439</v>
      </c>
      <c r="I15" s="54">
        <f>T15+AE15</f>
        <v>1.2658436467226275</v>
      </c>
      <c r="J15" s="95">
        <f>U15+AF15</f>
        <v>1.3353026895429216</v>
      </c>
      <c r="K15" s="52">
        <f>SUM(F15:J15)</f>
        <v>6.2333644800021206</v>
      </c>
      <c r="L15" s="32"/>
      <c r="M15" s="200" t="str">
        <f t="shared" si="7"/>
        <v>06</v>
      </c>
      <c r="N15" s="200" t="str">
        <f t="shared" si="7"/>
        <v>Mains Replacement - HDPE Replacement</v>
      </c>
      <c r="O15" s="52"/>
      <c r="P15" s="52"/>
      <c r="Q15" s="55">
        <f>'Capex Category Summary (Vic)'!AO20</f>
        <v>1.0977401930149446</v>
      </c>
      <c r="R15" s="54">
        <f>'Capex Category Summary (Vic)'!AP20</f>
        <v>1.0938047944229861</v>
      </c>
      <c r="S15" s="54">
        <f>'Capex Category Summary (Vic)'!AQ20</f>
        <v>1.0937906860190338</v>
      </c>
      <c r="T15" s="54">
        <f>'Capex Category Summary (Vic)'!AR20</f>
        <v>1.1290032047109919</v>
      </c>
      <c r="U15" s="95">
        <f>'Capex Category Summary (Vic)'!AS20</f>
        <v>1.1399689369493771</v>
      </c>
      <c r="V15" s="52">
        <f>SUM(Q15:U15)</f>
        <v>5.5543078151173342</v>
      </c>
      <c r="W15" s="45"/>
      <c r="X15" s="200" t="str">
        <f>M15</f>
        <v>06</v>
      </c>
      <c r="Y15" s="200" t="str">
        <f>N15</f>
        <v>Mains Replacement - HDPE Replacement</v>
      </c>
      <c r="Z15" s="52"/>
      <c r="AA15" s="52"/>
      <c r="AB15" s="55">
        <f t="shared" si="1"/>
        <v>0.1264808798793228</v>
      </c>
      <c r="AC15" s="54">
        <f t="shared" si="2"/>
        <v>0.10891825075747381</v>
      </c>
      <c r="AD15" s="54">
        <f t="shared" si="3"/>
        <v>0.11148333964281008</v>
      </c>
      <c r="AE15" s="54">
        <f t="shared" si="4"/>
        <v>0.1368404420116355</v>
      </c>
      <c r="AF15" s="95">
        <f t="shared" si="5"/>
        <v>0.19533375259354463</v>
      </c>
      <c r="AG15" s="52">
        <f>SUM(AB15:AF15)</f>
        <v>0.67905666488478689</v>
      </c>
      <c r="AH15" s="32"/>
    </row>
    <row r="16" spans="1:34" ht="18" customHeight="1" x14ac:dyDescent="0.2">
      <c r="A16" s="32"/>
      <c r="B16" s="200" t="str">
        <f>'Capex Model Category Index'!B14</f>
        <v>07</v>
      </c>
      <c r="C16" s="200" t="str">
        <f>'Capex Model Category Index'!C14</f>
        <v>Mains Replacement - HDICS Block Replacement</v>
      </c>
      <c r="D16" s="52"/>
      <c r="E16" s="52"/>
      <c r="F16" s="55">
        <f t="shared" si="0"/>
        <v>22.3817656052655</v>
      </c>
      <c r="G16" s="54">
        <f t="shared" si="0"/>
        <v>22.193974415579358</v>
      </c>
      <c r="H16" s="54">
        <f t="shared" si="0"/>
        <v>22.398421373309457</v>
      </c>
      <c r="I16" s="54">
        <f t="shared" si="0"/>
        <v>22.987975174655777</v>
      </c>
      <c r="J16" s="95">
        <f t="shared" si="0"/>
        <v>0</v>
      </c>
      <c r="K16" s="52">
        <f t="shared" si="6"/>
        <v>89.962136568810095</v>
      </c>
      <c r="L16" s="32"/>
      <c r="M16" s="200" t="str">
        <f t="shared" si="7"/>
        <v>07</v>
      </c>
      <c r="N16" s="200" t="str">
        <f t="shared" si="7"/>
        <v>Mains Replacement - HDICS Block Replacement</v>
      </c>
      <c r="O16" s="52"/>
      <c r="P16" s="52"/>
      <c r="Q16" s="55">
        <f>'Capex Category Summary (Vic)'!AO21</f>
        <v>20.069384721056331</v>
      </c>
      <c r="R16" s="54">
        <f>'Capex Category Summary (Vic)'!AP21</f>
        <v>20.184094518135197</v>
      </c>
      <c r="S16" s="54">
        <f>'Capex Category Summary (Vic)'!AQ21</f>
        <v>20.326651166486783</v>
      </c>
      <c r="T16" s="54">
        <f>'Capex Category Summary (Vic)'!AR21</f>
        <v>20.502925230299034</v>
      </c>
      <c r="U16" s="95">
        <f>'Capex Category Summary (Vic)'!AS21</f>
        <v>0</v>
      </c>
      <c r="V16" s="52">
        <f t="shared" si="8"/>
        <v>81.083055635977345</v>
      </c>
      <c r="W16" s="45"/>
      <c r="X16" s="200" t="str">
        <f t="shared" si="9"/>
        <v>07</v>
      </c>
      <c r="Y16" s="200" t="str">
        <f t="shared" si="9"/>
        <v>Mains Replacement - HDICS Block Replacement</v>
      </c>
      <c r="Z16" s="52"/>
      <c r="AA16" s="52"/>
      <c r="AB16" s="55">
        <f t="shared" si="1"/>
        <v>2.3123808842091695</v>
      </c>
      <c r="AC16" s="54">
        <f t="shared" si="2"/>
        <v>2.0098798974441601</v>
      </c>
      <c r="AD16" s="54">
        <f t="shared" si="3"/>
        <v>2.0717702068226735</v>
      </c>
      <c r="AE16" s="54">
        <f t="shared" si="4"/>
        <v>2.4850499443567418</v>
      </c>
      <c r="AF16" s="95">
        <f t="shared" si="5"/>
        <v>0</v>
      </c>
      <c r="AG16" s="52">
        <f t="shared" si="10"/>
        <v>8.8790809328327445</v>
      </c>
      <c r="AH16" s="32"/>
    </row>
    <row r="17" spans="1:46" ht="18" customHeight="1" x14ac:dyDescent="0.2">
      <c r="A17" s="32"/>
      <c r="B17" s="200" t="str">
        <f>'Capex Model Category Index'!B15</f>
        <v>08</v>
      </c>
      <c r="C17" s="200" t="str">
        <f>'Capex Model Category Index'!C15</f>
        <v>Mains Replacement - LDS Block Replacement</v>
      </c>
      <c r="D17" s="52"/>
      <c r="E17" s="52"/>
      <c r="F17" s="55">
        <f t="shared" ref="F17" si="11">Q17+AB17</f>
        <v>3.7279391401703581</v>
      </c>
      <c r="G17" s="54">
        <f t="shared" ref="G17" si="12">R17+AC17</f>
        <v>3.6966603689350168</v>
      </c>
      <c r="H17" s="54">
        <f t="shared" ref="H17" si="13">S17+AD17</f>
        <v>3.7307133489032953</v>
      </c>
      <c r="I17" s="54">
        <f t="shared" ref="I17" si="14">T17+AE17</f>
        <v>3.8289102798352368</v>
      </c>
      <c r="J17" s="95">
        <f t="shared" ref="J17" si="15">U17+AF17</f>
        <v>0</v>
      </c>
      <c r="K17" s="52">
        <f t="shared" ref="K17" si="16">SUM(F17:J17)</f>
        <v>14.984223137843907</v>
      </c>
      <c r="L17" s="32"/>
      <c r="M17" s="200" t="str">
        <f t="shared" ref="M17" si="17">B17</f>
        <v>08</v>
      </c>
      <c r="N17" s="200" t="str">
        <f t="shared" ref="N17" si="18">C17</f>
        <v>Mains Replacement - LDS Block Replacement</v>
      </c>
      <c r="O17" s="52"/>
      <c r="P17" s="52"/>
      <c r="Q17" s="55">
        <f>'Capex Category Summary (Vic)'!AO22</f>
        <v>3.3427856470430295</v>
      </c>
      <c r="R17" s="54">
        <f>'Capex Category Summary (Vic)'!AP22</f>
        <v>3.3618918761865739</v>
      </c>
      <c r="S17" s="54">
        <f>'Capex Category Summary (Vic)'!AQ22</f>
        <v>3.3856363170164059</v>
      </c>
      <c r="T17" s="54">
        <f>'Capex Category Summary (Vic)'!AR22</f>
        <v>3.4149967791654681</v>
      </c>
      <c r="U17" s="95">
        <f>'Capex Category Summary (Vic)'!AS22</f>
        <v>0</v>
      </c>
      <c r="V17" s="52">
        <f t="shared" ref="V17" si="19">SUM(Q17:U17)</f>
        <v>13.505310619411478</v>
      </c>
      <c r="W17" s="45"/>
      <c r="X17" s="200" t="str">
        <f t="shared" ref="X17" si="20">M17</f>
        <v>08</v>
      </c>
      <c r="Y17" s="200" t="str">
        <f t="shared" ref="Y17" si="21">N17</f>
        <v>Mains Replacement - LDS Block Replacement</v>
      </c>
      <c r="Z17" s="52"/>
      <c r="AA17" s="52"/>
      <c r="AB17" s="55">
        <f t="shared" si="1"/>
        <v>0.38515349312732855</v>
      </c>
      <c r="AC17" s="54">
        <f t="shared" si="2"/>
        <v>0.33476849274844278</v>
      </c>
      <c r="AD17" s="54">
        <f t="shared" si="3"/>
        <v>0.34507703188688926</v>
      </c>
      <c r="AE17" s="54">
        <f t="shared" si="4"/>
        <v>0.41391350066976884</v>
      </c>
      <c r="AF17" s="95">
        <f t="shared" si="5"/>
        <v>0</v>
      </c>
      <c r="AG17" s="52">
        <f t="shared" ref="AG17" si="22">SUM(AB17:AF17)</f>
        <v>1.4789125184324292</v>
      </c>
      <c r="AH17" s="32"/>
    </row>
    <row r="18" spans="1:46" ht="18" customHeight="1" x14ac:dyDescent="0.2">
      <c r="A18" s="32"/>
      <c r="B18" s="200" t="str">
        <f>'Capex Model Category Index'!B16</f>
        <v>09</v>
      </c>
      <c r="C18" s="200" t="str">
        <f>'Capex Model Category Index'!C16</f>
        <v>Mains Replacement - CBD Block Replacement</v>
      </c>
      <c r="D18" s="52"/>
      <c r="E18" s="52"/>
      <c r="F18" s="55">
        <f t="shared" si="0"/>
        <v>6.7588158734895432</v>
      </c>
      <c r="G18" s="54">
        <f t="shared" si="0"/>
        <v>6.7021069392554375</v>
      </c>
      <c r="H18" s="54">
        <f t="shared" si="0"/>
        <v>6.7638455602187344</v>
      </c>
      <c r="I18" s="54">
        <f t="shared" si="0"/>
        <v>7.0807157994166676</v>
      </c>
      <c r="J18" s="95">
        <f t="shared" si="0"/>
        <v>7.6157028155536528</v>
      </c>
      <c r="K18" s="52">
        <f t="shared" si="6"/>
        <v>34.921186987934036</v>
      </c>
      <c r="L18" s="32"/>
      <c r="M18" s="200" t="str">
        <f t="shared" si="7"/>
        <v>09</v>
      </c>
      <c r="N18" s="200" t="str">
        <f t="shared" si="7"/>
        <v>Mains Replacement - CBD Block Replacement</v>
      </c>
      <c r="O18" s="52"/>
      <c r="P18" s="52"/>
      <c r="Q18" s="55">
        <f>'Capex Category Summary (Vic)'!AO23</f>
        <v>6.0605261629552736</v>
      </c>
      <c r="R18" s="54">
        <f>'Capex Category Summary (Vic)'!AP23</f>
        <v>6.0951660752398977</v>
      </c>
      <c r="S18" s="54">
        <f>'Capex Category Summary (Vic)'!AQ23</f>
        <v>6.1382151427148735</v>
      </c>
      <c r="T18" s="54">
        <f>'Capex Category Summary (Vic)'!AR23</f>
        <v>6.3152750735738019</v>
      </c>
      <c r="U18" s="95">
        <f>'Capex Category Summary (Vic)'!AS23</f>
        <v>6.5016454402116395</v>
      </c>
      <c r="V18" s="52">
        <f t="shared" si="8"/>
        <v>31.110827894695486</v>
      </c>
      <c r="W18" s="45"/>
      <c r="X18" s="200" t="str">
        <f t="shared" si="9"/>
        <v>09</v>
      </c>
      <c r="Y18" s="200" t="str">
        <f t="shared" si="9"/>
        <v>Mains Replacement - CBD Block Replacement</v>
      </c>
      <c r="Z18" s="52"/>
      <c r="AA18" s="52"/>
      <c r="AB18" s="55">
        <f t="shared" si="1"/>
        <v>0.6982897105342698</v>
      </c>
      <c r="AC18" s="54">
        <f t="shared" si="2"/>
        <v>0.60694086401553948</v>
      </c>
      <c r="AD18" s="54">
        <f t="shared" si="3"/>
        <v>0.62563041750386061</v>
      </c>
      <c r="AE18" s="54">
        <f t="shared" si="4"/>
        <v>0.7654407258428656</v>
      </c>
      <c r="AF18" s="95">
        <f t="shared" si="5"/>
        <v>1.1140573753420133</v>
      </c>
      <c r="AG18" s="52">
        <f t="shared" si="10"/>
        <v>3.8103590932385489</v>
      </c>
      <c r="AH18" s="32"/>
    </row>
    <row r="19" spans="1:46" ht="18" customHeight="1" x14ac:dyDescent="0.2">
      <c r="A19" s="32"/>
      <c r="B19" s="200" t="str">
        <f>'Capex Model Category Index'!B17</f>
        <v>10</v>
      </c>
      <c r="C19" s="200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2.1476113020306546</v>
      </c>
      <c r="H19" s="54">
        <f t="shared" ref="H19" si="25">S19+AD19</f>
        <v>2.1673947166127108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4.3150060186433654</v>
      </c>
      <c r="L19" s="32"/>
      <c r="M19" s="200" t="str">
        <f t="shared" ref="M19" si="29">B19</f>
        <v>10</v>
      </c>
      <c r="N19" s="200" t="str">
        <f t="shared" ref="N19" si="30">C19</f>
        <v>Mains Replacement - CBD Trunk Replacement</v>
      </c>
      <c r="O19" s="52"/>
      <c r="P19" s="52"/>
      <c r="Q19" s="55">
        <f>'Capex Category Summary (Vic)'!AO24</f>
        <v>0</v>
      </c>
      <c r="R19" s="54">
        <f>'Capex Category Summary (Vic)'!AP24</f>
        <v>1.9531242442982051</v>
      </c>
      <c r="S19" s="54">
        <f>'Capex Category Summary (Vic)'!AQ24</f>
        <v>1.9669188113931626</v>
      </c>
      <c r="T19" s="54">
        <f>'Capex Category Summary (Vic)'!AR24</f>
        <v>0</v>
      </c>
      <c r="U19" s="95">
        <f>'Capex Category Summary (Vic)'!AS24</f>
        <v>0</v>
      </c>
      <c r="V19" s="52">
        <f t="shared" ref="V19" si="31">SUM(Q19:U19)</f>
        <v>3.9200430556913677</v>
      </c>
      <c r="W19" s="45"/>
      <c r="X19" s="200" t="str">
        <f t="shared" ref="X19" si="32">M19</f>
        <v>10</v>
      </c>
      <c r="Y19" s="200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0.19448705773244959</v>
      </c>
      <c r="AD19" s="54">
        <f t="shared" si="3"/>
        <v>0.20047590521954803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0.39496296295199762</v>
      </c>
      <c r="AH19" s="32"/>
    </row>
    <row r="20" spans="1:46" ht="18" customHeight="1" x14ac:dyDescent="0.2">
      <c r="A20" s="32"/>
      <c r="B20" s="200" t="str">
        <f>'Capex Model Category Index'!B18</f>
        <v>11</v>
      </c>
      <c r="C20" s="200" t="str">
        <f>'Capex Model Category Index'!C18</f>
        <v>Service Renewal - Non AMRP</v>
      </c>
      <c r="D20" s="52"/>
      <c r="E20" s="52"/>
      <c r="F20" s="55">
        <f t="shared" si="0"/>
        <v>0.80231957577859248</v>
      </c>
      <c r="G20" s="54">
        <f t="shared" si="0"/>
        <v>0.79558782144333584</v>
      </c>
      <c r="H20" s="54">
        <f t="shared" si="0"/>
        <v>0.80291663541128522</v>
      </c>
      <c r="I20" s="54">
        <f t="shared" si="0"/>
        <v>0.82405038169998535</v>
      </c>
      <c r="J20" s="95">
        <f t="shared" si="0"/>
        <v>0.86926745957273244</v>
      </c>
      <c r="K20" s="52">
        <f t="shared" ref="K20:K29" si="35">SUM(F20:J20)</f>
        <v>4.0941418739059312</v>
      </c>
      <c r="L20" s="32"/>
      <c r="M20" s="200" t="str">
        <f t="shared" si="7"/>
        <v>11</v>
      </c>
      <c r="N20" s="200" t="str">
        <f t="shared" si="7"/>
        <v>Service Renewal - Non AMRP</v>
      </c>
      <c r="O20" s="52"/>
      <c r="P20" s="52"/>
      <c r="Q20" s="55">
        <f>'Capex Category Summary (Vic)'!AO30</f>
        <v>0.71942761440353631</v>
      </c>
      <c r="R20" s="54">
        <f>'Capex Category Summary (Vic)'!AP30</f>
        <v>0.72353961867313299</v>
      </c>
      <c r="S20" s="54">
        <f>'Capex Category Summary (Vic)'!AQ30</f>
        <v>0.72864984954799106</v>
      </c>
      <c r="T20" s="54">
        <f>'Capex Category Summary (Vic)'!AR30</f>
        <v>0.73496874925380085</v>
      </c>
      <c r="U20" s="95">
        <f>'Capex Category Summary (Vic)'!AS30</f>
        <v>0.74210732111459654</v>
      </c>
      <c r="V20" s="52">
        <f t="shared" si="8"/>
        <v>3.6486931529930575</v>
      </c>
      <c r="W20" s="45"/>
      <c r="X20" s="200" t="str">
        <f t="shared" si="9"/>
        <v>11</v>
      </c>
      <c r="Y20" s="200" t="str">
        <f t="shared" si="9"/>
        <v>Service Renewal - Non AMRP</v>
      </c>
      <c r="Z20" s="52"/>
      <c r="AA20" s="52"/>
      <c r="AB20" s="55">
        <f t="shared" si="1"/>
        <v>8.2891961375056125E-2</v>
      </c>
      <c r="AC20" s="54">
        <f t="shared" si="2"/>
        <v>7.2048202770202796E-2</v>
      </c>
      <c r="AD20" s="54">
        <f t="shared" si="3"/>
        <v>7.4266785863294119E-2</v>
      </c>
      <c r="AE20" s="54">
        <f t="shared" si="4"/>
        <v>8.9081632446184542E-2</v>
      </c>
      <c r="AF20" s="95">
        <f t="shared" si="5"/>
        <v>0.1271601384581359</v>
      </c>
      <c r="AG20" s="52">
        <f t="shared" ref="AG20:AG29" si="36">SUM(AB20:AF20)</f>
        <v>0.44544872091287346</v>
      </c>
      <c r="AH20" s="32"/>
    </row>
    <row r="21" spans="1:46" ht="18" customHeight="1" x14ac:dyDescent="0.2">
      <c r="A21" s="32"/>
      <c r="B21" s="200" t="str">
        <f>'Capex Model Category Index'!B19</f>
        <v>12</v>
      </c>
      <c r="C21" s="200" t="str">
        <f>'Capex Model Category Index'!C19</f>
        <v>New Main - Estate</v>
      </c>
      <c r="D21" s="52"/>
      <c r="E21" s="52"/>
      <c r="F21" s="55">
        <f t="shared" si="0"/>
        <v>6.9548945200760404</v>
      </c>
      <c r="G21" s="54">
        <f t="shared" si="0"/>
        <v>6.6746525778543289</v>
      </c>
      <c r="H21" s="54">
        <f t="shared" si="0"/>
        <v>6.8197122768526803</v>
      </c>
      <c r="I21" s="54">
        <f t="shared" si="0"/>
        <v>7.1204952762209057</v>
      </c>
      <c r="J21" s="95">
        <f t="shared" si="0"/>
        <v>7.6391814664481901</v>
      </c>
      <c r="K21" s="52">
        <f t="shared" si="35"/>
        <v>35.208936117452147</v>
      </c>
      <c r="L21" s="32"/>
      <c r="M21" s="200" t="str">
        <f t="shared" si="7"/>
        <v>12</v>
      </c>
      <c r="N21" s="200" t="str">
        <f t="shared" si="7"/>
        <v>New Main - Estate</v>
      </c>
      <c r="O21" s="52"/>
      <c r="P21" s="52"/>
      <c r="Q21" s="55">
        <f>'Capex Category Summary (Vic)'!AO36</f>
        <v>6.2363468673327098</v>
      </c>
      <c r="R21" s="54">
        <f>'Capex Category Summary (Vic)'!AP36</f>
        <v>6.0701979728586481</v>
      </c>
      <c r="S21" s="54">
        <f>'Capex Category Summary (Vic)'!AQ36</f>
        <v>6.1889143970019802</v>
      </c>
      <c r="T21" s="54">
        <f>'Capex Category Summary (Vic)'!AR36</f>
        <v>6.3507543027108202</v>
      </c>
      <c r="U21" s="95">
        <f>'Capex Category Summary (Vic)'!AS36</f>
        <v>6.5216895342667582</v>
      </c>
      <c r="V21" s="52">
        <f t="shared" si="8"/>
        <v>31.367903074170915</v>
      </c>
      <c r="W21" s="45"/>
      <c r="X21" s="200" t="str">
        <f t="shared" si="9"/>
        <v>12</v>
      </c>
      <c r="Y21" s="200" t="str">
        <f t="shared" si="9"/>
        <v>New Main - Estate</v>
      </c>
      <c r="Z21" s="52"/>
      <c r="AA21" s="52"/>
      <c r="AB21" s="55">
        <f t="shared" si="1"/>
        <v>0.71854765274333099</v>
      </c>
      <c r="AC21" s="54">
        <f t="shared" si="2"/>
        <v>0.60445460499568049</v>
      </c>
      <c r="AD21" s="54">
        <f t="shared" si="3"/>
        <v>0.63079787985069979</v>
      </c>
      <c r="AE21" s="54">
        <f t="shared" si="4"/>
        <v>0.76974097351008508</v>
      </c>
      <c r="AF21" s="95">
        <f t="shared" si="5"/>
        <v>1.1174919321814321</v>
      </c>
      <c r="AG21" s="52">
        <f t="shared" si="36"/>
        <v>3.8410330432812287</v>
      </c>
      <c r="AH21" s="32"/>
    </row>
    <row r="22" spans="1:46" ht="18" customHeight="1" x14ac:dyDescent="0.2">
      <c r="A22" s="32"/>
      <c r="B22" s="200" t="str">
        <f>'Capex Model Category Index'!B20</f>
        <v>13</v>
      </c>
      <c r="C22" s="200" t="str">
        <f>'Capex Model Category Index'!C20</f>
        <v>New Main - Existing Domestic</v>
      </c>
      <c r="D22" s="52"/>
      <c r="E22" s="52"/>
      <c r="F22" s="55">
        <f t="shared" si="0"/>
        <v>0.95287219947211477</v>
      </c>
      <c r="G22" s="54">
        <f t="shared" si="0"/>
        <v>0.91447697218314328</v>
      </c>
      <c r="H22" s="54">
        <f t="shared" si="0"/>
        <v>0.9343512282254639</v>
      </c>
      <c r="I22" s="54">
        <f t="shared" si="0"/>
        <v>0.97556073289077505</v>
      </c>
      <c r="J22" s="95">
        <f t="shared" si="0"/>
        <v>1.0466245929523481</v>
      </c>
      <c r="K22" s="52">
        <f t="shared" si="35"/>
        <v>4.8238857257238443</v>
      </c>
      <c r="L22" s="32"/>
      <c r="M22" s="200" t="str">
        <f t="shared" si="7"/>
        <v>13</v>
      </c>
      <c r="N22" s="200" t="str">
        <f t="shared" si="7"/>
        <v>New Main - Existing Domestic</v>
      </c>
      <c r="O22" s="52"/>
      <c r="P22" s="52"/>
      <c r="Q22" s="55">
        <f>'Capex Category Summary (Vic)'!AO37</f>
        <v>0.85442583478338374</v>
      </c>
      <c r="R22" s="54">
        <f>'Capex Category Summary (Vic)'!AP37</f>
        <v>0.83166220234289778</v>
      </c>
      <c r="S22" s="54">
        <f>'Capex Category Summary (Vic)'!AQ37</f>
        <v>0.84792723409289561</v>
      </c>
      <c r="T22" s="54">
        <f>'Capex Category Summary (Vic)'!AR37</f>
        <v>0.87010050307202835</v>
      </c>
      <c r="U22" s="95">
        <f>'Capex Category Summary (Vic)'!AS37</f>
        <v>0.89351989923825526</v>
      </c>
      <c r="V22" s="52">
        <f t="shared" si="8"/>
        <v>4.2976356735294603</v>
      </c>
      <c r="W22" s="45"/>
      <c r="X22" s="200" t="str">
        <f t="shared" si="9"/>
        <v>13</v>
      </c>
      <c r="Y22" s="200" t="str">
        <f t="shared" si="9"/>
        <v>New Main - Existing Domestic</v>
      </c>
      <c r="Z22" s="52"/>
      <c r="AA22" s="52"/>
      <c r="AB22" s="55">
        <f t="shared" si="1"/>
        <v>9.8446364688731053E-2</v>
      </c>
      <c r="AC22" s="54">
        <f t="shared" si="2"/>
        <v>8.2814769840245522E-2</v>
      </c>
      <c r="AD22" s="54">
        <f t="shared" si="3"/>
        <v>8.6423994132568294E-2</v>
      </c>
      <c r="AE22" s="54">
        <f t="shared" si="4"/>
        <v>0.10546022981874674</v>
      </c>
      <c r="AF22" s="95">
        <f t="shared" si="5"/>
        <v>0.15310469371409274</v>
      </c>
      <c r="AG22" s="52">
        <f t="shared" si="36"/>
        <v>0.52625005219438437</v>
      </c>
      <c r="AH22" s="32"/>
    </row>
    <row r="23" spans="1:46" ht="18" customHeight="1" x14ac:dyDescent="0.2">
      <c r="A23" s="32"/>
      <c r="B23" s="200" t="str">
        <f>'Capex Model Category Index'!B21</f>
        <v>14</v>
      </c>
      <c r="C23" s="200" t="str">
        <f>'Capex Model Category Index'!C21</f>
        <v>New Main - I&amp;C&lt;10TJ</v>
      </c>
      <c r="D23" s="52"/>
      <c r="E23" s="52"/>
      <c r="F23" s="55">
        <f t="shared" si="0"/>
        <v>2.2925294986937046</v>
      </c>
      <c r="G23" s="54">
        <f t="shared" si="0"/>
        <v>2.286733329446816</v>
      </c>
      <c r="H23" s="54">
        <f t="shared" si="0"/>
        <v>2.321454425530237</v>
      </c>
      <c r="I23" s="54">
        <f t="shared" si="0"/>
        <v>2.3966702470903045</v>
      </c>
      <c r="J23" s="95">
        <f t="shared" si="0"/>
        <v>2.543169473199447</v>
      </c>
      <c r="K23" s="52">
        <f t="shared" si="35"/>
        <v>11.840556973960508</v>
      </c>
      <c r="L23" s="32"/>
      <c r="M23" s="200" t="str">
        <f t="shared" si="7"/>
        <v>14</v>
      </c>
      <c r="N23" s="200" t="str">
        <f t="shared" si="7"/>
        <v>New Main - I&amp;C&lt;10TJ</v>
      </c>
      <c r="O23" s="52"/>
      <c r="P23" s="52"/>
      <c r="Q23" s="55">
        <f>'Capex Category Summary (Vic)'!AO38</f>
        <v>2.0556759151668627</v>
      </c>
      <c r="R23" s="54">
        <f>'Capex Category Summary (Vic)'!AP38</f>
        <v>2.0796474211903639</v>
      </c>
      <c r="S23" s="54">
        <f>'Capex Category Summary (Vic)'!AQ38</f>
        <v>2.1067285734199031</v>
      </c>
      <c r="T23" s="54">
        <f>'Capex Category Summary (Vic)'!AR38</f>
        <v>2.1375849984364983</v>
      </c>
      <c r="U23" s="95">
        <f>'Capex Category Summary (Vic)'!AS38</f>
        <v>2.1711438339405005</v>
      </c>
      <c r="V23" s="52">
        <f t="shared" si="8"/>
        <v>10.550780742154128</v>
      </c>
      <c r="W23" s="45"/>
      <c r="X23" s="200" t="str">
        <f t="shared" si="9"/>
        <v>14</v>
      </c>
      <c r="Y23" s="200" t="str">
        <f t="shared" si="9"/>
        <v>New Main - I&amp;C&lt;10TJ</v>
      </c>
      <c r="Z23" s="52"/>
      <c r="AA23" s="52"/>
      <c r="AB23" s="55">
        <f t="shared" si="1"/>
        <v>0.23685358352684205</v>
      </c>
      <c r="AC23" s="54">
        <f t="shared" si="2"/>
        <v>0.20708590825645201</v>
      </c>
      <c r="AD23" s="54">
        <f t="shared" si="3"/>
        <v>0.21472585211033401</v>
      </c>
      <c r="AE23" s="54">
        <f t="shared" si="4"/>
        <v>0.25908524865380639</v>
      </c>
      <c r="AF23" s="95">
        <f t="shared" si="5"/>
        <v>0.37202563925894649</v>
      </c>
      <c r="AG23" s="52">
        <f t="shared" si="36"/>
        <v>1.289776231806381</v>
      </c>
      <c r="AH23" s="32"/>
    </row>
    <row r="24" spans="1:46" ht="18" customHeight="1" x14ac:dyDescent="0.2">
      <c r="A24" s="32"/>
      <c r="B24" s="200" t="str">
        <f>'Capex Model Category Index'!B22</f>
        <v>15</v>
      </c>
      <c r="C24" s="200" t="str">
        <f>'Capex Model Category Index'!C22</f>
        <v>New Meter - Domestic</v>
      </c>
      <c r="D24" s="52"/>
      <c r="E24" s="52"/>
      <c r="F24" s="55">
        <f t="shared" si="0"/>
        <v>3.9569592883660141</v>
      </c>
      <c r="G24" s="54">
        <f t="shared" si="0"/>
        <v>3.7623980724578021</v>
      </c>
      <c r="H24" s="54">
        <f t="shared" si="0"/>
        <v>3.8171564963312554</v>
      </c>
      <c r="I24" s="54">
        <f t="shared" si="0"/>
        <v>4.078449376794584</v>
      </c>
      <c r="J24" s="95">
        <f t="shared" si="0"/>
        <v>4.3755404199343761</v>
      </c>
      <c r="K24" s="52">
        <f t="shared" si="35"/>
        <v>19.990503653884033</v>
      </c>
      <c r="L24" s="32"/>
      <c r="M24" s="200" t="str">
        <f t="shared" si="7"/>
        <v>15</v>
      </c>
      <c r="N24" s="200" t="str">
        <f t="shared" si="7"/>
        <v>New Meter - Domestic</v>
      </c>
      <c r="O24" s="52"/>
      <c r="P24" s="52"/>
      <c r="Q24" s="55">
        <f>'Capex Category Summary (Vic)'!AO44</f>
        <v>3.5481444888821487</v>
      </c>
      <c r="R24" s="54">
        <f>'Capex Category Summary (Vic)'!AP44</f>
        <v>3.4216763923108084</v>
      </c>
      <c r="S24" s="54">
        <f>'Capex Category Summary (Vic)'!AQ44</f>
        <v>3.4640837966050855</v>
      </c>
      <c r="T24" s="54">
        <f>'Capex Category Summary (Vic)'!AR44</f>
        <v>3.6375601588507975</v>
      </c>
      <c r="U24" s="95">
        <f>'Capex Category Summary (Vic)'!AS44</f>
        <v>3.7354677708310633</v>
      </c>
      <c r="V24" s="52">
        <f t="shared" si="8"/>
        <v>17.806932607479904</v>
      </c>
      <c r="W24" s="45"/>
      <c r="X24" s="200" t="str">
        <f t="shared" si="9"/>
        <v>15</v>
      </c>
      <c r="Y24" s="200" t="str">
        <f t="shared" si="9"/>
        <v>New Meter - Domestic</v>
      </c>
      <c r="Z24" s="52"/>
      <c r="AA24" s="52"/>
      <c r="AB24" s="55">
        <f t="shared" si="1"/>
        <v>0.40881479948386534</v>
      </c>
      <c r="AC24" s="54">
        <f t="shared" si="2"/>
        <v>0.34072168014699383</v>
      </c>
      <c r="AD24" s="54">
        <f t="shared" si="3"/>
        <v>0.35307269972617</v>
      </c>
      <c r="AE24" s="54">
        <f t="shared" si="4"/>
        <v>0.44088921794378677</v>
      </c>
      <c r="AF24" s="95">
        <f t="shared" si="5"/>
        <v>0.64007264910331241</v>
      </c>
      <c r="AG24" s="52">
        <f t="shared" si="36"/>
        <v>2.1835710464041282</v>
      </c>
      <c r="AH24" s="32"/>
    </row>
    <row r="25" spans="1:46" ht="18" customHeight="1" x14ac:dyDescent="0.2">
      <c r="A25" s="32"/>
      <c r="B25" s="200" t="str">
        <f>'Capex Model Category Index'!B23</f>
        <v>16</v>
      </c>
      <c r="C25" s="200" t="str">
        <f>'Capex Model Category Index'!C23</f>
        <v>New Meter - I&amp;C&lt;10TJ</v>
      </c>
      <c r="D25" s="52"/>
      <c r="E25" s="52"/>
      <c r="F25" s="55">
        <f t="shared" si="0"/>
        <v>2.7000372810226123</v>
      </c>
      <c r="G25" s="54">
        <f t="shared" si="0"/>
        <v>2.6932108157306134</v>
      </c>
      <c r="H25" s="54">
        <f t="shared" si="0"/>
        <v>2.7341037481516022</v>
      </c>
      <c r="I25" s="54">
        <f t="shared" si="0"/>
        <v>2.822689531868082</v>
      </c>
      <c r="J25" s="95">
        <f t="shared" si="0"/>
        <v>2.9952296768743008</v>
      </c>
      <c r="K25" s="52">
        <f t="shared" si="35"/>
        <v>13.945271053647211</v>
      </c>
      <c r="L25" s="32"/>
      <c r="M25" s="200" t="str">
        <f t="shared" si="7"/>
        <v>16</v>
      </c>
      <c r="N25" s="200" t="str">
        <f t="shared" si="7"/>
        <v>New Meter - I&amp;C&lt;10TJ</v>
      </c>
      <c r="O25" s="52"/>
      <c r="P25" s="52"/>
      <c r="Q25" s="55">
        <f>'Capex Category Summary (Vic)'!AO45</f>
        <v>2.421081871275137</v>
      </c>
      <c r="R25" s="54">
        <f>'Capex Category Summary (Vic)'!AP45</f>
        <v>2.4493144240002347</v>
      </c>
      <c r="S25" s="54">
        <f>'Capex Category Summary (Vic)'!AQ45</f>
        <v>2.4812093770093315</v>
      </c>
      <c r="T25" s="54">
        <f>'Capex Category Summary (Vic)'!AR45</f>
        <v>2.5175506751044536</v>
      </c>
      <c r="U25" s="95">
        <f>'Capex Category Summary (Vic)'!AS45</f>
        <v>2.5570747497216577</v>
      </c>
      <c r="V25" s="52">
        <f t="shared" si="8"/>
        <v>12.426231097110815</v>
      </c>
      <c r="W25" s="45"/>
      <c r="X25" s="200" t="str">
        <f t="shared" si="9"/>
        <v>16</v>
      </c>
      <c r="Y25" s="200" t="str">
        <f t="shared" si="9"/>
        <v>New Meter - I&amp;C&lt;10TJ</v>
      </c>
      <c r="Z25" s="52"/>
      <c r="AA25" s="52"/>
      <c r="AB25" s="55">
        <f t="shared" si="1"/>
        <v>0.27895540974747546</v>
      </c>
      <c r="AC25" s="54">
        <f t="shared" si="2"/>
        <v>0.24389639173037886</v>
      </c>
      <c r="AD25" s="54">
        <f t="shared" si="3"/>
        <v>0.25289437114227081</v>
      </c>
      <c r="AE25" s="54">
        <f t="shared" si="4"/>
        <v>0.30513885676362845</v>
      </c>
      <c r="AF25" s="95">
        <f t="shared" si="5"/>
        <v>0.43815492715264315</v>
      </c>
      <c r="AG25" s="52">
        <f t="shared" si="36"/>
        <v>1.5190399565363966</v>
      </c>
      <c r="AH25" s="32"/>
    </row>
    <row r="26" spans="1:46" ht="18" customHeight="1" x14ac:dyDescent="0.2">
      <c r="A26" s="32"/>
      <c r="B26" s="200" t="str">
        <f>'Capex Model Category Index'!B24</f>
        <v>17</v>
      </c>
      <c r="C26" s="200" t="str">
        <f>'Capex Model Category Index'!C24</f>
        <v>New Service - New Home</v>
      </c>
      <c r="D26" s="52"/>
      <c r="E26" s="52"/>
      <c r="F26" s="55">
        <f t="shared" si="0"/>
        <v>13.253756802881007</v>
      </c>
      <c r="G26" s="54">
        <f t="shared" si="0"/>
        <v>12.719707215579287</v>
      </c>
      <c r="H26" s="54">
        <f t="shared" si="0"/>
        <v>12.99614361110959</v>
      </c>
      <c r="I26" s="54">
        <f t="shared" si="0"/>
        <v>13.569337742603619</v>
      </c>
      <c r="J26" s="95">
        <f t="shared" si="0"/>
        <v>14.557784167267746</v>
      </c>
      <c r="K26" s="52">
        <f t="shared" si="35"/>
        <v>67.096729539441242</v>
      </c>
      <c r="L26" s="32"/>
      <c r="M26" s="200" t="str">
        <f t="shared" si="7"/>
        <v>17</v>
      </c>
      <c r="N26" s="200" t="str">
        <f t="shared" si="7"/>
        <v>New Service - New Home</v>
      </c>
      <c r="O26" s="52"/>
      <c r="P26" s="52"/>
      <c r="Q26" s="55">
        <f>'Capex Category Summary (Vic)'!AO51</f>
        <v>11.884439725066148</v>
      </c>
      <c r="R26" s="54">
        <f>'Capex Category Summary (Vic)'!AP51</f>
        <v>11.567814212763961</v>
      </c>
      <c r="S26" s="54">
        <f>'Capex Category Summary (Vic)'!AQ51</f>
        <v>11.794048932724342</v>
      </c>
      <c r="T26" s="54">
        <f>'Capex Category Summary (Vic)'!AR51</f>
        <v>12.102462920179425</v>
      </c>
      <c r="U26" s="95">
        <f>'Capex Category Summary (Vic)'!AS51</f>
        <v>12.428209627271364</v>
      </c>
      <c r="V26" s="52">
        <f t="shared" si="8"/>
        <v>59.776975418005243</v>
      </c>
      <c r="W26" s="45"/>
      <c r="X26" s="200" t="str">
        <f t="shared" si="9"/>
        <v>17</v>
      </c>
      <c r="Y26" s="200" t="str">
        <f t="shared" si="9"/>
        <v>New Service - New Home</v>
      </c>
      <c r="Z26" s="52"/>
      <c r="AA26" s="52"/>
      <c r="AB26" s="55">
        <f t="shared" si="1"/>
        <v>1.3693170778148593</v>
      </c>
      <c r="AC26" s="54">
        <f t="shared" si="2"/>
        <v>1.1518930028153269</v>
      </c>
      <c r="AD26" s="54">
        <f t="shared" si="3"/>
        <v>1.2020946783852475</v>
      </c>
      <c r="AE26" s="54">
        <f t="shared" si="4"/>
        <v>1.4668748224241936</v>
      </c>
      <c r="AF26" s="95">
        <f t="shared" si="5"/>
        <v>2.1295745399963821</v>
      </c>
      <c r="AG26" s="52">
        <f t="shared" si="36"/>
        <v>7.3197541214360093</v>
      </c>
      <c r="AH26" s="32"/>
    </row>
    <row r="27" spans="1:46" ht="18" customHeight="1" x14ac:dyDescent="0.2">
      <c r="A27" s="32"/>
      <c r="B27" s="200" t="str">
        <f>'Capex Model Category Index'!B25</f>
        <v>18</v>
      </c>
      <c r="C27" s="200" t="str">
        <f>'Capex Model Category Index'!C25</f>
        <v>New Service - Exist Home</v>
      </c>
      <c r="D27" s="52"/>
      <c r="E27" s="52"/>
      <c r="F27" s="55">
        <f t="shared" si="0"/>
        <v>1.362448751590541</v>
      </c>
      <c r="G27" s="54">
        <f t="shared" si="0"/>
        <v>1.3075499629430454</v>
      </c>
      <c r="H27" s="54">
        <f t="shared" si="0"/>
        <v>1.3359668433480474</v>
      </c>
      <c r="I27" s="54">
        <f t="shared" si="0"/>
        <v>1.394889580537801</v>
      </c>
      <c r="J27" s="95">
        <f t="shared" si="0"/>
        <v>1.4964990801934028</v>
      </c>
      <c r="K27" s="52">
        <f t="shared" si="35"/>
        <v>6.897354218612838</v>
      </c>
      <c r="L27" s="32"/>
      <c r="M27" s="200" t="str">
        <f t="shared" si="7"/>
        <v>18</v>
      </c>
      <c r="N27" s="200" t="str">
        <f t="shared" si="7"/>
        <v>New Service - Exist Home</v>
      </c>
      <c r="O27" s="52"/>
      <c r="P27" s="52"/>
      <c r="Q27" s="55">
        <f>'Capex Category Summary (Vic)'!AO52</f>
        <v>1.2216868249196875</v>
      </c>
      <c r="R27" s="54">
        <f>'Capex Category Summary (Vic)'!AP52</f>
        <v>1.1891386168626286</v>
      </c>
      <c r="S27" s="54">
        <f>'Capex Category Summary (Vic)'!AQ52</f>
        <v>1.2123949068610582</v>
      </c>
      <c r="T27" s="54">
        <f>'Capex Category Summary (Vic)'!AR52</f>
        <v>1.2440989933650373</v>
      </c>
      <c r="U27" s="95">
        <f>'Capex Category Summary (Vic)'!AS52</f>
        <v>1.2775848344750584</v>
      </c>
      <c r="V27" s="52">
        <f t="shared" si="8"/>
        <v>6.14490417648347</v>
      </c>
      <c r="W27" s="45"/>
      <c r="X27" s="200" t="str">
        <f t="shared" si="9"/>
        <v>18</v>
      </c>
      <c r="Y27" s="200" t="str">
        <f t="shared" si="9"/>
        <v>New Service - Exist Home</v>
      </c>
      <c r="Z27" s="52"/>
      <c r="AA27" s="52"/>
      <c r="AB27" s="55">
        <f t="shared" si="1"/>
        <v>0.14076192667085355</v>
      </c>
      <c r="AC27" s="54">
        <f t="shared" si="2"/>
        <v>0.1184113460804168</v>
      </c>
      <c r="AD27" s="54">
        <f t="shared" si="3"/>
        <v>0.12357193648698926</v>
      </c>
      <c r="AE27" s="54">
        <f t="shared" si="4"/>
        <v>0.15079058717276378</v>
      </c>
      <c r="AF27" s="95">
        <f t="shared" si="5"/>
        <v>0.21891424571834436</v>
      </c>
      <c r="AG27" s="52">
        <f t="shared" si="36"/>
        <v>0.75245004212936784</v>
      </c>
      <c r="AH27" s="32"/>
    </row>
    <row r="28" spans="1:46" ht="18" customHeight="1" x14ac:dyDescent="0.2">
      <c r="A28" s="32"/>
      <c r="B28" s="200" t="str">
        <f>'Capex Model Category Index'!B26</f>
        <v>19</v>
      </c>
      <c r="C28" s="200" t="str">
        <f>'Capex Model Category Index'!C26</f>
        <v>New Service - Multi User</v>
      </c>
      <c r="D28" s="52"/>
      <c r="E28" s="52"/>
      <c r="F28" s="55">
        <f t="shared" si="0"/>
        <v>3.6749219779485318</v>
      </c>
      <c r="G28" s="54">
        <f t="shared" si="0"/>
        <v>3.5268439201662405</v>
      </c>
      <c r="H28" s="54">
        <f t="shared" si="0"/>
        <v>3.6034925414249592</v>
      </c>
      <c r="I28" s="54">
        <f t="shared" si="0"/>
        <v>3.762424363004834</v>
      </c>
      <c r="J28" s="95">
        <f t="shared" si="0"/>
        <v>4.0364948430994465</v>
      </c>
      <c r="K28" s="52">
        <f t="shared" si="35"/>
        <v>18.604177645644011</v>
      </c>
      <c r="L28" s="32"/>
      <c r="M28" s="200" t="str">
        <f t="shared" si="7"/>
        <v>19</v>
      </c>
      <c r="N28" s="200" t="str">
        <f t="shared" si="7"/>
        <v>New Service - Multi User</v>
      </c>
      <c r="O28" s="52"/>
      <c r="P28" s="52"/>
      <c r="Q28" s="55">
        <f>'Capex Category Summary (Vic)'!AO53</f>
        <v>3.2952459737118889</v>
      </c>
      <c r="R28" s="54">
        <f>'Capex Category Summary (Vic)'!AP53</f>
        <v>3.207453955852801</v>
      </c>
      <c r="S28" s="54">
        <f>'Capex Category Summary (Vic)'!AQ53</f>
        <v>3.2701829584233568</v>
      </c>
      <c r="T28" s="54">
        <f>'Capex Category Summary (Vic)'!AR53</f>
        <v>3.355698134057111</v>
      </c>
      <c r="U28" s="95">
        <f>'Capex Category Summary (Vic)'!AS53</f>
        <v>3.4460192219524544</v>
      </c>
      <c r="V28" s="52">
        <f t="shared" si="8"/>
        <v>16.574600243997612</v>
      </c>
      <c r="W28" s="45"/>
      <c r="X28" s="200" t="str">
        <f t="shared" si="9"/>
        <v>19</v>
      </c>
      <c r="Y28" s="200" t="str">
        <f t="shared" si="9"/>
        <v>New Service - Multi User</v>
      </c>
      <c r="Z28" s="52"/>
      <c r="AA28" s="52"/>
      <c r="AB28" s="55">
        <f t="shared" si="1"/>
        <v>0.37967600423664305</v>
      </c>
      <c r="AC28" s="54">
        <f t="shared" si="2"/>
        <v>0.31938996431343969</v>
      </c>
      <c r="AD28" s="54">
        <f t="shared" si="3"/>
        <v>0.33330958300160224</v>
      </c>
      <c r="AE28" s="54">
        <f t="shared" si="4"/>
        <v>0.40672622894772276</v>
      </c>
      <c r="AF28" s="95">
        <f t="shared" si="5"/>
        <v>0.59047562114699226</v>
      </c>
      <c r="AG28" s="52">
        <f t="shared" si="36"/>
        <v>2.0295774016463999</v>
      </c>
      <c r="AH28" s="32"/>
    </row>
    <row r="29" spans="1:46" ht="18" customHeight="1" x14ac:dyDescent="0.2">
      <c r="A29" s="32"/>
      <c r="B29" s="200" t="str">
        <f>'Capex Model Category Index'!B27</f>
        <v>20</v>
      </c>
      <c r="C29" s="200" t="str">
        <f>'Capex Model Category Index'!C27</f>
        <v>New Service - I&amp;C &lt; 10 Tj</v>
      </c>
      <c r="D29" s="52"/>
      <c r="E29" s="52"/>
      <c r="F29" s="55">
        <f t="shared" si="0"/>
        <v>1.8493813802749335</v>
      </c>
      <c r="G29" s="54">
        <f t="shared" si="0"/>
        <v>1.8447056160205473</v>
      </c>
      <c r="H29" s="54">
        <f t="shared" si="0"/>
        <v>1.8727150914214112</v>
      </c>
      <c r="I29" s="54">
        <f t="shared" si="0"/>
        <v>1.9333916235988735</v>
      </c>
      <c r="J29" s="95">
        <f t="shared" si="0"/>
        <v>2.0515724108669611</v>
      </c>
      <c r="K29" s="52">
        <f t="shared" si="35"/>
        <v>9.5517661221827268</v>
      </c>
      <c r="L29" s="32"/>
      <c r="M29" s="200" t="str">
        <f t="shared" si="7"/>
        <v>20</v>
      </c>
      <c r="N29" s="200" t="str">
        <f t="shared" si="7"/>
        <v>New Service - I&amp;C &lt; 10 Tj</v>
      </c>
      <c r="O29" s="52"/>
      <c r="P29" s="52"/>
      <c r="Q29" s="55">
        <f>'Capex Category Summary (Vic)'!AO54</f>
        <v>1.6583118182581618</v>
      </c>
      <c r="R29" s="54">
        <f>'Capex Category Summary (Vic)'!AP54</f>
        <v>1.6776496095154925</v>
      </c>
      <c r="S29" s="54">
        <f>'Capex Category Summary (Vic)'!AQ54</f>
        <v>1.6994959494287798</v>
      </c>
      <c r="T29" s="54">
        <f>'Capex Category Summary (Vic)'!AR54</f>
        <v>1.7243877983319482</v>
      </c>
      <c r="U29" s="95">
        <f>'Capex Category Summary (Vic)'!AS54</f>
        <v>1.751459679221671</v>
      </c>
      <c r="V29" s="52">
        <f t="shared" si="8"/>
        <v>8.5113048547560535</v>
      </c>
      <c r="W29" s="97"/>
      <c r="X29" s="200" t="str">
        <f t="shared" si="9"/>
        <v>20</v>
      </c>
      <c r="Y29" s="200" t="str">
        <f t="shared" si="9"/>
        <v>New Service - I&amp;C &lt; 10 Tj</v>
      </c>
      <c r="Z29" s="52"/>
      <c r="AA29" s="52"/>
      <c r="AB29" s="134">
        <f t="shared" si="1"/>
        <v>0.19106956201677175</v>
      </c>
      <c r="AC29" s="133">
        <f t="shared" si="2"/>
        <v>0.16705600650505478</v>
      </c>
      <c r="AD29" s="133">
        <f t="shared" si="3"/>
        <v>0.17321914199263133</v>
      </c>
      <c r="AE29" s="133">
        <f t="shared" si="4"/>
        <v>0.20900382526692524</v>
      </c>
      <c r="AF29" s="135">
        <f t="shared" si="5"/>
        <v>0.30011273164529001</v>
      </c>
      <c r="AG29" s="52">
        <f t="shared" si="36"/>
        <v>1.0404612674266731</v>
      </c>
      <c r="AH29" s="32"/>
    </row>
    <row r="30" spans="1:46" s="326" customFormat="1" ht="18" customHeight="1" thickBot="1" x14ac:dyDescent="0.25">
      <c r="A30" s="292"/>
      <c r="B30" s="98"/>
      <c r="C30" s="98" t="s">
        <v>46</v>
      </c>
      <c r="D30" s="99"/>
      <c r="E30" s="99"/>
      <c r="F30" s="100">
        <f>SUM(F10:F29)</f>
        <v>83.933042020002304</v>
      </c>
      <c r="G30" s="99">
        <f>SUM(G10:G29)</f>
        <v>84.356002794463009</v>
      </c>
      <c r="H30" s="99">
        <f>SUM(H10:H29)</f>
        <v>85.460647403291603</v>
      </c>
      <c r="I30" s="99">
        <f>SUM(I10:I29)</f>
        <v>83.181845000014405</v>
      </c>
      <c r="J30" s="101">
        <f>SUM(J10:J29)</f>
        <v>56.796180696520537</v>
      </c>
      <c r="K30" s="99">
        <f>SUM(F30:J30)</f>
        <v>393.72771791429187</v>
      </c>
      <c r="L30" s="292"/>
      <c r="M30" s="98"/>
      <c r="N30" s="98" t="s">
        <v>46</v>
      </c>
      <c r="O30" s="99"/>
      <c r="P30" s="99"/>
      <c r="Q30" s="100">
        <f>SUM(Q10:Q29)</f>
        <v>75.261466893019559</v>
      </c>
      <c r="R30" s="99">
        <f>SUM(R10:R29)</f>
        <v>76.716747604265095</v>
      </c>
      <c r="S30" s="99">
        <f>SUM(S10:S29)</f>
        <v>77.555857141737718</v>
      </c>
      <c r="T30" s="99">
        <f>SUM(T10:T29)</f>
        <v>74.189707253290365</v>
      </c>
      <c r="U30" s="101">
        <f>SUM(U10:U29)</f>
        <v>48.487793994903107</v>
      </c>
      <c r="V30" s="99">
        <f>SUM(Q30:U30)</f>
        <v>352.21157288721582</v>
      </c>
      <c r="W30" s="102"/>
      <c r="X30" s="98"/>
      <c r="Y30" s="98" t="s">
        <v>46</v>
      </c>
      <c r="Z30" s="99"/>
      <c r="AA30" s="99"/>
      <c r="AB30" s="100">
        <f>SUM(AB10:AB29)</f>
        <v>8.6715751269827503</v>
      </c>
      <c r="AC30" s="99">
        <f>SUM(AC10:AC29)</f>
        <v>7.6392551901979289</v>
      </c>
      <c r="AD30" s="99">
        <f>SUM(AD10:AD29)</f>
        <v>7.904790261553889</v>
      </c>
      <c r="AE30" s="99">
        <f>SUM(AE10:AE29)</f>
        <v>8.9921377467240209</v>
      </c>
      <c r="AF30" s="101">
        <f>SUM(AF10:AF29)</f>
        <v>8.3083867016174313</v>
      </c>
      <c r="AG30" s="99">
        <f>SUM(AB30:AF30)</f>
        <v>41.516145027076021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431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9">
        <f>'Capex Model Category Index'!B32</f>
        <v>21</v>
      </c>
      <c r="C33" s="200" t="str">
        <f>'Capex Model Category Index'!C32</f>
        <v>Telemetry</v>
      </c>
      <c r="D33" s="52"/>
      <c r="E33" s="52"/>
      <c r="F33" s="55">
        <f t="shared" ref="F33:J40" si="37">Q33+AB33</f>
        <v>0.2994941340778367</v>
      </c>
      <c r="G33" s="54">
        <f t="shared" si="37"/>
        <v>0.28406690999878076</v>
      </c>
      <c r="H33" s="54">
        <f t="shared" si="37"/>
        <v>0.27936030438565879</v>
      </c>
      <c r="I33" s="54">
        <f t="shared" si="37"/>
        <v>0.18692333253296883</v>
      </c>
      <c r="J33" s="95">
        <f t="shared" si="37"/>
        <v>0.16908105854874103</v>
      </c>
      <c r="K33" s="52">
        <f>SUM(F33:J33)</f>
        <v>1.2189257395439861</v>
      </c>
      <c r="L33" s="32"/>
      <c r="M33" s="509">
        <f>B33</f>
        <v>21</v>
      </c>
      <c r="N33" s="200" t="str">
        <f>C33</f>
        <v>Telemetry</v>
      </c>
      <c r="O33" s="52"/>
      <c r="P33" s="52"/>
      <c r="Q33" s="55">
        <f>'Capex Category Summary (Vic)'!AO62</f>
        <v>0.26855178025337162</v>
      </c>
      <c r="R33" s="54">
        <f>'Capex Category Summary (Vic)'!AP62</f>
        <v>0.25834189287274273</v>
      </c>
      <c r="S33" s="54">
        <f>'Capex Category Summary (Vic)'!AQ62</f>
        <v>0.25352052103892708</v>
      </c>
      <c r="T33" s="54">
        <f>'Capex Category Summary (Vic)'!AR62</f>
        <v>0.16671651511730723</v>
      </c>
      <c r="U33" s="95">
        <f>'Capex Category Summary (Vic)'!AS62</f>
        <v>0.14434716269317308</v>
      </c>
      <c r="V33" s="52">
        <f>SUM(Q33:U33)</f>
        <v>1.0914778719755218</v>
      </c>
      <c r="W33" s="97"/>
      <c r="X33" s="509">
        <f>M33</f>
        <v>21</v>
      </c>
      <c r="Y33" s="200" t="str">
        <f>N33</f>
        <v>Telemetry</v>
      </c>
      <c r="Z33" s="52"/>
      <c r="AA33" s="52"/>
      <c r="AB33" s="55">
        <f>(Q33/Q$43)*Q$45</f>
        <v>3.0942353824465064E-2</v>
      </c>
      <c r="AC33" s="54">
        <f t="shared" ref="AC33:AF40" si="38">(R33/R$43)*R$45</f>
        <v>2.5725017126038037E-2</v>
      </c>
      <c r="AD33" s="54">
        <f t="shared" si="38"/>
        <v>2.5839783346731714E-2</v>
      </c>
      <c r="AE33" s="54">
        <f t="shared" si="38"/>
        <v>2.0206817415661604E-2</v>
      </c>
      <c r="AF33" s="95">
        <f t="shared" si="38"/>
        <v>2.4733895855567956E-2</v>
      </c>
      <c r="AG33" s="52">
        <f>SUM(AB33:AF33)</f>
        <v>0.12744786756846438</v>
      </c>
      <c r="AH33" s="32"/>
    </row>
    <row r="34" spans="1:46" ht="18" customHeight="1" x14ac:dyDescent="0.2">
      <c r="A34" s="32"/>
      <c r="B34" s="509">
        <f>'Capex Model Category Index'!B33</f>
        <v>22</v>
      </c>
      <c r="C34" s="200" t="str">
        <f>'Capex Model Category Index'!C33</f>
        <v>Regulators</v>
      </c>
      <c r="D34" s="52"/>
      <c r="E34" s="52"/>
      <c r="F34" s="55">
        <f t="shared" si="37"/>
        <v>2.6729073416712645</v>
      </c>
      <c r="G34" s="54">
        <f t="shared" si="37"/>
        <v>4.7923526999826063</v>
      </c>
      <c r="H34" s="54">
        <f t="shared" si="37"/>
        <v>10.821649540401308</v>
      </c>
      <c r="I34" s="54">
        <f t="shared" si="37"/>
        <v>6.2659330214947371</v>
      </c>
      <c r="J34" s="95">
        <f t="shared" si="37"/>
        <v>3.223003675488211</v>
      </c>
      <c r="K34" s="52">
        <f t="shared" ref="K34:K40" si="39">SUM(F34:J34)</f>
        <v>27.775846279038131</v>
      </c>
      <c r="L34" s="32"/>
      <c r="M34" s="509">
        <f t="shared" ref="M34:N40" si="40">B34</f>
        <v>22</v>
      </c>
      <c r="N34" s="200" t="str">
        <f t="shared" si="40"/>
        <v>Regulators</v>
      </c>
      <c r="O34" s="52"/>
      <c r="P34" s="52"/>
      <c r="Q34" s="55">
        <f>'Capex Category Summary (Vic)'!AO63</f>
        <v>2.3967548722392329</v>
      </c>
      <c r="R34" s="54">
        <f>'Capex Category Summary (Vic)'!AP63</f>
        <v>4.3583586269608796</v>
      </c>
      <c r="S34" s="54">
        <f>'Capex Category Summary (Vic)'!AQ63</f>
        <v>9.8206874309378289</v>
      </c>
      <c r="T34" s="54">
        <f>'Capex Category Summary (Vic)'!AR63</f>
        <v>5.5885720800414962</v>
      </c>
      <c r="U34" s="95">
        <f>'Capex Category Summary (Vic)'!AS63</f>
        <v>2.7515289997565233</v>
      </c>
      <c r="V34" s="52">
        <f t="shared" ref="V34:V40" si="41">SUM(Q34:U34)</f>
        <v>24.915902009935962</v>
      </c>
      <c r="W34" s="97"/>
      <c r="X34" s="509">
        <f t="shared" ref="X34:Y40" si="42">M34</f>
        <v>22</v>
      </c>
      <c r="Y34" s="200" t="str">
        <f t="shared" si="42"/>
        <v>Regulators</v>
      </c>
      <c r="Z34" s="52"/>
      <c r="AA34" s="52"/>
      <c r="AB34" s="55">
        <f t="shared" ref="AB34:AB40" si="43">(Q34/Q$43)*Q$45</f>
        <v>0.2761524694320317</v>
      </c>
      <c r="AC34" s="54">
        <f t="shared" si="38"/>
        <v>0.43399407302172693</v>
      </c>
      <c r="AD34" s="54">
        <f t="shared" si="38"/>
        <v>1.0009621094634791</v>
      </c>
      <c r="AE34" s="54">
        <f t="shared" si="38"/>
        <v>0.67736094145324099</v>
      </c>
      <c r="AF34" s="95">
        <f t="shared" si="38"/>
        <v>0.4714746757316875</v>
      </c>
      <c r="AG34" s="52">
        <f t="shared" ref="AG34:AG40" si="44">SUM(AB34:AF34)</f>
        <v>2.8599442691021664</v>
      </c>
      <c r="AH34" s="32"/>
    </row>
    <row r="35" spans="1:46" ht="18" customHeight="1" x14ac:dyDescent="0.2">
      <c r="A35" s="32"/>
      <c r="B35" s="509">
        <f>'Capex Model Category Index'!B34</f>
        <v>23</v>
      </c>
      <c r="C35" s="200" t="str">
        <f>'Capex Model Category Index'!C34</f>
        <v>Information Technology</v>
      </c>
      <c r="D35" s="52"/>
      <c r="E35" s="52"/>
      <c r="F35" s="55">
        <f t="shared" si="37"/>
        <v>12.265673683020408</v>
      </c>
      <c r="G35" s="54">
        <f t="shared" si="37"/>
        <v>25.541065493366194</v>
      </c>
      <c r="H35" s="54">
        <f t="shared" si="37"/>
        <v>17.527246648461567</v>
      </c>
      <c r="I35" s="54">
        <f t="shared" si="37"/>
        <v>5.7233405035194966</v>
      </c>
      <c r="J35" s="95">
        <f t="shared" si="37"/>
        <v>7.0451906364604175</v>
      </c>
      <c r="K35" s="52">
        <f t="shared" si="39"/>
        <v>68.102516964828084</v>
      </c>
      <c r="L35" s="32"/>
      <c r="M35" s="509">
        <f t="shared" si="40"/>
        <v>23</v>
      </c>
      <c r="N35" s="200" t="str">
        <f t="shared" si="40"/>
        <v>Information Technology</v>
      </c>
      <c r="O35" s="52"/>
      <c r="P35" s="52"/>
      <c r="Q35" s="55">
        <f>'Capex Category Summary (Vic)'!AO64</f>
        <v>10.998440799932254</v>
      </c>
      <c r="R35" s="54">
        <f>'Capex Category Summary (Vic)'!AP64</f>
        <v>23.228073996972178</v>
      </c>
      <c r="S35" s="54">
        <f>'Capex Category Summary (Vic)'!AQ64</f>
        <v>15.906041885469383</v>
      </c>
      <c r="T35" s="54">
        <f>'Capex Category Summary (Vic)'!AR64</f>
        <v>5.1046349893650174</v>
      </c>
      <c r="U35" s="95">
        <f>'Capex Category Summary (Vic)'!AS64</f>
        <v>6.0145902074087978</v>
      </c>
      <c r="V35" s="52">
        <f t="shared" si="41"/>
        <v>61.251781879147629</v>
      </c>
      <c r="W35" s="97"/>
      <c r="X35" s="509">
        <f t="shared" si="42"/>
        <v>23</v>
      </c>
      <c r="Y35" s="200" t="str">
        <f t="shared" si="42"/>
        <v>Information Technology</v>
      </c>
      <c r="Z35" s="52"/>
      <c r="AA35" s="52"/>
      <c r="AB35" s="55">
        <f t="shared" si="43"/>
        <v>1.2672328830881536</v>
      </c>
      <c r="AC35" s="54">
        <f t="shared" si="38"/>
        <v>2.3129914963940172</v>
      </c>
      <c r="AD35" s="54">
        <f t="shared" si="38"/>
        <v>1.6212047629921846</v>
      </c>
      <c r="AE35" s="54">
        <f t="shared" si="38"/>
        <v>0.6187055141544795</v>
      </c>
      <c r="AF35" s="95">
        <f t="shared" si="38"/>
        <v>1.0306004290516195</v>
      </c>
      <c r="AG35" s="52">
        <f t="shared" si="44"/>
        <v>6.8507350856804541</v>
      </c>
      <c r="AH35" s="32"/>
    </row>
    <row r="36" spans="1:46" ht="18" customHeight="1" x14ac:dyDescent="0.2">
      <c r="A36" s="32"/>
      <c r="B36" s="509">
        <f>'Capex Model Category Index'!B35</f>
        <v>24</v>
      </c>
      <c r="C36" s="200" t="str">
        <f>'Capex Model Category Index'!C35</f>
        <v>Other Distribution System</v>
      </c>
      <c r="D36" s="52"/>
      <c r="E36" s="52"/>
      <c r="F36" s="55">
        <f t="shared" si="37"/>
        <v>0.65275341342970439</v>
      </c>
      <c r="G36" s="54">
        <f t="shared" si="37"/>
        <v>0.36115672609542587</v>
      </c>
      <c r="H36" s="54">
        <f t="shared" si="37"/>
        <v>0.38021351122558467</v>
      </c>
      <c r="I36" s="54">
        <f t="shared" si="37"/>
        <v>0.38330237960492808</v>
      </c>
      <c r="J36" s="95">
        <f t="shared" si="37"/>
        <v>0.40348336057998124</v>
      </c>
      <c r="K36" s="52">
        <f t="shared" si="39"/>
        <v>2.1809093909356241</v>
      </c>
      <c r="L36" s="32"/>
      <c r="M36" s="509">
        <f t="shared" si="40"/>
        <v>24</v>
      </c>
      <c r="N36" s="200" t="str">
        <f t="shared" si="40"/>
        <v>Other Distribution System</v>
      </c>
      <c r="O36" s="52"/>
      <c r="P36" s="52"/>
      <c r="Q36" s="55">
        <f>'Capex Category Summary (Vic)'!AO65</f>
        <v>0.58531393872793958</v>
      </c>
      <c r="R36" s="54">
        <f>'Capex Category Summary (Vic)'!AP65</f>
        <v>0.32845047754282769</v>
      </c>
      <c r="S36" s="54">
        <f>'Capex Category Summary (Vic)'!AQ65</f>
        <v>0.34504518343766</v>
      </c>
      <c r="T36" s="54">
        <f>'Capex Category Summary (Vic)'!AR65</f>
        <v>0.34186656153604517</v>
      </c>
      <c r="U36" s="95">
        <f>'Capex Category Summary (Vic)'!AS65</f>
        <v>0.3444600997505432</v>
      </c>
      <c r="V36" s="52">
        <f t="shared" si="41"/>
        <v>1.9451362609950156</v>
      </c>
      <c r="W36" s="97"/>
      <c r="X36" s="509">
        <f t="shared" si="42"/>
        <v>24</v>
      </c>
      <c r="Y36" s="200" t="str">
        <f t="shared" si="42"/>
        <v>Other Distribution System</v>
      </c>
      <c r="Z36" s="52"/>
      <c r="AA36" s="52"/>
      <c r="AB36" s="55">
        <f t="shared" si="43"/>
        <v>6.7439474701764868E-2</v>
      </c>
      <c r="AC36" s="54">
        <f t="shared" si="38"/>
        <v>3.2706248552598176E-2</v>
      </c>
      <c r="AD36" s="54">
        <f t="shared" si="38"/>
        <v>3.5168327787924655E-2</v>
      </c>
      <c r="AE36" s="54">
        <f t="shared" si="38"/>
        <v>4.1435818068882892E-2</v>
      </c>
      <c r="AF36" s="95">
        <f t="shared" si="38"/>
        <v>5.9023260829438061E-2</v>
      </c>
      <c r="AG36" s="52">
        <f t="shared" si="44"/>
        <v>0.23577312994060867</v>
      </c>
      <c r="AH36" s="32"/>
    </row>
    <row r="37" spans="1:46" ht="18" customHeight="1" x14ac:dyDescent="0.2">
      <c r="A37" s="32"/>
      <c r="B37" s="509">
        <f>'Capex Model Category Index'!B36</f>
        <v>25</v>
      </c>
      <c r="C37" s="200" t="str">
        <f>'Capex Model Category Index'!C36</f>
        <v>Other Non-Distribution System</v>
      </c>
      <c r="D37" s="52"/>
      <c r="E37" s="52"/>
      <c r="F37" s="55">
        <f t="shared" si="37"/>
        <v>1.7963630228543639</v>
      </c>
      <c r="G37" s="54">
        <f t="shared" si="37"/>
        <v>1.7824041876657732</v>
      </c>
      <c r="H37" s="54">
        <f t="shared" si="37"/>
        <v>1.338162801033308</v>
      </c>
      <c r="I37" s="54">
        <f t="shared" si="37"/>
        <v>2.4365761976691123</v>
      </c>
      <c r="J37" s="95">
        <f t="shared" si="37"/>
        <v>1.1227468851833666</v>
      </c>
      <c r="K37" s="52">
        <f t="shared" si="39"/>
        <v>8.4762530944059229</v>
      </c>
      <c r="L37" s="32"/>
      <c r="M37" s="509">
        <f t="shared" si="40"/>
        <v>25</v>
      </c>
      <c r="N37" s="200" t="str">
        <f t="shared" si="40"/>
        <v>Other Non-Distribution System</v>
      </c>
      <c r="O37" s="52"/>
      <c r="P37" s="52"/>
      <c r="Q37" s="55">
        <f>'Capex Category Summary (Vic)'!AO66</f>
        <v>1.6107710732107041</v>
      </c>
      <c r="R37" s="54">
        <f>'Capex Category Summary (Vic)'!AP66</f>
        <v>1.6209901804749296</v>
      </c>
      <c r="S37" s="54">
        <f>'Capex Category Summary (Vic)'!AQ66</f>
        <v>1.2143877466733248</v>
      </c>
      <c r="T37" s="54">
        <f>'Capex Category Summary (Vic)'!AR66</f>
        <v>2.1731770292589152</v>
      </c>
      <c r="U37" s="95">
        <f>'Capex Category Summary (Vic)'!AS66</f>
        <v>0.95850669903452335</v>
      </c>
      <c r="V37" s="52">
        <f t="shared" si="41"/>
        <v>7.5778327286523979</v>
      </c>
      <c r="W37" s="97"/>
      <c r="X37" s="509">
        <f t="shared" si="42"/>
        <v>25</v>
      </c>
      <c r="Y37" s="200" t="str">
        <f t="shared" si="42"/>
        <v>Other Non-Distribution System</v>
      </c>
      <c r="Z37" s="52"/>
      <c r="AA37" s="52"/>
      <c r="AB37" s="55">
        <f t="shared" si="43"/>
        <v>0.18559194964365977</v>
      </c>
      <c r="AC37" s="54">
        <f t="shared" si="38"/>
        <v>0.16141400719084364</v>
      </c>
      <c r="AD37" s="54">
        <f t="shared" si="38"/>
        <v>0.12377505435998307</v>
      </c>
      <c r="AE37" s="54">
        <f t="shared" si="38"/>
        <v>0.26339916841019723</v>
      </c>
      <c r="AF37" s="95">
        <f t="shared" si="38"/>
        <v>0.16424018614884334</v>
      </c>
      <c r="AG37" s="52">
        <f t="shared" si="44"/>
        <v>0.89842036575352702</v>
      </c>
      <c r="AH37" s="32"/>
    </row>
    <row r="38" spans="1:46" ht="18" customHeight="1" x14ac:dyDescent="0.2">
      <c r="A38" s="32"/>
      <c r="B38" s="509">
        <f>'Capex Model Category Index'!B37</f>
        <v>26</v>
      </c>
      <c r="C38" s="200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9">
        <f t="shared" si="40"/>
        <v>26</v>
      </c>
      <c r="N38" s="200" t="str">
        <f t="shared" si="40"/>
        <v>Large Consumers</v>
      </c>
      <c r="O38" s="52"/>
      <c r="P38" s="52"/>
      <c r="Q38" s="55">
        <f>'Capex Category Summary (Vic)'!AO67</f>
        <v>0</v>
      </c>
      <c r="R38" s="54">
        <f>'Capex Category Summary (Vic)'!AP67</f>
        <v>0</v>
      </c>
      <c r="S38" s="54">
        <f>'Capex Category Summary (Vic)'!AQ67</f>
        <v>0</v>
      </c>
      <c r="T38" s="54">
        <f>'Capex Category Summary (Vic)'!AR67</f>
        <v>0</v>
      </c>
      <c r="U38" s="95">
        <f>'Capex Category Summary (Vic)'!AS67</f>
        <v>0</v>
      </c>
      <c r="V38" s="52">
        <f t="shared" si="41"/>
        <v>0</v>
      </c>
      <c r="W38" s="97"/>
      <c r="X38" s="509">
        <f t="shared" si="42"/>
        <v>26</v>
      </c>
      <c r="Y38" s="200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9">
        <f>'Capex Model Category Index'!B38</f>
        <v>27</v>
      </c>
      <c r="C39" s="200" t="str">
        <f>'Capex Model Category Index'!C38</f>
        <v>Mains Augmentation</v>
      </c>
      <c r="D39" s="52"/>
      <c r="E39" s="52"/>
      <c r="F39" s="55">
        <f t="shared" si="37"/>
        <v>6.301304666106323</v>
      </c>
      <c r="G39" s="54">
        <f t="shared" si="37"/>
        <v>10.207910054158322</v>
      </c>
      <c r="H39" s="54">
        <f t="shared" si="37"/>
        <v>8.1345916704291774</v>
      </c>
      <c r="I39" s="54">
        <f t="shared" si="37"/>
        <v>3.905671358970793</v>
      </c>
      <c r="J39" s="95">
        <f t="shared" si="37"/>
        <v>2.5532456251353057</v>
      </c>
      <c r="K39" s="52">
        <f t="shared" si="39"/>
        <v>31.102723374799922</v>
      </c>
      <c r="L39" s="32"/>
      <c r="M39" s="509">
        <f t="shared" si="40"/>
        <v>27</v>
      </c>
      <c r="N39" s="200" t="str">
        <f t="shared" si="40"/>
        <v>Mains Augmentation</v>
      </c>
      <c r="O39" s="52"/>
      <c r="P39" s="52"/>
      <c r="Q39" s="55">
        <f>'Capex Category Summary (Vic)'!AO68</f>
        <v>5.6502829052469226</v>
      </c>
      <c r="R39" s="54">
        <f>'Capex Category Summary (Vic)'!AP68</f>
        <v>9.2834846750622297</v>
      </c>
      <c r="S39" s="54">
        <f>'Capex Category Summary (Vic)'!AQ68</f>
        <v>7.3821723643281878</v>
      </c>
      <c r="T39" s="54">
        <f>'Capex Category Summary (Vic)'!AR68</f>
        <v>3.4834598192616881</v>
      </c>
      <c r="U39" s="95">
        <f>'Capex Category Summary (Vic)'!AS68</f>
        <v>2.179746003546549</v>
      </c>
      <c r="V39" s="52">
        <f t="shared" si="41"/>
        <v>27.979145767445576</v>
      </c>
      <c r="W39" s="97"/>
      <c r="X39" s="509">
        <f t="shared" si="42"/>
        <v>27</v>
      </c>
      <c r="Y39" s="200" t="str">
        <f t="shared" si="42"/>
        <v>Mains Augmentation</v>
      </c>
      <c r="Z39" s="52"/>
      <c r="AA39" s="52"/>
      <c r="AB39" s="55">
        <f t="shared" si="43"/>
        <v>0.65102176085940011</v>
      </c>
      <c r="AC39" s="54">
        <f t="shared" si="38"/>
        <v>0.92442537909609335</v>
      </c>
      <c r="AD39" s="54">
        <f t="shared" si="38"/>
        <v>0.75241930610098873</v>
      </c>
      <c r="AE39" s="54">
        <f t="shared" si="38"/>
        <v>0.42221153970910469</v>
      </c>
      <c r="AF39" s="95">
        <f t="shared" si="38"/>
        <v>0.37349962158875649</v>
      </c>
      <c r="AG39" s="52">
        <f t="shared" si="44"/>
        <v>3.1235776073543438</v>
      </c>
      <c r="AH39" s="32"/>
    </row>
    <row r="40" spans="1:46" ht="18" customHeight="1" x14ac:dyDescent="0.2">
      <c r="A40" s="32"/>
      <c r="B40" s="509">
        <f>'Capex Model Category Index'!B39</f>
        <v>28</v>
      </c>
      <c r="C40" s="200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9">
        <f t="shared" si="40"/>
        <v>28</v>
      </c>
      <c r="N40" s="200" t="str">
        <f t="shared" si="40"/>
        <v>Growth New Areas</v>
      </c>
      <c r="O40" s="52"/>
      <c r="P40" s="52"/>
      <c r="Q40" s="55">
        <f>'Capex Category Summary (Vic)'!AO69</f>
        <v>0</v>
      </c>
      <c r="R40" s="54">
        <f>'Capex Category Summary (Vic)'!AP69</f>
        <v>0</v>
      </c>
      <c r="S40" s="54">
        <f>'Capex Category Summary (Vic)'!AQ69</f>
        <v>0</v>
      </c>
      <c r="T40" s="54">
        <f>'Capex Category Summary (Vic)'!AR69</f>
        <v>0</v>
      </c>
      <c r="U40" s="95">
        <f>'Capex Category Summary (Vic)'!AS69</f>
        <v>0</v>
      </c>
      <c r="V40" s="52">
        <f t="shared" si="41"/>
        <v>0</v>
      </c>
      <c r="W40" s="97"/>
      <c r="X40" s="509">
        <f t="shared" si="42"/>
        <v>28</v>
      </c>
      <c r="Y40" s="200" t="str">
        <f t="shared" si="42"/>
        <v>Growth New Areas</v>
      </c>
      <c r="Z40" s="52"/>
      <c r="AA40" s="52"/>
      <c r="AB40" s="134">
        <f t="shared" si="43"/>
        <v>0</v>
      </c>
      <c r="AC40" s="133">
        <f t="shared" si="38"/>
        <v>0</v>
      </c>
      <c r="AD40" s="133">
        <f t="shared" si="38"/>
        <v>0</v>
      </c>
      <c r="AE40" s="133">
        <f t="shared" si="38"/>
        <v>0</v>
      </c>
      <c r="AF40" s="135">
        <f t="shared" si="38"/>
        <v>0</v>
      </c>
      <c r="AG40" s="52">
        <f t="shared" si="44"/>
        <v>0</v>
      </c>
      <c r="AH40" s="32"/>
    </row>
    <row r="41" spans="1:46" s="326" customFormat="1" ht="18" customHeight="1" thickBot="1" x14ac:dyDescent="0.25">
      <c r="A41" s="292"/>
      <c r="B41" s="98"/>
      <c r="C41" s="98" t="s">
        <v>46</v>
      </c>
      <c r="D41" s="99"/>
      <c r="E41" s="99"/>
      <c r="F41" s="100">
        <f>SUM(F33:F40)</f>
        <v>23.988496261159899</v>
      </c>
      <c r="G41" s="99">
        <f t="shared" ref="G41:J41" si="45">SUM(G33:G40)</f>
        <v>42.968956071267101</v>
      </c>
      <c r="H41" s="99">
        <f t="shared" si="45"/>
        <v>38.481224475936607</v>
      </c>
      <c r="I41" s="99">
        <f t="shared" si="45"/>
        <v>18.901746793792036</v>
      </c>
      <c r="J41" s="101">
        <f t="shared" si="45"/>
        <v>14.516751241396022</v>
      </c>
      <c r="K41" s="99">
        <f>SUM(F41:J41)</f>
        <v>138.85717484355166</v>
      </c>
      <c r="L41" s="292"/>
      <c r="M41" s="98"/>
      <c r="N41" s="98" t="s">
        <v>46</v>
      </c>
      <c r="O41" s="99"/>
      <c r="P41" s="99"/>
      <c r="Q41" s="100">
        <f>SUM(Q33:Q40)</f>
        <v>21.510115369610425</v>
      </c>
      <c r="R41" s="99">
        <f t="shared" ref="R41:U41" si="46">SUM(R33:R40)</f>
        <v>39.077699849885789</v>
      </c>
      <c r="S41" s="99">
        <f t="shared" si="46"/>
        <v>34.921855131885309</v>
      </c>
      <c r="T41" s="99">
        <f t="shared" si="46"/>
        <v>16.858426994580469</v>
      </c>
      <c r="U41" s="101">
        <f t="shared" si="46"/>
        <v>12.393179172190109</v>
      </c>
      <c r="V41" s="99">
        <f>SUM(Q41:U41)</f>
        <v>124.7612765181521</v>
      </c>
      <c r="W41" s="102"/>
      <c r="X41" s="98"/>
      <c r="Y41" s="98" t="s">
        <v>46</v>
      </c>
      <c r="Z41" s="99"/>
      <c r="AA41" s="99"/>
      <c r="AB41" s="145">
        <f>SUM(AB33:AB40)</f>
        <v>2.4783808915494752</v>
      </c>
      <c r="AC41" s="146">
        <f t="shared" ref="AC41:AF41" si="47">SUM(AC33:AC40)</f>
        <v>3.8912562213813175</v>
      </c>
      <c r="AD41" s="146">
        <f t="shared" si="47"/>
        <v>3.5593693440512912</v>
      </c>
      <c r="AE41" s="146">
        <f t="shared" si="47"/>
        <v>2.043319799211567</v>
      </c>
      <c r="AF41" s="303">
        <f t="shared" si="47"/>
        <v>2.1235720692059132</v>
      </c>
      <c r="AG41" s="99">
        <f>SUM(AB41:AF41)</f>
        <v>14.095898325399563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51" t="s">
        <v>235</v>
      </c>
      <c r="D43" s="99"/>
      <c r="E43" s="99"/>
      <c r="F43" s="100">
        <f>F30+F41</f>
        <v>107.9215382811622</v>
      </c>
      <c r="G43" s="99">
        <f t="shared" ref="G43:J43" si="48">G30+G41</f>
        <v>127.32495886573011</v>
      </c>
      <c r="H43" s="99">
        <f t="shared" si="48"/>
        <v>123.94187187922822</v>
      </c>
      <c r="I43" s="99">
        <f t="shared" si="48"/>
        <v>102.08359179380645</v>
      </c>
      <c r="J43" s="101">
        <f t="shared" si="48"/>
        <v>71.312931937916559</v>
      </c>
      <c r="K43" s="99">
        <f>SUM(F43:J43)</f>
        <v>532.58489275784359</v>
      </c>
      <c r="L43" s="32"/>
      <c r="M43" s="98"/>
      <c r="N43" s="151" t="s">
        <v>234</v>
      </c>
      <c r="O43" s="99"/>
      <c r="P43" s="99"/>
      <c r="Q43" s="100">
        <f>Q30+Q41</f>
        <v>96.771582262629977</v>
      </c>
      <c r="R43" s="99">
        <f t="shared" ref="R43:U43" si="49">R30+R41</f>
        <v>115.79444745415088</v>
      </c>
      <c r="S43" s="99">
        <f t="shared" si="49"/>
        <v>112.47771227362303</v>
      </c>
      <c r="T43" s="99">
        <f t="shared" si="49"/>
        <v>91.048134247870834</v>
      </c>
      <c r="U43" s="101">
        <f t="shared" si="49"/>
        <v>60.880973167093217</v>
      </c>
      <c r="V43" s="99">
        <f>SUM(Q43:U43)</f>
        <v>476.97284940536792</v>
      </c>
      <c r="W43" s="106"/>
      <c r="X43" s="98"/>
      <c r="Y43" s="151" t="s">
        <v>200</v>
      </c>
      <c r="Z43" s="99"/>
      <c r="AA43" s="99"/>
      <c r="AB43" s="99">
        <f>AB30+AB41</f>
        <v>11.149956018532226</v>
      </c>
      <c r="AC43" s="99">
        <f t="shared" ref="AC43:AF43" si="50">AC30+AC41</f>
        <v>11.530511411579246</v>
      </c>
      <c r="AD43" s="99">
        <f t="shared" si="50"/>
        <v>11.464159605605181</v>
      </c>
      <c r="AE43" s="99">
        <f t="shared" si="50"/>
        <v>11.035457545935587</v>
      </c>
      <c r="AF43" s="99">
        <f t="shared" si="50"/>
        <v>10.431958770823345</v>
      </c>
      <c r="AG43" s="100">
        <f>SUM(AB43:AF43)</f>
        <v>55.612043352475581</v>
      </c>
      <c r="AH43" s="32"/>
    </row>
    <row r="44" spans="1:46" ht="15" x14ac:dyDescent="0.25">
      <c r="A44" s="32"/>
      <c r="B44" s="308"/>
      <c r="C44" s="308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308" t="s">
        <v>11</v>
      </c>
      <c r="Z44" s="50"/>
      <c r="AA44" s="50"/>
      <c r="AB44" s="50">
        <f>Q45-AB43</f>
        <v>0</v>
      </c>
      <c r="AC44" s="50">
        <f t="shared" ref="AC44:AG44" si="51">R45-AC43</f>
        <v>0</v>
      </c>
      <c r="AD44" s="50">
        <f t="shared" si="51"/>
        <v>0</v>
      </c>
      <c r="AE44" s="50">
        <f t="shared" si="51"/>
        <v>0</v>
      </c>
      <c r="AF44" s="50">
        <f t="shared" si="51"/>
        <v>0</v>
      </c>
      <c r="AG44" s="50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51" t="s">
        <v>61</v>
      </c>
      <c r="O45" s="99"/>
      <c r="P45" s="99"/>
      <c r="Q45" s="100">
        <f>Overheads!C51</f>
        <v>11.149956018532224</v>
      </c>
      <c r="R45" s="99">
        <f>Overheads!D51</f>
        <v>11.530511411579246</v>
      </c>
      <c r="S45" s="99">
        <f>Overheads!E51</f>
        <v>11.464159605605179</v>
      </c>
      <c r="T45" s="99">
        <f>Overheads!F51</f>
        <v>11.035457545935586</v>
      </c>
      <c r="U45" s="101">
        <f>Overheads!G51</f>
        <v>10.431958770823343</v>
      </c>
      <c r="V45" s="99">
        <f>SUM(Q45:U45)</f>
        <v>55.612043352475581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6" customFormat="1" ht="18.75" customHeight="1" thickBot="1" x14ac:dyDescent="0.2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98"/>
      <c r="N47" s="151" t="s">
        <v>235</v>
      </c>
      <c r="O47" s="99"/>
      <c r="P47" s="99"/>
      <c r="Q47" s="100">
        <f>Q30+Q41+Q45</f>
        <v>107.9215382811622</v>
      </c>
      <c r="R47" s="99">
        <f t="shared" ref="R47:U47" si="52">R30+R41+R45</f>
        <v>127.32495886573012</v>
      </c>
      <c r="S47" s="99">
        <f t="shared" si="52"/>
        <v>123.9418718792282</v>
      </c>
      <c r="T47" s="99">
        <f t="shared" si="52"/>
        <v>102.08359179380642</v>
      </c>
      <c r="U47" s="101">
        <f t="shared" si="52"/>
        <v>71.312931937916559</v>
      </c>
      <c r="V47" s="99">
        <f>SUM(Q47:U47)</f>
        <v>532.58489275784348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B2" sqref="B2"/>
    </sheetView>
  </sheetViews>
  <sheetFormatPr defaultRowHeight="14.25" x14ac:dyDescent="0.2"/>
  <cols>
    <col min="1" max="1" width="3.85546875" style="44" customWidth="1"/>
    <col min="2" max="2" width="5.28515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343" t="s">
        <v>76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44"/>
      <c r="Q2" s="344"/>
      <c r="R2" s="344"/>
      <c r="S2" s="344"/>
      <c r="T2" s="344"/>
      <c r="U2" s="344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7" t="s">
        <v>237</v>
      </c>
      <c r="C5" s="357"/>
      <c r="D5" s="357"/>
      <c r="E5" s="357"/>
      <c r="F5" s="357"/>
      <c r="G5" s="357"/>
      <c r="H5" s="357"/>
      <c r="I5" s="357"/>
      <c r="J5" s="357"/>
      <c r="K5" s="357"/>
      <c r="L5" s="32"/>
      <c r="M5" s="357" t="s">
        <v>233</v>
      </c>
      <c r="N5" s="357"/>
      <c r="O5" s="357"/>
      <c r="P5" s="357"/>
      <c r="Q5" s="357"/>
      <c r="R5" s="357"/>
      <c r="S5" s="357"/>
      <c r="T5" s="357"/>
      <c r="U5" s="357"/>
      <c r="V5" s="357"/>
      <c r="W5" s="32"/>
      <c r="X5" s="357" t="s">
        <v>236</v>
      </c>
      <c r="Y5" s="357"/>
      <c r="Z5" s="357"/>
      <c r="AA5" s="357"/>
      <c r="AB5" s="357"/>
      <c r="AC5" s="357"/>
      <c r="AD5" s="357"/>
      <c r="AE5" s="357"/>
      <c r="AF5" s="357"/>
      <c r="AG5" s="357"/>
      <c r="AH5" s="32"/>
    </row>
    <row r="6" spans="1:34" ht="16.5" customHeight="1" x14ac:dyDescent="0.2">
      <c r="A6" s="325"/>
      <c r="B6" s="32"/>
      <c r="C6" s="32"/>
      <c r="D6" s="32"/>
      <c r="E6" s="32"/>
      <c r="F6" s="32"/>
      <c r="G6" s="32"/>
      <c r="H6" s="32"/>
      <c r="I6" s="32"/>
      <c r="J6" s="32"/>
      <c r="K6" s="32"/>
      <c r="L6" s="325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2"/>
      <c r="C7" s="301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75</v>
      </c>
      <c r="L7" s="32"/>
      <c r="M7" s="302"/>
      <c r="N7" s="301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75</v>
      </c>
      <c r="W7" s="45"/>
      <c r="X7" s="36"/>
      <c r="Y7" s="81"/>
      <c r="Z7" s="304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4" t="s">
        <v>75</v>
      </c>
      <c r="AH7" s="32"/>
    </row>
    <row r="8" spans="1:34" x14ac:dyDescent="0.2">
      <c r="A8" s="32"/>
      <c r="B8" s="36"/>
      <c r="C8" s="81"/>
      <c r="D8" s="304"/>
      <c r="E8" s="8"/>
      <c r="F8" s="8"/>
      <c r="G8" s="8"/>
      <c r="H8" s="8"/>
      <c r="I8" s="8"/>
      <c r="J8" s="8"/>
      <c r="K8" s="304"/>
      <c r="L8" s="32"/>
      <c r="M8" s="36"/>
      <c r="N8" s="81"/>
      <c r="O8" s="304"/>
      <c r="P8" s="8"/>
      <c r="Q8" s="8"/>
      <c r="R8" s="8"/>
      <c r="S8" s="8"/>
      <c r="T8" s="8"/>
      <c r="U8" s="8"/>
      <c r="V8" s="304"/>
      <c r="W8" s="45"/>
      <c r="X8" s="38"/>
      <c r="Y8" s="184"/>
      <c r="Z8" s="306"/>
      <c r="AA8" s="307"/>
      <c r="AB8" s="307"/>
      <c r="AC8" s="307"/>
      <c r="AD8" s="307"/>
      <c r="AE8" s="307"/>
      <c r="AF8" s="307"/>
      <c r="AG8" s="306"/>
      <c r="AH8" s="32"/>
    </row>
    <row r="9" spans="1:34" ht="18" customHeight="1" x14ac:dyDescent="0.2">
      <c r="A9" s="32"/>
      <c r="B9" s="305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5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5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338" t="str">
        <f>'Capex Model Category Index'!B8</f>
        <v>01</v>
      </c>
      <c r="C10" s="338" t="str">
        <f>'Capex Model Category Index'!C8</f>
        <v>Meter Replacement - Meters &lt; 25m3</v>
      </c>
      <c r="D10" s="150"/>
      <c r="E10" s="52"/>
      <c r="F10" s="55">
        <f t="shared" ref="F10:J29" si="0">Q10+AB10</f>
        <v>0.26945614253763217</v>
      </c>
      <c r="G10" s="54">
        <f t="shared" si="0"/>
        <v>0.26664909064374454</v>
      </c>
      <c r="H10" s="54">
        <f t="shared" si="0"/>
        <v>0.26741008700813967</v>
      </c>
      <c r="I10" s="54">
        <f t="shared" si="0"/>
        <v>0.14224199204245916</v>
      </c>
      <c r="J10" s="95">
        <f t="shared" si="0"/>
        <v>0.14388957178400838</v>
      </c>
      <c r="K10" s="52">
        <f>SUM(F10:J10)</f>
        <v>1.0896468840159839</v>
      </c>
      <c r="L10" s="32"/>
      <c r="M10" s="338" t="str">
        <f>B10</f>
        <v>01</v>
      </c>
      <c r="N10" s="338" t="str">
        <f>C10</f>
        <v>Meter Replacement - Meters &lt; 25m3</v>
      </c>
      <c r="O10" s="150"/>
      <c r="P10" s="52"/>
      <c r="Q10" s="55">
        <f>'Capex Category Summary (Alb)'!AO10</f>
        <v>0.25485896966419935</v>
      </c>
      <c r="R10" s="54">
        <f>'Capex Category Summary (Alb)'!AP10</f>
        <v>0.2539453002579532</v>
      </c>
      <c r="S10" s="54">
        <f>'Capex Category Summary (Alb)'!AQ10</f>
        <v>0.25394202475313182</v>
      </c>
      <c r="T10" s="54">
        <f>'Capex Category Summary (Alb)'!AR10</f>
        <v>0.13423206085703779</v>
      </c>
      <c r="U10" s="95">
        <f>'Capex Category Summary (Alb)'!AS10</f>
        <v>0.13553582406251222</v>
      </c>
      <c r="V10" s="52">
        <f>SUM(Q10:U10)</f>
        <v>1.0325141795948343</v>
      </c>
      <c r="W10" s="45"/>
      <c r="X10" s="338" t="str">
        <f>M10</f>
        <v>01</v>
      </c>
      <c r="Y10" s="338" t="str">
        <f>N10</f>
        <v>Meter Replacement - Meters &lt; 25m3</v>
      </c>
      <c r="Z10" s="150"/>
      <c r="AA10" s="52"/>
      <c r="AB10" s="55">
        <f t="shared" ref="AB10:AB29" si="1">(Q10/Q$43)*Q$45</f>
        <v>1.4597172873432845E-2</v>
      </c>
      <c r="AC10" s="54">
        <f t="shared" ref="AC10:AC29" si="2">(R10/R$43)*R$45</f>
        <v>1.2703790385791338E-2</v>
      </c>
      <c r="AD10" s="54">
        <f t="shared" ref="AD10:AD29" si="3">(S10/S$43)*S$45</f>
        <v>1.3468062255007874E-2</v>
      </c>
      <c r="AE10" s="54">
        <f t="shared" ref="AE10:AE29" si="4">(T10/T$43)*T$45</f>
        <v>8.0099311854213723E-3</v>
      </c>
      <c r="AF10" s="95">
        <f t="shared" ref="AF10:AF29" si="5">(U10/U$43)*U$45</f>
        <v>8.3537477214961544E-3</v>
      </c>
      <c r="AG10" s="52">
        <f>SUM(AB10:AF10)</f>
        <v>5.713270442114958E-2</v>
      </c>
      <c r="AH10" s="32"/>
    </row>
    <row r="11" spans="1:34" ht="18" customHeight="1" x14ac:dyDescent="0.2">
      <c r="A11" s="32"/>
      <c r="B11" s="338" t="str">
        <f>'Capex Model Category Index'!B9</f>
        <v>02</v>
      </c>
      <c r="C11" s="338" t="str">
        <f>'Capex Model Category Index'!C9</f>
        <v>Meter Replacement - Meters &gt; 25m3</v>
      </c>
      <c r="D11" s="52"/>
      <c r="E11" s="52"/>
      <c r="F11" s="55">
        <f t="shared" si="0"/>
        <v>9.1366334522277631E-2</v>
      </c>
      <c r="G11" s="54">
        <f t="shared" si="0"/>
        <v>9.1258468657707051E-2</v>
      </c>
      <c r="H11" s="54">
        <f t="shared" si="0"/>
        <v>9.2166483952176012E-2</v>
      </c>
      <c r="I11" s="54">
        <f t="shared" si="0"/>
        <v>9.3551633331097367E-2</v>
      </c>
      <c r="J11" s="95">
        <f t="shared" si="0"/>
        <v>9.4635235814808011E-2</v>
      </c>
      <c r="K11" s="52">
        <f t="shared" ref="K11:K18" si="6">SUM(F11:J11)</f>
        <v>0.46297815627806616</v>
      </c>
      <c r="L11" s="32"/>
      <c r="M11" s="338" t="str">
        <f t="shared" ref="M11:N29" si="7">B11</f>
        <v>02</v>
      </c>
      <c r="N11" s="338" t="str">
        <f t="shared" si="7"/>
        <v>Meter Replacement - Meters &gt; 25m3</v>
      </c>
      <c r="O11" s="52"/>
      <c r="P11" s="52"/>
      <c r="Q11" s="55">
        <f>'Capex Category Summary (Alb)'!AO11</f>
        <v>8.6416771423535807E-2</v>
      </c>
      <c r="R11" s="54">
        <f>'Capex Category Summary (Alb)'!AP11</f>
        <v>8.6910700383092024E-2</v>
      </c>
      <c r="S11" s="54">
        <f>'Capex Category Summary (Alb)'!AQ11</f>
        <v>8.7524535110301144E-2</v>
      </c>
      <c r="T11" s="54">
        <f>'Capex Category Summary (Alb)'!AR11</f>
        <v>8.8283553669767936E-2</v>
      </c>
      <c r="U11" s="95">
        <f>'Capex Category Summary (Alb)'!AS11</f>
        <v>8.9141030253143641E-2</v>
      </c>
      <c r="V11" s="52">
        <f t="shared" ref="V11:V29" si="8">SUM(Q11:U11)</f>
        <v>0.43827659083984055</v>
      </c>
      <c r="W11" s="45"/>
      <c r="X11" s="338" t="str">
        <f t="shared" ref="X11:Y29" si="9">M11</f>
        <v>02</v>
      </c>
      <c r="Y11" s="338" t="str">
        <f t="shared" si="9"/>
        <v>Meter Replacement - Meters &gt; 25m3</v>
      </c>
      <c r="Z11" s="52"/>
      <c r="AA11" s="52"/>
      <c r="AB11" s="55">
        <f t="shared" si="1"/>
        <v>4.9495630987418261E-3</v>
      </c>
      <c r="AC11" s="54">
        <f t="shared" si="2"/>
        <v>4.3477682746150262E-3</v>
      </c>
      <c r="AD11" s="54">
        <f t="shared" si="3"/>
        <v>4.641948841874864E-3</v>
      </c>
      <c r="AE11" s="54">
        <f t="shared" si="4"/>
        <v>5.2680796613294341E-3</v>
      </c>
      <c r="AF11" s="95">
        <f t="shared" si="5"/>
        <v>5.4942055616643724E-3</v>
      </c>
      <c r="AG11" s="52">
        <f t="shared" ref="AG11:AG18" si="10">SUM(AB11:AF11)</f>
        <v>2.4701565438225524E-2</v>
      </c>
      <c r="AH11" s="32"/>
    </row>
    <row r="12" spans="1:34" ht="18" customHeight="1" x14ac:dyDescent="0.2">
      <c r="A12" s="32"/>
      <c r="B12" s="338" t="str">
        <f>'Capex Model Category Index'!B10</f>
        <v>03</v>
      </c>
      <c r="C12" s="338" t="str">
        <f>'Capex Model Category Index'!C10</f>
        <v>Mains Replacement - General Trunk Replacement</v>
      </c>
      <c r="D12" s="52"/>
      <c r="E12" s="52"/>
      <c r="F12" s="55">
        <f t="shared" si="0"/>
        <v>0</v>
      </c>
      <c r="G12" s="54">
        <f t="shared" si="0"/>
        <v>0</v>
      </c>
      <c r="H12" s="54">
        <f t="shared" si="0"/>
        <v>0</v>
      </c>
      <c r="I12" s="54">
        <f t="shared" si="0"/>
        <v>0</v>
      </c>
      <c r="J12" s="95">
        <f t="shared" si="0"/>
        <v>0</v>
      </c>
      <c r="K12" s="52">
        <f t="shared" si="6"/>
        <v>0</v>
      </c>
      <c r="L12" s="32"/>
      <c r="M12" s="338" t="str">
        <f t="shared" si="7"/>
        <v>03</v>
      </c>
      <c r="N12" s="338" t="str">
        <f t="shared" si="7"/>
        <v>Mains Replacement - General Trunk Replacement</v>
      </c>
      <c r="O12" s="52"/>
      <c r="P12" s="52"/>
      <c r="Q12" s="55">
        <f>'Capex Category Summary (Alb)'!AO17</f>
        <v>0</v>
      </c>
      <c r="R12" s="54">
        <f>'Capex Category Summary (Alb)'!AP17</f>
        <v>0</v>
      </c>
      <c r="S12" s="54">
        <f>'Capex Category Summary (Alb)'!AQ17</f>
        <v>0</v>
      </c>
      <c r="T12" s="54">
        <f>'Capex Category Summary (Alb)'!AR17</f>
        <v>0</v>
      </c>
      <c r="U12" s="95">
        <f>'Capex Category Summary (Alb)'!AS17</f>
        <v>0</v>
      </c>
      <c r="V12" s="52">
        <f t="shared" si="8"/>
        <v>0</v>
      </c>
      <c r="W12" s="45"/>
      <c r="X12" s="338" t="str">
        <f t="shared" si="9"/>
        <v>03</v>
      </c>
      <c r="Y12" s="338" t="str">
        <f t="shared" si="9"/>
        <v>Mains Replacement - General Trunk Replacement</v>
      </c>
      <c r="Z12" s="52"/>
      <c r="AA12" s="52"/>
      <c r="AB12" s="55">
        <f t="shared" si="1"/>
        <v>0</v>
      </c>
      <c r="AC12" s="54">
        <f t="shared" si="2"/>
        <v>0</v>
      </c>
      <c r="AD12" s="54">
        <f t="shared" si="3"/>
        <v>0</v>
      </c>
      <c r="AE12" s="54">
        <f t="shared" si="4"/>
        <v>0</v>
      </c>
      <c r="AF12" s="95">
        <f t="shared" si="5"/>
        <v>0</v>
      </c>
      <c r="AG12" s="52">
        <f t="shared" si="10"/>
        <v>0</v>
      </c>
      <c r="AH12" s="32"/>
    </row>
    <row r="13" spans="1:34" ht="18" customHeight="1" x14ac:dyDescent="0.2">
      <c r="A13" s="32"/>
      <c r="B13" s="338" t="str">
        <f>'Capex Model Category Index'!B11</f>
        <v>04</v>
      </c>
      <c r="C13" s="338" t="str">
        <f>'Capex Model Category Index'!C11</f>
        <v>Mains Replacement - Decommissioned Trunk Replacement</v>
      </c>
      <c r="D13" s="52"/>
      <c r="E13" s="52"/>
      <c r="F13" s="55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95">
        <f t="shared" si="0"/>
        <v>0</v>
      </c>
      <c r="K13" s="52">
        <f t="shared" si="6"/>
        <v>0</v>
      </c>
      <c r="L13" s="32"/>
      <c r="M13" s="338" t="str">
        <f t="shared" si="7"/>
        <v>04</v>
      </c>
      <c r="N13" s="338" t="str">
        <f t="shared" si="7"/>
        <v>Mains Replacement - Decommissioned Trunk Replacement</v>
      </c>
      <c r="O13" s="52"/>
      <c r="P13" s="52"/>
      <c r="Q13" s="55">
        <f>'Capex Category Summary (Alb)'!AO18</f>
        <v>0</v>
      </c>
      <c r="R13" s="54">
        <f>'Capex Category Summary (Alb)'!AP18</f>
        <v>0</v>
      </c>
      <c r="S13" s="54">
        <f>'Capex Category Summary (Alb)'!AQ18</f>
        <v>0</v>
      </c>
      <c r="T13" s="54">
        <f>'Capex Category Summary (Alb)'!AR18</f>
        <v>0</v>
      </c>
      <c r="U13" s="95">
        <f>'Capex Category Summary (Alb)'!AS18</f>
        <v>0</v>
      </c>
      <c r="V13" s="52">
        <f t="shared" si="8"/>
        <v>0</v>
      </c>
      <c r="W13" s="45"/>
      <c r="X13" s="338" t="str">
        <f t="shared" si="9"/>
        <v>04</v>
      </c>
      <c r="Y13" s="338" t="str">
        <f t="shared" si="9"/>
        <v>Mains Replacement - Decommissioned Trunk Replacement</v>
      </c>
      <c r="Z13" s="52"/>
      <c r="AA13" s="52"/>
      <c r="AB13" s="55">
        <f t="shared" si="1"/>
        <v>0</v>
      </c>
      <c r="AC13" s="54">
        <f t="shared" si="2"/>
        <v>0</v>
      </c>
      <c r="AD13" s="54">
        <f t="shared" si="3"/>
        <v>0</v>
      </c>
      <c r="AE13" s="54">
        <f t="shared" si="4"/>
        <v>0</v>
      </c>
      <c r="AF13" s="95">
        <f t="shared" si="5"/>
        <v>0</v>
      </c>
      <c r="AG13" s="52">
        <f t="shared" si="10"/>
        <v>0</v>
      </c>
      <c r="AH13" s="32"/>
    </row>
    <row r="14" spans="1:34" ht="18" customHeight="1" x14ac:dyDescent="0.2">
      <c r="A14" s="32"/>
      <c r="B14" s="338" t="str">
        <f>'Capex Model Category Index'!B12</f>
        <v>05</v>
      </c>
      <c r="C14" s="338" t="str">
        <f>'Capex Model Category Index'!C12</f>
        <v>Mains Replacement - Piecemeal Replacement</v>
      </c>
      <c r="D14" s="52"/>
      <c r="E14" s="52"/>
      <c r="F14" s="55">
        <f t="shared" si="0"/>
        <v>0</v>
      </c>
      <c r="G14" s="54">
        <f t="shared" si="0"/>
        <v>0</v>
      </c>
      <c r="H14" s="54">
        <f t="shared" si="0"/>
        <v>0</v>
      </c>
      <c r="I14" s="54">
        <f t="shared" si="0"/>
        <v>0</v>
      </c>
      <c r="J14" s="95">
        <f t="shared" si="0"/>
        <v>0</v>
      </c>
      <c r="K14" s="52">
        <f t="shared" si="6"/>
        <v>0</v>
      </c>
      <c r="L14" s="32"/>
      <c r="M14" s="338" t="str">
        <f t="shared" si="7"/>
        <v>05</v>
      </c>
      <c r="N14" s="338" t="str">
        <f t="shared" si="7"/>
        <v>Mains Replacement - Piecemeal Replacement</v>
      </c>
      <c r="O14" s="52"/>
      <c r="P14" s="52"/>
      <c r="Q14" s="55">
        <f>'Capex Category Summary (Alb)'!AO19</f>
        <v>0</v>
      </c>
      <c r="R14" s="54">
        <f>'Capex Category Summary (Alb)'!AP19</f>
        <v>0</v>
      </c>
      <c r="S14" s="54">
        <f>'Capex Category Summary (Alb)'!AQ19</f>
        <v>0</v>
      </c>
      <c r="T14" s="54">
        <f>'Capex Category Summary (Alb)'!AR19</f>
        <v>0</v>
      </c>
      <c r="U14" s="95">
        <f>'Capex Category Summary (Alb)'!AS19</f>
        <v>0</v>
      </c>
      <c r="V14" s="52">
        <f t="shared" si="8"/>
        <v>0</v>
      </c>
      <c r="W14" s="45"/>
      <c r="X14" s="338" t="str">
        <f t="shared" si="9"/>
        <v>05</v>
      </c>
      <c r="Y14" s="338" t="str">
        <f t="shared" si="9"/>
        <v>Mains Replacement - Piecemeal Replacement</v>
      </c>
      <c r="Z14" s="52"/>
      <c r="AA14" s="52"/>
      <c r="AB14" s="55">
        <f t="shared" si="1"/>
        <v>0</v>
      </c>
      <c r="AC14" s="54">
        <f t="shared" si="2"/>
        <v>0</v>
      </c>
      <c r="AD14" s="54">
        <f t="shared" si="3"/>
        <v>0</v>
      </c>
      <c r="AE14" s="54">
        <f t="shared" si="4"/>
        <v>0</v>
      </c>
      <c r="AF14" s="95">
        <f t="shared" si="5"/>
        <v>0</v>
      </c>
      <c r="AG14" s="52">
        <f t="shared" si="10"/>
        <v>0</v>
      </c>
      <c r="AH14" s="32"/>
    </row>
    <row r="15" spans="1:34" ht="18" customHeight="1" x14ac:dyDescent="0.2">
      <c r="A15" s="32"/>
      <c r="B15" s="338" t="str">
        <f>'Capex Model Category Index'!B13</f>
        <v>06</v>
      </c>
      <c r="C15" s="338" t="str">
        <f>'Capex Model Category Index'!C13</f>
        <v>Mains Replacement - HDPE Replacement</v>
      </c>
      <c r="D15" s="52"/>
      <c r="E15" s="52"/>
      <c r="F15" s="55">
        <f>Q15+AB15</f>
        <v>0</v>
      </c>
      <c r="G15" s="54">
        <f>R15+AC15</f>
        <v>0</v>
      </c>
      <c r="H15" s="54">
        <f>S15+AD15</f>
        <v>0</v>
      </c>
      <c r="I15" s="54">
        <f>T15+AE15</f>
        <v>0</v>
      </c>
      <c r="J15" s="95">
        <f>U15+AF15</f>
        <v>0</v>
      </c>
      <c r="K15" s="52">
        <f>SUM(F15:J15)</f>
        <v>0</v>
      </c>
      <c r="L15" s="32"/>
      <c r="M15" s="338" t="str">
        <f t="shared" si="7"/>
        <v>06</v>
      </c>
      <c r="N15" s="338" t="str">
        <f t="shared" si="7"/>
        <v>Mains Replacement - HDPE Replacement</v>
      </c>
      <c r="O15" s="52"/>
      <c r="P15" s="52"/>
      <c r="Q15" s="55">
        <f>'Capex Category Summary (Alb)'!AO20</f>
        <v>0</v>
      </c>
      <c r="R15" s="54">
        <f>'Capex Category Summary (Alb)'!AP20</f>
        <v>0</v>
      </c>
      <c r="S15" s="54">
        <f>'Capex Category Summary (Alb)'!AQ20</f>
        <v>0</v>
      </c>
      <c r="T15" s="54">
        <f>'Capex Category Summary (Alb)'!AR20</f>
        <v>0</v>
      </c>
      <c r="U15" s="95">
        <f>'Capex Category Summary (Alb)'!AS20</f>
        <v>0</v>
      </c>
      <c r="V15" s="52">
        <f>SUM(Q15:U15)</f>
        <v>0</v>
      </c>
      <c r="W15" s="45"/>
      <c r="X15" s="338" t="str">
        <f>M15</f>
        <v>06</v>
      </c>
      <c r="Y15" s="338" t="str">
        <f>N15</f>
        <v>Mains Replacement - HDPE Replacement</v>
      </c>
      <c r="Z15" s="52"/>
      <c r="AA15" s="52"/>
      <c r="AB15" s="55">
        <f t="shared" si="1"/>
        <v>0</v>
      </c>
      <c r="AC15" s="54">
        <f t="shared" si="2"/>
        <v>0</v>
      </c>
      <c r="AD15" s="54">
        <f t="shared" si="3"/>
        <v>0</v>
      </c>
      <c r="AE15" s="54">
        <f t="shared" si="4"/>
        <v>0</v>
      </c>
      <c r="AF15" s="95">
        <f t="shared" si="5"/>
        <v>0</v>
      </c>
      <c r="AG15" s="52">
        <f>SUM(AB15:AF15)</f>
        <v>0</v>
      </c>
      <c r="AH15" s="32"/>
    </row>
    <row r="16" spans="1:34" ht="18" customHeight="1" x14ac:dyDescent="0.2">
      <c r="A16" s="32"/>
      <c r="B16" s="338" t="str">
        <f>'Capex Model Category Index'!B14</f>
        <v>07</v>
      </c>
      <c r="C16" s="338" t="str">
        <f>'Capex Model Category Index'!C14</f>
        <v>Mains Replacement - HDICS Block Replacement</v>
      </c>
      <c r="D16" s="52"/>
      <c r="E16" s="52"/>
      <c r="F16" s="55">
        <f t="shared" si="0"/>
        <v>0</v>
      </c>
      <c r="G16" s="54">
        <f t="shared" si="0"/>
        <v>0</v>
      </c>
      <c r="H16" s="54">
        <f t="shared" si="0"/>
        <v>0</v>
      </c>
      <c r="I16" s="54">
        <f t="shared" si="0"/>
        <v>0</v>
      </c>
      <c r="J16" s="95">
        <f t="shared" si="0"/>
        <v>0</v>
      </c>
      <c r="K16" s="52">
        <f t="shared" si="6"/>
        <v>0</v>
      </c>
      <c r="L16" s="32"/>
      <c r="M16" s="338" t="str">
        <f t="shared" si="7"/>
        <v>07</v>
      </c>
      <c r="N16" s="338" t="str">
        <f t="shared" si="7"/>
        <v>Mains Replacement - HDICS Block Replacement</v>
      </c>
      <c r="O16" s="52"/>
      <c r="P16" s="52"/>
      <c r="Q16" s="55">
        <f>'Capex Category Summary (Alb)'!AO21</f>
        <v>0</v>
      </c>
      <c r="R16" s="54">
        <f>'Capex Category Summary (Alb)'!AP21</f>
        <v>0</v>
      </c>
      <c r="S16" s="54">
        <f>'Capex Category Summary (Alb)'!AQ21</f>
        <v>0</v>
      </c>
      <c r="T16" s="54">
        <f>'Capex Category Summary (Alb)'!AR21</f>
        <v>0</v>
      </c>
      <c r="U16" s="95">
        <f>'Capex Category Summary (Alb)'!AS21</f>
        <v>0</v>
      </c>
      <c r="V16" s="52">
        <f t="shared" si="8"/>
        <v>0</v>
      </c>
      <c r="W16" s="45"/>
      <c r="X16" s="338" t="str">
        <f t="shared" si="9"/>
        <v>07</v>
      </c>
      <c r="Y16" s="338" t="str">
        <f t="shared" si="9"/>
        <v>Mains Replacement - HDICS Block Replacement</v>
      </c>
      <c r="Z16" s="52"/>
      <c r="AA16" s="52"/>
      <c r="AB16" s="55">
        <f t="shared" si="1"/>
        <v>0</v>
      </c>
      <c r="AC16" s="54">
        <f t="shared" si="2"/>
        <v>0</v>
      </c>
      <c r="AD16" s="54">
        <f t="shared" si="3"/>
        <v>0</v>
      </c>
      <c r="AE16" s="54">
        <f t="shared" si="4"/>
        <v>0</v>
      </c>
      <c r="AF16" s="95">
        <f t="shared" si="5"/>
        <v>0</v>
      </c>
      <c r="AG16" s="52">
        <f t="shared" si="10"/>
        <v>0</v>
      </c>
      <c r="AH16" s="32"/>
    </row>
    <row r="17" spans="1:46" ht="18" customHeight="1" x14ac:dyDescent="0.2">
      <c r="A17" s="32"/>
      <c r="B17" s="338" t="str">
        <f>'Capex Model Category Index'!B15</f>
        <v>08</v>
      </c>
      <c r="C17" s="338" t="str">
        <f>'Capex Model Category Index'!C15</f>
        <v>Mains Replacement - LDS Block Replacement</v>
      </c>
      <c r="D17" s="52"/>
      <c r="E17" s="52"/>
      <c r="F17" s="55">
        <f t="shared" ref="F17" si="11">Q17+AB17</f>
        <v>0</v>
      </c>
      <c r="G17" s="54">
        <f t="shared" ref="G17" si="12">R17+AC17</f>
        <v>0</v>
      </c>
      <c r="H17" s="54">
        <f t="shared" ref="H17" si="13">S17+AD17</f>
        <v>0</v>
      </c>
      <c r="I17" s="54">
        <f t="shared" ref="I17" si="14">T17+AE17</f>
        <v>0</v>
      </c>
      <c r="J17" s="95">
        <f t="shared" ref="J17" si="15">U17+AF17</f>
        <v>0</v>
      </c>
      <c r="K17" s="52">
        <f t="shared" ref="K17" si="16">SUM(F17:J17)</f>
        <v>0</v>
      </c>
      <c r="L17" s="32"/>
      <c r="M17" s="338" t="str">
        <f t="shared" ref="M17" si="17">B17</f>
        <v>08</v>
      </c>
      <c r="N17" s="338" t="str">
        <f t="shared" ref="N17" si="18">C17</f>
        <v>Mains Replacement - LDS Block Replacement</v>
      </c>
      <c r="O17" s="52"/>
      <c r="P17" s="52"/>
      <c r="Q17" s="55">
        <f>'Capex Category Summary (Alb)'!AO22</f>
        <v>0</v>
      </c>
      <c r="R17" s="54">
        <f>'Capex Category Summary (Alb)'!AP22</f>
        <v>0</v>
      </c>
      <c r="S17" s="54">
        <f>'Capex Category Summary (Alb)'!AQ22</f>
        <v>0</v>
      </c>
      <c r="T17" s="54">
        <f>'Capex Category Summary (Alb)'!AR22</f>
        <v>0</v>
      </c>
      <c r="U17" s="95">
        <f>'Capex Category Summary (Alb)'!AS22</f>
        <v>0</v>
      </c>
      <c r="V17" s="52">
        <f t="shared" ref="V17" si="19">SUM(Q17:U17)</f>
        <v>0</v>
      </c>
      <c r="W17" s="45"/>
      <c r="X17" s="338" t="str">
        <f t="shared" ref="X17" si="20">M17</f>
        <v>08</v>
      </c>
      <c r="Y17" s="338" t="str">
        <f t="shared" ref="Y17" si="21">N17</f>
        <v>Mains Replacement - LDS Block Replacement</v>
      </c>
      <c r="Z17" s="52"/>
      <c r="AA17" s="52"/>
      <c r="AB17" s="55">
        <f t="shared" si="1"/>
        <v>0</v>
      </c>
      <c r="AC17" s="54">
        <f t="shared" si="2"/>
        <v>0</v>
      </c>
      <c r="AD17" s="54">
        <f t="shared" si="3"/>
        <v>0</v>
      </c>
      <c r="AE17" s="54">
        <f t="shared" si="4"/>
        <v>0</v>
      </c>
      <c r="AF17" s="95">
        <f t="shared" si="5"/>
        <v>0</v>
      </c>
      <c r="AG17" s="52">
        <f t="shared" ref="AG17" si="22">SUM(AB17:AF17)</f>
        <v>0</v>
      </c>
      <c r="AH17" s="32"/>
    </row>
    <row r="18" spans="1:46" ht="18" customHeight="1" x14ac:dyDescent="0.2">
      <c r="A18" s="32"/>
      <c r="B18" s="338" t="str">
        <f>'Capex Model Category Index'!B16</f>
        <v>09</v>
      </c>
      <c r="C18" s="338" t="str">
        <f>'Capex Model Category Index'!C16</f>
        <v>Mains Replacement - CBD Block Replacement</v>
      </c>
      <c r="D18" s="52"/>
      <c r="E18" s="52"/>
      <c r="F18" s="55">
        <f t="shared" si="0"/>
        <v>0</v>
      </c>
      <c r="G18" s="54">
        <f t="shared" si="0"/>
        <v>0</v>
      </c>
      <c r="H18" s="54">
        <f t="shared" si="0"/>
        <v>0</v>
      </c>
      <c r="I18" s="54">
        <f t="shared" si="0"/>
        <v>0</v>
      </c>
      <c r="J18" s="95">
        <f t="shared" si="0"/>
        <v>0</v>
      </c>
      <c r="K18" s="52">
        <f t="shared" si="6"/>
        <v>0</v>
      </c>
      <c r="L18" s="32"/>
      <c r="M18" s="338" t="str">
        <f t="shared" si="7"/>
        <v>09</v>
      </c>
      <c r="N18" s="338" t="str">
        <f t="shared" si="7"/>
        <v>Mains Replacement - CBD Block Replacement</v>
      </c>
      <c r="O18" s="52"/>
      <c r="P18" s="52"/>
      <c r="Q18" s="55">
        <f>'Capex Category Summary (Alb)'!AO23</f>
        <v>0</v>
      </c>
      <c r="R18" s="54">
        <f>'Capex Category Summary (Alb)'!AP23</f>
        <v>0</v>
      </c>
      <c r="S18" s="54">
        <f>'Capex Category Summary (Alb)'!AQ23</f>
        <v>0</v>
      </c>
      <c r="T18" s="54">
        <f>'Capex Category Summary (Alb)'!AR23</f>
        <v>0</v>
      </c>
      <c r="U18" s="95">
        <f>'Capex Category Summary (Alb)'!AS23</f>
        <v>0</v>
      </c>
      <c r="V18" s="52">
        <f t="shared" si="8"/>
        <v>0</v>
      </c>
      <c r="W18" s="45"/>
      <c r="X18" s="338" t="str">
        <f t="shared" si="9"/>
        <v>09</v>
      </c>
      <c r="Y18" s="338" t="str">
        <f t="shared" si="9"/>
        <v>Mains Replacement - CBD Block Replacement</v>
      </c>
      <c r="Z18" s="52"/>
      <c r="AA18" s="52"/>
      <c r="AB18" s="55">
        <f t="shared" si="1"/>
        <v>0</v>
      </c>
      <c r="AC18" s="54">
        <f t="shared" si="2"/>
        <v>0</v>
      </c>
      <c r="AD18" s="54">
        <f t="shared" si="3"/>
        <v>0</v>
      </c>
      <c r="AE18" s="54">
        <f t="shared" si="4"/>
        <v>0</v>
      </c>
      <c r="AF18" s="95">
        <f t="shared" si="5"/>
        <v>0</v>
      </c>
      <c r="AG18" s="52">
        <f t="shared" si="10"/>
        <v>0</v>
      </c>
      <c r="AH18" s="32"/>
    </row>
    <row r="19" spans="1:46" ht="18" customHeight="1" x14ac:dyDescent="0.2">
      <c r="A19" s="32"/>
      <c r="B19" s="338" t="str">
        <f>'Capex Model Category Index'!B17</f>
        <v>10</v>
      </c>
      <c r="C19" s="338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0</v>
      </c>
      <c r="H19" s="54">
        <f t="shared" ref="H19" si="25">S19+AD19</f>
        <v>0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0</v>
      </c>
      <c r="L19" s="32"/>
      <c r="M19" s="338" t="str">
        <f t="shared" ref="M19" si="29">B19</f>
        <v>10</v>
      </c>
      <c r="N19" s="338" t="str">
        <f t="shared" ref="N19" si="30">C19</f>
        <v>Mains Replacement - CBD Trunk Replacement</v>
      </c>
      <c r="O19" s="52"/>
      <c r="P19" s="52"/>
      <c r="Q19" s="55">
        <f>'Capex Category Summary (Alb)'!AO24</f>
        <v>0</v>
      </c>
      <c r="R19" s="54">
        <f>'Capex Category Summary (Alb)'!AP24</f>
        <v>0</v>
      </c>
      <c r="S19" s="54">
        <f>'Capex Category Summary (Alb)'!AQ24</f>
        <v>0</v>
      </c>
      <c r="T19" s="54">
        <f>'Capex Category Summary (Alb)'!AR24</f>
        <v>0</v>
      </c>
      <c r="U19" s="95">
        <f>'Capex Category Summary (Alb)'!AS24</f>
        <v>0</v>
      </c>
      <c r="V19" s="52">
        <f t="shared" ref="V19" si="31">SUM(Q19:U19)</f>
        <v>0</v>
      </c>
      <c r="W19" s="45"/>
      <c r="X19" s="338" t="str">
        <f t="shared" ref="X19" si="32">M19</f>
        <v>10</v>
      </c>
      <c r="Y19" s="338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</v>
      </c>
      <c r="AD19" s="54">
        <f t="shared" si="3"/>
        <v>0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</v>
      </c>
      <c r="AH19" s="32"/>
    </row>
    <row r="20" spans="1:46" ht="18" customHeight="1" x14ac:dyDescent="0.2">
      <c r="A20" s="32"/>
      <c r="B20" s="338" t="str">
        <f>'Capex Model Category Index'!B18</f>
        <v>11</v>
      </c>
      <c r="C20" s="338" t="str">
        <f>'Capex Model Category Index'!C18</f>
        <v>Service Renewal - Non AMRP</v>
      </c>
      <c r="D20" s="52"/>
      <c r="E20" s="52"/>
      <c r="F20" s="55">
        <f t="shared" si="0"/>
        <v>1.8230546685861621E-2</v>
      </c>
      <c r="G20" s="54">
        <f t="shared" si="0"/>
        <v>1.8209023947862481E-2</v>
      </c>
      <c r="H20" s="54">
        <f t="shared" si="0"/>
        <v>1.8390202445433226E-2</v>
      </c>
      <c r="I20" s="54">
        <f t="shared" si="0"/>
        <v>1.8666584665989108E-2</v>
      </c>
      <c r="J20" s="95">
        <f t="shared" si="0"/>
        <v>1.8882798501987808E-2</v>
      </c>
      <c r="K20" s="52">
        <f t="shared" ref="K20:K29" si="35">SUM(F20:J20)</f>
        <v>9.2379156247134248E-2</v>
      </c>
      <c r="L20" s="32"/>
      <c r="M20" s="338" t="str">
        <f t="shared" si="7"/>
        <v>11</v>
      </c>
      <c r="N20" s="338" t="str">
        <f t="shared" si="7"/>
        <v>Service Renewal - Non AMRP</v>
      </c>
      <c r="O20" s="52"/>
      <c r="P20" s="52"/>
      <c r="Q20" s="55">
        <f>'Capex Category Summary (Alb)'!AO30</f>
        <v>1.7242948336666279E-2</v>
      </c>
      <c r="R20" s="54">
        <f>'Capex Category Summary (Alb)'!AP30</f>
        <v>1.7341503181881102E-2</v>
      </c>
      <c r="S20" s="54">
        <f>'Capex Category Summary (Alb)'!AQ30</f>
        <v>1.7463983116205929E-2</v>
      </c>
      <c r="T20" s="54">
        <f>'Capex Category Summary (Alb)'!AR30</f>
        <v>1.7615431933280024E-2</v>
      </c>
      <c r="U20" s="95">
        <f>'Capex Category Summary (Alb)'!AS30</f>
        <v>1.7786526319051317E-2</v>
      </c>
      <c r="V20" s="52">
        <f t="shared" si="8"/>
        <v>8.7450392887084644E-2</v>
      </c>
      <c r="W20" s="45"/>
      <c r="X20" s="338" t="str">
        <f t="shared" si="9"/>
        <v>11</v>
      </c>
      <c r="Y20" s="338" t="str">
        <f t="shared" si="9"/>
        <v>Service Renewal - Non AMRP</v>
      </c>
      <c r="Z20" s="52"/>
      <c r="AA20" s="52"/>
      <c r="AB20" s="55">
        <f t="shared" si="1"/>
        <v>9.8759834919534203E-4</v>
      </c>
      <c r="AC20" s="54">
        <f t="shared" si="2"/>
        <v>8.6752076598137966E-4</v>
      </c>
      <c r="AD20" s="54">
        <f t="shared" si="3"/>
        <v>9.2621932922729879E-4</v>
      </c>
      <c r="AE20" s="54">
        <f t="shared" si="4"/>
        <v>1.0511527327090825E-3</v>
      </c>
      <c r="AF20" s="95">
        <f t="shared" si="5"/>
        <v>1.0962721829364901E-3</v>
      </c>
      <c r="AG20" s="52">
        <f t="shared" ref="AG20:AG29" si="36">SUM(AB20:AF20)</f>
        <v>4.9287633600495935E-3</v>
      </c>
      <c r="AH20" s="32"/>
    </row>
    <row r="21" spans="1:46" ht="18" customHeight="1" x14ac:dyDescent="0.2">
      <c r="A21" s="32"/>
      <c r="B21" s="338" t="str">
        <f>'Capex Model Category Index'!B19</f>
        <v>12</v>
      </c>
      <c r="C21" s="338" t="str">
        <f>'Capex Model Category Index'!C19</f>
        <v>New Main - Estate</v>
      </c>
      <c r="D21" s="52"/>
      <c r="E21" s="52"/>
      <c r="F21" s="55">
        <f t="shared" si="0"/>
        <v>0.28233205966168035</v>
      </c>
      <c r="G21" s="54">
        <f t="shared" si="0"/>
        <v>0.28720444830442943</v>
      </c>
      <c r="H21" s="54">
        <f t="shared" si="0"/>
        <v>0.29541710946908678</v>
      </c>
      <c r="I21" s="54">
        <f t="shared" si="0"/>
        <v>0.30539313826329534</v>
      </c>
      <c r="J21" s="95">
        <f t="shared" si="0"/>
        <v>0.31463473823338511</v>
      </c>
      <c r="K21" s="52">
        <f t="shared" si="35"/>
        <v>1.4849814939318771</v>
      </c>
      <c r="L21" s="32"/>
      <c r="M21" s="338" t="str">
        <f t="shared" si="7"/>
        <v>12</v>
      </c>
      <c r="N21" s="338" t="str">
        <f t="shared" si="7"/>
        <v>New Main - Estate</v>
      </c>
      <c r="O21" s="52"/>
      <c r="P21" s="52"/>
      <c r="Q21" s="55">
        <f>'Capex Category Summary (Alb)'!AO36</f>
        <v>0.26703736330114614</v>
      </c>
      <c r="R21" s="54">
        <f>'Capex Category Summary (Alb)'!AP36</f>
        <v>0.27352135229117136</v>
      </c>
      <c r="S21" s="54">
        <f>'Capex Category Summary (Alb)'!AQ36</f>
        <v>0.28053847842700858</v>
      </c>
      <c r="T21" s="54">
        <f>'Capex Category Summary (Alb)'!AR36</f>
        <v>0.28819583958331985</v>
      </c>
      <c r="U21" s="95">
        <f>'Capex Category Summary (Alb)'!AS36</f>
        <v>0.29636809670382297</v>
      </c>
      <c r="V21" s="52">
        <f t="shared" si="8"/>
        <v>1.405661130306469</v>
      </c>
      <c r="W21" s="45"/>
      <c r="X21" s="338" t="str">
        <f t="shared" si="9"/>
        <v>12</v>
      </c>
      <c r="Y21" s="338" t="str">
        <f t="shared" si="9"/>
        <v>New Main - Estate</v>
      </c>
      <c r="Z21" s="52"/>
      <c r="AA21" s="52"/>
      <c r="AB21" s="55">
        <f t="shared" si="1"/>
        <v>1.5294696360534186E-2</v>
      </c>
      <c r="AC21" s="54">
        <f t="shared" si="2"/>
        <v>1.3683096013258091E-2</v>
      </c>
      <c r="AD21" s="54">
        <f t="shared" si="3"/>
        <v>1.4878631042078188E-2</v>
      </c>
      <c r="AE21" s="54">
        <f t="shared" si="4"/>
        <v>1.7197298679975513E-2</v>
      </c>
      <c r="AF21" s="95">
        <f t="shared" si="5"/>
        <v>1.8266641529562141E-2</v>
      </c>
      <c r="AG21" s="52">
        <f t="shared" si="36"/>
        <v>7.9320363625408119E-2</v>
      </c>
      <c r="AH21" s="32"/>
    </row>
    <row r="22" spans="1:46" ht="18" customHeight="1" x14ac:dyDescent="0.2">
      <c r="A22" s="32"/>
      <c r="B22" s="338" t="str">
        <f>'Capex Model Category Index'!B20</f>
        <v>13</v>
      </c>
      <c r="C22" s="338" t="str">
        <f>'Capex Model Category Index'!C20</f>
        <v>New Main - Existing Domestic</v>
      </c>
      <c r="D22" s="52"/>
      <c r="E22" s="52"/>
      <c r="F22" s="55">
        <f t="shared" si="0"/>
        <v>3.0859986480306833E-3</v>
      </c>
      <c r="G22" s="54">
        <f t="shared" si="0"/>
        <v>3.139255741051652E-3</v>
      </c>
      <c r="H22" s="54">
        <f t="shared" si="0"/>
        <v>3.2290233051080917E-3</v>
      </c>
      <c r="I22" s="54">
        <f t="shared" si="0"/>
        <v>3.3380651596127985E-3</v>
      </c>
      <c r="J22" s="95">
        <f t="shared" si="0"/>
        <v>3.4390794229150687E-3</v>
      </c>
      <c r="K22" s="52">
        <f t="shared" si="35"/>
        <v>1.6231422276718296E-2</v>
      </c>
      <c r="L22" s="32"/>
      <c r="M22" s="338" t="str">
        <f t="shared" si="7"/>
        <v>13</v>
      </c>
      <c r="N22" s="338" t="str">
        <f t="shared" si="7"/>
        <v>New Main - Existing Domestic</v>
      </c>
      <c r="O22" s="52"/>
      <c r="P22" s="52"/>
      <c r="Q22" s="55">
        <f>'Capex Category Summary (Alb)'!AO37</f>
        <v>2.9188216992023868E-3</v>
      </c>
      <c r="R22" s="54">
        <f>'Capex Category Summary (Alb)'!AP37</f>
        <v>2.9896942075567025E-3</v>
      </c>
      <c r="S22" s="54">
        <f>'Capex Category Summary (Alb)'!AQ37</f>
        <v>3.0663941111886291E-3</v>
      </c>
      <c r="T22" s="54">
        <f>'Capex Category Summary (Alb)'!AR37</f>
        <v>3.1500920313050204E-3</v>
      </c>
      <c r="U22" s="95">
        <f>'Capex Category Summary (Alb)'!AS37</f>
        <v>3.2394179635262931E-3</v>
      </c>
      <c r="V22" s="52">
        <f t="shared" si="8"/>
        <v>1.5364420012779033E-2</v>
      </c>
      <c r="W22" s="45"/>
      <c r="X22" s="338" t="str">
        <f t="shared" si="9"/>
        <v>13</v>
      </c>
      <c r="Y22" s="338" t="str">
        <f t="shared" si="9"/>
        <v>New Main - Existing Domestic</v>
      </c>
      <c r="Z22" s="52"/>
      <c r="AA22" s="52"/>
      <c r="AB22" s="55">
        <f t="shared" si="1"/>
        <v>1.6717694882829659E-4</v>
      </c>
      <c r="AC22" s="54">
        <f t="shared" si="2"/>
        <v>1.4956153349494954E-4</v>
      </c>
      <c r="AD22" s="54">
        <f t="shared" si="3"/>
        <v>1.6262919391946237E-4</v>
      </c>
      <c r="AE22" s="54">
        <f t="shared" si="4"/>
        <v>1.8797312830777806E-4</v>
      </c>
      <c r="AF22" s="95">
        <f t="shared" si="5"/>
        <v>1.9966145938877535E-4</v>
      </c>
      <c r="AG22" s="52">
        <f t="shared" si="36"/>
        <v>8.670022639392619E-4</v>
      </c>
      <c r="AH22" s="32"/>
    </row>
    <row r="23" spans="1:46" ht="18" customHeight="1" x14ac:dyDescent="0.2">
      <c r="A23" s="32"/>
      <c r="B23" s="338" t="str">
        <f>'Capex Model Category Index'!B21</f>
        <v>14</v>
      </c>
      <c r="C23" s="338" t="str">
        <f>'Capex Model Category Index'!C21</f>
        <v>New Main - I&amp;C&lt;10TJ</v>
      </c>
      <c r="D23" s="52"/>
      <c r="E23" s="52"/>
      <c r="F23" s="55">
        <f t="shared" si="0"/>
        <v>0.1946380623662203</v>
      </c>
      <c r="G23" s="54">
        <f t="shared" si="0"/>
        <v>0.19553494038972094</v>
      </c>
      <c r="H23" s="54">
        <f t="shared" si="0"/>
        <v>0.19862496891638692</v>
      </c>
      <c r="I23" s="54">
        <f t="shared" si="0"/>
        <v>0.20277846094369276</v>
      </c>
      <c r="J23" s="95">
        <f t="shared" si="0"/>
        <v>0.20631601592537269</v>
      </c>
      <c r="K23" s="52">
        <f t="shared" si="35"/>
        <v>0.99789244854139358</v>
      </c>
      <c r="L23" s="32"/>
      <c r="M23" s="338" t="str">
        <f t="shared" si="7"/>
        <v>14</v>
      </c>
      <c r="N23" s="338" t="str">
        <f t="shared" si="7"/>
        <v>New Main - I&amp;C&lt;10TJ</v>
      </c>
      <c r="O23" s="52"/>
      <c r="P23" s="52"/>
      <c r="Q23" s="55">
        <f>'Capex Category Summary (Alb)'!AO38</f>
        <v>0.18409398859839768</v>
      </c>
      <c r="R23" s="54">
        <f>'Capex Category Summary (Alb)'!AP38</f>
        <v>0.18621919552889182</v>
      </c>
      <c r="S23" s="54">
        <f>'Capex Category Summary (Alb)'!AQ38</f>
        <v>0.18862125710171826</v>
      </c>
      <c r="T23" s="54">
        <f>'Capex Category Summary (Alb)'!AR38</f>
        <v>0.19135960006638025</v>
      </c>
      <c r="U23" s="95">
        <f>'Capex Category Summary (Alb)'!AS38</f>
        <v>0.19433799745901781</v>
      </c>
      <c r="V23" s="52">
        <f t="shared" si="8"/>
        <v>0.94463203875440582</v>
      </c>
      <c r="W23" s="45"/>
      <c r="X23" s="338" t="str">
        <f t="shared" si="9"/>
        <v>14</v>
      </c>
      <c r="Y23" s="338" t="str">
        <f t="shared" si="9"/>
        <v>New Main - I&amp;C&lt;10TJ</v>
      </c>
      <c r="Z23" s="52"/>
      <c r="AA23" s="52"/>
      <c r="AB23" s="55">
        <f t="shared" si="1"/>
        <v>1.0544073767822624E-2</v>
      </c>
      <c r="AC23" s="54">
        <f t="shared" si="2"/>
        <v>9.3157448608291119E-3</v>
      </c>
      <c r="AD23" s="54">
        <f t="shared" si="3"/>
        <v>1.0003711814668666E-2</v>
      </c>
      <c r="AE23" s="54">
        <f t="shared" si="4"/>
        <v>1.141886087731251E-2</v>
      </c>
      <c r="AF23" s="95">
        <f t="shared" si="5"/>
        <v>1.1978018466354866E-2</v>
      </c>
      <c r="AG23" s="52">
        <f t="shared" si="36"/>
        <v>5.3260409786987775E-2</v>
      </c>
      <c r="AH23" s="32"/>
    </row>
    <row r="24" spans="1:46" ht="18" customHeight="1" x14ac:dyDescent="0.2">
      <c r="A24" s="32"/>
      <c r="B24" s="338" t="str">
        <f>'Capex Model Category Index'!B22</f>
        <v>15</v>
      </c>
      <c r="C24" s="338" t="str">
        <f>'Capex Model Category Index'!C22</f>
        <v>New Meter - Domestic</v>
      </c>
      <c r="D24" s="52"/>
      <c r="E24" s="52"/>
      <c r="F24" s="55">
        <f t="shared" si="0"/>
        <v>0.11062428920582648</v>
      </c>
      <c r="G24" s="54">
        <f t="shared" si="0"/>
        <v>0.11149271795125235</v>
      </c>
      <c r="H24" s="54">
        <f t="shared" si="0"/>
        <v>0.11387511286208155</v>
      </c>
      <c r="I24" s="54">
        <f t="shared" si="0"/>
        <v>0.12046570063410872</v>
      </c>
      <c r="J24" s="95">
        <f t="shared" si="0"/>
        <v>0.12411115194224258</v>
      </c>
      <c r="K24" s="52">
        <f t="shared" si="35"/>
        <v>0.58056897259551166</v>
      </c>
      <c r="L24" s="32"/>
      <c r="M24" s="338" t="str">
        <f t="shared" si="7"/>
        <v>15</v>
      </c>
      <c r="N24" s="338" t="str">
        <f t="shared" si="7"/>
        <v>New Meter - Domestic</v>
      </c>
      <c r="O24" s="52"/>
      <c r="P24" s="52"/>
      <c r="Q24" s="55">
        <f>'Capex Category Summary (Alb)'!AO44</f>
        <v>0.10463147026939211</v>
      </c>
      <c r="R24" s="54">
        <f>'Capex Category Summary (Alb)'!AP44</f>
        <v>0.10618094240768894</v>
      </c>
      <c r="S24" s="54">
        <f>'Capex Category Summary (Alb)'!AQ44</f>
        <v>0.10813981272257754</v>
      </c>
      <c r="T24" s="54">
        <f>'Capex Category Summary (Alb)'!AR44</f>
        <v>0.11368203599030399</v>
      </c>
      <c r="U24" s="95">
        <f>'Capex Category Summary (Alb)'!AS44</f>
        <v>0.11690567318589395</v>
      </c>
      <c r="V24" s="52">
        <f t="shared" si="8"/>
        <v>0.54953993457585659</v>
      </c>
      <c r="W24" s="45"/>
      <c r="X24" s="338" t="str">
        <f t="shared" si="9"/>
        <v>15</v>
      </c>
      <c r="Y24" s="338" t="str">
        <f t="shared" si="9"/>
        <v>New Meter - Domestic</v>
      </c>
      <c r="Z24" s="52"/>
      <c r="AA24" s="52"/>
      <c r="AB24" s="55">
        <f t="shared" si="1"/>
        <v>5.9928189364343671E-3</v>
      </c>
      <c r="AC24" s="54">
        <f t="shared" si="2"/>
        <v>5.311775543563409E-3</v>
      </c>
      <c r="AD24" s="54">
        <f t="shared" si="3"/>
        <v>5.735300139504006E-3</v>
      </c>
      <c r="AE24" s="54">
        <f t="shared" si="4"/>
        <v>6.7836646438047196E-3</v>
      </c>
      <c r="AF24" s="95">
        <f t="shared" si="5"/>
        <v>7.2054787563486187E-3</v>
      </c>
      <c r="AG24" s="52">
        <f t="shared" si="36"/>
        <v>3.102903801965512E-2</v>
      </c>
      <c r="AH24" s="32"/>
    </row>
    <row r="25" spans="1:46" ht="18" customHeight="1" x14ac:dyDescent="0.2">
      <c r="A25" s="32"/>
      <c r="B25" s="338" t="str">
        <f>'Capex Model Category Index'!B23</f>
        <v>16</v>
      </c>
      <c r="C25" s="338" t="str">
        <f>'Capex Model Category Index'!C23</f>
        <v>New Meter - I&amp;C&lt;10TJ</v>
      </c>
      <c r="D25" s="52"/>
      <c r="E25" s="52"/>
      <c r="F25" s="55">
        <f t="shared" si="0"/>
        <v>0.19167188019360173</v>
      </c>
      <c r="G25" s="54">
        <f t="shared" si="0"/>
        <v>0.19255509026556208</v>
      </c>
      <c r="H25" s="54">
        <f t="shared" si="0"/>
        <v>0.19559802837518805</v>
      </c>
      <c r="I25" s="54">
        <f t="shared" si="0"/>
        <v>0.19968822335845368</v>
      </c>
      <c r="J25" s="95">
        <f t="shared" si="0"/>
        <v>0.20317186785421038</v>
      </c>
      <c r="K25" s="52">
        <f t="shared" si="35"/>
        <v>0.98268509004701599</v>
      </c>
      <c r="L25" s="32"/>
      <c r="M25" s="338" t="str">
        <f t="shared" si="7"/>
        <v>16</v>
      </c>
      <c r="N25" s="338" t="str">
        <f t="shared" si="7"/>
        <v>New Meter - I&amp;C&lt;10TJ</v>
      </c>
      <c r="O25" s="52"/>
      <c r="P25" s="52"/>
      <c r="Q25" s="55">
        <f>'Capex Category Summary (Alb)'!AO45</f>
        <v>0.18128849258991717</v>
      </c>
      <c r="R25" s="54">
        <f>'Capex Category Summary (Alb)'!AP45</f>
        <v>0.18338131247938902</v>
      </c>
      <c r="S25" s="54">
        <f>'Capex Category Summary (Alb)'!AQ45</f>
        <v>0.18574676789138422</v>
      </c>
      <c r="T25" s="54">
        <f>'Capex Category Summary (Alb)'!AR45</f>
        <v>0.18844337994285515</v>
      </c>
      <c r="U25" s="95">
        <f>'Capex Category Summary (Alb)'!AS45</f>
        <v>0.19137638811849364</v>
      </c>
      <c r="V25" s="52">
        <f t="shared" si="8"/>
        <v>0.93023634102203923</v>
      </c>
      <c r="W25" s="45"/>
      <c r="X25" s="338" t="str">
        <f t="shared" si="9"/>
        <v>16</v>
      </c>
      <c r="Y25" s="338" t="str">
        <f t="shared" si="9"/>
        <v>New Meter - I&amp;C&lt;10TJ</v>
      </c>
      <c r="Z25" s="52"/>
      <c r="AA25" s="52"/>
      <c r="AB25" s="55">
        <f t="shared" si="1"/>
        <v>1.0383387603684572E-2</v>
      </c>
      <c r="AC25" s="54">
        <f t="shared" si="2"/>
        <v>9.17377778617306E-3</v>
      </c>
      <c r="AD25" s="54">
        <f t="shared" si="3"/>
        <v>9.8512604838038257E-3</v>
      </c>
      <c r="AE25" s="54">
        <f t="shared" si="4"/>
        <v>1.1244843415598537E-2</v>
      </c>
      <c r="AF25" s="95">
        <f t="shared" si="5"/>
        <v>1.1795479735716725E-2</v>
      </c>
      <c r="AG25" s="52">
        <f t="shared" si="36"/>
        <v>5.2448749024976718E-2</v>
      </c>
      <c r="AH25" s="32"/>
    </row>
    <row r="26" spans="1:46" ht="18" customHeight="1" x14ac:dyDescent="0.2">
      <c r="A26" s="32"/>
      <c r="B26" s="338" t="str">
        <f>'Capex Model Category Index'!B24</f>
        <v>17</v>
      </c>
      <c r="C26" s="338" t="str">
        <f>'Capex Model Category Index'!C24</f>
        <v>New Service - New Home</v>
      </c>
      <c r="D26" s="52"/>
      <c r="E26" s="52"/>
      <c r="F26" s="55">
        <f t="shared" si="0"/>
        <v>0.39373620374257579</v>
      </c>
      <c r="G26" s="54">
        <f t="shared" si="0"/>
        <v>0.40053116641756698</v>
      </c>
      <c r="H26" s="54">
        <f t="shared" si="0"/>
        <v>0.41198442480228986</v>
      </c>
      <c r="I26" s="54">
        <f t="shared" si="0"/>
        <v>0.42589685015903173</v>
      </c>
      <c r="J26" s="95">
        <f t="shared" si="0"/>
        <v>0.43878505170826765</v>
      </c>
      <c r="K26" s="52">
        <f t="shared" si="35"/>
        <v>2.0709336968297318</v>
      </c>
      <c r="L26" s="32"/>
      <c r="M26" s="338" t="str">
        <f t="shared" si="7"/>
        <v>17</v>
      </c>
      <c r="N26" s="338" t="str">
        <f t="shared" si="7"/>
        <v>New Service - New Home</v>
      </c>
      <c r="O26" s="52"/>
      <c r="P26" s="52"/>
      <c r="Q26" s="55">
        <f>'Capex Category Summary (Alb)'!AO51</f>
        <v>0.37240644158376041</v>
      </c>
      <c r="R26" s="54">
        <f>'Capex Category Summary (Alb)'!AP51</f>
        <v>0.38144891877568982</v>
      </c>
      <c r="S26" s="54">
        <f>'Capex Category Summary (Alb)'!AQ51</f>
        <v>0.39123490131418764</v>
      </c>
      <c r="T26" s="54">
        <f>'Capex Category Summary (Alb)'!AR51</f>
        <v>0.40191374634505211</v>
      </c>
      <c r="U26" s="95">
        <f>'Capex Category Summary (Alb)'!AS51</f>
        <v>0.41331065783463261</v>
      </c>
      <c r="V26" s="52">
        <f t="shared" si="8"/>
        <v>1.9603146658533226</v>
      </c>
      <c r="W26" s="45"/>
      <c r="X26" s="338" t="str">
        <f t="shared" si="9"/>
        <v>17</v>
      </c>
      <c r="Y26" s="338" t="str">
        <f t="shared" si="9"/>
        <v>New Service - New Home</v>
      </c>
      <c r="Z26" s="52"/>
      <c r="AA26" s="52"/>
      <c r="AB26" s="55">
        <f t="shared" si="1"/>
        <v>2.1329762158815397E-2</v>
      </c>
      <c r="AC26" s="54">
        <f t="shared" si="2"/>
        <v>1.9082247641877138E-2</v>
      </c>
      <c r="AD26" s="54">
        <f t="shared" si="3"/>
        <v>2.0749523488102207E-2</v>
      </c>
      <c r="AE26" s="54">
        <f t="shared" si="4"/>
        <v>2.3983103813979622E-2</v>
      </c>
      <c r="AF26" s="95">
        <f t="shared" si="5"/>
        <v>2.5474393873635048E-2</v>
      </c>
      <c r="AG26" s="52">
        <f t="shared" si="36"/>
        <v>0.11061903097640942</v>
      </c>
      <c r="AH26" s="32"/>
    </row>
    <row r="27" spans="1:46" ht="18" customHeight="1" x14ac:dyDescent="0.2">
      <c r="A27" s="32"/>
      <c r="B27" s="338" t="str">
        <f>'Capex Model Category Index'!B25</f>
        <v>18</v>
      </c>
      <c r="C27" s="338" t="str">
        <f>'Capex Model Category Index'!C25</f>
        <v>New Service - Exist Home</v>
      </c>
      <c r="D27" s="52"/>
      <c r="E27" s="52"/>
      <c r="F27" s="55">
        <f t="shared" si="0"/>
        <v>4.7692686193482346E-2</v>
      </c>
      <c r="G27" s="54">
        <f t="shared" si="0"/>
        <v>4.8515750010003147E-2</v>
      </c>
      <c r="H27" s="54">
        <f t="shared" si="0"/>
        <v>4.9903066321897574E-2</v>
      </c>
      <c r="I27" s="54">
        <f t="shared" si="0"/>
        <v>5.1588257905557856E-2</v>
      </c>
      <c r="J27" s="95">
        <f t="shared" si="0"/>
        <v>5.3149386768597165E-2</v>
      </c>
      <c r="K27" s="52">
        <f t="shared" si="35"/>
        <v>0.2508491471995381</v>
      </c>
      <c r="L27" s="32"/>
      <c r="M27" s="338" t="str">
        <f t="shared" si="7"/>
        <v>18</v>
      </c>
      <c r="N27" s="338" t="str">
        <f t="shared" si="7"/>
        <v>New Service - Exist Home</v>
      </c>
      <c r="O27" s="52"/>
      <c r="P27" s="52"/>
      <c r="Q27" s="55">
        <f>'Capex Category Summary (Alb)'!AO52</f>
        <v>4.5109043532349034E-2</v>
      </c>
      <c r="R27" s="54">
        <f>'Capex Category Summary (Alb)'!AP52</f>
        <v>4.6204345470619274E-2</v>
      </c>
      <c r="S27" s="54">
        <f>'Capex Category Summary (Alb)'!AQ52</f>
        <v>4.738970711597261E-2</v>
      </c>
      <c r="T27" s="54">
        <f>'Capex Category Summary (Alb)'!AR52</f>
        <v>4.8683219879403508E-2</v>
      </c>
      <c r="U27" s="95">
        <f>'Capex Category Summary (Alb)'!AS52</f>
        <v>5.006371097491584E-2</v>
      </c>
      <c r="V27" s="52">
        <f t="shared" si="8"/>
        <v>0.23745002697326029</v>
      </c>
      <c r="W27" s="45"/>
      <c r="X27" s="338" t="str">
        <f t="shared" si="9"/>
        <v>18</v>
      </c>
      <c r="Y27" s="338" t="str">
        <f t="shared" si="9"/>
        <v>New Service - Exist Home</v>
      </c>
      <c r="Z27" s="52"/>
      <c r="AA27" s="52"/>
      <c r="AB27" s="55">
        <f t="shared" si="1"/>
        <v>2.5836426611333145E-3</v>
      </c>
      <c r="AC27" s="54">
        <f t="shared" si="2"/>
        <v>2.3114045393838769E-3</v>
      </c>
      <c r="AD27" s="54">
        <f t="shared" si="3"/>
        <v>2.5133592059249634E-3</v>
      </c>
      <c r="AE27" s="54">
        <f t="shared" si="4"/>
        <v>2.9050380261543512E-3</v>
      </c>
      <c r="AF27" s="95">
        <f t="shared" si="5"/>
        <v>3.0856757936813281E-3</v>
      </c>
      <c r="AG27" s="52">
        <f t="shared" si="36"/>
        <v>1.3399120226277834E-2</v>
      </c>
      <c r="AH27" s="32"/>
    </row>
    <row r="28" spans="1:46" ht="18" customHeight="1" x14ac:dyDescent="0.2">
      <c r="A28" s="32"/>
      <c r="B28" s="338" t="str">
        <f>'Capex Model Category Index'!B26</f>
        <v>19</v>
      </c>
      <c r="C28" s="338" t="str">
        <f>'Capex Model Category Index'!C26</f>
        <v>New Service - Multi User</v>
      </c>
      <c r="D28" s="52"/>
      <c r="E28" s="52"/>
      <c r="F28" s="55">
        <f t="shared" si="0"/>
        <v>6.6005034655928649E-2</v>
      </c>
      <c r="G28" s="54">
        <f t="shared" si="0"/>
        <v>6.714412662305129E-2</v>
      </c>
      <c r="H28" s="54">
        <f t="shared" si="0"/>
        <v>6.906412460500265E-2</v>
      </c>
      <c r="I28" s="54">
        <f t="shared" si="0"/>
        <v>7.1396371701132416E-2</v>
      </c>
      <c r="J28" s="95">
        <f t="shared" si="0"/>
        <v>7.355692026594278E-2</v>
      </c>
      <c r="K28" s="52">
        <f t="shared" si="35"/>
        <v>0.34716657785105781</v>
      </c>
      <c r="L28" s="32"/>
      <c r="M28" s="338" t="str">
        <f t="shared" si="7"/>
        <v>19</v>
      </c>
      <c r="N28" s="338" t="str">
        <f t="shared" si="7"/>
        <v>New Service - Multi User</v>
      </c>
      <c r="O28" s="52"/>
      <c r="P28" s="52"/>
      <c r="Q28" s="55">
        <f>'Capex Category Summary (Alb)'!AO53</f>
        <v>6.2429362220645587E-2</v>
      </c>
      <c r="R28" s="54">
        <f>'Capex Category Summary (Alb)'!AP53</f>
        <v>6.394522236953594E-2</v>
      </c>
      <c r="S28" s="54">
        <f>'Capex Category Summary (Alb)'!AQ53</f>
        <v>6.5585722050429299E-2</v>
      </c>
      <c r="T28" s="54">
        <f>'Capex Category Summary (Alb)'!AR53</f>
        <v>6.7375899152884278E-2</v>
      </c>
      <c r="U28" s="95">
        <f>'Capex Category Summary (Alb)'!AS53</f>
        <v>6.9286451270494806E-2</v>
      </c>
      <c r="V28" s="52">
        <f t="shared" si="8"/>
        <v>0.32862265706398991</v>
      </c>
      <c r="W28" s="45"/>
      <c r="X28" s="338" t="str">
        <f t="shared" si="9"/>
        <v>19</v>
      </c>
      <c r="Y28" s="338" t="str">
        <f t="shared" si="9"/>
        <v>New Service - Multi User</v>
      </c>
      <c r="Z28" s="52"/>
      <c r="AA28" s="52"/>
      <c r="AB28" s="55">
        <f t="shared" si="1"/>
        <v>3.5756724352830676E-3</v>
      </c>
      <c r="AC28" s="54">
        <f t="shared" si="2"/>
        <v>3.1989042535153526E-3</v>
      </c>
      <c r="AD28" s="54">
        <f t="shared" si="3"/>
        <v>3.4784025545733571E-3</v>
      </c>
      <c r="AE28" s="54">
        <f t="shared" si="4"/>
        <v>4.0204725482481333E-3</v>
      </c>
      <c r="AF28" s="95">
        <f t="shared" si="5"/>
        <v>4.2704689954479779E-3</v>
      </c>
      <c r="AG28" s="52">
        <f t="shared" si="36"/>
        <v>1.8543920787067888E-2</v>
      </c>
      <c r="AH28" s="32"/>
    </row>
    <row r="29" spans="1:46" ht="18" customHeight="1" x14ac:dyDescent="0.2">
      <c r="A29" s="32"/>
      <c r="B29" s="338" t="str">
        <f>'Capex Model Category Index'!B27</f>
        <v>20</v>
      </c>
      <c r="C29" s="338" t="str">
        <f>'Capex Model Category Index'!C27</f>
        <v>New Service - I&amp;C &lt; 10 Tj</v>
      </c>
      <c r="D29" s="52"/>
      <c r="E29" s="52"/>
      <c r="F29" s="55">
        <f t="shared" si="0"/>
        <v>0.13128500441226543</v>
      </c>
      <c r="G29" s="54">
        <f t="shared" si="0"/>
        <v>0.13188995615624138</v>
      </c>
      <c r="H29" s="54">
        <f t="shared" si="0"/>
        <v>0.13397420629635051</v>
      </c>
      <c r="I29" s="54">
        <f t="shared" si="0"/>
        <v>0.1367757714809914</v>
      </c>
      <c r="J29" s="95">
        <f t="shared" si="0"/>
        <v>0.1391618819659213</v>
      </c>
      <c r="K29" s="52">
        <f t="shared" si="35"/>
        <v>0.67308682031177003</v>
      </c>
      <c r="L29" s="32"/>
      <c r="M29" s="338" t="str">
        <f t="shared" si="7"/>
        <v>20</v>
      </c>
      <c r="N29" s="338" t="str">
        <f t="shared" si="7"/>
        <v>New Service - I&amp;C &lt; 10 Tj</v>
      </c>
      <c r="O29" s="52"/>
      <c r="P29" s="52"/>
      <c r="Q29" s="55">
        <f>'Capex Category Summary (Alb)'!AO54</f>
        <v>0.12417293828140115</v>
      </c>
      <c r="R29" s="54">
        <f>'Capex Category Summary (Alb)'!AP54</f>
        <v>0.12560640816830301</v>
      </c>
      <c r="S29" s="54">
        <f>'Capex Category Summary (Alb)'!AQ54</f>
        <v>0.12722661883189712</v>
      </c>
      <c r="T29" s="54">
        <f>'Capex Category Summary (Alb)'!AR54</f>
        <v>0.12907365411280497</v>
      </c>
      <c r="U29" s="95">
        <f>'Capex Category Summary (Alb)'!AS54</f>
        <v>0.13108260811738287</v>
      </c>
      <c r="V29" s="52">
        <f t="shared" si="8"/>
        <v>0.63716222751178919</v>
      </c>
      <c r="W29" s="97"/>
      <c r="X29" s="338" t="str">
        <f t="shared" si="9"/>
        <v>20</v>
      </c>
      <c r="Y29" s="338" t="str">
        <f t="shared" si="9"/>
        <v>New Service - I&amp;C &lt; 10 Tj</v>
      </c>
      <c r="Z29" s="52"/>
      <c r="AA29" s="52"/>
      <c r="AB29" s="134">
        <f t="shared" si="1"/>
        <v>7.1120661308642823E-3</v>
      </c>
      <c r="AC29" s="133">
        <f t="shared" si="2"/>
        <v>6.2835479879383826E-3</v>
      </c>
      <c r="AD29" s="133">
        <f t="shared" si="3"/>
        <v>6.7475874644534013E-3</v>
      </c>
      <c r="AE29" s="133">
        <f t="shared" si="4"/>
        <v>7.7021173681864263E-3</v>
      </c>
      <c r="AF29" s="135">
        <f t="shared" si="5"/>
        <v>8.0792738485384284E-3</v>
      </c>
      <c r="AG29" s="52">
        <f t="shared" si="36"/>
        <v>3.592459279998092E-2</v>
      </c>
      <c r="AH29" s="32"/>
    </row>
    <row r="30" spans="1:46" s="413" customFormat="1" ht="18" customHeight="1" thickBot="1" x14ac:dyDescent="0.3">
      <c r="A30" s="290"/>
      <c r="B30" s="151"/>
      <c r="C30" s="151" t="s">
        <v>46</v>
      </c>
      <c r="D30" s="99"/>
      <c r="E30" s="99"/>
      <c r="F30" s="100">
        <f>SUM(F10:F29)</f>
        <v>1.8001242428253832</v>
      </c>
      <c r="G30" s="99">
        <f>SUM(G10:G29)</f>
        <v>1.8141240351081933</v>
      </c>
      <c r="H30" s="99">
        <f>SUM(H10:H29)</f>
        <v>1.8496368383591408</v>
      </c>
      <c r="I30" s="99">
        <f>SUM(I10:I29)</f>
        <v>1.771781049645422</v>
      </c>
      <c r="J30" s="101">
        <f>SUM(J10:J29)</f>
        <v>1.813733700187659</v>
      </c>
      <c r="K30" s="99">
        <f>SUM(F30:J30)</f>
        <v>9.0493998661257979</v>
      </c>
      <c r="L30" s="290"/>
      <c r="M30" s="151"/>
      <c r="N30" s="151" t="s">
        <v>46</v>
      </c>
      <c r="O30" s="99"/>
      <c r="P30" s="99"/>
      <c r="Q30" s="100">
        <f>SUM(Q10:Q29)</f>
        <v>1.7026066115006133</v>
      </c>
      <c r="R30" s="99">
        <f>SUM(R10:R29)</f>
        <v>1.7276948955217724</v>
      </c>
      <c r="S30" s="99">
        <f>SUM(S10:S29)</f>
        <v>1.7564802025460027</v>
      </c>
      <c r="T30" s="99">
        <f>SUM(T10:T29)</f>
        <v>1.6720085135643952</v>
      </c>
      <c r="U30" s="101">
        <f>SUM(U10:U29)</f>
        <v>1.7084343822628878</v>
      </c>
      <c r="V30" s="99">
        <f>SUM(Q30:U30)</f>
        <v>8.5672246053956727</v>
      </c>
      <c r="W30" s="102"/>
      <c r="X30" s="151"/>
      <c r="Y30" s="151" t="s">
        <v>46</v>
      </c>
      <c r="Z30" s="99"/>
      <c r="AA30" s="99"/>
      <c r="AB30" s="100">
        <f>SUM(AB10:AB29)</f>
        <v>9.7517631324770107E-2</v>
      </c>
      <c r="AC30" s="99">
        <f>SUM(AC10:AC29)</f>
        <v>8.6429139586421094E-2</v>
      </c>
      <c r="AD30" s="99">
        <f>SUM(AD10:AD29)</f>
        <v>9.31566358131381E-2</v>
      </c>
      <c r="AE30" s="99">
        <f>SUM(AE10:AE29)</f>
        <v>9.9772536081027485E-2</v>
      </c>
      <c r="AF30" s="101">
        <f>SUM(AF10:AF29)</f>
        <v>0.10529931792477092</v>
      </c>
      <c r="AG30" s="99">
        <f>SUM(AB30:AF30)</f>
        <v>0.48217526073012773</v>
      </c>
      <c r="AH30" s="45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39">
        <f>'Capex Model Category Index'!B32</f>
        <v>21</v>
      </c>
      <c r="C33" s="338" t="str">
        <f>'Capex Model Category Index'!C32</f>
        <v>Telemetry</v>
      </c>
      <c r="D33" s="52"/>
      <c r="E33" s="52"/>
      <c r="F33" s="55">
        <f t="shared" ref="F33:J40" si="37">Q33+AB33</f>
        <v>0</v>
      </c>
      <c r="G33" s="54">
        <f t="shared" si="37"/>
        <v>0</v>
      </c>
      <c r="H33" s="54">
        <f t="shared" si="37"/>
        <v>0</v>
      </c>
      <c r="I33" s="54">
        <f t="shared" si="37"/>
        <v>9.5906898957773171E-2</v>
      </c>
      <c r="J33" s="95">
        <f t="shared" si="37"/>
        <v>0</v>
      </c>
      <c r="K33" s="52">
        <f>SUM(F33:J33)</f>
        <v>9.5906898957773171E-2</v>
      </c>
      <c r="L33" s="32"/>
      <c r="M33" s="539">
        <f>B33</f>
        <v>21</v>
      </c>
      <c r="N33" s="338" t="str">
        <f>C33</f>
        <v>Telemetry</v>
      </c>
      <c r="O33" s="52"/>
      <c r="P33" s="52"/>
      <c r="Q33" s="55">
        <f>'Capex Category Summary (Alb)'!AO62</f>
        <v>0</v>
      </c>
      <c r="R33" s="54">
        <f>'Capex Category Summary (Alb)'!AP62</f>
        <v>0</v>
      </c>
      <c r="S33" s="54">
        <f>'Capex Category Summary (Alb)'!AQ62</f>
        <v>0</v>
      </c>
      <c r="T33" s="54">
        <f>'Capex Category Summary (Alb)'!AR62</f>
        <v>9.0506189576329651E-2</v>
      </c>
      <c r="U33" s="95">
        <f>'Capex Category Summary (Alb)'!AS62</f>
        <v>0</v>
      </c>
      <c r="V33" s="52">
        <f>SUM(Q33:U33)</f>
        <v>9.0506189576329651E-2</v>
      </c>
      <c r="W33" s="97"/>
      <c r="X33" s="539">
        <f>M33</f>
        <v>21</v>
      </c>
      <c r="Y33" s="338" t="str">
        <f>N33</f>
        <v>Telemetry</v>
      </c>
      <c r="Z33" s="52"/>
      <c r="AA33" s="52"/>
      <c r="AB33" s="55">
        <f>(Q33/Q$43)*Q$45</f>
        <v>0</v>
      </c>
      <c r="AC33" s="54">
        <f t="shared" ref="AC33:AF40" si="38">(R33/R$43)*R$45</f>
        <v>0</v>
      </c>
      <c r="AD33" s="54">
        <f t="shared" si="38"/>
        <v>0</v>
      </c>
      <c r="AE33" s="54">
        <f t="shared" si="38"/>
        <v>5.4007093814435201E-3</v>
      </c>
      <c r="AF33" s="95">
        <f t="shared" si="38"/>
        <v>0</v>
      </c>
      <c r="AG33" s="52">
        <f>SUM(AB33:AF33)</f>
        <v>5.4007093814435201E-3</v>
      </c>
      <c r="AH33" s="32"/>
    </row>
    <row r="34" spans="1:46" ht="18" customHeight="1" x14ac:dyDescent="0.2">
      <c r="A34" s="32"/>
      <c r="B34" s="539">
        <f>'Capex Model Category Index'!B33</f>
        <v>22</v>
      </c>
      <c r="C34" s="338" t="str">
        <f>'Capex Model Category Index'!C33</f>
        <v>Regulators</v>
      </c>
      <c r="D34" s="52"/>
      <c r="E34" s="52"/>
      <c r="F34" s="55">
        <f t="shared" si="37"/>
        <v>0</v>
      </c>
      <c r="G34" s="54">
        <f t="shared" si="37"/>
        <v>5.3156818939006228E-2</v>
      </c>
      <c r="H34" s="54">
        <f t="shared" si="37"/>
        <v>8.5897160831254163E-2</v>
      </c>
      <c r="I34" s="54">
        <f t="shared" si="37"/>
        <v>7.3020025342850028E-2</v>
      </c>
      <c r="J34" s="95">
        <f t="shared" si="37"/>
        <v>0</v>
      </c>
      <c r="K34" s="52">
        <f t="shared" ref="K34:K40" si="39">SUM(F34:J34)</f>
        <v>0.21207400511311042</v>
      </c>
      <c r="L34" s="32"/>
      <c r="M34" s="539">
        <f t="shared" ref="M34:N40" si="40">B34</f>
        <v>22</v>
      </c>
      <c r="N34" s="338" t="str">
        <f t="shared" si="40"/>
        <v>Regulators</v>
      </c>
      <c r="O34" s="52"/>
      <c r="P34" s="52"/>
      <c r="Q34" s="55">
        <f>'Capex Category Summary (Alb)'!AO63</f>
        <v>0</v>
      </c>
      <c r="R34" s="54">
        <f>'Capex Category Summary (Alb)'!AP63</f>
        <v>5.0624302950497496E-2</v>
      </c>
      <c r="S34" s="54">
        <f>'Capex Category Summary (Alb)'!AQ63</f>
        <v>8.1570965351692684E-2</v>
      </c>
      <c r="T34" s="54">
        <f>'Capex Category Summary (Alb)'!AR63</f>
        <v>6.8908121609250986E-2</v>
      </c>
      <c r="U34" s="95">
        <f>'Capex Category Summary (Alb)'!AS63</f>
        <v>0</v>
      </c>
      <c r="V34" s="52">
        <f t="shared" ref="V34:V40" si="41">SUM(Q34:U34)</f>
        <v>0.20110338991144117</v>
      </c>
      <c r="W34" s="97"/>
      <c r="X34" s="539">
        <f t="shared" ref="X34:Y40" si="42">M34</f>
        <v>22</v>
      </c>
      <c r="Y34" s="338" t="str">
        <f t="shared" si="42"/>
        <v>Regulators</v>
      </c>
      <c r="Z34" s="52"/>
      <c r="AA34" s="52"/>
      <c r="AB34" s="55">
        <f t="shared" ref="AB34:AB40" si="43">(Q34/Q$43)*Q$45</f>
        <v>0</v>
      </c>
      <c r="AC34" s="54">
        <f t="shared" si="38"/>
        <v>2.5325159885087357E-3</v>
      </c>
      <c r="AD34" s="54">
        <f t="shared" si="38"/>
        <v>4.3261954795614762E-3</v>
      </c>
      <c r="AE34" s="54">
        <f t="shared" si="38"/>
        <v>4.1119037335990444E-3</v>
      </c>
      <c r="AF34" s="95">
        <f t="shared" si="38"/>
        <v>0</v>
      </c>
      <c r="AG34" s="52">
        <f t="shared" ref="AG34:AG40" si="44">SUM(AB34:AF34)</f>
        <v>1.0970615201669257E-2</v>
      </c>
      <c r="AH34" s="32"/>
    </row>
    <row r="35" spans="1:46" ht="18" customHeight="1" x14ac:dyDescent="0.2">
      <c r="A35" s="32"/>
      <c r="B35" s="539">
        <f>'Capex Model Category Index'!B34</f>
        <v>23</v>
      </c>
      <c r="C35" s="338" t="str">
        <f>'Capex Model Category Index'!C34</f>
        <v>Information Technology</v>
      </c>
      <c r="D35" s="52"/>
      <c r="E35" s="52"/>
      <c r="F35" s="55">
        <f t="shared" si="37"/>
        <v>0.40535157964797613</v>
      </c>
      <c r="G35" s="54">
        <f t="shared" si="37"/>
        <v>0.85020902572885948</v>
      </c>
      <c r="H35" s="54">
        <f t="shared" si="37"/>
        <v>0.58387235389589875</v>
      </c>
      <c r="I35" s="54">
        <f t="shared" si="37"/>
        <v>0.18855968495133316</v>
      </c>
      <c r="J35" s="95">
        <f t="shared" si="37"/>
        <v>0.22258395010677134</v>
      </c>
      <c r="K35" s="52">
        <f t="shared" si="39"/>
        <v>2.2505765943308389</v>
      </c>
      <c r="L35" s="32"/>
      <c r="M35" s="539">
        <f t="shared" si="40"/>
        <v>23</v>
      </c>
      <c r="N35" s="338" t="str">
        <f t="shared" si="40"/>
        <v>Information Technology</v>
      </c>
      <c r="O35" s="52"/>
      <c r="P35" s="52"/>
      <c r="Q35" s="55">
        <f>'Capex Category Summary (Alb)'!AO64</f>
        <v>0.38339258095187395</v>
      </c>
      <c r="R35" s="54">
        <f>'Capex Category Summary (Alb)'!AP64</f>
        <v>0.80970306630146438</v>
      </c>
      <c r="S35" s="54">
        <f>'Capex Category Summary (Alb)'!AQ64</f>
        <v>0.5544657249267807</v>
      </c>
      <c r="T35" s="54">
        <f>'Capex Category Summary (Alb)'!AR64</f>
        <v>0.1779415118006501</v>
      </c>
      <c r="U35" s="95">
        <f>'Capex Category Summary (Alb)'!AS64</f>
        <v>0.20966146974219563</v>
      </c>
      <c r="V35" s="52">
        <f t="shared" si="41"/>
        <v>2.1351643537229643</v>
      </c>
      <c r="W35" s="97"/>
      <c r="X35" s="539">
        <f t="shared" si="42"/>
        <v>23</v>
      </c>
      <c r="Y35" s="338" t="str">
        <f t="shared" si="42"/>
        <v>Information Technology</v>
      </c>
      <c r="Z35" s="52"/>
      <c r="AA35" s="52"/>
      <c r="AB35" s="55">
        <f t="shared" si="43"/>
        <v>2.195899869610219E-2</v>
      </c>
      <c r="AC35" s="54">
        <f t="shared" si="38"/>
        <v>4.0505959427395065E-2</v>
      </c>
      <c r="AD35" s="54">
        <f t="shared" si="38"/>
        <v>2.9406628969118106E-2</v>
      </c>
      <c r="AE35" s="54">
        <f t="shared" si="38"/>
        <v>1.0618173150683053E-2</v>
      </c>
      <c r="AF35" s="95">
        <f t="shared" si="38"/>
        <v>1.2922480364575707E-2</v>
      </c>
      <c r="AG35" s="52">
        <f t="shared" si="44"/>
        <v>0.11541224060787413</v>
      </c>
      <c r="AH35" s="32"/>
    </row>
    <row r="36" spans="1:46" ht="18" customHeight="1" x14ac:dyDescent="0.2">
      <c r="A36" s="32"/>
      <c r="B36" s="539">
        <f>'Capex Model Category Index'!B35</f>
        <v>24</v>
      </c>
      <c r="C36" s="338" t="str">
        <f>'Capex Model Category Index'!C35</f>
        <v>Other Distribution System</v>
      </c>
      <c r="D36" s="52"/>
      <c r="E36" s="52"/>
      <c r="F36" s="55">
        <f t="shared" si="37"/>
        <v>0</v>
      </c>
      <c r="G36" s="54">
        <f t="shared" si="37"/>
        <v>3.1894091363403737E-2</v>
      </c>
      <c r="H36" s="54">
        <f t="shared" si="37"/>
        <v>0</v>
      </c>
      <c r="I36" s="54">
        <f t="shared" si="37"/>
        <v>0</v>
      </c>
      <c r="J36" s="95">
        <f t="shared" si="37"/>
        <v>0</v>
      </c>
      <c r="K36" s="52">
        <f t="shared" si="39"/>
        <v>3.1894091363403737E-2</v>
      </c>
      <c r="L36" s="32"/>
      <c r="M36" s="539">
        <f t="shared" si="40"/>
        <v>24</v>
      </c>
      <c r="N36" s="338" t="str">
        <f t="shared" si="40"/>
        <v>Other Distribution System</v>
      </c>
      <c r="O36" s="52"/>
      <c r="P36" s="52"/>
      <c r="Q36" s="55">
        <f>'Capex Category Summary (Alb)'!AO65</f>
        <v>0</v>
      </c>
      <c r="R36" s="54">
        <f>'Capex Category Summary (Alb)'!AP65</f>
        <v>3.0374581770298493E-2</v>
      </c>
      <c r="S36" s="54">
        <f>'Capex Category Summary (Alb)'!AQ65</f>
        <v>0</v>
      </c>
      <c r="T36" s="54">
        <f>'Capex Category Summary (Alb)'!AR65</f>
        <v>0</v>
      </c>
      <c r="U36" s="95">
        <f>'Capex Category Summary (Alb)'!AS65</f>
        <v>0</v>
      </c>
      <c r="V36" s="52">
        <f t="shared" si="41"/>
        <v>3.0374581770298493E-2</v>
      </c>
      <c r="W36" s="97"/>
      <c r="X36" s="539">
        <f t="shared" si="42"/>
        <v>24</v>
      </c>
      <c r="Y36" s="338" t="str">
        <f t="shared" si="42"/>
        <v>Other Distribution System</v>
      </c>
      <c r="Z36" s="52"/>
      <c r="AA36" s="52"/>
      <c r="AB36" s="55">
        <f t="shared" si="43"/>
        <v>0</v>
      </c>
      <c r="AC36" s="54">
        <f t="shared" si="38"/>
        <v>1.5195095931052414E-3</v>
      </c>
      <c r="AD36" s="54">
        <f t="shared" si="38"/>
        <v>0</v>
      </c>
      <c r="AE36" s="54">
        <f t="shared" si="38"/>
        <v>0</v>
      </c>
      <c r="AF36" s="95">
        <f t="shared" si="38"/>
        <v>0</v>
      </c>
      <c r="AG36" s="52">
        <f t="shared" si="44"/>
        <v>1.5195095931052414E-3</v>
      </c>
      <c r="AH36" s="32"/>
    </row>
    <row r="37" spans="1:46" ht="18" customHeight="1" x14ac:dyDescent="0.2">
      <c r="A37" s="32"/>
      <c r="B37" s="539">
        <f>'Capex Model Category Index'!B36</f>
        <v>25</v>
      </c>
      <c r="C37" s="338" t="str">
        <f>'Capex Model Category Index'!C36</f>
        <v>Other Non-Distribution System</v>
      </c>
      <c r="D37" s="52"/>
      <c r="E37" s="52"/>
      <c r="F37" s="55">
        <f t="shared" si="37"/>
        <v>7.4507509076810585E-2</v>
      </c>
      <c r="G37" s="54">
        <f t="shared" si="37"/>
        <v>2.4452136711942865E-2</v>
      </c>
      <c r="H37" s="54">
        <f t="shared" si="37"/>
        <v>2.469543373898557E-2</v>
      </c>
      <c r="I37" s="54">
        <f t="shared" si="37"/>
        <v>2.5066575863963443E-2</v>
      </c>
      <c r="J37" s="95">
        <f t="shared" si="37"/>
        <v>2.5356920381714186E-2</v>
      </c>
      <c r="K37" s="52">
        <f t="shared" si="39"/>
        <v>0.17407857577341665</v>
      </c>
      <c r="L37" s="32"/>
      <c r="M37" s="539">
        <f t="shared" si="40"/>
        <v>25</v>
      </c>
      <c r="N37" s="338" t="str">
        <f t="shared" si="40"/>
        <v>Other Non-Distribution System</v>
      </c>
      <c r="O37" s="52"/>
      <c r="P37" s="52"/>
      <c r="Q37" s="55">
        <f>'Capex Category Summary (Alb)'!AO66</f>
        <v>7.0471234452968309E-2</v>
      </c>
      <c r="R37" s="54">
        <f>'Capex Category Summary (Alb)'!AP66</f>
        <v>2.3287179357228845E-2</v>
      </c>
      <c r="S37" s="54">
        <f>'Capex Category Summary (Alb)'!AQ66</f>
        <v>2.3451652538611645E-2</v>
      </c>
      <c r="T37" s="54">
        <f>'Capex Category Summary (Alb)'!AR66</f>
        <v>2.365502682108616E-2</v>
      </c>
      <c r="U37" s="95">
        <f>'Capex Category Summary (Alb)'!AS66</f>
        <v>2.3884782316136551E-2</v>
      </c>
      <c r="V37" s="52">
        <f t="shared" si="41"/>
        <v>0.16474987548603151</v>
      </c>
      <c r="W37" s="97"/>
      <c r="X37" s="539">
        <f t="shared" si="42"/>
        <v>25</v>
      </c>
      <c r="Y37" s="338" t="str">
        <f t="shared" si="42"/>
        <v>Other Non-Distribution System</v>
      </c>
      <c r="Z37" s="52"/>
      <c r="AA37" s="52"/>
      <c r="AB37" s="55">
        <f t="shared" si="43"/>
        <v>4.0362746238422715E-3</v>
      </c>
      <c r="AC37" s="54">
        <f t="shared" si="38"/>
        <v>1.1649573547140182E-3</v>
      </c>
      <c r="AD37" s="54">
        <f t="shared" si="38"/>
        <v>1.2437812003739241E-3</v>
      </c>
      <c r="AE37" s="54">
        <f t="shared" si="38"/>
        <v>1.4115490428772838E-3</v>
      </c>
      <c r="AF37" s="95">
        <f t="shared" si="38"/>
        <v>1.4721380655776347E-3</v>
      </c>
      <c r="AG37" s="52">
        <f t="shared" si="44"/>
        <v>9.3287002873851319E-3</v>
      </c>
      <c r="AH37" s="32"/>
    </row>
    <row r="38" spans="1:46" ht="18" customHeight="1" x14ac:dyDescent="0.2">
      <c r="A38" s="32"/>
      <c r="B38" s="539">
        <f>'Capex Model Category Index'!B37</f>
        <v>26</v>
      </c>
      <c r="C38" s="338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39">
        <f t="shared" si="40"/>
        <v>26</v>
      </c>
      <c r="N38" s="338" t="str">
        <f t="shared" si="40"/>
        <v>Large Consumers</v>
      </c>
      <c r="O38" s="52"/>
      <c r="P38" s="52"/>
      <c r="Q38" s="55">
        <f>'Capex Category Summary (Alb)'!AO67</f>
        <v>0</v>
      </c>
      <c r="R38" s="54">
        <f>'Capex Category Summary (Alb)'!AP67</f>
        <v>0</v>
      </c>
      <c r="S38" s="54">
        <f>'Capex Category Summary (Alb)'!AQ67</f>
        <v>0</v>
      </c>
      <c r="T38" s="54">
        <f>'Capex Category Summary (Alb)'!AR67</f>
        <v>0</v>
      </c>
      <c r="U38" s="95">
        <f>'Capex Category Summary (Alb)'!AS67</f>
        <v>0</v>
      </c>
      <c r="V38" s="52">
        <f t="shared" si="41"/>
        <v>0</v>
      </c>
      <c r="W38" s="97"/>
      <c r="X38" s="539">
        <f t="shared" si="42"/>
        <v>26</v>
      </c>
      <c r="Y38" s="338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39">
        <f>'Capex Model Category Index'!B38</f>
        <v>27</v>
      </c>
      <c r="C39" s="338" t="str">
        <f>'Capex Model Category Index'!C38</f>
        <v>Mains Augmentation</v>
      </c>
      <c r="D39" s="52"/>
      <c r="E39" s="52"/>
      <c r="F39" s="55">
        <f t="shared" si="37"/>
        <v>0</v>
      </c>
      <c r="G39" s="54">
        <f t="shared" si="37"/>
        <v>0</v>
      </c>
      <c r="H39" s="54">
        <f t="shared" si="37"/>
        <v>0</v>
      </c>
      <c r="I39" s="54">
        <f t="shared" si="37"/>
        <v>0</v>
      </c>
      <c r="J39" s="95">
        <f t="shared" si="37"/>
        <v>0</v>
      </c>
      <c r="K39" s="52">
        <f t="shared" si="39"/>
        <v>0</v>
      </c>
      <c r="L39" s="32"/>
      <c r="M39" s="539">
        <f t="shared" si="40"/>
        <v>27</v>
      </c>
      <c r="N39" s="338" t="str">
        <f t="shared" si="40"/>
        <v>Mains Augmentation</v>
      </c>
      <c r="O39" s="52"/>
      <c r="P39" s="52"/>
      <c r="Q39" s="55">
        <f>'Capex Category Summary (Alb)'!AO68</f>
        <v>0</v>
      </c>
      <c r="R39" s="54">
        <f>'Capex Category Summary (Alb)'!AP68</f>
        <v>0</v>
      </c>
      <c r="S39" s="54">
        <f>'Capex Category Summary (Alb)'!AQ68</f>
        <v>0</v>
      </c>
      <c r="T39" s="54">
        <f>'Capex Category Summary (Alb)'!AR68</f>
        <v>0</v>
      </c>
      <c r="U39" s="95">
        <f>'Capex Category Summary (Alb)'!AS68</f>
        <v>0</v>
      </c>
      <c r="V39" s="52">
        <f t="shared" si="41"/>
        <v>0</v>
      </c>
      <c r="W39" s="97"/>
      <c r="X39" s="539">
        <f t="shared" si="42"/>
        <v>27</v>
      </c>
      <c r="Y39" s="338" t="str">
        <f t="shared" si="42"/>
        <v>Mains Augmentation</v>
      </c>
      <c r="Z39" s="52"/>
      <c r="AA39" s="52"/>
      <c r="AB39" s="55">
        <f t="shared" si="43"/>
        <v>0</v>
      </c>
      <c r="AC39" s="54">
        <f t="shared" si="38"/>
        <v>0</v>
      </c>
      <c r="AD39" s="54">
        <f t="shared" si="38"/>
        <v>0</v>
      </c>
      <c r="AE39" s="54">
        <f t="shared" si="38"/>
        <v>0</v>
      </c>
      <c r="AF39" s="95">
        <f t="shared" si="38"/>
        <v>0</v>
      </c>
      <c r="AG39" s="52">
        <f t="shared" si="44"/>
        <v>0</v>
      </c>
      <c r="AH39" s="32"/>
    </row>
    <row r="40" spans="1:46" ht="18" customHeight="1" x14ac:dyDescent="0.2">
      <c r="A40" s="32"/>
      <c r="B40" s="539">
        <f>'Capex Model Category Index'!B39</f>
        <v>28</v>
      </c>
      <c r="C40" s="338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39">
        <f t="shared" si="40"/>
        <v>28</v>
      </c>
      <c r="N40" s="338" t="str">
        <f t="shared" si="40"/>
        <v>Growth New Areas</v>
      </c>
      <c r="O40" s="52"/>
      <c r="P40" s="52"/>
      <c r="Q40" s="55">
        <f>'Capex Category Summary (Alb)'!AO69</f>
        <v>0</v>
      </c>
      <c r="R40" s="54">
        <f>'Capex Category Summary (Alb)'!AP69</f>
        <v>0</v>
      </c>
      <c r="S40" s="54">
        <f>'Capex Category Summary (Alb)'!AQ69</f>
        <v>0</v>
      </c>
      <c r="T40" s="54">
        <f>'Capex Category Summary (Alb)'!AR69</f>
        <v>0</v>
      </c>
      <c r="U40" s="95">
        <f>'Capex Category Summary (Alb)'!AS69</f>
        <v>0</v>
      </c>
      <c r="V40" s="52">
        <f t="shared" si="41"/>
        <v>0</v>
      </c>
      <c r="W40" s="97"/>
      <c r="X40" s="539">
        <f t="shared" si="42"/>
        <v>28</v>
      </c>
      <c r="Y40" s="338" t="str">
        <f t="shared" si="42"/>
        <v>Growth New Areas</v>
      </c>
      <c r="Z40" s="52"/>
      <c r="AA40" s="52"/>
      <c r="AB40" s="134">
        <f t="shared" si="43"/>
        <v>0</v>
      </c>
      <c r="AC40" s="133">
        <f t="shared" si="38"/>
        <v>0</v>
      </c>
      <c r="AD40" s="133">
        <f t="shared" si="38"/>
        <v>0</v>
      </c>
      <c r="AE40" s="133">
        <f t="shared" si="38"/>
        <v>0</v>
      </c>
      <c r="AF40" s="135">
        <f t="shared" si="38"/>
        <v>0</v>
      </c>
      <c r="AG40" s="52">
        <f t="shared" si="44"/>
        <v>0</v>
      </c>
      <c r="AH40" s="32"/>
    </row>
    <row r="41" spans="1:46" s="413" customFormat="1" ht="18" customHeight="1" thickBot="1" x14ac:dyDescent="0.3">
      <c r="A41" s="290"/>
      <c r="B41" s="151"/>
      <c r="C41" s="151" t="s">
        <v>46</v>
      </c>
      <c r="D41" s="99"/>
      <c r="E41" s="99"/>
      <c r="F41" s="100">
        <f>SUM(F33:F40)</f>
        <v>0.47985908872478672</v>
      </c>
      <c r="G41" s="99">
        <f t="shared" ref="G41:J41" si="45">SUM(G33:G40)</f>
        <v>0.95971207274321235</v>
      </c>
      <c r="H41" s="99">
        <f t="shared" si="45"/>
        <v>0.69446494846613849</v>
      </c>
      <c r="I41" s="99">
        <f t="shared" si="45"/>
        <v>0.38255318511591979</v>
      </c>
      <c r="J41" s="101">
        <f t="shared" si="45"/>
        <v>0.24794087048848554</v>
      </c>
      <c r="K41" s="99">
        <f>SUM(F41:J41)</f>
        <v>2.7645301655385426</v>
      </c>
      <c r="L41" s="290"/>
      <c r="M41" s="151"/>
      <c r="N41" s="151" t="s">
        <v>46</v>
      </c>
      <c r="O41" s="99"/>
      <c r="P41" s="99"/>
      <c r="Q41" s="100">
        <f>SUM(Q33:Q40)</f>
        <v>0.45386381540484227</v>
      </c>
      <c r="R41" s="99">
        <f t="shared" ref="R41:U41" si="46">SUM(R33:R40)</f>
        <v>0.91398913037948915</v>
      </c>
      <c r="S41" s="99">
        <f t="shared" si="46"/>
        <v>0.65948834281708502</v>
      </c>
      <c r="T41" s="99">
        <f t="shared" si="46"/>
        <v>0.3610108498073169</v>
      </c>
      <c r="U41" s="101">
        <f t="shared" si="46"/>
        <v>0.23354625205833218</v>
      </c>
      <c r="V41" s="99">
        <f>SUM(Q41:U41)</f>
        <v>2.6218983904670652</v>
      </c>
      <c r="W41" s="102"/>
      <c r="X41" s="151"/>
      <c r="Y41" s="151" t="s">
        <v>46</v>
      </c>
      <c r="Z41" s="99"/>
      <c r="AA41" s="99"/>
      <c r="AB41" s="145">
        <f>SUM(AB33:AB40)</f>
        <v>2.5995273319944463E-2</v>
      </c>
      <c r="AC41" s="146">
        <f t="shared" ref="AC41:AF41" si="47">SUM(AC33:AC40)</f>
        <v>4.5722942363723061E-2</v>
      </c>
      <c r="AD41" s="146">
        <f t="shared" si="47"/>
        <v>3.4976605649053506E-2</v>
      </c>
      <c r="AE41" s="146">
        <f t="shared" si="47"/>
        <v>2.1542335308602903E-2</v>
      </c>
      <c r="AF41" s="303">
        <f t="shared" si="47"/>
        <v>1.4394618430153341E-2</v>
      </c>
      <c r="AG41" s="99">
        <f>SUM(AB41:AF41)</f>
        <v>0.14263177507147728</v>
      </c>
      <c r="AH41" s="45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51" t="s">
        <v>235</v>
      </c>
      <c r="D43" s="99"/>
      <c r="E43" s="99"/>
      <c r="F43" s="100">
        <f>F30+F41</f>
        <v>2.2799833315501701</v>
      </c>
      <c r="G43" s="99">
        <f t="shared" ref="G43:J43" si="48">G30+G41</f>
        <v>2.7738361078514058</v>
      </c>
      <c r="H43" s="99">
        <f t="shared" si="48"/>
        <v>2.5441017868252791</v>
      </c>
      <c r="I43" s="99">
        <f t="shared" si="48"/>
        <v>2.1543342347613419</v>
      </c>
      <c r="J43" s="101">
        <f t="shared" si="48"/>
        <v>2.0616745706761446</v>
      </c>
      <c r="K43" s="99">
        <f>SUM(F43:J43)</f>
        <v>11.813930031664341</v>
      </c>
      <c r="L43" s="32"/>
      <c r="M43" s="98"/>
      <c r="N43" s="151" t="s">
        <v>234</v>
      </c>
      <c r="O43" s="99"/>
      <c r="P43" s="99"/>
      <c r="Q43" s="100">
        <f>Q30+Q41</f>
        <v>2.1564704269054555</v>
      </c>
      <c r="R43" s="99">
        <f t="shared" ref="R43:U43" si="49">R30+R41</f>
        <v>2.6416840259012613</v>
      </c>
      <c r="S43" s="99">
        <f t="shared" si="49"/>
        <v>2.4159685453630875</v>
      </c>
      <c r="T43" s="99">
        <f t="shared" si="49"/>
        <v>2.0330193633717122</v>
      </c>
      <c r="U43" s="101">
        <f t="shared" si="49"/>
        <v>1.94198063432122</v>
      </c>
      <c r="V43" s="99">
        <f>SUM(Q43:U43)</f>
        <v>11.189122995862737</v>
      </c>
      <c r="W43" s="106"/>
      <c r="X43" s="98"/>
      <c r="Y43" s="151" t="s">
        <v>200</v>
      </c>
      <c r="Z43" s="99"/>
      <c r="AA43" s="99"/>
      <c r="AB43" s="99">
        <f>AB30+AB41</f>
        <v>0.12351290464471457</v>
      </c>
      <c r="AC43" s="99">
        <f t="shared" ref="AC43:AF43" si="50">AC30+AC41</f>
        <v>0.13215208195014416</v>
      </c>
      <c r="AD43" s="99">
        <f t="shared" si="50"/>
        <v>0.1281332414621916</v>
      </c>
      <c r="AE43" s="99">
        <f t="shared" si="50"/>
        <v>0.12131487138963039</v>
      </c>
      <c r="AF43" s="99">
        <f t="shared" si="50"/>
        <v>0.11969393635492426</v>
      </c>
      <c r="AG43" s="99">
        <f>SUM(AB43:AF43)</f>
        <v>0.6248070358016049</v>
      </c>
      <c r="AH43" s="32"/>
    </row>
    <row r="44" spans="1:46" ht="15" x14ac:dyDescent="0.25">
      <c r="A44" s="32"/>
      <c r="B44" s="308"/>
      <c r="C44" s="308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455" t="s">
        <v>11</v>
      </c>
      <c r="Z44" s="456"/>
      <c r="AA44" s="456"/>
      <c r="AB44" s="456">
        <f>AB43-Q45</f>
        <v>0</v>
      </c>
      <c r="AC44" s="456">
        <f t="shared" ref="AC44:AF44" si="51">AC43-R45</f>
        <v>0</v>
      </c>
      <c r="AD44" s="456">
        <f t="shared" si="51"/>
        <v>0</v>
      </c>
      <c r="AE44" s="456">
        <f t="shared" si="51"/>
        <v>0</v>
      </c>
      <c r="AF44" s="456">
        <f t="shared" si="51"/>
        <v>0</v>
      </c>
      <c r="AG44" s="456">
        <f>AG43-V45</f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51" t="s">
        <v>61</v>
      </c>
      <c r="O45" s="99"/>
      <c r="P45" s="99"/>
      <c r="Q45" s="100">
        <f>Overheads!O51</f>
        <v>0.12351290464471459</v>
      </c>
      <c r="R45" s="99">
        <f>Overheads!P51</f>
        <v>0.13215208195014416</v>
      </c>
      <c r="S45" s="99">
        <f>Overheads!Q51</f>
        <v>0.1281332414621916</v>
      </c>
      <c r="T45" s="99">
        <f>Overheads!R51</f>
        <v>0.1213148713896304</v>
      </c>
      <c r="U45" s="101">
        <f>Overheads!S51</f>
        <v>0.11969393635492426</v>
      </c>
      <c r="V45" s="99">
        <f>SUM(Q45:U45)</f>
        <v>0.6248070358016049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6" customFormat="1" ht="18.75" customHeight="1" thickBot="1" x14ac:dyDescent="0.2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98"/>
      <c r="N47" s="151" t="s">
        <v>235</v>
      </c>
      <c r="O47" s="99"/>
      <c r="P47" s="99"/>
      <c r="Q47" s="100">
        <f>Q30+Q41+Q45</f>
        <v>2.2799833315501701</v>
      </c>
      <c r="R47" s="99">
        <f t="shared" ref="R47:U47" si="52">R30+R41+R45</f>
        <v>2.7738361078514053</v>
      </c>
      <c r="S47" s="99">
        <f t="shared" si="52"/>
        <v>2.5441017868252791</v>
      </c>
      <c r="T47" s="99">
        <f t="shared" si="52"/>
        <v>2.1543342347613428</v>
      </c>
      <c r="U47" s="101">
        <f t="shared" si="52"/>
        <v>2.0616745706761441</v>
      </c>
      <c r="V47" s="99">
        <f>SUM(Q47:U47)</f>
        <v>11.813930031664341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B2" sqref="B2"/>
    </sheetView>
  </sheetViews>
  <sheetFormatPr defaultRowHeight="14.25" x14ac:dyDescent="0.2"/>
  <cols>
    <col min="1" max="1" width="2.5703125" style="44" customWidth="1"/>
    <col min="2" max="2" width="4.140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.28515625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8.5" customHeight="1" x14ac:dyDescent="0.25">
      <c r="A2" s="63"/>
      <c r="B2" s="343" t="s">
        <v>76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44"/>
      <c r="Q2" s="344"/>
      <c r="R2" s="344"/>
      <c r="S2" s="344"/>
      <c r="T2" s="344"/>
      <c r="U2" s="344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7" t="s">
        <v>237</v>
      </c>
      <c r="C5" s="357"/>
      <c r="D5" s="357"/>
      <c r="E5" s="357"/>
      <c r="F5" s="357"/>
      <c r="G5" s="357"/>
      <c r="H5" s="357"/>
      <c r="I5" s="357"/>
      <c r="J5" s="357"/>
      <c r="K5" s="357"/>
      <c r="L5" s="32"/>
      <c r="M5" s="357" t="s">
        <v>233</v>
      </c>
      <c r="N5" s="357"/>
      <c r="O5" s="357"/>
      <c r="P5" s="357"/>
      <c r="Q5" s="357"/>
      <c r="R5" s="357"/>
      <c r="S5" s="357"/>
      <c r="T5" s="357"/>
      <c r="U5" s="357"/>
      <c r="V5" s="357"/>
      <c r="W5" s="32"/>
      <c r="X5" s="357" t="s">
        <v>236</v>
      </c>
      <c r="Y5" s="357"/>
      <c r="Z5" s="357"/>
      <c r="AA5" s="357"/>
      <c r="AB5" s="357"/>
      <c r="AC5" s="357"/>
      <c r="AD5" s="357"/>
      <c r="AE5" s="357"/>
      <c r="AF5" s="357"/>
      <c r="AG5" s="357"/>
      <c r="AH5" s="32"/>
    </row>
    <row r="6" spans="1:34" ht="16.5" customHeight="1" x14ac:dyDescent="0.2">
      <c r="A6" s="325"/>
      <c r="B6" s="32"/>
      <c r="C6" s="32"/>
      <c r="D6" s="32"/>
      <c r="E6" s="32"/>
      <c r="F6" s="32"/>
      <c r="G6" s="32"/>
      <c r="H6" s="32"/>
      <c r="I6" s="32"/>
      <c r="J6" s="32"/>
      <c r="K6" s="32"/>
      <c r="L6" s="325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2"/>
      <c r="C7" s="301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75</v>
      </c>
      <c r="L7" s="32"/>
      <c r="M7" s="302"/>
      <c r="N7" s="301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75</v>
      </c>
      <c r="W7" s="45"/>
      <c r="X7" s="36"/>
      <c r="Y7" s="81"/>
      <c r="Z7" s="304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4" t="s">
        <v>75</v>
      </c>
      <c r="AH7" s="32"/>
    </row>
    <row r="8" spans="1:34" x14ac:dyDescent="0.2">
      <c r="A8" s="32"/>
      <c r="B8" s="36"/>
      <c r="C8" s="81"/>
      <c r="D8" s="304"/>
      <c r="E8" s="8"/>
      <c r="F8" s="8"/>
      <c r="G8" s="8"/>
      <c r="H8" s="8"/>
      <c r="I8" s="8"/>
      <c r="J8" s="8"/>
      <c r="K8" s="304"/>
      <c r="L8" s="32"/>
      <c r="M8" s="36"/>
      <c r="N8" s="81"/>
      <c r="O8" s="304"/>
      <c r="P8" s="8"/>
      <c r="Q8" s="8"/>
      <c r="R8" s="8"/>
      <c r="S8" s="8"/>
      <c r="T8" s="8"/>
      <c r="U8" s="8"/>
      <c r="V8" s="304"/>
      <c r="W8" s="45"/>
      <c r="X8" s="38"/>
      <c r="Y8" s="184"/>
      <c r="Z8" s="306"/>
      <c r="AA8" s="307"/>
      <c r="AB8" s="307"/>
      <c r="AC8" s="307"/>
      <c r="AD8" s="307"/>
      <c r="AE8" s="307"/>
      <c r="AF8" s="307"/>
      <c r="AG8" s="306"/>
      <c r="AH8" s="32"/>
    </row>
    <row r="9" spans="1:34" ht="18" customHeight="1" x14ac:dyDescent="0.2">
      <c r="A9" s="32"/>
      <c r="B9" s="305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5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5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200" t="str">
        <f>'Capex Model Category Index'!B8</f>
        <v>01</v>
      </c>
      <c r="C10" s="200" t="str">
        <f>'Capex Model Category Index'!C8</f>
        <v>Meter Replacement - Meters &lt; 25m3</v>
      </c>
      <c r="D10" s="96"/>
      <c r="E10" s="52"/>
      <c r="F10" s="55">
        <f t="shared" ref="F10:J29" si="0">Q10+AB10</f>
        <v>5.6528855054468163</v>
      </c>
      <c r="G10" s="54">
        <f t="shared" si="0"/>
        <v>5.5543261244840307</v>
      </c>
      <c r="H10" s="54">
        <f t="shared" si="0"/>
        <v>5.5665092978562551</v>
      </c>
      <c r="I10" s="54">
        <f t="shared" si="0"/>
        <v>2.9931080726741102</v>
      </c>
      <c r="J10" s="95">
        <f t="shared" si="0"/>
        <v>3.1519815692550024</v>
      </c>
      <c r="K10" s="52">
        <f>SUM(F10:J10)</f>
        <v>22.918810569716218</v>
      </c>
      <c r="L10" s="32"/>
      <c r="M10" s="200" t="str">
        <f>B10</f>
        <v>01</v>
      </c>
      <c r="N10" s="200" t="str">
        <f>C10</f>
        <v>Meter Replacement - Meters &lt; 25m3</v>
      </c>
      <c r="O10" s="96"/>
      <c r="P10" s="52"/>
      <c r="Q10" s="55">
        <f>'Capex Category Summary (Comb)'!AO10</f>
        <v>5.0746028452863357</v>
      </c>
      <c r="R10" s="54">
        <f>'Capex Category Summary (Comb)'!AP10</f>
        <v>5.0564103940859848</v>
      </c>
      <c r="S10" s="54">
        <f>'Capex Category Summary (Comb)'!AQ10</f>
        <v>5.0563451741484311</v>
      </c>
      <c r="T10" s="54">
        <f>'Capex Category Summary (Comb)'!AR10</f>
        <v>2.6727503405168909</v>
      </c>
      <c r="U10" s="95">
        <f>'Capex Category Summary (Comb)'!AS10</f>
        <v>2.698710111447447</v>
      </c>
      <c r="V10" s="52">
        <f>SUM(Q10:U10)</f>
        <v>20.55881886548509</v>
      </c>
      <c r="W10" s="538"/>
      <c r="X10" s="200" t="str">
        <f>M10</f>
        <v>01</v>
      </c>
      <c r="Y10" s="200" t="str">
        <f>N10</f>
        <v>Meter Replacement - Meters &lt; 25m3</v>
      </c>
      <c r="Z10" s="96"/>
      <c r="AA10" s="52"/>
      <c r="AB10" s="55">
        <f t="shared" ref="AB10:AB29" si="1">(Q10/Q$43)*Q$45</f>
        <v>0.5782826601604808</v>
      </c>
      <c r="AC10" s="54">
        <f t="shared" ref="AC10:AC29" si="2">(R10/R$43)*R$45</f>
        <v>0.49791573039804604</v>
      </c>
      <c r="AD10" s="54">
        <f t="shared" ref="AD10:AD29" si="3">(S10/S$43)*S$45</f>
        <v>0.51016412370782394</v>
      </c>
      <c r="AE10" s="54">
        <f t="shared" ref="AE10:AE29" si="4">(T10/T$43)*T$45</f>
        <v>0.3203577321572193</v>
      </c>
      <c r="AF10" s="95">
        <f t="shared" ref="AF10:AF29" si="5">(U10/U$43)*U$45</f>
        <v>0.45327145780755529</v>
      </c>
      <c r="AG10" s="52">
        <f>SUM(AB10:AF10)</f>
        <v>2.3599917042311254</v>
      </c>
      <c r="AH10" s="32"/>
    </row>
    <row r="11" spans="1:34" ht="18" customHeight="1" x14ac:dyDescent="0.2">
      <c r="A11" s="32"/>
      <c r="B11" s="200" t="str">
        <f>'Capex Model Category Index'!B9</f>
        <v>02</v>
      </c>
      <c r="C11" s="200" t="str">
        <f>'Capex Model Category Index'!C9</f>
        <v>Meter Replacement - Meters &gt; 25m3</v>
      </c>
      <c r="D11" s="52"/>
      <c r="E11" s="52"/>
      <c r="F11" s="55">
        <f t="shared" si="0"/>
        <v>2.7165842400912217</v>
      </c>
      <c r="G11" s="54">
        <f t="shared" si="0"/>
        <v>2.6941347877761666</v>
      </c>
      <c r="H11" s="54">
        <f t="shared" si="0"/>
        <v>2.7191492578982492</v>
      </c>
      <c r="I11" s="54">
        <f t="shared" si="0"/>
        <v>2.7899782690475887</v>
      </c>
      <c r="J11" s="95">
        <f t="shared" si="0"/>
        <v>2.9380696817951022</v>
      </c>
      <c r="K11" s="52">
        <f t="shared" ref="K11:K18" si="6">SUM(F11:J11)</f>
        <v>13.857916236608331</v>
      </c>
      <c r="L11" s="32"/>
      <c r="M11" s="200" t="str">
        <f t="shared" ref="M11:N29" si="7">B11</f>
        <v>02</v>
      </c>
      <c r="N11" s="200" t="str">
        <f t="shared" si="7"/>
        <v>Meter Replacement - Meters &gt; 25m3</v>
      </c>
      <c r="O11" s="52"/>
      <c r="P11" s="52"/>
      <c r="Q11" s="55">
        <f>'Capex Category Summary (Comb)'!AO11</f>
        <v>2.4386812895721808</v>
      </c>
      <c r="R11" s="54">
        <f>'Capex Category Summary (Comb)'!AP11</f>
        <v>2.4526199648108569</v>
      </c>
      <c r="S11" s="54">
        <f>'Capex Category Summary (Comb)'!AQ11</f>
        <v>2.4699423808126983</v>
      </c>
      <c r="T11" s="54">
        <f>'Capex Category Summary (Comb)'!AR11</f>
        <v>2.4913618845608512</v>
      </c>
      <c r="U11" s="95">
        <f>'Capex Category Summary (Comb)'!AS11</f>
        <v>2.5155598737437135</v>
      </c>
      <c r="V11" s="52">
        <f t="shared" ref="V11:V29" si="8">SUM(Q11:U11)</f>
        <v>12.3681653935003</v>
      </c>
      <c r="W11" s="538"/>
      <c r="X11" s="200" t="str">
        <f t="shared" ref="X11:Y29" si="9">M11</f>
        <v>02</v>
      </c>
      <c r="Y11" s="200" t="str">
        <f t="shared" si="9"/>
        <v>Meter Replacement - Meters &gt; 25m3</v>
      </c>
      <c r="Z11" s="52"/>
      <c r="AA11" s="52"/>
      <c r="AB11" s="55">
        <f t="shared" si="1"/>
        <v>0.27790295051904085</v>
      </c>
      <c r="AC11" s="54">
        <f t="shared" si="2"/>
        <v>0.24151482296530957</v>
      </c>
      <c r="AD11" s="54">
        <f t="shared" si="3"/>
        <v>0.24920687708555092</v>
      </c>
      <c r="AE11" s="54">
        <f t="shared" si="4"/>
        <v>0.29861638448673744</v>
      </c>
      <c r="AF11" s="95">
        <f t="shared" si="5"/>
        <v>0.42250980805138871</v>
      </c>
      <c r="AG11" s="52">
        <f t="shared" ref="AG11:AG18" si="10">SUM(AB11:AF11)</f>
        <v>1.4897508431080273</v>
      </c>
      <c r="AH11" s="32"/>
    </row>
    <row r="12" spans="1:34" ht="18" customHeight="1" x14ac:dyDescent="0.2">
      <c r="A12" s="32"/>
      <c r="B12" s="200" t="str">
        <f>'Capex Model Category Index'!B10</f>
        <v>03</v>
      </c>
      <c r="C12" s="200" t="str">
        <f>'Capex Model Category Index'!C10</f>
        <v>Mains Replacement - General Trunk Replacement</v>
      </c>
      <c r="D12" s="52"/>
      <c r="E12" s="52"/>
      <c r="F12" s="55">
        <f t="shared" si="0"/>
        <v>2.3326270348515576</v>
      </c>
      <c r="G12" s="54">
        <f t="shared" si="0"/>
        <v>2.3133505483672105</v>
      </c>
      <c r="H12" s="54">
        <f t="shared" si="0"/>
        <v>2.3348295175845606</v>
      </c>
      <c r="I12" s="54">
        <f t="shared" si="0"/>
        <v>1.8428059090315634</v>
      </c>
      <c r="J12" s="95">
        <f t="shared" si="0"/>
        <v>0.38812432561396032</v>
      </c>
      <c r="K12" s="52">
        <f t="shared" si="6"/>
        <v>9.2117373354488521</v>
      </c>
      <c r="L12" s="32"/>
      <c r="M12" s="200" t="str">
        <f t="shared" si="7"/>
        <v>03</v>
      </c>
      <c r="N12" s="200" t="str">
        <f t="shared" si="7"/>
        <v>Mains Replacement - General Trunk Replacement</v>
      </c>
      <c r="O12" s="52"/>
      <c r="P12" s="52"/>
      <c r="Q12" s="55">
        <f>'Capex Category Summary (Comb)'!AO17</f>
        <v>2.0940023951739155</v>
      </c>
      <c r="R12" s="54">
        <f>'Capex Category Summary (Comb)'!AP17</f>
        <v>2.1059710027406955</v>
      </c>
      <c r="S12" s="54">
        <f>'Capex Category Summary (Comb)'!AQ17</f>
        <v>2.12084509914401</v>
      </c>
      <c r="T12" s="54">
        <f>'Capex Category Summary (Comb)'!AR17</f>
        <v>1.6455670832059939</v>
      </c>
      <c r="U12" s="95">
        <f>'Capex Category Summary (Comb)'!AS17</f>
        <v>0.33231001483320421</v>
      </c>
      <c r="V12" s="52">
        <f t="shared" si="8"/>
        <v>8.2986955950978185</v>
      </c>
      <c r="W12" s="538"/>
      <c r="X12" s="200" t="str">
        <f t="shared" si="9"/>
        <v>03</v>
      </c>
      <c r="Y12" s="200" t="str">
        <f t="shared" si="9"/>
        <v>Mains Replacement - General Trunk Replacement</v>
      </c>
      <c r="Z12" s="52"/>
      <c r="AA12" s="52"/>
      <c r="AB12" s="55">
        <f t="shared" si="1"/>
        <v>0.23862463967764228</v>
      </c>
      <c r="AC12" s="54">
        <f t="shared" si="2"/>
        <v>0.20737954562651492</v>
      </c>
      <c r="AD12" s="54">
        <f t="shared" si="3"/>
        <v>0.21398441844055063</v>
      </c>
      <c r="AE12" s="54">
        <f t="shared" si="4"/>
        <v>0.19723882582556945</v>
      </c>
      <c r="AF12" s="95">
        <f t="shared" si="5"/>
        <v>5.5814310780756125E-2</v>
      </c>
      <c r="AG12" s="52">
        <f t="shared" si="10"/>
        <v>0.91304174035103347</v>
      </c>
      <c r="AH12" s="32"/>
    </row>
    <row r="13" spans="1:34" ht="18" customHeight="1" x14ac:dyDescent="0.2">
      <c r="A13" s="32"/>
      <c r="B13" s="200" t="str">
        <f>'Capex Model Category Index'!B11</f>
        <v>04</v>
      </c>
      <c r="C13" s="200" t="str">
        <f>'Capex Model Category Index'!C11</f>
        <v>Mains Replacement - Decommissioned Trunk Replacement</v>
      </c>
      <c r="D13" s="52"/>
      <c r="E13" s="52"/>
      <c r="F13" s="55">
        <f t="shared" si="0"/>
        <v>1.3989033477278043</v>
      </c>
      <c r="G13" s="54">
        <f t="shared" si="0"/>
        <v>1.3873430163621434</v>
      </c>
      <c r="H13" s="54">
        <f t="shared" si="0"/>
        <v>1.4002242020360485</v>
      </c>
      <c r="I13" s="54">
        <f t="shared" si="0"/>
        <v>1.4366975568287323</v>
      </c>
      <c r="J13" s="95">
        <f t="shared" si="0"/>
        <v>0</v>
      </c>
      <c r="K13" s="52">
        <f t="shared" si="6"/>
        <v>5.6231681229547279</v>
      </c>
      <c r="L13" s="32"/>
      <c r="M13" s="200" t="str">
        <f t="shared" si="7"/>
        <v>04</v>
      </c>
      <c r="N13" s="200" t="str">
        <f t="shared" si="7"/>
        <v>Mains Replacement - Decommissioned Trunk Replacement</v>
      </c>
      <c r="O13" s="52"/>
      <c r="P13" s="52"/>
      <c r="Q13" s="55">
        <f>'Capex Category Summary (Comb)'!AO18</f>
        <v>1.2557973979518953</v>
      </c>
      <c r="R13" s="54">
        <f>'Capex Category Summary (Comb)'!AP18</f>
        <v>1.2629751100090114</v>
      </c>
      <c r="S13" s="54">
        <f>'Capex Category Summary (Comb)'!AQ18</f>
        <v>1.2718952772462682</v>
      </c>
      <c r="T13" s="54">
        <f>'Capex Category Summary (Comb)'!AR18</f>
        <v>1.2829252372444728</v>
      </c>
      <c r="U13" s="95">
        <f>'Capex Category Summary (Comb)'!AS18</f>
        <v>0</v>
      </c>
      <c r="V13" s="52">
        <f t="shared" si="8"/>
        <v>5.0735930224516474</v>
      </c>
      <c r="W13" s="538"/>
      <c r="X13" s="200" t="str">
        <f t="shared" si="9"/>
        <v>04</v>
      </c>
      <c r="Y13" s="200" t="str">
        <f t="shared" si="9"/>
        <v>Mains Replacement - Decommissioned Trunk Replacement</v>
      </c>
      <c r="Z13" s="52"/>
      <c r="AA13" s="52"/>
      <c r="AB13" s="55">
        <f t="shared" si="1"/>
        <v>0.14310594977590912</v>
      </c>
      <c r="AC13" s="54">
        <f t="shared" si="2"/>
        <v>0.12436790635313209</v>
      </c>
      <c r="AD13" s="54">
        <f t="shared" si="3"/>
        <v>0.12832892478978022</v>
      </c>
      <c r="AE13" s="54">
        <f t="shared" si="4"/>
        <v>0.15377231958425955</v>
      </c>
      <c r="AF13" s="95">
        <f t="shared" si="5"/>
        <v>0</v>
      </c>
      <c r="AG13" s="52">
        <f t="shared" si="10"/>
        <v>0.549575100503081</v>
      </c>
      <c r="AH13" s="32"/>
    </row>
    <row r="14" spans="1:34" ht="18" customHeight="1" x14ac:dyDescent="0.2">
      <c r="A14" s="32"/>
      <c r="B14" s="200" t="str">
        <f>'Capex Model Category Index'!B12</f>
        <v>05</v>
      </c>
      <c r="C14" s="200" t="str">
        <f>'Capex Model Category Index'!C12</f>
        <v>Mains Replacement - Piecemeal Replacement</v>
      </c>
      <c r="D14" s="52"/>
      <c r="E14" s="52"/>
      <c r="F14" s="55">
        <f t="shared" si="0"/>
        <v>0.30570863449957481</v>
      </c>
      <c r="G14" s="54">
        <f t="shared" si="0"/>
        <v>0.30037853295369621</v>
      </c>
      <c r="H14" s="54">
        <f t="shared" si="0"/>
        <v>0.30103740023340775</v>
      </c>
      <c r="I14" s="54">
        <f t="shared" si="0"/>
        <v>0.316081580354592</v>
      </c>
      <c r="J14" s="95">
        <f t="shared" si="0"/>
        <v>0</v>
      </c>
      <c r="K14" s="52">
        <f t="shared" si="6"/>
        <v>1.2232061480412708</v>
      </c>
      <c r="L14" s="32"/>
      <c r="M14" s="200" t="str">
        <f t="shared" si="7"/>
        <v>05</v>
      </c>
      <c r="N14" s="200" t="str">
        <f t="shared" si="7"/>
        <v>Mains Replacement - Piecemeal Replacement</v>
      </c>
      <c r="O14" s="52"/>
      <c r="P14" s="52"/>
      <c r="Q14" s="55">
        <f>'Capex Category Summary (Comb)'!AO19</f>
        <v>0.27443504825373616</v>
      </c>
      <c r="R14" s="54">
        <f>'Capex Category Summary (Comb)'!AP19</f>
        <v>0.27345119860574651</v>
      </c>
      <c r="S14" s="54">
        <f>'Capex Category Summary (Comb)'!AQ19</f>
        <v>0.27344767150475846</v>
      </c>
      <c r="T14" s="54">
        <f>'Capex Category Summary (Comb)'!AR19</f>
        <v>0.28225080117774798</v>
      </c>
      <c r="U14" s="95">
        <f>'Capex Category Summary (Comb)'!AS19</f>
        <v>0</v>
      </c>
      <c r="V14" s="52">
        <f t="shared" si="8"/>
        <v>1.1035847195419892</v>
      </c>
      <c r="W14" s="538"/>
      <c r="X14" s="200" t="str">
        <f t="shared" si="9"/>
        <v>05</v>
      </c>
      <c r="Y14" s="200" t="str">
        <f t="shared" si="9"/>
        <v>Mains Replacement - Piecemeal Replacement</v>
      </c>
      <c r="Z14" s="52"/>
      <c r="AA14" s="52"/>
      <c r="AB14" s="55">
        <f t="shared" si="1"/>
        <v>3.1273586245838661E-2</v>
      </c>
      <c r="AC14" s="54">
        <f t="shared" si="2"/>
        <v>2.6927334347949701E-2</v>
      </c>
      <c r="AD14" s="54">
        <f t="shared" si="3"/>
        <v>2.758972872864926E-2</v>
      </c>
      <c r="AE14" s="54">
        <f t="shared" si="4"/>
        <v>3.3830779176844003E-2</v>
      </c>
      <c r="AF14" s="95">
        <f t="shared" si="5"/>
        <v>0</v>
      </c>
      <c r="AG14" s="52">
        <f t="shared" si="10"/>
        <v>0.11962142849928163</v>
      </c>
      <c r="AH14" s="32"/>
    </row>
    <row r="15" spans="1:34" ht="18" customHeight="1" x14ac:dyDescent="0.2">
      <c r="A15" s="32"/>
      <c r="B15" s="200" t="str">
        <f>'Capex Model Category Index'!B13</f>
        <v>06</v>
      </c>
      <c r="C15" s="200" t="str">
        <f>'Capex Model Category Index'!C13</f>
        <v>Mains Replacement - HDPE Replacement</v>
      </c>
      <c r="D15" s="52"/>
      <c r="E15" s="52"/>
      <c r="F15" s="55">
        <f>Q15+AB15</f>
        <v>1.2228345379982992</v>
      </c>
      <c r="G15" s="54">
        <f>R15+AC15</f>
        <v>1.2015141318147848</v>
      </c>
      <c r="H15" s="54">
        <f>S15+AD15</f>
        <v>1.204149600933631</v>
      </c>
      <c r="I15" s="54">
        <f>T15+AE15</f>
        <v>1.264326321418368</v>
      </c>
      <c r="J15" s="95">
        <f>U15+AF15</f>
        <v>1.33143647535395</v>
      </c>
      <c r="K15" s="52">
        <f>SUM(F15:J15)</f>
        <v>6.2242610675190333</v>
      </c>
      <c r="L15" s="32"/>
      <c r="M15" s="200" t="str">
        <f t="shared" si="7"/>
        <v>06</v>
      </c>
      <c r="N15" s="200" t="str">
        <f t="shared" si="7"/>
        <v>Mains Replacement - HDPE Replacement</v>
      </c>
      <c r="O15" s="52"/>
      <c r="P15" s="52"/>
      <c r="Q15" s="55">
        <f>'Capex Category Summary (Comb)'!AO20</f>
        <v>1.0977401930149446</v>
      </c>
      <c r="R15" s="54">
        <f>'Capex Category Summary (Comb)'!AP20</f>
        <v>1.0938047944229861</v>
      </c>
      <c r="S15" s="54">
        <f>'Capex Category Summary (Comb)'!AQ20</f>
        <v>1.0937906860190338</v>
      </c>
      <c r="T15" s="54">
        <f>'Capex Category Summary (Comb)'!AR20</f>
        <v>1.1290032047109919</v>
      </c>
      <c r="U15" s="95">
        <f>'Capex Category Summary (Comb)'!AS20</f>
        <v>1.1399689369493771</v>
      </c>
      <c r="V15" s="52">
        <f>SUM(Q15:U15)</f>
        <v>5.5543078151173342</v>
      </c>
      <c r="W15" s="538"/>
      <c r="X15" s="200" t="str">
        <f>M15</f>
        <v>06</v>
      </c>
      <c r="Y15" s="200" t="str">
        <f>N15</f>
        <v>Mains Replacement - HDPE Replacement</v>
      </c>
      <c r="Z15" s="52"/>
      <c r="AA15" s="52"/>
      <c r="AB15" s="55">
        <f t="shared" si="1"/>
        <v>0.12509434498335464</v>
      </c>
      <c r="AC15" s="54">
        <f t="shared" si="2"/>
        <v>0.1077093373917988</v>
      </c>
      <c r="AD15" s="54">
        <f t="shared" si="3"/>
        <v>0.11035891491459704</v>
      </c>
      <c r="AE15" s="54">
        <f t="shared" si="4"/>
        <v>0.13532311670737601</v>
      </c>
      <c r="AF15" s="95">
        <f t="shared" si="5"/>
        <v>0.19146753840457287</v>
      </c>
      <c r="AG15" s="52">
        <f>SUM(AB15:AF15)</f>
        <v>0.66995325240169934</v>
      </c>
      <c r="AH15" s="32"/>
    </row>
    <row r="16" spans="1:34" ht="18" customHeight="1" x14ac:dyDescent="0.2">
      <c r="A16" s="32"/>
      <c r="B16" s="200" t="str">
        <f>'Capex Model Category Index'!B14</f>
        <v>07</v>
      </c>
      <c r="C16" s="200" t="str">
        <f>'Capex Model Category Index'!C14</f>
        <v>Mains Replacement - HDICS Block Replacement</v>
      </c>
      <c r="D16" s="52"/>
      <c r="E16" s="52"/>
      <c r="F16" s="55">
        <f t="shared" si="0"/>
        <v>22.356416344635871</v>
      </c>
      <c r="G16" s="54">
        <f t="shared" si="0"/>
        <v>22.171666210530855</v>
      </c>
      <c r="H16" s="54">
        <f t="shared" si="0"/>
        <v>22.377525429043793</v>
      </c>
      <c r="I16" s="54">
        <f t="shared" si="0"/>
        <v>22.960420242009473</v>
      </c>
      <c r="J16" s="95">
        <f t="shared" si="0"/>
        <v>0</v>
      </c>
      <c r="K16" s="52">
        <f t="shared" si="6"/>
        <v>89.866028226219996</v>
      </c>
      <c r="L16" s="32"/>
      <c r="M16" s="200" t="str">
        <f t="shared" si="7"/>
        <v>07</v>
      </c>
      <c r="N16" s="200" t="str">
        <f t="shared" si="7"/>
        <v>Mains Replacement - HDICS Block Replacement</v>
      </c>
      <c r="O16" s="52"/>
      <c r="P16" s="52"/>
      <c r="Q16" s="55">
        <f>'Capex Category Summary (Comb)'!AO21</f>
        <v>20.069384721056331</v>
      </c>
      <c r="R16" s="54">
        <f>'Capex Category Summary (Comb)'!AP21</f>
        <v>20.184094518135197</v>
      </c>
      <c r="S16" s="54">
        <f>'Capex Category Summary (Comb)'!AQ21</f>
        <v>20.326651166486783</v>
      </c>
      <c r="T16" s="54">
        <f>'Capex Category Summary (Comb)'!AR21</f>
        <v>20.502925230299034</v>
      </c>
      <c r="U16" s="95">
        <f>'Capex Category Summary (Comb)'!AS21</f>
        <v>0</v>
      </c>
      <c r="V16" s="52">
        <f t="shared" si="8"/>
        <v>81.083055635977345</v>
      </c>
      <c r="W16" s="538"/>
      <c r="X16" s="200" t="str">
        <f t="shared" si="9"/>
        <v>07</v>
      </c>
      <c r="Y16" s="200" t="str">
        <f t="shared" si="9"/>
        <v>Mains Replacement - HDICS Block Replacement</v>
      </c>
      <c r="Z16" s="52"/>
      <c r="AA16" s="52"/>
      <c r="AB16" s="55">
        <f t="shared" si="1"/>
        <v>2.2870316235795407</v>
      </c>
      <c r="AC16" s="54">
        <f t="shared" si="2"/>
        <v>1.9875716923956595</v>
      </c>
      <c r="AD16" s="54">
        <f t="shared" si="3"/>
        <v>2.0508742625570076</v>
      </c>
      <c r="AE16" s="54">
        <f t="shared" si="4"/>
        <v>2.4574950117104377</v>
      </c>
      <c r="AF16" s="95">
        <f t="shared" si="5"/>
        <v>0</v>
      </c>
      <c r="AG16" s="52">
        <f t="shared" si="10"/>
        <v>8.7829725902426468</v>
      </c>
      <c r="AH16" s="32"/>
    </row>
    <row r="17" spans="1:46" ht="18" customHeight="1" x14ac:dyDescent="0.2">
      <c r="A17" s="32"/>
      <c r="B17" s="200" t="str">
        <f>'Capex Model Category Index'!B15</f>
        <v>08</v>
      </c>
      <c r="C17" s="200" t="str">
        <f>'Capex Model Category Index'!C15</f>
        <v>Mains Replacement - LDS Block Replacement</v>
      </c>
      <c r="D17" s="52"/>
      <c r="E17" s="52"/>
      <c r="F17" s="55">
        <f t="shared" ref="F17" si="11">Q17+AB17</f>
        <v>3.723716930781598</v>
      </c>
      <c r="G17" s="54">
        <f t="shared" ref="G17" si="12">R17+AC17</f>
        <v>3.6929446821472109</v>
      </c>
      <c r="H17" s="54">
        <f t="shared" ref="H17" si="13">S17+AD17</f>
        <v>3.7272328903071035</v>
      </c>
      <c r="I17" s="54">
        <f t="shared" ref="I17" si="14">T17+AE17</f>
        <v>3.824320690536136</v>
      </c>
      <c r="J17" s="95">
        <f t="shared" ref="J17" si="15">U17+AF17</f>
        <v>0</v>
      </c>
      <c r="K17" s="52">
        <f t="shared" ref="K17" si="16">SUM(F17:J17)</f>
        <v>14.96821519377205</v>
      </c>
      <c r="L17" s="32"/>
      <c r="M17" s="200" t="str">
        <f t="shared" ref="M17" si="17">B17</f>
        <v>08</v>
      </c>
      <c r="N17" s="200" t="str">
        <f t="shared" ref="N17" si="18">C17</f>
        <v>Mains Replacement - LDS Block Replacement</v>
      </c>
      <c r="O17" s="52"/>
      <c r="P17" s="52"/>
      <c r="Q17" s="55">
        <f>'Capex Category Summary (Comb)'!AO22</f>
        <v>3.3427856470430295</v>
      </c>
      <c r="R17" s="54">
        <f>'Capex Category Summary (Comb)'!AP22</f>
        <v>3.3618918761865739</v>
      </c>
      <c r="S17" s="54">
        <f>'Capex Category Summary (Comb)'!AQ22</f>
        <v>3.3856363170164059</v>
      </c>
      <c r="T17" s="54">
        <f>'Capex Category Summary (Comb)'!AR22</f>
        <v>3.4149967791654681</v>
      </c>
      <c r="U17" s="95">
        <f>'Capex Category Summary (Comb)'!AS22</f>
        <v>0</v>
      </c>
      <c r="V17" s="52">
        <f t="shared" ref="V17" si="19">SUM(Q17:U17)</f>
        <v>13.505310619411478</v>
      </c>
      <c r="W17" s="538"/>
      <c r="X17" s="200" t="str">
        <f t="shared" ref="X17" si="20">M17</f>
        <v>08</v>
      </c>
      <c r="Y17" s="200" t="str">
        <f t="shared" ref="Y17" si="21">N17</f>
        <v>Mains Replacement - LDS Block Replacement</v>
      </c>
      <c r="Z17" s="52"/>
      <c r="AA17" s="52"/>
      <c r="AB17" s="55">
        <f t="shared" si="1"/>
        <v>0.38093128373856872</v>
      </c>
      <c r="AC17" s="54">
        <f t="shared" si="2"/>
        <v>0.33105280596063696</v>
      </c>
      <c r="AD17" s="54">
        <f t="shared" si="3"/>
        <v>0.34159657329069748</v>
      </c>
      <c r="AE17" s="54">
        <f t="shared" si="4"/>
        <v>0.4093239113706677</v>
      </c>
      <c r="AF17" s="95">
        <f t="shared" si="5"/>
        <v>0</v>
      </c>
      <c r="AG17" s="52">
        <f t="shared" ref="AG17" si="22">SUM(AB17:AF17)</f>
        <v>1.4629045743605709</v>
      </c>
      <c r="AH17" s="32"/>
    </row>
    <row r="18" spans="1:46" ht="18" customHeight="1" x14ac:dyDescent="0.2">
      <c r="A18" s="32"/>
      <c r="B18" s="200" t="str">
        <f>'Capex Model Category Index'!B16</f>
        <v>09</v>
      </c>
      <c r="C18" s="200" t="str">
        <f>'Capex Model Category Index'!C16</f>
        <v>Mains Replacement - CBD Block Replacement</v>
      </c>
      <c r="D18" s="52"/>
      <c r="E18" s="52"/>
      <c r="F18" s="55">
        <f t="shared" si="0"/>
        <v>6.7511609374069117</v>
      </c>
      <c r="G18" s="54">
        <f t="shared" si="0"/>
        <v>6.6953703371012532</v>
      </c>
      <c r="H18" s="54">
        <f t="shared" si="0"/>
        <v>6.7575354307014672</v>
      </c>
      <c r="I18" s="54">
        <f t="shared" si="0"/>
        <v>7.0722283773858807</v>
      </c>
      <c r="J18" s="95">
        <f t="shared" si="0"/>
        <v>7.5936524306371327</v>
      </c>
      <c r="K18" s="52">
        <f t="shared" si="6"/>
        <v>34.869947513232646</v>
      </c>
      <c r="L18" s="32"/>
      <c r="M18" s="200" t="str">
        <f t="shared" si="7"/>
        <v>09</v>
      </c>
      <c r="N18" s="200" t="str">
        <f t="shared" si="7"/>
        <v>Mains Replacement - CBD Block Replacement</v>
      </c>
      <c r="O18" s="52"/>
      <c r="P18" s="52"/>
      <c r="Q18" s="55">
        <f>'Capex Category Summary (Comb)'!AO23</f>
        <v>6.0605261629552736</v>
      </c>
      <c r="R18" s="54">
        <f>'Capex Category Summary (Comb)'!AP23</f>
        <v>6.0951660752398977</v>
      </c>
      <c r="S18" s="54">
        <f>'Capex Category Summary (Comb)'!AQ23</f>
        <v>6.1382151427148735</v>
      </c>
      <c r="T18" s="54">
        <f>'Capex Category Summary (Comb)'!AR23</f>
        <v>6.3152750735738019</v>
      </c>
      <c r="U18" s="95">
        <f>'Capex Category Summary (Comb)'!AS23</f>
        <v>6.5016454402116395</v>
      </c>
      <c r="V18" s="52">
        <f t="shared" si="8"/>
        <v>31.110827894695486</v>
      </c>
      <c r="W18" s="538"/>
      <c r="X18" s="200" t="str">
        <f t="shared" si="9"/>
        <v>09</v>
      </c>
      <c r="Y18" s="200" t="str">
        <f t="shared" si="9"/>
        <v>Mains Replacement - CBD Block Replacement</v>
      </c>
      <c r="Z18" s="52"/>
      <c r="AA18" s="52"/>
      <c r="AB18" s="55">
        <f t="shared" si="1"/>
        <v>0.69063477445163768</v>
      </c>
      <c r="AC18" s="54">
        <f t="shared" si="2"/>
        <v>0.60020426186135578</v>
      </c>
      <c r="AD18" s="54">
        <f t="shared" si="3"/>
        <v>0.61932028798659355</v>
      </c>
      <c r="AE18" s="54">
        <f t="shared" si="4"/>
        <v>0.75695330381207904</v>
      </c>
      <c r="AF18" s="95">
        <f t="shared" si="5"/>
        <v>1.0920069904254932</v>
      </c>
      <c r="AG18" s="52">
        <f t="shared" si="10"/>
        <v>3.7591196185371594</v>
      </c>
      <c r="AH18" s="32"/>
    </row>
    <row r="19" spans="1:46" ht="18" customHeight="1" x14ac:dyDescent="0.2">
      <c r="A19" s="32"/>
      <c r="B19" s="200" t="str">
        <f>'Capex Model Category Index'!B17</f>
        <v>10</v>
      </c>
      <c r="C19" s="200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2.1454526371429208</v>
      </c>
      <c r="H19" s="54">
        <f t="shared" ref="H19" si="25">S19+AD19</f>
        <v>2.1653727098629845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4.3108253470059053</v>
      </c>
      <c r="L19" s="32"/>
      <c r="M19" s="200" t="str">
        <f t="shared" ref="M19" si="29">B19</f>
        <v>10</v>
      </c>
      <c r="N19" s="200" t="str">
        <f t="shared" ref="N19" si="30">C19</f>
        <v>Mains Replacement - CBD Trunk Replacement</v>
      </c>
      <c r="O19" s="52"/>
      <c r="P19" s="52"/>
      <c r="Q19" s="55">
        <f>'Capex Category Summary (Comb)'!AO24</f>
        <v>0</v>
      </c>
      <c r="R19" s="54">
        <f>'Capex Category Summary (Comb)'!AP24</f>
        <v>1.9531242442982051</v>
      </c>
      <c r="S19" s="54">
        <f>'Capex Category Summary (Comb)'!AQ24</f>
        <v>1.9669188113931626</v>
      </c>
      <c r="T19" s="54">
        <f>'Capex Category Summary (Comb)'!AR24</f>
        <v>0</v>
      </c>
      <c r="U19" s="95">
        <f>'Capex Category Summary (Comb)'!AS24</f>
        <v>0</v>
      </c>
      <c r="V19" s="52">
        <f t="shared" ref="V19" si="31">SUM(Q19:U19)</f>
        <v>3.9200430556913677</v>
      </c>
      <c r="W19" s="538"/>
      <c r="X19" s="200" t="str">
        <f t="shared" ref="X19" si="32">M19</f>
        <v>10</v>
      </c>
      <c r="Y19" s="200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0.19232839284471562</v>
      </c>
      <c r="AD19" s="54">
        <f t="shared" si="3"/>
        <v>0.19845389846982206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0.39078229131453768</v>
      </c>
      <c r="AH19" s="32"/>
    </row>
    <row r="20" spans="1:46" ht="18" customHeight="1" x14ac:dyDescent="0.2">
      <c r="A20" s="32"/>
      <c r="B20" s="200" t="str">
        <f>'Capex Model Category Index'!B18</f>
        <v>11</v>
      </c>
      <c r="C20" s="200" t="str">
        <f>'Capex Model Category Index'!C18</f>
        <v>Service Renewal - Non AMRP</v>
      </c>
      <c r="D20" s="52"/>
      <c r="E20" s="52"/>
      <c r="F20" s="55">
        <f t="shared" si="0"/>
        <v>0.82061877024949104</v>
      </c>
      <c r="G20" s="54">
        <f t="shared" si="0"/>
        <v>0.81383729751631462</v>
      </c>
      <c r="H20" s="54">
        <f t="shared" si="0"/>
        <v>0.82139360422202423</v>
      </c>
      <c r="I20" s="54">
        <f t="shared" si="0"/>
        <v>0.84278944947856838</v>
      </c>
      <c r="J20" s="95">
        <f t="shared" si="0"/>
        <v>0.88752452200821441</v>
      </c>
      <c r="K20" s="52">
        <f t="shared" ref="K20:K29" si="35">SUM(F20:J20)</f>
        <v>4.1861636434746128</v>
      </c>
      <c r="L20" s="32"/>
      <c r="M20" s="200" t="str">
        <f t="shared" si="7"/>
        <v>11</v>
      </c>
      <c r="N20" s="200" t="str">
        <f t="shared" si="7"/>
        <v>Service Renewal - Non AMRP</v>
      </c>
      <c r="O20" s="52"/>
      <c r="P20" s="52"/>
      <c r="Q20" s="55">
        <f>'Capex Category Summary (Comb)'!AO30</f>
        <v>0.73667056274020259</v>
      </c>
      <c r="R20" s="54">
        <f>'Capex Category Summary (Comb)'!AP30</f>
        <v>0.74088112185501409</v>
      </c>
      <c r="S20" s="54">
        <f>'Capex Category Summary (Comb)'!AQ30</f>
        <v>0.74611383266419695</v>
      </c>
      <c r="T20" s="54">
        <f>'Capex Category Summary (Comb)'!AR30</f>
        <v>0.75258418118708081</v>
      </c>
      <c r="U20" s="95">
        <f>'Capex Category Summary (Comb)'!AS30</f>
        <v>0.75989384743364785</v>
      </c>
      <c r="V20" s="52">
        <f t="shared" si="8"/>
        <v>3.7361435458801422</v>
      </c>
      <c r="W20" s="538"/>
      <c r="X20" s="200" t="str">
        <f t="shared" si="9"/>
        <v>11</v>
      </c>
      <c r="Y20" s="200" t="str">
        <f t="shared" si="9"/>
        <v>Service Renewal - Non AMRP</v>
      </c>
      <c r="Z20" s="52"/>
      <c r="AA20" s="52"/>
      <c r="AB20" s="55">
        <f t="shared" si="1"/>
        <v>8.3948207509288428E-2</v>
      </c>
      <c r="AC20" s="54">
        <f t="shared" si="2"/>
        <v>7.2956175661300568E-2</v>
      </c>
      <c r="AD20" s="54">
        <f t="shared" si="3"/>
        <v>7.5279771557827224E-2</v>
      </c>
      <c r="AE20" s="54">
        <f t="shared" si="4"/>
        <v>9.0205268291487617E-2</v>
      </c>
      <c r="AF20" s="95">
        <f t="shared" si="5"/>
        <v>0.12763067457456662</v>
      </c>
      <c r="AG20" s="52">
        <f t="shared" ref="AG20:AG29" si="36">SUM(AB20:AF20)</f>
        <v>0.45002009759447043</v>
      </c>
      <c r="AH20" s="32"/>
    </row>
    <row r="21" spans="1:46" ht="18" customHeight="1" x14ac:dyDescent="0.2">
      <c r="A21" s="32"/>
      <c r="B21" s="200" t="str">
        <f>'Capex Model Category Index'!B19</f>
        <v>12</v>
      </c>
      <c r="C21" s="200" t="str">
        <f>'Capex Model Category Index'!C19</f>
        <v>New Main - Estate</v>
      </c>
      <c r="D21" s="52"/>
      <c r="E21" s="52"/>
      <c r="F21" s="55">
        <f t="shared" si="0"/>
        <v>7.2444854453683201</v>
      </c>
      <c r="G21" s="54">
        <f t="shared" si="0"/>
        <v>6.9683991661921008</v>
      </c>
      <c r="H21" s="54">
        <f t="shared" si="0"/>
        <v>7.1221936681139235</v>
      </c>
      <c r="I21" s="54">
        <f t="shared" si="0"/>
        <v>7.434699367071671</v>
      </c>
      <c r="J21" s="95">
        <f t="shared" si="0"/>
        <v>7.9632087565757006</v>
      </c>
      <c r="K21" s="52">
        <f t="shared" si="35"/>
        <v>36.732986403321718</v>
      </c>
      <c r="L21" s="32"/>
      <c r="M21" s="200" t="str">
        <f t="shared" si="7"/>
        <v>12</v>
      </c>
      <c r="N21" s="200" t="str">
        <f t="shared" si="7"/>
        <v>New Main - Estate</v>
      </c>
      <c r="O21" s="52"/>
      <c r="P21" s="52"/>
      <c r="Q21" s="55">
        <f>'Capex Category Summary (Comb)'!AO36</f>
        <v>6.5033842306338565</v>
      </c>
      <c r="R21" s="54">
        <f>'Capex Category Summary (Comb)'!AP36</f>
        <v>6.3437193251498192</v>
      </c>
      <c r="S21" s="54">
        <f>'Capex Category Summary (Comb)'!AQ36</f>
        <v>6.4694528754289884</v>
      </c>
      <c r="T21" s="54">
        <f>'Capex Category Summary (Comb)'!AR36</f>
        <v>6.6389501422941395</v>
      </c>
      <c r="U21" s="95">
        <f>'Capex Category Summary (Comb)'!AS36</f>
        <v>6.8180576309705812</v>
      </c>
      <c r="V21" s="52">
        <f t="shared" si="8"/>
        <v>32.773564204477381</v>
      </c>
      <c r="W21" s="538"/>
      <c r="X21" s="200" t="str">
        <f t="shared" si="9"/>
        <v>12</v>
      </c>
      <c r="Y21" s="200" t="str">
        <f t="shared" si="9"/>
        <v>New Main - Estate</v>
      </c>
      <c r="Z21" s="52"/>
      <c r="AA21" s="52"/>
      <c r="AB21" s="55">
        <f t="shared" si="1"/>
        <v>0.74110121473446366</v>
      </c>
      <c r="AC21" s="54">
        <f t="shared" si="2"/>
        <v>0.62467984104228136</v>
      </c>
      <c r="AD21" s="54">
        <f t="shared" si="3"/>
        <v>0.6527407926849349</v>
      </c>
      <c r="AE21" s="54">
        <f t="shared" si="4"/>
        <v>0.79574922477753141</v>
      </c>
      <c r="AF21" s="95">
        <f t="shared" si="5"/>
        <v>1.1451511256051197</v>
      </c>
      <c r="AG21" s="52">
        <f t="shared" si="36"/>
        <v>3.9594221988443312</v>
      </c>
      <c r="AH21" s="32"/>
    </row>
    <row r="22" spans="1:46" ht="18" customHeight="1" x14ac:dyDescent="0.2">
      <c r="A22" s="32"/>
      <c r="B22" s="200" t="str">
        <f>'Capex Model Category Index'!B20</f>
        <v>13</v>
      </c>
      <c r="C22" s="200" t="str">
        <f>'Capex Model Category Index'!C20</f>
        <v>New Main - Existing Domestic</v>
      </c>
      <c r="D22" s="52"/>
      <c r="E22" s="52"/>
      <c r="F22" s="55">
        <f t="shared" si="0"/>
        <v>0.95504442999011241</v>
      </c>
      <c r="G22" s="54">
        <f t="shared" si="0"/>
        <v>0.91684188436970004</v>
      </c>
      <c r="H22" s="54">
        <f t="shared" si="0"/>
        <v>0.93685533338064886</v>
      </c>
      <c r="I22" s="54">
        <f t="shared" si="0"/>
        <v>0.97791902447790191</v>
      </c>
      <c r="J22" s="95">
        <f t="shared" si="0"/>
        <v>1.0473777186693431</v>
      </c>
      <c r="K22" s="52">
        <f t="shared" si="35"/>
        <v>4.8340383908877058</v>
      </c>
      <c r="L22" s="32"/>
      <c r="M22" s="200" t="str">
        <f t="shared" si="7"/>
        <v>13</v>
      </c>
      <c r="N22" s="200" t="str">
        <f t="shared" si="7"/>
        <v>New Main - Existing Domestic</v>
      </c>
      <c r="O22" s="52"/>
      <c r="P22" s="52"/>
      <c r="Q22" s="55">
        <f>'Capex Category Summary (Comb)'!AO37</f>
        <v>0.85734465648258606</v>
      </c>
      <c r="R22" s="54">
        <f>'Capex Category Summary (Comb)'!AP37</f>
        <v>0.83465189655045446</v>
      </c>
      <c r="S22" s="54">
        <f>'Capex Category Summary (Comb)'!AQ37</f>
        <v>0.8509936282040842</v>
      </c>
      <c r="T22" s="54">
        <f>'Capex Category Summary (Comb)'!AR37</f>
        <v>0.87325059510333347</v>
      </c>
      <c r="U22" s="95">
        <f>'Capex Category Summary (Comb)'!AS37</f>
        <v>0.89675931720178148</v>
      </c>
      <c r="V22" s="52">
        <f t="shared" si="8"/>
        <v>4.3130000935422395</v>
      </c>
      <c r="W22" s="538"/>
      <c r="X22" s="200" t="str">
        <f t="shared" si="9"/>
        <v>13</v>
      </c>
      <c r="Y22" s="200" t="str">
        <f t="shared" si="9"/>
        <v>New Main - Existing Domestic</v>
      </c>
      <c r="Z22" s="52"/>
      <c r="AA22" s="52"/>
      <c r="AB22" s="55">
        <f t="shared" si="1"/>
        <v>9.7699773507526289E-2</v>
      </c>
      <c r="AC22" s="54">
        <f t="shared" si="2"/>
        <v>8.2189987819245594E-2</v>
      </c>
      <c r="AD22" s="54">
        <f t="shared" si="3"/>
        <v>8.5861705176564718E-2</v>
      </c>
      <c r="AE22" s="54">
        <f t="shared" si="4"/>
        <v>0.10466842937456849</v>
      </c>
      <c r="AF22" s="95">
        <f t="shared" si="5"/>
        <v>0.15061840146756156</v>
      </c>
      <c r="AG22" s="52">
        <f t="shared" si="36"/>
        <v>0.52103829734546658</v>
      </c>
      <c r="AH22" s="32"/>
    </row>
    <row r="23" spans="1:46" ht="18" customHeight="1" x14ac:dyDescent="0.2">
      <c r="A23" s="32"/>
      <c r="B23" s="200" t="str">
        <f>'Capex Model Category Index'!B21</f>
        <v>14</v>
      </c>
      <c r="C23" s="200" t="str">
        <f>'Capex Model Category Index'!C21</f>
        <v>New Main - I&amp;C&lt;10TJ</v>
      </c>
      <c r="D23" s="52"/>
      <c r="E23" s="52"/>
      <c r="F23" s="55">
        <f t="shared" si="0"/>
        <v>2.495005660648157</v>
      </c>
      <c r="G23" s="54">
        <f t="shared" si="0"/>
        <v>2.4889914312651404</v>
      </c>
      <c r="H23" s="54">
        <f t="shared" si="0"/>
        <v>2.5269410480037586</v>
      </c>
      <c r="I23" s="54">
        <f t="shared" si="0"/>
        <v>2.6080935330613895</v>
      </c>
      <c r="J23" s="95">
        <f t="shared" si="0"/>
        <v>2.7627847479253216</v>
      </c>
      <c r="K23" s="52">
        <f t="shared" si="35"/>
        <v>12.881816420903766</v>
      </c>
      <c r="L23" s="32"/>
      <c r="M23" s="200" t="str">
        <f t="shared" si="7"/>
        <v>14</v>
      </c>
      <c r="N23" s="200" t="str">
        <f t="shared" si="7"/>
        <v>New Main - I&amp;C&lt;10TJ</v>
      </c>
      <c r="O23" s="52"/>
      <c r="P23" s="52"/>
      <c r="Q23" s="55">
        <f>'Capex Category Summary (Comb)'!AO38</f>
        <v>2.2397699037652603</v>
      </c>
      <c r="R23" s="54">
        <f>'Capex Category Summary (Comb)'!AP38</f>
        <v>2.265866616719256</v>
      </c>
      <c r="S23" s="54">
        <f>'Capex Category Summary (Comb)'!AQ38</f>
        <v>2.2953498305216211</v>
      </c>
      <c r="T23" s="54">
        <f>'Capex Category Summary (Comb)'!AR38</f>
        <v>2.3289445985028783</v>
      </c>
      <c r="U23" s="95">
        <f>'Capex Category Summary (Comb)'!AS38</f>
        <v>2.3654818313995185</v>
      </c>
      <c r="V23" s="52">
        <f t="shared" si="8"/>
        <v>11.495412780908536</v>
      </c>
      <c r="W23" s="538"/>
      <c r="X23" s="200" t="str">
        <f t="shared" si="9"/>
        <v>14</v>
      </c>
      <c r="Y23" s="200" t="str">
        <f t="shared" si="9"/>
        <v>New Main - I&amp;C&lt;10TJ</v>
      </c>
      <c r="Z23" s="52"/>
      <c r="AA23" s="52"/>
      <c r="AB23" s="55">
        <f t="shared" si="1"/>
        <v>0.25523575688289662</v>
      </c>
      <c r="AC23" s="54">
        <f t="shared" si="2"/>
        <v>0.22312481454588445</v>
      </c>
      <c r="AD23" s="54">
        <f t="shared" si="3"/>
        <v>0.23159121748213737</v>
      </c>
      <c r="AE23" s="54">
        <f t="shared" si="4"/>
        <v>0.27914893455851109</v>
      </c>
      <c r="AF23" s="95">
        <f t="shared" si="5"/>
        <v>0.39730291652580296</v>
      </c>
      <c r="AG23" s="52">
        <f t="shared" si="36"/>
        <v>1.3864036399952324</v>
      </c>
      <c r="AH23" s="32"/>
    </row>
    <row r="24" spans="1:46" ht="18" customHeight="1" x14ac:dyDescent="0.2">
      <c r="A24" s="32"/>
      <c r="B24" s="200" t="str">
        <f>'Capex Model Category Index'!B22</f>
        <v>15</v>
      </c>
      <c r="C24" s="200" t="str">
        <f>'Capex Model Category Index'!C22</f>
        <v>New Meter - Domestic</v>
      </c>
      <c r="D24" s="52"/>
      <c r="E24" s="52"/>
      <c r="F24" s="55">
        <f t="shared" si="0"/>
        <v>4.0690325733199773</v>
      </c>
      <c r="G24" s="54">
        <f t="shared" si="0"/>
        <v>3.8752531203950258</v>
      </c>
      <c r="H24" s="54">
        <f t="shared" si="0"/>
        <v>3.932646061627505</v>
      </c>
      <c r="I24" s="54">
        <f t="shared" si="0"/>
        <v>4.2008687177880057</v>
      </c>
      <c r="J24" s="95">
        <f t="shared" si="0"/>
        <v>4.4994125311651967</v>
      </c>
      <c r="K24" s="52">
        <f t="shared" si="35"/>
        <v>20.577213004295707</v>
      </c>
      <c r="L24" s="32"/>
      <c r="M24" s="200" t="str">
        <f t="shared" si="7"/>
        <v>15</v>
      </c>
      <c r="N24" s="200" t="str">
        <f t="shared" si="7"/>
        <v>New Meter - Domestic</v>
      </c>
      <c r="O24" s="52"/>
      <c r="P24" s="52"/>
      <c r="Q24" s="55">
        <f>'Capex Category Summary (Comb)'!AO44</f>
        <v>3.652775959151541</v>
      </c>
      <c r="R24" s="54">
        <f>'Capex Category Summary (Comb)'!AP44</f>
        <v>3.5278573347184974</v>
      </c>
      <c r="S24" s="54">
        <f>'Capex Category Summary (Comb)'!AQ44</f>
        <v>3.5722236093276631</v>
      </c>
      <c r="T24" s="54">
        <f>'Capex Category Summary (Comb)'!AR44</f>
        <v>3.7512421948411014</v>
      </c>
      <c r="U24" s="95">
        <f>'Capex Category Summary (Comb)'!AS44</f>
        <v>3.8523734440169575</v>
      </c>
      <c r="V24" s="52">
        <f t="shared" si="8"/>
        <v>18.356472542055759</v>
      </c>
      <c r="W24" s="538"/>
      <c r="X24" s="200" t="str">
        <f t="shared" si="9"/>
        <v>15</v>
      </c>
      <c r="Y24" s="200" t="str">
        <f t="shared" si="9"/>
        <v>New Meter - Domestic</v>
      </c>
      <c r="Z24" s="52"/>
      <c r="AA24" s="52"/>
      <c r="AB24" s="55">
        <f t="shared" si="1"/>
        <v>0.41625661416843662</v>
      </c>
      <c r="AC24" s="54">
        <f t="shared" si="2"/>
        <v>0.34739578567652829</v>
      </c>
      <c r="AD24" s="54">
        <f t="shared" si="3"/>
        <v>0.36042245229984166</v>
      </c>
      <c r="AE24" s="54">
        <f t="shared" si="4"/>
        <v>0.44962652294690469</v>
      </c>
      <c r="AF24" s="95">
        <f t="shared" si="5"/>
        <v>0.6470390871482391</v>
      </c>
      <c r="AG24" s="52">
        <f t="shared" si="36"/>
        <v>2.2207404622399505</v>
      </c>
      <c r="AH24" s="32"/>
    </row>
    <row r="25" spans="1:46" ht="18" customHeight="1" x14ac:dyDescent="0.2">
      <c r="A25" s="32"/>
      <c r="B25" s="200" t="str">
        <f>'Capex Model Category Index'!B23</f>
        <v>16</v>
      </c>
      <c r="C25" s="200" t="str">
        <f>'Capex Model Category Index'!C23</f>
        <v>New Meter - I&amp;C&lt;10TJ</v>
      </c>
      <c r="D25" s="52"/>
      <c r="E25" s="52"/>
      <c r="F25" s="55">
        <f t="shared" si="0"/>
        <v>2.8989267058330861</v>
      </c>
      <c r="G25" s="54">
        <f t="shared" si="0"/>
        <v>2.8919430123886887</v>
      </c>
      <c r="H25" s="54">
        <f t="shared" si="0"/>
        <v>2.9360408884792859</v>
      </c>
      <c r="I25" s="54">
        <f t="shared" si="0"/>
        <v>3.0303364021661285</v>
      </c>
      <c r="J25" s="95">
        <f t="shared" si="0"/>
        <v>3.2100770266961653</v>
      </c>
      <c r="K25" s="52">
        <f t="shared" si="35"/>
        <v>14.967324035563355</v>
      </c>
      <c r="L25" s="32"/>
      <c r="M25" s="200" t="str">
        <f t="shared" si="7"/>
        <v>16</v>
      </c>
      <c r="N25" s="200" t="str">
        <f t="shared" si="7"/>
        <v>New Meter - I&amp;C&lt;10TJ</v>
      </c>
      <c r="O25" s="52"/>
      <c r="P25" s="52"/>
      <c r="Q25" s="55">
        <f>'Capex Category Summary (Comb)'!AO45</f>
        <v>2.6023703638650542</v>
      </c>
      <c r="R25" s="54">
        <f>'Capex Category Summary (Comb)'!AP45</f>
        <v>2.6326957364796235</v>
      </c>
      <c r="S25" s="54">
        <f>'Capex Category Summary (Comb)'!AQ45</f>
        <v>2.6669561449007158</v>
      </c>
      <c r="T25" s="54">
        <f>'Capex Category Summary (Comb)'!AR45</f>
        <v>2.7059940550473085</v>
      </c>
      <c r="U25" s="95">
        <f>'Capex Category Summary (Comb)'!AS45</f>
        <v>2.7484511378401515</v>
      </c>
      <c r="V25" s="52">
        <f t="shared" si="8"/>
        <v>13.356467438132855</v>
      </c>
      <c r="W25" s="538"/>
      <c r="X25" s="200" t="str">
        <f t="shared" si="9"/>
        <v>16</v>
      </c>
      <c r="Y25" s="200" t="str">
        <f t="shared" si="9"/>
        <v>New Meter - I&amp;C&lt;10TJ</v>
      </c>
      <c r="Z25" s="52"/>
      <c r="AA25" s="52"/>
      <c r="AB25" s="55">
        <f t="shared" si="1"/>
        <v>0.29655634196803182</v>
      </c>
      <c r="AC25" s="54">
        <f t="shared" si="2"/>
        <v>0.25924727590906504</v>
      </c>
      <c r="AD25" s="54">
        <f t="shared" si="3"/>
        <v>0.26908474357856993</v>
      </c>
      <c r="AE25" s="54">
        <f t="shared" si="4"/>
        <v>0.32434234711881987</v>
      </c>
      <c r="AF25" s="95">
        <f t="shared" si="5"/>
        <v>0.46162588885601369</v>
      </c>
      <c r="AG25" s="52">
        <f t="shared" si="36"/>
        <v>1.6108565974305002</v>
      </c>
      <c r="AH25" s="32"/>
    </row>
    <row r="26" spans="1:46" ht="18" customHeight="1" x14ac:dyDescent="0.2">
      <c r="A26" s="32"/>
      <c r="B26" s="200" t="str">
        <f>'Capex Model Category Index'!B24</f>
        <v>17</v>
      </c>
      <c r="C26" s="200" t="str">
        <f>'Capex Model Category Index'!C24</f>
        <v>New Service - New Home</v>
      </c>
      <c r="D26" s="52"/>
      <c r="E26" s="52"/>
      <c r="F26" s="55">
        <f t="shared" si="0"/>
        <v>13.653590271070197</v>
      </c>
      <c r="G26" s="54">
        <f t="shared" si="0"/>
        <v>13.125933064585011</v>
      </c>
      <c r="H26" s="54">
        <f t="shared" si="0"/>
        <v>13.414728113496832</v>
      </c>
      <c r="I26" s="54">
        <f t="shared" si="0"/>
        <v>14.00316003218396</v>
      </c>
      <c r="J26" s="95">
        <f t="shared" si="0"/>
        <v>14.998363510098907</v>
      </c>
      <c r="K26" s="52">
        <f t="shared" si="35"/>
        <v>69.195774991434902</v>
      </c>
      <c r="L26" s="32"/>
      <c r="M26" s="200" t="str">
        <f t="shared" si="7"/>
        <v>17</v>
      </c>
      <c r="N26" s="200" t="str">
        <f t="shared" si="7"/>
        <v>New Service - New Home</v>
      </c>
      <c r="O26" s="52"/>
      <c r="P26" s="52"/>
      <c r="Q26" s="55">
        <f>'Capex Category Summary (Comb)'!AO51</f>
        <v>12.256846166649909</v>
      </c>
      <c r="R26" s="54">
        <f>'Capex Category Summary (Comb)'!AP51</f>
        <v>11.949263131539652</v>
      </c>
      <c r="S26" s="54">
        <f>'Capex Category Summary (Comb)'!AQ51</f>
        <v>12.185283834038529</v>
      </c>
      <c r="T26" s="54">
        <f>'Capex Category Summary (Comb)'!AR51</f>
        <v>12.504376666524477</v>
      </c>
      <c r="U26" s="95">
        <f>'Capex Category Summary (Comb)'!AS51</f>
        <v>12.841520285105997</v>
      </c>
      <c r="V26" s="52">
        <f t="shared" si="8"/>
        <v>61.737290083858568</v>
      </c>
      <c r="W26" s="538"/>
      <c r="X26" s="200" t="str">
        <f t="shared" si="9"/>
        <v>17</v>
      </c>
      <c r="Y26" s="200" t="str">
        <f t="shared" si="9"/>
        <v>New Service - New Home</v>
      </c>
      <c r="Z26" s="52"/>
      <c r="AA26" s="52"/>
      <c r="AB26" s="55">
        <f t="shared" si="1"/>
        <v>1.3967441044202866</v>
      </c>
      <c r="AC26" s="54">
        <f t="shared" si="2"/>
        <v>1.1766699330453583</v>
      </c>
      <c r="AD26" s="54">
        <f t="shared" si="3"/>
        <v>1.2294442794583018</v>
      </c>
      <c r="AE26" s="54">
        <f t="shared" si="4"/>
        <v>1.4987833656594818</v>
      </c>
      <c r="AF26" s="95">
        <f t="shared" si="5"/>
        <v>2.1568432249929099</v>
      </c>
      <c r="AG26" s="52">
        <f t="shared" si="36"/>
        <v>7.458484907576338</v>
      </c>
      <c r="AH26" s="32"/>
    </row>
    <row r="27" spans="1:46" ht="18" customHeight="1" x14ac:dyDescent="0.2">
      <c r="A27" s="32"/>
      <c r="B27" s="200" t="str">
        <f>'Capex Model Category Index'!B25</f>
        <v>18</v>
      </c>
      <c r="C27" s="200" t="str">
        <f>'Capex Model Category Index'!C25</f>
        <v>New Service - Exist Home</v>
      </c>
      <c r="D27" s="52"/>
      <c r="E27" s="52"/>
      <c r="F27" s="55">
        <f t="shared" si="0"/>
        <v>1.4111551625727992</v>
      </c>
      <c r="G27" s="54">
        <f t="shared" si="0"/>
        <v>1.3569898709982697</v>
      </c>
      <c r="H27" s="54">
        <f t="shared" si="0"/>
        <v>1.386891623390887</v>
      </c>
      <c r="I27" s="54">
        <f t="shared" si="0"/>
        <v>1.4477359968919195</v>
      </c>
      <c r="J27" s="95">
        <f t="shared" si="0"/>
        <v>1.5506384801967725</v>
      </c>
      <c r="K27" s="52">
        <f t="shared" si="35"/>
        <v>7.1534111340506481</v>
      </c>
      <c r="L27" s="32"/>
      <c r="M27" s="200" t="str">
        <f t="shared" si="7"/>
        <v>18</v>
      </c>
      <c r="N27" s="200" t="str">
        <f t="shared" si="7"/>
        <v>New Service - Exist Home</v>
      </c>
      <c r="O27" s="52"/>
      <c r="P27" s="52"/>
      <c r="Q27" s="55">
        <f>'Capex Category Summary (Comb)'!AO52</f>
        <v>1.2667958684520364</v>
      </c>
      <c r="R27" s="54">
        <f>'Capex Category Summary (Comb)'!AP52</f>
        <v>1.2353429623332479</v>
      </c>
      <c r="S27" s="54">
        <f>'Capex Category Summary (Comb)'!AQ52</f>
        <v>1.2597846139770308</v>
      </c>
      <c r="T27" s="54">
        <f>'Capex Category Summary (Comb)'!AR52</f>
        <v>1.2927822132444406</v>
      </c>
      <c r="U27" s="95">
        <f>'Capex Category Summary (Comb)'!AS52</f>
        <v>1.3276485454499745</v>
      </c>
      <c r="V27" s="52">
        <f t="shared" si="8"/>
        <v>6.38235420345673</v>
      </c>
      <c r="W27" s="538"/>
      <c r="X27" s="200" t="str">
        <f t="shared" si="9"/>
        <v>18</v>
      </c>
      <c r="Y27" s="200" t="str">
        <f t="shared" si="9"/>
        <v>New Service - Exist Home</v>
      </c>
      <c r="Z27" s="52"/>
      <c r="AA27" s="52"/>
      <c r="AB27" s="55">
        <f t="shared" si="1"/>
        <v>0.14435929412076284</v>
      </c>
      <c r="AC27" s="54">
        <f t="shared" si="2"/>
        <v>0.12164690866502187</v>
      </c>
      <c r="AD27" s="54">
        <f t="shared" si="3"/>
        <v>0.12710700941385622</v>
      </c>
      <c r="AE27" s="54">
        <f t="shared" si="4"/>
        <v>0.15495378364747886</v>
      </c>
      <c r="AF27" s="95">
        <f t="shared" si="5"/>
        <v>0.22298993474679801</v>
      </c>
      <c r="AG27" s="52">
        <f t="shared" si="36"/>
        <v>0.77105693059391789</v>
      </c>
      <c r="AH27" s="32"/>
    </row>
    <row r="28" spans="1:46" ht="18" customHeight="1" x14ac:dyDescent="0.2">
      <c r="A28" s="32"/>
      <c r="B28" s="200" t="str">
        <f>'Capex Model Category Index'!B26</f>
        <v>19</v>
      </c>
      <c r="C28" s="200" t="str">
        <f>'Capex Model Category Index'!C26</f>
        <v>New Service - Multi User</v>
      </c>
      <c r="D28" s="52"/>
      <c r="E28" s="52"/>
      <c r="F28" s="55">
        <f t="shared" si="0"/>
        <v>3.7403033926329483</v>
      </c>
      <c r="G28" s="54">
        <f t="shared" si="0"/>
        <v>3.5935409713713451</v>
      </c>
      <c r="H28" s="54">
        <f t="shared" si="0"/>
        <v>3.6723338173767517</v>
      </c>
      <c r="I28" s="54">
        <f t="shared" si="0"/>
        <v>3.8333660899208906</v>
      </c>
      <c r="J28" s="95">
        <f t="shared" si="0"/>
        <v>4.1057313437616516</v>
      </c>
      <c r="K28" s="52">
        <f t="shared" si="35"/>
        <v>18.945275615063586</v>
      </c>
      <c r="L28" s="32"/>
      <c r="M28" s="200" t="str">
        <f t="shared" si="7"/>
        <v>19</v>
      </c>
      <c r="N28" s="200" t="str">
        <f t="shared" si="7"/>
        <v>New Service - Multi User</v>
      </c>
      <c r="O28" s="52"/>
      <c r="P28" s="52"/>
      <c r="Q28" s="55">
        <f>'Capex Category Summary (Comb)'!AO53</f>
        <v>3.3576753359325342</v>
      </c>
      <c r="R28" s="54">
        <f>'Capex Category Summary (Comb)'!AP53</f>
        <v>3.2713991782223371</v>
      </c>
      <c r="S28" s="54">
        <f>'Capex Category Summary (Comb)'!AQ53</f>
        <v>3.3357686804737865</v>
      </c>
      <c r="T28" s="54">
        <f>'Capex Category Summary (Comb)'!AR53</f>
        <v>3.4230740332099954</v>
      </c>
      <c r="U28" s="95">
        <f>'Capex Category Summary (Comb)'!AS53</f>
        <v>3.5153056732229491</v>
      </c>
      <c r="V28" s="52">
        <f t="shared" si="8"/>
        <v>16.903222901061604</v>
      </c>
      <c r="W28" s="538"/>
      <c r="X28" s="200" t="str">
        <f t="shared" si="9"/>
        <v>19</v>
      </c>
      <c r="Y28" s="200" t="str">
        <f t="shared" si="9"/>
        <v>New Service - Multi User</v>
      </c>
      <c r="Z28" s="52"/>
      <c r="AA28" s="52"/>
      <c r="AB28" s="55">
        <f t="shared" si="1"/>
        <v>0.38262805670041394</v>
      </c>
      <c r="AC28" s="54">
        <f t="shared" si="2"/>
        <v>0.32214179314900826</v>
      </c>
      <c r="AD28" s="54">
        <f t="shared" si="3"/>
        <v>0.33656513690296508</v>
      </c>
      <c r="AE28" s="54">
        <f t="shared" si="4"/>
        <v>0.41029205671089503</v>
      </c>
      <c r="AF28" s="95">
        <f t="shared" si="5"/>
        <v>0.59042567053870254</v>
      </c>
      <c r="AG28" s="52">
        <f t="shared" si="36"/>
        <v>2.0420527140019846</v>
      </c>
      <c r="AH28" s="32"/>
    </row>
    <row r="29" spans="1:46" ht="18" customHeight="1" x14ac:dyDescent="0.2">
      <c r="A29" s="32"/>
      <c r="B29" s="200" t="str">
        <f>'Capex Model Category Index'!B27</f>
        <v>20</v>
      </c>
      <c r="C29" s="200" t="str">
        <f>'Capex Model Category Index'!C27</f>
        <v>New Service - I&amp;C &lt; 10 Tj</v>
      </c>
      <c r="D29" s="52"/>
      <c r="E29" s="52"/>
      <c r="F29" s="55">
        <f t="shared" si="0"/>
        <v>1.9856100173990743</v>
      </c>
      <c r="G29" s="54">
        <f t="shared" si="0"/>
        <v>1.9808265602548363</v>
      </c>
      <c r="H29" s="54">
        <f t="shared" si="0"/>
        <v>2.0110312509547863</v>
      </c>
      <c r="I29" s="54">
        <f t="shared" si="0"/>
        <v>2.0756186433147379</v>
      </c>
      <c r="J29" s="95">
        <f t="shared" si="0"/>
        <v>2.1987313746170782</v>
      </c>
      <c r="K29" s="52">
        <f t="shared" si="35"/>
        <v>10.251817846540515</v>
      </c>
      <c r="L29" s="32"/>
      <c r="M29" s="200" t="str">
        <f t="shared" si="7"/>
        <v>20</v>
      </c>
      <c r="N29" s="200" t="str">
        <f t="shared" si="7"/>
        <v>New Service - I&amp;C &lt; 10 Tj</v>
      </c>
      <c r="O29" s="52"/>
      <c r="P29" s="52"/>
      <c r="Q29" s="55">
        <f>'Capex Category Summary (Comb)'!AO54</f>
        <v>1.782484756539563</v>
      </c>
      <c r="R29" s="54">
        <f>'Capex Category Summary (Comb)'!AP54</f>
        <v>1.8032560176837955</v>
      </c>
      <c r="S29" s="54">
        <f>'Capex Category Summary (Comb)'!AQ54</f>
        <v>1.8267225682606769</v>
      </c>
      <c r="T29" s="54">
        <f>'Capex Category Summary (Comb)'!AR54</f>
        <v>1.8534614524447532</v>
      </c>
      <c r="U29" s="95">
        <f>'Capex Category Summary (Comb)'!AS54</f>
        <v>1.882542287339054</v>
      </c>
      <c r="V29" s="52">
        <f t="shared" si="8"/>
        <v>9.1484670822678424</v>
      </c>
      <c r="W29" s="538"/>
      <c r="X29" s="200" t="str">
        <f t="shared" si="9"/>
        <v>20</v>
      </c>
      <c r="Y29" s="200" t="str">
        <f t="shared" si="9"/>
        <v>New Service - I&amp;C &lt; 10 Tj</v>
      </c>
      <c r="Z29" s="52"/>
      <c r="AA29" s="52"/>
      <c r="AB29" s="134">
        <f t="shared" si="1"/>
        <v>0.20312526085951135</v>
      </c>
      <c r="AC29" s="133">
        <f t="shared" si="2"/>
        <v>0.17757054257104088</v>
      </c>
      <c r="AD29" s="133">
        <f t="shared" si="3"/>
        <v>0.18430868269410927</v>
      </c>
      <c r="AE29" s="133">
        <f t="shared" si="4"/>
        <v>0.22215719086998448</v>
      </c>
      <c r="AF29" s="135">
        <f t="shared" si="5"/>
        <v>0.31618908727802397</v>
      </c>
      <c r="AG29" s="52">
        <f t="shared" si="36"/>
        <v>1.1033507642726699</v>
      </c>
      <c r="AH29" s="32"/>
    </row>
    <row r="30" spans="1:46" s="326" customFormat="1" ht="18" customHeight="1" thickBot="1" x14ac:dyDescent="0.25">
      <c r="A30" s="292"/>
      <c r="B30" s="98"/>
      <c r="C30" s="98" t="s">
        <v>46</v>
      </c>
      <c r="D30" s="99"/>
      <c r="E30" s="99"/>
      <c r="F30" s="100">
        <f>SUM(F10:F29)</f>
        <v>85.734609942523818</v>
      </c>
      <c r="G30" s="99">
        <f>SUM(G10:G29)</f>
        <v>86.169037388016719</v>
      </c>
      <c r="H30" s="99">
        <f>SUM(H10:H29)</f>
        <v>87.314621145503907</v>
      </c>
      <c r="I30" s="99">
        <f>SUM(I10:I29)</f>
        <v>84.954554275641613</v>
      </c>
      <c r="J30" s="101">
        <f>SUM(J10:J29)</f>
        <v>58.627114494369494</v>
      </c>
      <c r="K30" s="99">
        <f>SUM(F30:J30)</f>
        <v>402.79993724605555</v>
      </c>
      <c r="L30" s="292"/>
      <c r="M30" s="98"/>
      <c r="N30" s="98" t="s">
        <v>46</v>
      </c>
      <c r="O30" s="99"/>
      <c r="P30" s="99"/>
      <c r="Q30" s="100">
        <f>SUM(Q10:Q29)</f>
        <v>76.964073504520186</v>
      </c>
      <c r="R30" s="99">
        <f>SUM(R10:R29)</f>
        <v>78.444442499786845</v>
      </c>
      <c r="S30" s="99">
        <f>SUM(S10:S29)</f>
        <v>79.312337344283719</v>
      </c>
      <c r="T30" s="99">
        <f>SUM(T10:T29)</f>
        <v>75.861715766854758</v>
      </c>
      <c r="U30" s="101">
        <f>SUM(U10:U29)</f>
        <v>50.196228377165994</v>
      </c>
      <c r="V30" s="99">
        <f>SUM(Q30:U30)</f>
        <v>360.77879749261149</v>
      </c>
      <c r="W30" s="538"/>
      <c r="X30" s="98"/>
      <c r="Y30" s="98" t="s">
        <v>46</v>
      </c>
      <c r="Z30" s="99"/>
      <c r="AA30" s="99"/>
      <c r="AB30" s="100">
        <f>SUM(AB10:AB29)</f>
        <v>8.7705364380036315</v>
      </c>
      <c r="AC30" s="99">
        <f>SUM(AC10:AC29)</f>
        <v>7.7245948882298521</v>
      </c>
      <c r="AD30" s="99">
        <f>SUM(AD10:AD29)</f>
        <v>8.0022838012201802</v>
      </c>
      <c r="AE30" s="99">
        <f>SUM(AE10:AE29)</f>
        <v>9.0928385087868513</v>
      </c>
      <c r="AF30" s="101">
        <f>SUM(AF10:AF29)</f>
        <v>8.4308861172035048</v>
      </c>
      <c r="AG30" s="99">
        <f>SUM(AB30:AF30)</f>
        <v>42.021139753444025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538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538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9">
        <f>'Capex Model Category Index'!B32</f>
        <v>21</v>
      </c>
      <c r="C33" s="200" t="str">
        <f>'Capex Model Category Index'!C32</f>
        <v>Telemetry</v>
      </c>
      <c r="D33" s="52"/>
      <c r="E33" s="52"/>
      <c r="F33" s="55">
        <f t="shared" ref="F33:J40" si="37">Q33+AB33</f>
        <v>0.29915493139849142</v>
      </c>
      <c r="G33" s="54">
        <f t="shared" si="37"/>
        <v>0.28378138101883843</v>
      </c>
      <c r="H33" s="54">
        <f t="shared" si="37"/>
        <v>0.27909968345826441</v>
      </c>
      <c r="I33" s="54">
        <f t="shared" si="37"/>
        <v>0.28805359865549623</v>
      </c>
      <c r="J33" s="95">
        <f t="shared" si="37"/>
        <v>0.16859150393856401</v>
      </c>
      <c r="K33" s="52">
        <f>SUM(F33:J33)</f>
        <v>1.3186810984696544</v>
      </c>
      <c r="L33" s="32"/>
      <c r="M33" s="509">
        <f>B33</f>
        <v>21</v>
      </c>
      <c r="N33" s="200" t="str">
        <f>C33</f>
        <v>Telemetry</v>
      </c>
      <c r="O33" s="52"/>
      <c r="P33" s="52"/>
      <c r="Q33" s="55">
        <f>'Capex Category Summary (Comb)'!AO62</f>
        <v>0.26855178025337162</v>
      </c>
      <c r="R33" s="54">
        <f>'Capex Category Summary (Comb)'!AP62</f>
        <v>0.25834189287274273</v>
      </c>
      <c r="S33" s="54">
        <f>'Capex Category Summary (Comb)'!AQ62</f>
        <v>0.25352052103892708</v>
      </c>
      <c r="T33" s="54">
        <f>'Capex Category Summary (Comb)'!AR62</f>
        <v>0.25722270469363689</v>
      </c>
      <c r="U33" s="95">
        <f>'Capex Category Summary (Comb)'!AS62</f>
        <v>0.14434716269317308</v>
      </c>
      <c r="V33" s="52">
        <f>SUM(Q33:U33)</f>
        <v>1.1819840615518515</v>
      </c>
      <c r="W33" s="538"/>
      <c r="X33" s="509">
        <f>M33</f>
        <v>21</v>
      </c>
      <c r="Y33" s="200" t="str">
        <f>N33</f>
        <v>Telemetry</v>
      </c>
      <c r="Z33" s="52"/>
      <c r="AA33" s="52"/>
      <c r="AB33" s="55">
        <f>(Q33/Q$43)*Q$45</f>
        <v>3.0603151145119779E-2</v>
      </c>
      <c r="AC33" s="54">
        <f t="shared" ref="AC33:AF40" si="38">(R33/R$43)*R$45</f>
        <v>2.5439488146095698E-2</v>
      </c>
      <c r="AD33" s="54">
        <f t="shared" si="38"/>
        <v>2.5579162419337324E-2</v>
      </c>
      <c r="AE33" s="54">
        <f t="shared" si="38"/>
        <v>3.0830893961859319E-2</v>
      </c>
      <c r="AF33" s="95">
        <f t="shared" si="38"/>
        <v>2.4244341245390936E-2</v>
      </c>
      <c r="AG33" s="52">
        <f>SUM(AB33:AF33)</f>
        <v>0.13669703691780305</v>
      </c>
      <c r="AH33" s="32"/>
    </row>
    <row r="34" spans="1:46" ht="18" customHeight="1" x14ac:dyDescent="0.2">
      <c r="A34" s="32"/>
      <c r="B34" s="509">
        <f>'Capex Model Category Index'!B33</f>
        <v>22</v>
      </c>
      <c r="C34" s="200" t="str">
        <f>'Capex Model Category Index'!C33</f>
        <v>Regulators</v>
      </c>
      <c r="D34" s="52"/>
      <c r="E34" s="52"/>
      <c r="F34" s="55">
        <f t="shared" si="37"/>
        <v>2.6698800458788838</v>
      </c>
      <c r="G34" s="54">
        <f t="shared" si="37"/>
        <v>4.8431450696037928</v>
      </c>
      <c r="H34" s="54">
        <f t="shared" si="37"/>
        <v>10.901354938056429</v>
      </c>
      <c r="I34" s="54">
        <f t="shared" si="37"/>
        <v>6.3355897503243774</v>
      </c>
      <c r="J34" s="95">
        <f t="shared" si="37"/>
        <v>3.2136718418606263</v>
      </c>
      <c r="K34" s="52">
        <f t="shared" ref="K34:K40" si="39">SUM(F34:J34)</f>
        <v>27.96364164572411</v>
      </c>
      <c r="L34" s="32"/>
      <c r="M34" s="509">
        <f t="shared" ref="M34:N40" si="40">B34</f>
        <v>22</v>
      </c>
      <c r="N34" s="200" t="str">
        <f t="shared" si="40"/>
        <v>Regulators</v>
      </c>
      <c r="O34" s="52"/>
      <c r="P34" s="52"/>
      <c r="Q34" s="55">
        <f>'Capex Category Summary (Comb)'!AO63</f>
        <v>2.3967548722392329</v>
      </c>
      <c r="R34" s="54">
        <f>'Capex Category Summary (Comb)'!AP63</f>
        <v>4.4089829299113772</v>
      </c>
      <c r="S34" s="54">
        <f>'Capex Category Summary (Comb)'!AQ63</f>
        <v>9.9022583962895219</v>
      </c>
      <c r="T34" s="54">
        <f>'Capex Category Summary (Comb)'!AR63</f>
        <v>5.6574802016507473</v>
      </c>
      <c r="U34" s="95">
        <f>'Capex Category Summary (Comb)'!AS63</f>
        <v>2.7515289997565233</v>
      </c>
      <c r="V34" s="52">
        <f t="shared" ref="V34:V40" si="41">SUM(Q34:U34)</f>
        <v>25.1170053998474</v>
      </c>
      <c r="W34" s="538"/>
      <c r="X34" s="509">
        <f t="shared" ref="X34:Y40" si="42">M34</f>
        <v>22</v>
      </c>
      <c r="Y34" s="200" t="str">
        <f t="shared" si="42"/>
        <v>Regulators</v>
      </c>
      <c r="Z34" s="52"/>
      <c r="AA34" s="52"/>
      <c r="AB34" s="55">
        <f t="shared" ref="AB34:AB40" si="43">(Q34/Q$43)*Q$45</f>
        <v>0.27312517363965089</v>
      </c>
      <c r="AC34" s="54">
        <f t="shared" si="38"/>
        <v>0.43416213969241546</v>
      </c>
      <c r="AD34" s="54">
        <f t="shared" si="38"/>
        <v>0.99909654176690688</v>
      </c>
      <c r="AE34" s="54">
        <f t="shared" si="38"/>
        <v>0.6781095486736306</v>
      </c>
      <c r="AF34" s="95">
        <f t="shared" si="38"/>
        <v>0.462142842104103</v>
      </c>
      <c r="AG34" s="52">
        <f t="shared" ref="AG34:AG40" si="44">SUM(AB34:AF34)</f>
        <v>2.8466362458767067</v>
      </c>
      <c r="AH34" s="32"/>
    </row>
    <row r="35" spans="1:46" ht="18" customHeight="1" x14ac:dyDescent="0.2">
      <c r="A35" s="32"/>
      <c r="B35" s="509">
        <f>'Capex Model Category Index'!B34</f>
        <v>23</v>
      </c>
      <c r="C35" s="200" t="str">
        <f>'Capex Model Category Index'!C34</f>
        <v>Information Technology</v>
      </c>
      <c r="D35" s="52"/>
      <c r="E35" s="52"/>
      <c r="F35" s="55">
        <f t="shared" si="37"/>
        <v>12.678864318214487</v>
      </c>
      <c r="G35" s="54">
        <f t="shared" si="37"/>
        <v>26.404829258563026</v>
      </c>
      <c r="H35" s="54">
        <f t="shared" si="37"/>
        <v>18.121304124799082</v>
      </c>
      <c r="I35" s="54">
        <f t="shared" si="37"/>
        <v>5.915749829106641</v>
      </c>
      <c r="J35" s="95">
        <f t="shared" si="37"/>
        <v>7.2696680112344518</v>
      </c>
      <c r="K35" s="52">
        <f t="shared" si="39"/>
        <v>70.39041554191769</v>
      </c>
      <c r="L35" s="32"/>
      <c r="M35" s="509">
        <f t="shared" si="40"/>
        <v>23</v>
      </c>
      <c r="N35" s="200" t="str">
        <f t="shared" si="40"/>
        <v>Information Technology</v>
      </c>
      <c r="O35" s="52"/>
      <c r="P35" s="52"/>
      <c r="Q35" s="55">
        <f>'Capex Category Summary (Comb)'!AO64</f>
        <v>11.38183338088413</v>
      </c>
      <c r="R35" s="54">
        <f>'Capex Category Summary (Comb)'!AP64</f>
        <v>24.037777063273641</v>
      </c>
      <c r="S35" s="54">
        <f>'Capex Category Summary (Comb)'!AQ64</f>
        <v>16.460507610396164</v>
      </c>
      <c r="T35" s="54">
        <f>'Capex Category Summary (Comb)'!AR64</f>
        <v>5.2825765011656669</v>
      </c>
      <c r="U35" s="95">
        <f>'Capex Category Summary (Comb)'!AS64</f>
        <v>6.2242516771509937</v>
      </c>
      <c r="V35" s="52">
        <f t="shared" si="41"/>
        <v>63.386946232870592</v>
      </c>
      <c r="W35" s="538"/>
      <c r="X35" s="509">
        <f t="shared" si="42"/>
        <v>23</v>
      </c>
      <c r="Y35" s="200" t="str">
        <f t="shared" si="42"/>
        <v>Information Technology</v>
      </c>
      <c r="Z35" s="52"/>
      <c r="AA35" s="52"/>
      <c r="AB35" s="55">
        <f t="shared" si="43"/>
        <v>1.2970309373303572</v>
      </c>
      <c r="AC35" s="54">
        <f t="shared" si="38"/>
        <v>2.3670521952893848</v>
      </c>
      <c r="AD35" s="54">
        <f t="shared" si="38"/>
        <v>1.6607965144029173</v>
      </c>
      <c r="AE35" s="54">
        <f t="shared" si="38"/>
        <v>0.63317332794097414</v>
      </c>
      <c r="AF35" s="95">
        <f t="shared" si="38"/>
        <v>1.0454163340834584</v>
      </c>
      <c r="AG35" s="52">
        <f t="shared" si="44"/>
        <v>7.0034693090470919</v>
      </c>
      <c r="AH35" s="32"/>
    </row>
    <row r="36" spans="1:46" ht="18" customHeight="1" x14ac:dyDescent="0.2">
      <c r="A36" s="32"/>
      <c r="B36" s="509">
        <f>'Capex Model Category Index'!B35</f>
        <v>24</v>
      </c>
      <c r="C36" s="200" t="str">
        <f>'Capex Model Category Index'!C35</f>
        <v>Other Distribution System</v>
      </c>
      <c r="D36" s="52"/>
      <c r="E36" s="52"/>
      <c r="F36" s="55">
        <f t="shared" si="37"/>
        <v>0.652014114453219</v>
      </c>
      <c r="G36" s="54">
        <f t="shared" si="37"/>
        <v>0.3941593434333362</v>
      </c>
      <c r="H36" s="54">
        <f t="shared" si="37"/>
        <v>0.37985880228394958</v>
      </c>
      <c r="I36" s="54">
        <f t="shared" si="37"/>
        <v>0.38284292760130723</v>
      </c>
      <c r="J36" s="95">
        <f t="shared" si="37"/>
        <v>0.4023151212692207</v>
      </c>
      <c r="K36" s="52">
        <f t="shared" si="39"/>
        <v>2.2111903090410325</v>
      </c>
      <c r="L36" s="32"/>
      <c r="M36" s="509">
        <f t="shared" si="40"/>
        <v>24</v>
      </c>
      <c r="N36" s="200" t="str">
        <f t="shared" si="40"/>
        <v>Other Distribution System</v>
      </c>
      <c r="O36" s="52"/>
      <c r="P36" s="52"/>
      <c r="Q36" s="55">
        <f>'Capex Category Summary (Comb)'!AO65</f>
        <v>0.58531393872793958</v>
      </c>
      <c r="R36" s="54">
        <f>'Capex Category Summary (Comb)'!AP65</f>
        <v>0.35882505931312614</v>
      </c>
      <c r="S36" s="54">
        <f>'Capex Category Summary (Comb)'!AQ65</f>
        <v>0.34504518343766</v>
      </c>
      <c r="T36" s="54">
        <f>'Capex Category Summary (Comb)'!AR65</f>
        <v>0.34186656153604517</v>
      </c>
      <c r="U36" s="95">
        <f>'Capex Category Summary (Comb)'!AS65</f>
        <v>0.3444600997505432</v>
      </c>
      <c r="V36" s="52">
        <f t="shared" si="41"/>
        <v>1.9755108427653141</v>
      </c>
      <c r="W36" s="538"/>
      <c r="X36" s="509">
        <f t="shared" si="42"/>
        <v>24</v>
      </c>
      <c r="Y36" s="200" t="str">
        <f t="shared" si="42"/>
        <v>Other Distribution System</v>
      </c>
      <c r="Z36" s="52"/>
      <c r="AA36" s="52"/>
      <c r="AB36" s="55">
        <f t="shared" si="43"/>
        <v>6.670017572527942E-2</v>
      </c>
      <c r="AC36" s="54">
        <f t="shared" si="38"/>
        <v>3.5334284120210044E-2</v>
      </c>
      <c r="AD36" s="54">
        <f t="shared" si="38"/>
        <v>3.4813618846289578E-2</v>
      </c>
      <c r="AE36" s="54">
        <f t="shared" si="38"/>
        <v>4.0976366065262046E-2</v>
      </c>
      <c r="AF36" s="95">
        <f t="shared" si="38"/>
        <v>5.7855021518677503E-2</v>
      </c>
      <c r="AG36" s="52">
        <f t="shared" si="44"/>
        <v>0.23567946627571856</v>
      </c>
      <c r="AH36" s="32"/>
    </row>
    <row r="37" spans="1:46" ht="18" customHeight="1" x14ac:dyDescent="0.2">
      <c r="A37" s="32"/>
      <c r="B37" s="509">
        <f>'Capex Model Category Index'!B36</f>
        <v>25</v>
      </c>
      <c r="C37" s="200" t="str">
        <f>'Capex Model Category Index'!C36</f>
        <v>Other Non-Distribution System</v>
      </c>
      <c r="D37" s="52"/>
      <c r="E37" s="52"/>
      <c r="F37" s="55">
        <f t="shared" si="37"/>
        <v>1.8728303597125486</v>
      </c>
      <c r="G37" s="54">
        <f t="shared" si="37"/>
        <v>1.8061929281482449</v>
      </c>
      <c r="H37" s="54">
        <f t="shared" si="37"/>
        <v>1.3627322280517578</v>
      </c>
      <c r="I37" s="54">
        <f t="shared" si="37"/>
        <v>2.460145888557137</v>
      </c>
      <c r="J37" s="95">
        <f t="shared" si="37"/>
        <v>1.1473925375962704</v>
      </c>
      <c r="K37" s="52">
        <f t="shared" si="39"/>
        <v>8.6492939420659596</v>
      </c>
      <c r="L37" s="32"/>
      <c r="M37" s="509">
        <f t="shared" si="40"/>
        <v>25</v>
      </c>
      <c r="N37" s="200" t="str">
        <f t="shared" si="40"/>
        <v>Other Non-Distribution System</v>
      </c>
      <c r="O37" s="52"/>
      <c r="P37" s="52"/>
      <c r="Q37" s="55">
        <f>'Capex Category Summary (Comb)'!AO66</f>
        <v>1.6812423076636724</v>
      </c>
      <c r="R37" s="54">
        <f>'Capex Category Summary (Comb)'!AP66</f>
        <v>1.6442773598321583</v>
      </c>
      <c r="S37" s="54">
        <f>'Capex Category Summary (Comb)'!AQ66</f>
        <v>1.2378393992119363</v>
      </c>
      <c r="T37" s="54">
        <f>'Capex Category Summary (Comb)'!AR66</f>
        <v>2.1968320560800016</v>
      </c>
      <c r="U37" s="95">
        <f>'Capex Category Summary (Comb)'!AS66</f>
        <v>0.98239148135066001</v>
      </c>
      <c r="V37" s="52">
        <f t="shared" si="41"/>
        <v>7.7425826041384287</v>
      </c>
      <c r="W37" s="538"/>
      <c r="X37" s="509">
        <f t="shared" si="42"/>
        <v>25</v>
      </c>
      <c r="Y37" s="200" t="str">
        <f t="shared" si="42"/>
        <v>Other Non-Distribution System</v>
      </c>
      <c r="Z37" s="52"/>
      <c r="AA37" s="52"/>
      <c r="AB37" s="55">
        <f t="shared" si="43"/>
        <v>0.19158805204887625</v>
      </c>
      <c r="AC37" s="54">
        <f t="shared" si="38"/>
        <v>0.16191556831608664</v>
      </c>
      <c r="AD37" s="54">
        <f t="shared" si="38"/>
        <v>0.12489282883982136</v>
      </c>
      <c r="AE37" s="54">
        <f t="shared" si="38"/>
        <v>0.26331383247713519</v>
      </c>
      <c r="AF37" s="95">
        <f t="shared" si="38"/>
        <v>0.16500105624561029</v>
      </c>
      <c r="AG37" s="52">
        <f t="shared" si="44"/>
        <v>0.90671133792752978</v>
      </c>
      <c r="AH37" s="32"/>
    </row>
    <row r="38" spans="1:46" ht="18" customHeight="1" x14ac:dyDescent="0.2">
      <c r="A38" s="32"/>
      <c r="B38" s="509">
        <f>'Capex Model Category Index'!B37</f>
        <v>26</v>
      </c>
      <c r="C38" s="200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9">
        <f t="shared" si="40"/>
        <v>26</v>
      </c>
      <c r="N38" s="200" t="str">
        <f t="shared" si="40"/>
        <v>Large Consumers</v>
      </c>
      <c r="O38" s="52"/>
      <c r="P38" s="52"/>
      <c r="Q38" s="55">
        <f>'Capex Category Summary (Comb)'!AO67</f>
        <v>0</v>
      </c>
      <c r="R38" s="54">
        <f>'Capex Category Summary (Comb)'!AP67</f>
        <v>0</v>
      </c>
      <c r="S38" s="54">
        <f>'Capex Category Summary (Comb)'!AQ67</f>
        <v>0</v>
      </c>
      <c r="T38" s="54">
        <f>'Capex Category Summary (Comb)'!AR67</f>
        <v>0</v>
      </c>
      <c r="U38" s="95">
        <f>'Capex Category Summary (Comb)'!AS67</f>
        <v>0</v>
      </c>
      <c r="V38" s="52">
        <f t="shared" si="41"/>
        <v>0</v>
      </c>
      <c r="W38" s="538"/>
      <c r="X38" s="509">
        <f t="shared" si="42"/>
        <v>26</v>
      </c>
      <c r="Y38" s="200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9">
        <f>'Capex Model Category Index'!B38</f>
        <v>27</v>
      </c>
      <c r="C39" s="200" t="str">
        <f>'Capex Model Category Index'!C38</f>
        <v>Mains Augmentation</v>
      </c>
      <c r="D39" s="52"/>
      <c r="E39" s="52"/>
      <c r="F39" s="55">
        <f t="shared" si="37"/>
        <v>6.2941679005309457</v>
      </c>
      <c r="G39" s="54">
        <f t="shared" si="37"/>
        <v>10.197649604797574</v>
      </c>
      <c r="H39" s="54">
        <f t="shared" si="37"/>
        <v>8.1270027439001051</v>
      </c>
      <c r="I39" s="54">
        <f t="shared" si="37"/>
        <v>3.9009897586811904</v>
      </c>
      <c r="J39" s="95">
        <f t="shared" si="37"/>
        <v>2.5458529983240714</v>
      </c>
      <c r="K39" s="52">
        <f t="shared" si="39"/>
        <v>31.065663006233891</v>
      </c>
      <c r="L39" s="32"/>
      <c r="M39" s="509">
        <f t="shared" si="40"/>
        <v>27</v>
      </c>
      <c r="N39" s="200" t="str">
        <f t="shared" si="40"/>
        <v>Mains Augmentation</v>
      </c>
      <c r="O39" s="52"/>
      <c r="P39" s="52"/>
      <c r="Q39" s="55">
        <f>'Capex Category Summary (Comb)'!AO68</f>
        <v>5.6502829052469226</v>
      </c>
      <c r="R39" s="54">
        <f>'Capex Category Summary (Comb)'!AP68</f>
        <v>9.2834846750622297</v>
      </c>
      <c r="S39" s="54">
        <f>'Capex Category Summary (Comb)'!AQ68</f>
        <v>7.3821723643281878</v>
      </c>
      <c r="T39" s="54">
        <f>'Capex Category Summary (Comb)'!AR68</f>
        <v>3.4834598192616881</v>
      </c>
      <c r="U39" s="95">
        <f>'Capex Category Summary (Comb)'!AS68</f>
        <v>2.179746003546549</v>
      </c>
      <c r="V39" s="52">
        <f t="shared" si="41"/>
        <v>27.979145767445576</v>
      </c>
      <c r="W39" s="538"/>
      <c r="X39" s="509">
        <f t="shared" si="42"/>
        <v>27</v>
      </c>
      <c r="Y39" s="200" t="str">
        <f t="shared" si="42"/>
        <v>Mains Augmentation</v>
      </c>
      <c r="Z39" s="52"/>
      <c r="AA39" s="52"/>
      <c r="AB39" s="55">
        <f t="shared" si="43"/>
        <v>0.64388499528402265</v>
      </c>
      <c r="AC39" s="54">
        <f t="shared" si="38"/>
        <v>0.91416492973534391</v>
      </c>
      <c r="AD39" s="54">
        <f t="shared" si="38"/>
        <v>0.74483037957191667</v>
      </c>
      <c r="AE39" s="54">
        <f t="shared" si="38"/>
        <v>0.41752993941950228</v>
      </c>
      <c r="AF39" s="95">
        <f t="shared" si="38"/>
        <v>0.36610699477752218</v>
      </c>
      <c r="AG39" s="52">
        <f t="shared" si="44"/>
        <v>3.0865172387883071</v>
      </c>
      <c r="AH39" s="32"/>
    </row>
    <row r="40" spans="1:46" ht="18" customHeight="1" x14ac:dyDescent="0.2">
      <c r="A40" s="32"/>
      <c r="B40" s="509">
        <f>'Capex Model Category Index'!B39</f>
        <v>28</v>
      </c>
      <c r="C40" s="200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9">
        <f t="shared" si="40"/>
        <v>28</v>
      </c>
      <c r="N40" s="200" t="str">
        <f t="shared" si="40"/>
        <v>Growth New Areas</v>
      </c>
      <c r="O40" s="52"/>
      <c r="P40" s="52"/>
      <c r="Q40" s="55">
        <f>'Capex Category Summary (Comb)'!AO69</f>
        <v>0</v>
      </c>
      <c r="R40" s="54">
        <f>'Capex Category Summary (Comb)'!AP69</f>
        <v>0</v>
      </c>
      <c r="S40" s="54">
        <f>'Capex Category Summary (Comb)'!AQ69</f>
        <v>0</v>
      </c>
      <c r="T40" s="54">
        <f>'Capex Category Summary (Comb)'!AR69</f>
        <v>0</v>
      </c>
      <c r="U40" s="95">
        <f>'Capex Category Summary (Comb)'!AS69</f>
        <v>0</v>
      </c>
      <c r="V40" s="52">
        <f t="shared" si="41"/>
        <v>0</v>
      </c>
      <c r="W40" s="538"/>
      <c r="X40" s="509">
        <f t="shared" si="42"/>
        <v>28</v>
      </c>
      <c r="Y40" s="200" t="str">
        <f t="shared" si="42"/>
        <v>Growth New Areas</v>
      </c>
      <c r="Z40" s="52"/>
      <c r="AA40" s="52"/>
      <c r="AB40" s="134">
        <f t="shared" si="43"/>
        <v>0</v>
      </c>
      <c r="AC40" s="133">
        <f t="shared" si="38"/>
        <v>0</v>
      </c>
      <c r="AD40" s="133">
        <f t="shared" si="38"/>
        <v>0</v>
      </c>
      <c r="AE40" s="133">
        <f t="shared" si="38"/>
        <v>0</v>
      </c>
      <c r="AF40" s="135">
        <f t="shared" si="38"/>
        <v>0</v>
      </c>
      <c r="AG40" s="52">
        <f t="shared" si="44"/>
        <v>0</v>
      </c>
      <c r="AH40" s="32"/>
    </row>
    <row r="41" spans="1:46" s="326" customFormat="1" ht="18" customHeight="1" thickBot="1" x14ac:dyDescent="0.25">
      <c r="A41" s="292"/>
      <c r="B41" s="98"/>
      <c r="C41" s="98" t="s">
        <v>46</v>
      </c>
      <c r="D41" s="99"/>
      <c r="E41" s="99"/>
      <c r="F41" s="100">
        <f>SUM(F33:F40)</f>
        <v>24.466911670188573</v>
      </c>
      <c r="G41" s="99">
        <f t="shared" ref="G41:J41" si="45">SUM(G33:G40)</f>
        <v>43.929757585564815</v>
      </c>
      <c r="H41" s="99">
        <f t="shared" si="45"/>
        <v>39.171352520549583</v>
      </c>
      <c r="I41" s="99">
        <f t="shared" si="45"/>
        <v>19.283371752926151</v>
      </c>
      <c r="J41" s="101">
        <f t="shared" si="45"/>
        <v>14.747492014223205</v>
      </c>
      <c r="K41" s="99">
        <f>SUM(F41:J41)</f>
        <v>141.59888554345233</v>
      </c>
      <c r="L41" s="292"/>
      <c r="M41" s="98"/>
      <c r="N41" s="98" t="s">
        <v>46</v>
      </c>
      <c r="O41" s="99"/>
      <c r="P41" s="99"/>
      <c r="Q41" s="100">
        <f>SUM(Q33:Q40)</f>
        <v>21.963979185015269</v>
      </c>
      <c r="R41" s="99">
        <f t="shared" ref="R41:U41" si="46">SUM(R33:R40)</f>
        <v>39.99168898026528</v>
      </c>
      <c r="S41" s="99">
        <f t="shared" si="46"/>
        <v>35.581343474702393</v>
      </c>
      <c r="T41" s="99">
        <f t="shared" si="46"/>
        <v>17.219437844387787</v>
      </c>
      <c r="U41" s="101">
        <f t="shared" si="46"/>
        <v>12.626725424248443</v>
      </c>
      <c r="V41" s="99">
        <f>SUM(Q41:U41)</f>
        <v>127.38317490861918</v>
      </c>
      <c r="W41" s="538"/>
      <c r="X41" s="98"/>
      <c r="Y41" s="98" t="s">
        <v>46</v>
      </c>
      <c r="Z41" s="99"/>
      <c r="AA41" s="99"/>
      <c r="AB41" s="145">
        <f>SUM(AB33:AB40)</f>
        <v>2.5029324851733064</v>
      </c>
      <c r="AC41" s="146">
        <f t="shared" ref="AC41:AF41" si="47">SUM(AC33:AC40)</f>
        <v>3.9380686052995366</v>
      </c>
      <c r="AD41" s="146">
        <f t="shared" si="47"/>
        <v>3.5900090458471894</v>
      </c>
      <c r="AE41" s="146">
        <f t="shared" si="47"/>
        <v>2.0639339085383637</v>
      </c>
      <c r="AF41" s="303">
        <f t="shared" si="47"/>
        <v>2.1207665899747621</v>
      </c>
      <c r="AG41" s="99">
        <f>SUM(AB41:AF41)</f>
        <v>14.215710634833158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 t="s">
        <v>383</v>
      </c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51" t="s">
        <v>235</v>
      </c>
      <c r="D43" s="99"/>
      <c r="E43" s="99"/>
      <c r="F43" s="100">
        <f>F30+F41</f>
        <v>110.20152161271238</v>
      </c>
      <c r="G43" s="99">
        <f t="shared" ref="G43:J43" si="48">G30+G41</f>
        <v>130.09879497358153</v>
      </c>
      <c r="H43" s="99">
        <f t="shared" si="48"/>
        <v>126.4859736660535</v>
      </c>
      <c r="I43" s="99">
        <f t="shared" si="48"/>
        <v>104.23792602856776</v>
      </c>
      <c r="J43" s="101">
        <f t="shared" si="48"/>
        <v>73.374606508592706</v>
      </c>
      <c r="K43" s="99">
        <f>SUM(F43:J43)</f>
        <v>544.3988227895079</v>
      </c>
      <c r="L43" s="32"/>
      <c r="M43" s="98"/>
      <c r="N43" s="151" t="s">
        <v>234</v>
      </c>
      <c r="O43" s="99"/>
      <c r="P43" s="99"/>
      <c r="Q43" s="100">
        <f>Q30+Q41</f>
        <v>98.928052689535463</v>
      </c>
      <c r="R43" s="99">
        <f t="shared" ref="R43:U43" si="49">R30+R41</f>
        <v>118.43613148005213</v>
      </c>
      <c r="S43" s="99">
        <f t="shared" si="49"/>
        <v>114.89368081898611</v>
      </c>
      <c r="T43" s="99">
        <f t="shared" si="49"/>
        <v>93.081153611242542</v>
      </c>
      <c r="U43" s="101">
        <f t="shared" si="49"/>
        <v>62.822953801414435</v>
      </c>
      <c r="V43" s="99">
        <f>SUM(Q43:U43)</f>
        <v>488.16197240123068</v>
      </c>
      <c r="W43" s="106"/>
      <c r="X43" s="98"/>
      <c r="Y43" s="151" t="s">
        <v>200</v>
      </c>
      <c r="Z43" s="99"/>
      <c r="AA43" s="99"/>
      <c r="AB43" s="100">
        <f>AB30+AB41</f>
        <v>11.273468923176939</v>
      </c>
      <c r="AC43" s="99">
        <f t="shared" ref="AC43:AF43" si="50">AC30+AC41</f>
        <v>11.662663493529388</v>
      </c>
      <c r="AD43" s="99">
        <f t="shared" si="50"/>
        <v>11.59229284706737</v>
      </c>
      <c r="AE43" s="99">
        <f t="shared" si="50"/>
        <v>11.156772417325215</v>
      </c>
      <c r="AF43" s="101">
        <f t="shared" si="50"/>
        <v>10.551652707178267</v>
      </c>
      <c r="AG43" s="99">
        <f>SUM(AB43:AF43)</f>
        <v>56.236850388277176</v>
      </c>
      <c r="AH43" s="32"/>
    </row>
    <row r="44" spans="1:46" ht="15" x14ac:dyDescent="0.25">
      <c r="A44" s="32"/>
      <c r="B44" s="308"/>
      <c r="C44" s="308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308" t="s">
        <v>11</v>
      </c>
      <c r="O44" s="510"/>
      <c r="P44" s="510"/>
      <c r="Q44" s="50">
        <f>Q43-'Capex Category Summary (Comb)'!AO76</f>
        <v>0</v>
      </c>
      <c r="R44" s="50">
        <f>R43-'Capex Category Summary (Comb)'!AP76</f>
        <v>0</v>
      </c>
      <c r="S44" s="50">
        <f>S43-'Capex Category Summary (Comb)'!AQ76</f>
        <v>0</v>
      </c>
      <c r="T44" s="50">
        <f>T43-'Capex Category Summary (Comb)'!AR76</f>
        <v>0</v>
      </c>
      <c r="U44" s="50">
        <f>U43-'Capex Category Summary (Comb)'!AS76</f>
        <v>0</v>
      </c>
      <c r="V44" s="50">
        <f>V43-'Capex Category Summary (Comb)'!AT76</f>
        <v>0</v>
      </c>
      <c r="W44" s="106"/>
      <c r="X44" s="105"/>
      <c r="Y44" s="455" t="s">
        <v>11</v>
      </c>
      <c r="Z44" s="456"/>
      <c r="AA44" s="456"/>
      <c r="AB44" s="456">
        <f>AB43-Q45</f>
        <v>0</v>
      </c>
      <c r="AC44" s="456">
        <f t="shared" ref="AC44:AG44" si="51">AC43-R45</f>
        <v>0</v>
      </c>
      <c r="AD44" s="456">
        <f t="shared" si="51"/>
        <v>0</v>
      </c>
      <c r="AE44" s="456">
        <f t="shared" si="51"/>
        <v>0</v>
      </c>
      <c r="AF44" s="456">
        <f t="shared" si="51"/>
        <v>0</v>
      </c>
      <c r="AG44" s="456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51" t="s">
        <v>61</v>
      </c>
      <c r="O45" s="99"/>
      <c r="P45" s="99"/>
      <c r="Q45" s="100">
        <f>Overheads!C51+Overheads!O51</f>
        <v>11.273468923176939</v>
      </c>
      <c r="R45" s="99">
        <f>Overheads!D51+Overheads!P51</f>
        <v>11.66266349352939</v>
      </c>
      <c r="S45" s="99">
        <f>Overheads!E51+Overheads!Q51</f>
        <v>11.59229284706737</v>
      </c>
      <c r="T45" s="99">
        <f>Overheads!F51+Overheads!R51</f>
        <v>11.156772417325216</v>
      </c>
      <c r="U45" s="101">
        <f>Overheads!G51+Overheads!S51</f>
        <v>10.551652707178267</v>
      </c>
      <c r="V45" s="99">
        <f>SUM(Q45:U45)</f>
        <v>56.236850388277176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6" customFormat="1" ht="18.75" customHeight="1" thickBot="1" x14ac:dyDescent="0.2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98"/>
      <c r="N47" s="151" t="s">
        <v>235</v>
      </c>
      <c r="O47" s="99"/>
      <c r="P47" s="99"/>
      <c r="Q47" s="100">
        <f>Q30+Q41+Q45</f>
        <v>110.2015216127124</v>
      </c>
      <c r="R47" s="99">
        <f t="shared" ref="R47:U47" si="52">R30+R41+R45</f>
        <v>130.09879497358151</v>
      </c>
      <c r="S47" s="99">
        <f t="shared" si="52"/>
        <v>126.48597366605348</v>
      </c>
      <c r="T47" s="99">
        <f t="shared" si="52"/>
        <v>104.23792602856776</v>
      </c>
      <c r="U47" s="101">
        <f t="shared" si="52"/>
        <v>73.374606508592706</v>
      </c>
      <c r="V47" s="99">
        <f>SUM(Q47:U47)</f>
        <v>544.3988227895079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308" t="s">
        <v>11</v>
      </c>
      <c r="O48" s="510"/>
      <c r="P48" s="510"/>
      <c r="Q48" s="50">
        <f>Q47-'Consolidated Summary (Comb)'!G52</f>
        <v>0</v>
      </c>
      <c r="R48" s="50">
        <f>R47-'Consolidated Summary (Comb)'!H52</f>
        <v>0</v>
      </c>
      <c r="S48" s="50">
        <f>S47-'Consolidated Summary (Comb)'!I52</f>
        <v>0</v>
      </c>
      <c r="T48" s="50">
        <f>T47-'Consolidated Summary (Comb)'!J52</f>
        <v>0</v>
      </c>
      <c r="U48" s="50">
        <f>U47-'Consolidated Summary (Comb)'!K52</f>
        <v>0</v>
      </c>
      <c r="V48" s="50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activeCell="B2" sqref="B2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3" t="s">
        <v>115</v>
      </c>
      <c r="C2" s="356"/>
      <c r="D2" s="356"/>
      <c r="E2" s="356"/>
      <c r="F2" s="344"/>
      <c r="G2" s="344"/>
      <c r="H2" s="344"/>
      <c r="I2" s="344"/>
      <c r="J2" s="344"/>
      <c r="K2" s="344"/>
      <c r="L2" s="353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322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75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7" t="s">
        <v>105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7" t="s">
        <v>106</v>
      </c>
      <c r="E8" s="471"/>
      <c r="F8" s="363"/>
      <c r="G8" s="55">
        <f>'Capex Category Summary (Vic)'!AD25+'Capex Category Summary (Vic)'!AD31</f>
        <v>34.689807519554698</v>
      </c>
      <c r="H8" s="54">
        <f>'Capex Category Summary (Vic)'!AE25+'Capex Category Summary (Vic)'!AE31</f>
        <v>36.618845679554695</v>
      </c>
      <c r="I8" s="54">
        <f>'Capex Category Summary (Vic)'!AF25+'Capex Category Summary (Vic)'!AF31</f>
        <v>36.618845679554695</v>
      </c>
      <c r="J8" s="54">
        <f>'Capex Category Summary (Vic)'!AG25+'Capex Category Summary (Vic)'!AG31</f>
        <v>34.330207519554705</v>
      </c>
      <c r="K8" s="95">
        <f>'Capex Category Summary (Vic)'!AH25+'Capex Category Summary (Vic)'!AH31</f>
        <v>8.3931570632764867</v>
      </c>
      <c r="L8" s="52">
        <f>SUM(G8:K8)</f>
        <v>150.65086346149525</v>
      </c>
      <c r="M8" s="32"/>
    </row>
    <row r="9" spans="1:13" ht="18" customHeight="1" x14ac:dyDescent="0.2">
      <c r="A9" s="32"/>
      <c r="B9" s="149" t="s">
        <v>49</v>
      </c>
      <c r="C9" s="45"/>
      <c r="D9" s="458" t="s">
        <v>71</v>
      </c>
      <c r="E9" s="471"/>
      <c r="F9" s="363"/>
      <c r="G9" s="55">
        <f>'Capex Category Summary (Vic)'!AD12</f>
        <v>7.1562790243046299</v>
      </c>
      <c r="H9" s="54">
        <f>'Capex Category Summary (Vic)'!AE12</f>
        <v>7.1562790243046299</v>
      </c>
      <c r="I9" s="54">
        <f>'Capex Category Summary (Vic)'!AF12</f>
        <v>7.1562790243046299</v>
      </c>
      <c r="J9" s="54">
        <f>'Capex Category Summary (Vic)'!AG12</f>
        <v>4.8047598044301356</v>
      </c>
      <c r="K9" s="95">
        <f>'Capex Category Summary (Vic)'!AH12</f>
        <v>4.8047598044301356</v>
      </c>
      <c r="L9" s="52">
        <f>SUM(G9:K9)</f>
        <v>31.07835668177416</v>
      </c>
      <c r="M9" s="32"/>
    </row>
    <row r="10" spans="1:13" ht="18" customHeight="1" x14ac:dyDescent="0.2">
      <c r="A10" s="32"/>
      <c r="B10" s="149" t="s">
        <v>50</v>
      </c>
      <c r="C10" s="45"/>
      <c r="D10" s="457" t="s">
        <v>106</v>
      </c>
      <c r="E10" s="471"/>
      <c r="F10" s="363"/>
      <c r="G10" s="55">
        <f>'Capex Category Summary (Vic)'!AD68</f>
        <v>5.6124999999999998</v>
      </c>
      <c r="H10" s="54">
        <f>'Capex Category Summary (Vic)'!AE68</f>
        <v>9.1690000000000005</v>
      </c>
      <c r="I10" s="54">
        <f>'Capex Category Summary (Vic)'!AF68</f>
        <v>7.24</v>
      </c>
      <c r="J10" s="54">
        <f>'Capex Category Summary (Vic)'!AG68</f>
        <v>3.387</v>
      </c>
      <c r="K10" s="95">
        <f>'Capex Category Summary (Vic)'!AH68</f>
        <v>2.0990000000000002</v>
      </c>
      <c r="L10" s="52">
        <f t="shared" ref="L10:L13" si="0">SUM(G10:K10)</f>
        <v>27.507500000000004</v>
      </c>
      <c r="M10" s="32"/>
    </row>
    <row r="11" spans="1:13" ht="18" customHeight="1" x14ac:dyDescent="0.2">
      <c r="A11" s="32"/>
      <c r="B11" s="149" t="s">
        <v>1</v>
      </c>
      <c r="C11" s="45"/>
      <c r="D11" s="457" t="s">
        <v>1</v>
      </c>
      <c r="E11" s="471"/>
      <c r="F11" s="363"/>
      <c r="G11" s="55">
        <f>'Capex Category Summary (Vic)'!AD62</f>
        <v>0.26675599999999999</v>
      </c>
      <c r="H11" s="54">
        <f>'Capex Category Summary (Vic)'!AE62</f>
        <v>0.25515599999999999</v>
      </c>
      <c r="I11" s="54">
        <f>'Capex Category Summary (Vic)'!AF62</f>
        <v>0.248638</v>
      </c>
      <c r="J11" s="54">
        <f>'Capex Category Summary (Vic)'!AG62</f>
        <v>0.16209999999999999</v>
      </c>
      <c r="K11" s="95">
        <f>'Capex Category Summary (Vic)'!AH62</f>
        <v>0.13900000000000001</v>
      </c>
      <c r="L11" s="52">
        <f t="shared" si="0"/>
        <v>1.07165</v>
      </c>
      <c r="M11" s="32"/>
    </row>
    <row r="12" spans="1:13" ht="18" customHeight="1" x14ac:dyDescent="0.2">
      <c r="A12" s="32"/>
      <c r="B12" s="149" t="s">
        <v>52</v>
      </c>
      <c r="C12" s="45"/>
      <c r="D12" s="457" t="s">
        <v>2</v>
      </c>
      <c r="E12" s="471"/>
      <c r="F12" s="363"/>
      <c r="G12" s="55">
        <f>'Capex Category Summary (Vic)'!AD64</f>
        <v>10.924895270694799</v>
      </c>
      <c r="H12" s="54">
        <f>'Capex Category Summary (Vic)'!AE64</f>
        <v>22.941623531770439</v>
      </c>
      <c r="I12" s="54">
        <f>'Capex Category Summary (Vic)'!AF64</f>
        <v>15.599709349414304</v>
      </c>
      <c r="J12" s="54">
        <f>'Capex Category Summary (Vic)'!AG64</f>
        <v>4.9632835186954347</v>
      </c>
      <c r="K12" s="95">
        <f>'Capex Category Summary (Vic)'!AH64</f>
        <v>5.7917871278627011</v>
      </c>
      <c r="L12" s="52">
        <f t="shared" si="0"/>
        <v>60.221298798437672</v>
      </c>
      <c r="M12" s="32"/>
    </row>
    <row r="13" spans="1:13" ht="18" customHeight="1" x14ac:dyDescent="0.2">
      <c r="A13" s="32"/>
      <c r="B13" s="153" t="s">
        <v>53</v>
      </c>
      <c r="C13" s="45"/>
      <c r="D13" s="457"/>
      <c r="E13" s="471"/>
      <c r="F13" s="363"/>
      <c r="G13" s="55">
        <f>SUM(G14:G18)</f>
        <v>32.977244947170263</v>
      </c>
      <c r="H13" s="54">
        <f t="shared" ref="H13:K13" si="1">SUM(H14:H18)</f>
        <v>32.14833659146317</v>
      </c>
      <c r="I13" s="54">
        <f t="shared" si="1"/>
        <v>32.507414193778992</v>
      </c>
      <c r="J13" s="54">
        <f t="shared" si="1"/>
        <v>33.000366942667583</v>
      </c>
      <c r="K13" s="95">
        <f t="shared" si="1"/>
        <v>33.49370657360604</v>
      </c>
      <c r="L13" s="52">
        <f t="shared" si="0"/>
        <v>164.12706924868607</v>
      </c>
      <c r="M13" s="37"/>
    </row>
    <row r="14" spans="1:13" ht="18" customHeight="1" x14ac:dyDescent="0.2">
      <c r="A14" s="32"/>
      <c r="B14" s="45"/>
      <c r="C14" s="154" t="s">
        <v>54</v>
      </c>
      <c r="D14" s="459" t="s">
        <v>106</v>
      </c>
      <c r="E14" s="523"/>
      <c r="F14" s="467"/>
      <c r="G14" s="128">
        <f>'Capex Category Summary (Vic)'!AD39</f>
        <v>9.0852871839091076</v>
      </c>
      <c r="H14" s="129">
        <f>'Capex Category Summary (Vic)'!AE39</f>
        <v>8.8707469268015338</v>
      </c>
      <c r="I14" s="129">
        <f>'Capex Category Summary (Vic)'!AF39</f>
        <v>8.9674752923100378</v>
      </c>
      <c r="J14" s="129">
        <f>'Capex Category Summary (Vic)'!AG39</f>
        <v>9.0992970384280323</v>
      </c>
      <c r="K14" s="130">
        <f>'Capex Category Summary (Vic)'!AH39</f>
        <v>9.2312386285508019</v>
      </c>
      <c r="L14" s="127"/>
      <c r="M14" s="32"/>
    </row>
    <row r="15" spans="1:13" ht="18" customHeight="1" x14ac:dyDescent="0.2">
      <c r="A15" s="32"/>
      <c r="B15" s="45"/>
      <c r="C15" s="155" t="s">
        <v>55</v>
      </c>
      <c r="D15" s="460" t="s">
        <v>106</v>
      </c>
      <c r="E15" s="471"/>
      <c r="F15" s="470"/>
      <c r="G15" s="131">
        <f>'Capex Category Summary (Vic)'!AD55</f>
        <v>17.938920947675609</v>
      </c>
      <c r="H15" s="50">
        <f>'Capex Category Summary (Vic)'!AE55</f>
        <v>17.42449314536341</v>
      </c>
      <c r="I15" s="50">
        <f>'Capex Category Summary (Vic)'!AF55</f>
        <v>17.629922774539789</v>
      </c>
      <c r="J15" s="50">
        <f>'Capex Category Summary (Vic)'!AG55</f>
        <v>17.91639906654779</v>
      </c>
      <c r="K15" s="132">
        <f>'Capex Category Summary (Vic)'!AH55</f>
        <v>18.203024904834013</v>
      </c>
      <c r="L15" s="54"/>
      <c r="M15" s="32"/>
    </row>
    <row r="16" spans="1:13" ht="18" customHeight="1" x14ac:dyDescent="0.2">
      <c r="A16" s="32"/>
      <c r="B16" s="45"/>
      <c r="C16" s="155" t="s">
        <v>56</v>
      </c>
      <c r="D16" s="460" t="s">
        <v>71</v>
      </c>
      <c r="E16" s="471"/>
      <c r="F16" s="470"/>
      <c r="G16" s="131">
        <f>'Capex Category Summary (Vic)'!AD46</f>
        <v>5.9530368155855466</v>
      </c>
      <c r="H16" s="50">
        <f>'Capex Category Summary (Vic)'!AE46</f>
        <v>5.8530965192982247</v>
      </c>
      <c r="I16" s="50">
        <f>'Capex Category Summary (Vic)'!AF46</f>
        <v>5.9100161269291629</v>
      </c>
      <c r="J16" s="50">
        <f>'Capex Category Summary (Vic)'!AG46</f>
        <v>5.9846708376917608</v>
      </c>
      <c r="K16" s="132">
        <f>'Capex Category Summary (Vic)'!AH46</f>
        <v>6.0594430402212236</v>
      </c>
      <c r="L16" s="54"/>
      <c r="M16" s="32"/>
    </row>
    <row r="17" spans="1:13" ht="18" customHeight="1" x14ac:dyDescent="0.2">
      <c r="A17" s="32"/>
      <c r="B17" s="45"/>
      <c r="C17" s="155" t="s">
        <v>57</v>
      </c>
      <c r="D17" s="155"/>
      <c r="E17" s="471"/>
      <c r="F17" s="470"/>
      <c r="G17" s="131">
        <f>'Capex Category Summary (Vic)'!AD67</f>
        <v>0</v>
      </c>
      <c r="H17" s="50">
        <f>'Capex Category Summary (Vic)'!AE67</f>
        <v>0</v>
      </c>
      <c r="I17" s="50">
        <f>'Capex Category Summary (Vic)'!AF67</f>
        <v>0</v>
      </c>
      <c r="J17" s="50">
        <f>'Capex Category Summary (Vic)'!AG67</f>
        <v>0</v>
      </c>
      <c r="K17" s="132">
        <f>'Capex Category Summary (Vic)'!AH67</f>
        <v>0</v>
      </c>
      <c r="L17" s="54"/>
      <c r="M17" s="32"/>
    </row>
    <row r="18" spans="1:13" ht="18" customHeight="1" x14ac:dyDescent="0.2">
      <c r="A18" s="32"/>
      <c r="B18" s="156"/>
      <c r="C18" s="157" t="s">
        <v>58</v>
      </c>
      <c r="D18" s="157"/>
      <c r="E18" s="468"/>
      <c r="F18" s="469"/>
      <c r="G18" s="131">
        <f>'Capex Category Summary (Vic)'!AD69</f>
        <v>0</v>
      </c>
      <c r="H18" s="50">
        <f>'Capex Category Summary (Vic)'!AE69</f>
        <v>0</v>
      </c>
      <c r="I18" s="50">
        <f>'Capex Category Summary (Vic)'!AF69</f>
        <v>0</v>
      </c>
      <c r="J18" s="50">
        <f>'Capex Category Summary (Vic)'!AG69</f>
        <v>0</v>
      </c>
      <c r="K18" s="132">
        <f>'Capex Category Summary (Vic)'!AH69</f>
        <v>0</v>
      </c>
      <c r="L18" s="133"/>
      <c r="M18" s="32"/>
    </row>
    <row r="19" spans="1:13" ht="18" customHeight="1" x14ac:dyDescent="0.2">
      <c r="A19" s="32"/>
      <c r="B19" s="149" t="s">
        <v>100</v>
      </c>
      <c r="C19" s="45"/>
      <c r="D19" s="460" t="s">
        <v>100</v>
      </c>
      <c r="E19" s="471"/>
      <c r="F19" s="363"/>
      <c r="G19" s="142">
        <f>'Capex Category Summary (Vic)'!AD63+'Capex Category Summary (Vic)'!AD65+'Capex Category Summary (Vic)'!AD66</f>
        <v>4.5621279999999995</v>
      </c>
      <c r="H19" s="143">
        <f>'Capex Category Summary (Vic)'!AE63+'Capex Category Summary (Vic)'!AE65+'Capex Category Summary (Vic)'!AE66</f>
        <v>6.2300110000000002</v>
      </c>
      <c r="I19" s="143">
        <f>'Capex Category Summary (Vic)'!AF63+'Capex Category Summary (Vic)'!AF65+'Capex Category Summary (Vic)'!AF66</f>
        <v>11.160952</v>
      </c>
      <c r="J19" s="143">
        <f>'Capex Category Summary (Vic)'!AG63+'Capex Category Summary (Vic)'!AG65+'Capex Category Summary (Vic)'!AG66</f>
        <v>7.8792200000000001</v>
      </c>
      <c r="K19" s="144">
        <f>'Capex Category Summary (Vic)'!AH63+'Capex Category Summary (Vic)'!AH65+'Capex Category Summary (Vic)'!AH66</f>
        <v>3.9043019999999999</v>
      </c>
      <c r="L19" s="52">
        <f t="shared" ref="L19" si="2">SUM(G19:K19)</f>
        <v>33.736612999999998</v>
      </c>
      <c r="M19" s="32"/>
    </row>
    <row r="20" spans="1:13" ht="18" customHeight="1" thickBot="1" x14ac:dyDescent="0.25">
      <c r="A20" s="32"/>
      <c r="B20" s="151" t="s">
        <v>45</v>
      </c>
      <c r="C20" s="152"/>
      <c r="D20" s="152"/>
      <c r="E20" s="100"/>
      <c r="F20" s="99"/>
      <c r="G20" s="145">
        <f t="shared" ref="G20:K20" si="3">SUM(G8:G13,G19:G19)</f>
        <v>96.189610761724396</v>
      </c>
      <c r="H20" s="146">
        <f t="shared" si="3"/>
        <v>114.51925182709293</v>
      </c>
      <c r="I20" s="146">
        <f t="shared" si="3"/>
        <v>110.53183824705262</v>
      </c>
      <c r="J20" s="146">
        <f t="shared" si="3"/>
        <v>88.526937785347855</v>
      </c>
      <c r="K20" s="146">
        <f t="shared" si="3"/>
        <v>58.625712569175363</v>
      </c>
      <c r="L20" s="100">
        <f>SUM(G20:K20)</f>
        <v>468.39335119039322</v>
      </c>
      <c r="M20" s="32"/>
    </row>
    <row r="21" spans="1:13" x14ac:dyDescent="0.2">
      <c r="A21" s="32"/>
      <c r="B21" s="32"/>
      <c r="C21" s="66"/>
      <c r="D21" s="66"/>
      <c r="E21" s="66"/>
      <c r="F21" s="493"/>
      <c r="G21" s="519"/>
      <c r="H21" s="519"/>
      <c r="I21" s="519"/>
      <c r="J21" s="519"/>
      <c r="K21" s="519"/>
      <c r="L21" s="519"/>
      <c r="M21" s="32"/>
    </row>
    <row r="22" spans="1:13" ht="24" customHeight="1" x14ac:dyDescent="0.2">
      <c r="A22" s="32"/>
      <c r="B22" s="357" t="s">
        <v>195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2"/>
    </row>
    <row r="23" spans="1:13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3" ht="18" customHeight="1" x14ac:dyDescent="0.2">
      <c r="A24" s="32"/>
      <c r="B24" s="12" t="s">
        <v>48</v>
      </c>
      <c r="C24" s="45"/>
      <c r="D24" s="457" t="s">
        <v>106</v>
      </c>
      <c r="E24" s="55"/>
      <c r="F24" s="52"/>
      <c r="G24" s="55">
        <f>'Capex Category Summary (Vic)'!AO25+'Capex Category Summary (Vic)'!AO31</f>
        <v>34.914099179852663</v>
      </c>
      <c r="H24" s="54">
        <f>'Capex Category Summary (Vic)'!AP25+'Capex Category Summary (Vic)'!AP31</f>
        <v>37.054018438311445</v>
      </c>
      <c r="I24" s="54">
        <f>'Capex Category Summary (Vic)'!AQ25+'Capex Category Summary (Vic)'!AQ31</f>
        <v>37.30605002107329</v>
      </c>
      <c r="J24" s="54">
        <f>'Capex Category Summary (Vic)'!AR25+'Capex Category Summary (Vic)'!AR31</f>
        <v>35.307912158631311</v>
      </c>
      <c r="K24" s="95">
        <f>'Capex Category Summary (Vic)'!AS25+'Capex Category Summary (Vic)'!AS31</f>
        <v>8.7160317131088174</v>
      </c>
      <c r="L24" s="52">
        <f>SUM(G24:K24)</f>
        <v>153.29811151097752</v>
      </c>
      <c r="M24" s="32"/>
    </row>
    <row r="25" spans="1:13" ht="18" customHeight="1" x14ac:dyDescent="0.2">
      <c r="A25" s="32"/>
      <c r="B25" s="149" t="s">
        <v>49</v>
      </c>
      <c r="C25" s="45"/>
      <c r="D25" s="458" t="s">
        <v>71</v>
      </c>
      <c r="E25" s="542"/>
      <c r="F25" s="52"/>
      <c r="G25" s="55">
        <f>'Capex Category Summary (Vic)'!AO12</f>
        <v>7.1720083937707813</v>
      </c>
      <c r="H25" s="54">
        <f>'Capex Category Summary (Vic)'!AP12</f>
        <v>7.1681743582557962</v>
      </c>
      <c r="I25" s="54">
        <f>'Capex Category Summary (Vic)'!AQ12</f>
        <v>7.1848209950976969</v>
      </c>
      <c r="J25" s="54">
        <f>'Capex Category Summary (Vic)'!AR12</f>
        <v>4.9415966105509366</v>
      </c>
      <c r="K25" s="95">
        <f>'Capex Category Summary (Vic)'!AS12</f>
        <v>4.9895931308755044</v>
      </c>
      <c r="L25" s="52">
        <f>SUM(G25:K25)</f>
        <v>31.456193488550717</v>
      </c>
      <c r="M25" s="32"/>
    </row>
    <row r="26" spans="1:13" ht="18" customHeight="1" x14ac:dyDescent="0.2">
      <c r="A26" s="32"/>
      <c r="B26" s="149" t="s">
        <v>50</v>
      </c>
      <c r="C26" s="45"/>
      <c r="D26" s="457" t="s">
        <v>106</v>
      </c>
      <c r="E26" s="55"/>
      <c r="F26" s="52"/>
      <c r="G26" s="55">
        <f>'Capex Category Summary (Vic)'!AO68</f>
        <v>5.6502829052469226</v>
      </c>
      <c r="H26" s="54">
        <f>'Capex Category Summary (Vic)'!AP68</f>
        <v>9.2834846750622297</v>
      </c>
      <c r="I26" s="54">
        <f>'Capex Category Summary (Vic)'!AQ68</f>
        <v>7.3821723643281878</v>
      </c>
      <c r="J26" s="54">
        <f>'Capex Category Summary (Vic)'!AR68</f>
        <v>3.4834598192616881</v>
      </c>
      <c r="K26" s="95">
        <f>'Capex Category Summary (Vic)'!AS68</f>
        <v>2.179746003546549</v>
      </c>
      <c r="L26" s="52">
        <f t="shared" ref="L26:L29" si="4">SUM(G26:K26)</f>
        <v>27.979145767445576</v>
      </c>
      <c r="M26" s="32"/>
    </row>
    <row r="27" spans="1:13" ht="18" customHeight="1" x14ac:dyDescent="0.2">
      <c r="A27" s="32"/>
      <c r="B27" s="149" t="s">
        <v>1</v>
      </c>
      <c r="C27" s="45"/>
      <c r="D27" s="457" t="s">
        <v>1</v>
      </c>
      <c r="E27" s="55"/>
      <c r="F27" s="52"/>
      <c r="G27" s="55">
        <f>'Capex Category Summary (Vic)'!AO62</f>
        <v>0.26855178025337162</v>
      </c>
      <c r="H27" s="54">
        <f>'Capex Category Summary (Vic)'!AP62</f>
        <v>0.25834189287274273</v>
      </c>
      <c r="I27" s="54">
        <f>'Capex Category Summary (Vic)'!AQ62</f>
        <v>0.25352052103892708</v>
      </c>
      <c r="J27" s="54">
        <f>'Capex Category Summary (Vic)'!AR62</f>
        <v>0.16671651511730723</v>
      </c>
      <c r="K27" s="95">
        <f>'Capex Category Summary (Vic)'!AS62</f>
        <v>0.14434716269317308</v>
      </c>
      <c r="L27" s="52">
        <f t="shared" si="4"/>
        <v>1.0914778719755218</v>
      </c>
      <c r="M27" s="32"/>
    </row>
    <row r="28" spans="1:13" ht="18" customHeight="1" x14ac:dyDescent="0.2">
      <c r="A28" s="32"/>
      <c r="B28" s="149" t="s">
        <v>52</v>
      </c>
      <c r="C28" s="45"/>
      <c r="D28" s="457" t="s">
        <v>2</v>
      </c>
      <c r="E28" s="55"/>
      <c r="F28" s="52"/>
      <c r="G28" s="55">
        <f>'Capex Category Summary (Vic)'!AO64</f>
        <v>10.998440799932254</v>
      </c>
      <c r="H28" s="54">
        <f>'Capex Category Summary (Vic)'!AP64</f>
        <v>23.228073996972178</v>
      </c>
      <c r="I28" s="54">
        <f>'Capex Category Summary (Vic)'!AQ64</f>
        <v>15.906041885469383</v>
      </c>
      <c r="J28" s="54">
        <f>'Capex Category Summary (Vic)'!AR64</f>
        <v>5.1046349893650174</v>
      </c>
      <c r="K28" s="95">
        <f>'Capex Category Summary (Vic)'!AS64</f>
        <v>6.0145902074087978</v>
      </c>
      <c r="L28" s="52">
        <f t="shared" si="4"/>
        <v>61.251781879147629</v>
      </c>
      <c r="M28" s="32"/>
    </row>
    <row r="29" spans="1:13" ht="18" customHeight="1" x14ac:dyDescent="0.2">
      <c r="A29" s="32"/>
      <c r="B29" s="153" t="s">
        <v>53</v>
      </c>
      <c r="C29" s="45"/>
      <c r="D29" s="457"/>
      <c r="E29" s="55"/>
      <c r="F29" s="52"/>
      <c r="G29" s="55">
        <f>SUM(G30:G34)</f>
        <v>33.175359319396129</v>
      </c>
      <c r="H29" s="54">
        <f t="shared" ref="H29:K29" si="5">SUM(H30:H34)</f>
        <v>32.494554807697838</v>
      </c>
      <c r="I29" s="54">
        <f t="shared" si="5"/>
        <v>33.064986125566733</v>
      </c>
      <c r="J29" s="54">
        <f t="shared" si="5"/>
        <v>33.940198484108123</v>
      </c>
      <c r="K29" s="95">
        <f t="shared" si="5"/>
        <v>34.782169150918783</v>
      </c>
      <c r="L29" s="52">
        <f t="shared" si="4"/>
        <v>167.45726788768758</v>
      </c>
      <c r="M29" s="32"/>
    </row>
    <row r="30" spans="1:13" ht="18" customHeight="1" x14ac:dyDescent="0.2">
      <c r="A30" s="32"/>
      <c r="B30" s="45"/>
      <c r="C30" s="154" t="s">
        <v>54</v>
      </c>
      <c r="D30" s="459" t="s">
        <v>106</v>
      </c>
      <c r="E30" s="201"/>
      <c r="F30" s="127"/>
      <c r="G30" s="128">
        <f>'Capex Category Summary (Vic)'!AO39</f>
        <v>9.1464486172829567</v>
      </c>
      <c r="H30" s="129">
        <f>'Capex Category Summary (Vic)'!AP39</f>
        <v>8.9815075963919107</v>
      </c>
      <c r="I30" s="129">
        <f>'Capex Category Summary (Vic)'!AQ39</f>
        <v>9.1435702045147789</v>
      </c>
      <c r="J30" s="129">
        <f>'Capex Category Summary (Vic)'!AR39</f>
        <v>9.3584398042193477</v>
      </c>
      <c r="K30" s="130">
        <f>'Capex Category Summary (Vic)'!AS39</f>
        <v>9.5863532674455136</v>
      </c>
      <c r="L30" s="127"/>
      <c r="M30" s="32"/>
    </row>
    <row r="31" spans="1:13" ht="18" customHeight="1" x14ac:dyDescent="0.2">
      <c r="A31" s="32"/>
      <c r="B31" s="45"/>
      <c r="C31" s="155" t="s">
        <v>55</v>
      </c>
      <c r="D31" s="460" t="s">
        <v>106</v>
      </c>
      <c r="E31" s="55"/>
      <c r="F31" s="54"/>
      <c r="G31" s="131">
        <f>'Capex Category Summary (Vic)'!AO55</f>
        <v>18.059684341955887</v>
      </c>
      <c r="H31" s="50">
        <f>'Capex Category Summary (Vic)'!AP55</f>
        <v>17.642056394994881</v>
      </c>
      <c r="I31" s="50">
        <f>'Capex Category Summary (Vic)'!AQ55</f>
        <v>17.976122747437536</v>
      </c>
      <c r="J31" s="50">
        <f>'Capex Category Summary (Vic)'!AR55</f>
        <v>18.426647845933523</v>
      </c>
      <c r="K31" s="132">
        <f>'Capex Category Summary (Vic)'!AS55</f>
        <v>18.903273362920547</v>
      </c>
      <c r="L31" s="54"/>
      <c r="M31" s="32"/>
    </row>
    <row r="32" spans="1:13" ht="18" customHeight="1" x14ac:dyDescent="0.2">
      <c r="A32" s="32"/>
      <c r="B32" s="45"/>
      <c r="C32" s="155" t="s">
        <v>56</v>
      </c>
      <c r="D32" s="460" t="s">
        <v>71</v>
      </c>
      <c r="E32" s="55"/>
      <c r="F32" s="54"/>
      <c r="G32" s="131">
        <f>'Capex Category Summary (Vic)'!AO46</f>
        <v>5.9692263601572861</v>
      </c>
      <c r="H32" s="50">
        <f>'Capex Category Summary (Vic)'!AP46</f>
        <v>5.8709908163110427</v>
      </c>
      <c r="I32" s="50">
        <f>'Capex Category Summary (Vic)'!AQ46</f>
        <v>5.9452931736144166</v>
      </c>
      <c r="J32" s="50">
        <f>'Capex Category Summary (Vic)'!AR46</f>
        <v>6.1551108339552512</v>
      </c>
      <c r="K32" s="132">
        <f>'Capex Category Summary (Vic)'!AS46</f>
        <v>6.292542520552721</v>
      </c>
      <c r="L32" s="54"/>
      <c r="M32" s="32"/>
    </row>
    <row r="33" spans="1:13" ht="18" customHeight="1" x14ac:dyDescent="0.2">
      <c r="A33" s="32"/>
      <c r="B33" s="45"/>
      <c r="C33" s="155" t="s">
        <v>57</v>
      </c>
      <c r="D33" s="155"/>
      <c r="E33" s="55"/>
      <c r="F33" s="54"/>
      <c r="G33" s="131">
        <f>'Capex Category Summary (Vic)'!AO67</f>
        <v>0</v>
      </c>
      <c r="H33" s="50">
        <f>'Capex Category Summary (Vic)'!AP67</f>
        <v>0</v>
      </c>
      <c r="I33" s="50">
        <f>'Capex Category Summary (Vic)'!AQ67</f>
        <v>0</v>
      </c>
      <c r="J33" s="50">
        <f>'Capex Category Summary (Vic)'!AR67</f>
        <v>0</v>
      </c>
      <c r="K33" s="132">
        <f>'Capex Category Summary (Vic)'!AS67</f>
        <v>0</v>
      </c>
      <c r="L33" s="54"/>
      <c r="M33" s="32"/>
    </row>
    <row r="34" spans="1:13" ht="18" customHeight="1" x14ac:dyDescent="0.2">
      <c r="A34" s="32"/>
      <c r="B34" s="156"/>
      <c r="C34" s="157" t="s">
        <v>58</v>
      </c>
      <c r="D34" s="157"/>
      <c r="E34" s="134"/>
      <c r="F34" s="133"/>
      <c r="G34" s="131">
        <f>'Capex Category Summary (Vic)'!AO69</f>
        <v>0</v>
      </c>
      <c r="H34" s="50">
        <f>'Capex Category Summary (Vic)'!AP69</f>
        <v>0</v>
      </c>
      <c r="I34" s="50">
        <f>'Capex Category Summary (Vic)'!AQ69</f>
        <v>0</v>
      </c>
      <c r="J34" s="50">
        <f>'Capex Category Summary (Vic)'!AR69</f>
        <v>0</v>
      </c>
      <c r="K34" s="132">
        <f>'Capex Category Summary (Vic)'!AS69</f>
        <v>0</v>
      </c>
      <c r="L34" s="133"/>
      <c r="M34" s="32"/>
    </row>
    <row r="35" spans="1:13" ht="18" customHeight="1" x14ac:dyDescent="0.2">
      <c r="A35" s="32"/>
      <c r="B35" s="149" t="s">
        <v>100</v>
      </c>
      <c r="C35" s="45"/>
      <c r="D35" s="460" t="s">
        <v>100</v>
      </c>
      <c r="E35" s="55"/>
      <c r="F35" s="52"/>
      <c r="G35" s="142">
        <f>'Capex Category Summary (Vic)'!AO65+'Capex Category Summary (Vic)'!AO66+'Capex Category Summary (Vic)'!AO63</f>
        <v>4.5928398841778773</v>
      </c>
      <c r="H35" s="143">
        <f>'Capex Category Summary (Vic)'!AP65+'Capex Category Summary (Vic)'!AP66+'Capex Category Summary (Vic)'!AP63</f>
        <v>6.3077992849786373</v>
      </c>
      <c r="I35" s="143">
        <f>'Capex Category Summary (Vic)'!AQ65+'Capex Category Summary (Vic)'!AQ66+'Capex Category Summary (Vic)'!AQ63</f>
        <v>11.380120361048814</v>
      </c>
      <c r="J35" s="143">
        <f>'Capex Category Summary (Vic)'!AR65+'Capex Category Summary (Vic)'!AR66+'Capex Category Summary (Vic)'!AR63</f>
        <v>8.1036156708364562</v>
      </c>
      <c r="K35" s="144">
        <f>'Capex Category Summary (Vic)'!AS65+'Capex Category Summary (Vic)'!AS66+'Capex Category Summary (Vic)'!AS63</f>
        <v>4.0544957985415895</v>
      </c>
      <c r="L35" s="52">
        <f t="shared" ref="L35" si="6">SUM(G35:K35)</f>
        <v>34.438870999583372</v>
      </c>
      <c r="M35" s="32"/>
    </row>
    <row r="36" spans="1:13" ht="18" customHeight="1" thickBot="1" x14ac:dyDescent="0.25">
      <c r="A36" s="32"/>
      <c r="B36" s="151" t="s">
        <v>45</v>
      </c>
      <c r="C36" s="152"/>
      <c r="D36" s="152"/>
      <c r="E36" s="100"/>
      <c r="F36" s="99"/>
      <c r="G36" s="145">
        <f t="shared" ref="G36:K36" si="7">SUM(G24:G29,G35:G35)</f>
        <v>96.771582262629991</v>
      </c>
      <c r="H36" s="146">
        <f t="shared" si="7"/>
        <v>115.79444745415087</v>
      </c>
      <c r="I36" s="146">
        <f t="shared" si="7"/>
        <v>112.47771227362303</v>
      </c>
      <c r="J36" s="146">
        <f t="shared" si="7"/>
        <v>91.048134247870848</v>
      </c>
      <c r="K36" s="146">
        <f t="shared" si="7"/>
        <v>60.880973167093209</v>
      </c>
      <c r="L36" s="100">
        <f>SUM(G36:K36)</f>
        <v>476.97284940536792</v>
      </c>
      <c r="M36" s="32"/>
    </row>
    <row r="37" spans="1:13" x14ac:dyDescent="0.2">
      <c r="A37" s="32"/>
      <c r="B37" s="32"/>
      <c r="C37" s="66"/>
      <c r="D37" s="66"/>
      <c r="E37" s="66"/>
      <c r="F37" s="493"/>
      <c r="G37" s="519"/>
      <c r="H37" s="519"/>
      <c r="I37" s="519"/>
      <c r="J37" s="519"/>
      <c r="K37" s="519"/>
      <c r="L37" s="519"/>
      <c r="M37" s="32"/>
    </row>
    <row r="38" spans="1:13" ht="24" customHeight="1" x14ac:dyDescent="0.2">
      <c r="A38" s="69"/>
      <c r="B38" s="357" t="s">
        <v>196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7" t="s">
        <v>106</v>
      </c>
      <c r="E40" s="55"/>
      <c r="F40" s="52"/>
      <c r="G40" s="55">
        <f>SUM('Overheads (Vic)'!F12:F20)</f>
        <v>38.936877987225337</v>
      </c>
      <c r="H40" s="54">
        <f>SUM('Overheads (Vic)'!G12:G20)</f>
        <v>40.743761701838736</v>
      </c>
      <c r="I40" s="54">
        <f>SUM('Overheads (Vic)'!H12:H20)</f>
        <v>41.108425647773956</v>
      </c>
      <c r="J40" s="54">
        <f>SUM('Overheads (Vic)'!I12:I20)</f>
        <v>39.587395410879402</v>
      </c>
      <c r="K40" s="95">
        <f>SUM('Overheads (Vic)'!J12:J20)</f>
        <v>10.209524322479359</v>
      </c>
      <c r="L40" s="137">
        <f>SUM(G40:K40)</f>
        <v>170.58598507019678</v>
      </c>
      <c r="M40" s="45"/>
    </row>
    <row r="41" spans="1:13" ht="18" customHeight="1" x14ac:dyDescent="0.2">
      <c r="A41" s="32"/>
      <c r="B41" s="149" t="s">
        <v>49</v>
      </c>
      <c r="C41" s="45"/>
      <c r="D41" s="458" t="s">
        <v>71</v>
      </c>
      <c r="E41" s="542"/>
      <c r="F41" s="52"/>
      <c r="G41" s="55">
        <f>SUM('Overheads (Vic)'!F10:F11)</f>
        <v>7.9983623324514861</v>
      </c>
      <c r="H41" s="54">
        <f>SUM('Overheads (Vic)'!G10:G11)</f>
        <v>7.8819626102424447</v>
      </c>
      <c r="I41" s="54">
        <f>SUM('Overheads (Vic)'!H10:H11)</f>
        <v>7.9171254931224038</v>
      </c>
      <c r="J41" s="54">
        <f>SUM('Overheads (Vic)'!I10:I11)</f>
        <v>5.5405411145252099</v>
      </c>
      <c r="K41" s="95">
        <f>SUM('Overheads (Vic)'!J10:J11)</f>
        <v>5.8445602432049579</v>
      </c>
      <c r="L41" s="137">
        <f>SUM(G41:K41)</f>
        <v>35.182551793546509</v>
      </c>
      <c r="M41" s="45"/>
    </row>
    <row r="42" spans="1:13" ht="18" customHeight="1" x14ac:dyDescent="0.2">
      <c r="A42" s="32"/>
      <c r="B42" s="149" t="s">
        <v>50</v>
      </c>
      <c r="C42" s="45"/>
      <c r="D42" s="457" t="s">
        <v>106</v>
      </c>
      <c r="E42" s="55"/>
      <c r="F42" s="52"/>
      <c r="G42" s="55">
        <f>'Overheads (Vic)'!F39</f>
        <v>6.301304666106323</v>
      </c>
      <c r="H42" s="54">
        <f>'Overheads (Vic)'!G39</f>
        <v>10.207910054158322</v>
      </c>
      <c r="I42" s="54">
        <f>'Overheads (Vic)'!H39</f>
        <v>8.1345916704291774</v>
      </c>
      <c r="J42" s="54">
        <f>'Overheads (Vic)'!I39</f>
        <v>3.905671358970793</v>
      </c>
      <c r="K42" s="95">
        <f>'Overheads (Vic)'!J39</f>
        <v>2.5532456251353057</v>
      </c>
      <c r="L42" s="137">
        <f t="shared" ref="L42:L51" si="8">SUM(G42:K42)</f>
        <v>31.102723374799922</v>
      </c>
      <c r="M42" s="45"/>
    </row>
    <row r="43" spans="1:13" ht="18" customHeight="1" x14ac:dyDescent="0.2">
      <c r="A43" s="32"/>
      <c r="B43" s="149" t="s">
        <v>1</v>
      </c>
      <c r="C43" s="45"/>
      <c r="D43" s="457" t="s">
        <v>1</v>
      </c>
      <c r="E43" s="55"/>
      <c r="F43" s="52"/>
      <c r="G43" s="55">
        <f>'Overheads (Vic)'!F33</f>
        <v>0.2994941340778367</v>
      </c>
      <c r="H43" s="54">
        <f>'Overheads (Vic)'!G33</f>
        <v>0.28406690999878076</v>
      </c>
      <c r="I43" s="54">
        <f>'Overheads (Vic)'!H33</f>
        <v>0.27936030438565879</v>
      </c>
      <c r="J43" s="54">
        <f>'Overheads (Vic)'!I33</f>
        <v>0.18692333253296883</v>
      </c>
      <c r="K43" s="95">
        <f>'Overheads (Vic)'!J33</f>
        <v>0.16908105854874103</v>
      </c>
      <c r="L43" s="137">
        <f t="shared" si="8"/>
        <v>1.2189257395439861</v>
      </c>
      <c r="M43" s="45"/>
    </row>
    <row r="44" spans="1:13" ht="18" customHeight="1" x14ac:dyDescent="0.2">
      <c r="A44" s="32"/>
      <c r="B44" s="149" t="s">
        <v>52</v>
      </c>
      <c r="C44" s="45"/>
      <c r="D44" s="457" t="s">
        <v>2</v>
      </c>
      <c r="E44" s="55"/>
      <c r="F44" s="52"/>
      <c r="G44" s="55">
        <f>'Overheads (Vic)'!F35</f>
        <v>12.265673683020408</v>
      </c>
      <c r="H44" s="54">
        <f>'Overheads (Vic)'!G35</f>
        <v>25.541065493366194</v>
      </c>
      <c r="I44" s="54">
        <f>'Overheads (Vic)'!H35</f>
        <v>17.527246648461567</v>
      </c>
      <c r="J44" s="54">
        <f>'Overheads (Vic)'!I35</f>
        <v>5.7233405035194966</v>
      </c>
      <c r="K44" s="95">
        <f>'Overheads (Vic)'!J35</f>
        <v>7.0451906364604175</v>
      </c>
      <c r="L44" s="137">
        <f t="shared" si="8"/>
        <v>68.102516964828084</v>
      </c>
      <c r="M44" s="45"/>
    </row>
    <row r="45" spans="1:13" ht="18" customHeight="1" x14ac:dyDescent="0.2">
      <c r="A45" s="32"/>
      <c r="B45" s="153" t="s">
        <v>53</v>
      </c>
      <c r="C45" s="45"/>
      <c r="D45" s="457"/>
      <c r="E45" s="55"/>
      <c r="F45" s="52"/>
      <c r="G45" s="55">
        <f>SUM(G46:G50)</f>
        <v>36.997801700325503</v>
      </c>
      <c r="H45" s="54">
        <f t="shared" ref="H45:K45" si="9">SUM(H46:H50)</f>
        <v>35.73027848238182</v>
      </c>
      <c r="I45" s="54">
        <f t="shared" si="9"/>
        <v>36.435096262395248</v>
      </c>
      <c r="J45" s="54">
        <f t="shared" si="9"/>
        <v>38.053908474609777</v>
      </c>
      <c r="K45" s="95">
        <f t="shared" si="9"/>
        <v>40.742096130836217</v>
      </c>
      <c r="L45" s="137">
        <f t="shared" si="8"/>
        <v>187.95918105054855</v>
      </c>
      <c r="M45" s="45"/>
    </row>
    <row r="46" spans="1:13" ht="18" customHeight="1" x14ac:dyDescent="0.2">
      <c r="A46" s="32"/>
      <c r="B46" s="45"/>
      <c r="C46" s="154" t="s">
        <v>54</v>
      </c>
      <c r="D46" s="459" t="s">
        <v>106</v>
      </c>
      <c r="E46" s="201"/>
      <c r="F46" s="127"/>
      <c r="G46" s="128">
        <f>'Overheads (Vic)'!F21+'Overheads (Vic)'!F22+'Overheads (Vic)'!F23</f>
        <v>10.20029621824186</v>
      </c>
      <c r="H46" s="129">
        <f>'Overheads (Vic)'!G21+'Overheads (Vic)'!G22+'Overheads (Vic)'!G23</f>
        <v>9.8758628794842878</v>
      </c>
      <c r="I46" s="129">
        <f>'Overheads (Vic)'!H21+'Overheads (Vic)'!H22+'Overheads (Vic)'!H23</f>
        <v>10.075517930608381</v>
      </c>
      <c r="J46" s="129">
        <f>'Overheads (Vic)'!I21+'Overheads (Vic)'!I22+'Overheads (Vic)'!I23</f>
        <v>10.492726256201985</v>
      </c>
      <c r="K46" s="130">
        <f>'Overheads (Vic)'!J21+'Overheads (Vic)'!J22+'Overheads (Vic)'!J23</f>
        <v>11.228975532599984</v>
      </c>
      <c r="L46" s="138"/>
      <c r="M46" s="45"/>
    </row>
    <row r="47" spans="1:13" ht="18" customHeight="1" x14ac:dyDescent="0.2">
      <c r="A47" s="32"/>
      <c r="B47" s="45"/>
      <c r="C47" s="155" t="s">
        <v>55</v>
      </c>
      <c r="D47" s="460" t="s">
        <v>106</v>
      </c>
      <c r="E47" s="55"/>
      <c r="F47" s="54"/>
      <c r="G47" s="131">
        <f>'Overheads (Vic)'!F26+'Overheads (Vic)'!F27+'Overheads (Vic)'!F28+'Overheads (Vic)'!F29</f>
        <v>20.140508912695015</v>
      </c>
      <c r="H47" s="50">
        <f>'Overheads (Vic)'!G26+'Overheads (Vic)'!G27+'Overheads (Vic)'!G28+'Overheads (Vic)'!G29</f>
        <v>19.398806714709121</v>
      </c>
      <c r="I47" s="50">
        <f>'Overheads (Vic)'!H26+'Overheads (Vic)'!H27+'Overheads (Vic)'!H28+'Overheads (Vic)'!H29</f>
        <v>19.808318087304009</v>
      </c>
      <c r="J47" s="50">
        <f>'Overheads (Vic)'!I26+'Overheads (Vic)'!I27+'Overheads (Vic)'!I28+'Overheads (Vic)'!I29</f>
        <v>20.660043309745124</v>
      </c>
      <c r="K47" s="132">
        <f>'Overheads (Vic)'!J26+'Overheads (Vic)'!J27+'Overheads (Vic)'!J28+'Overheads (Vic)'!J29</f>
        <v>22.142350501427558</v>
      </c>
      <c r="L47" s="136"/>
      <c r="M47" s="45"/>
    </row>
    <row r="48" spans="1:13" ht="18" customHeight="1" x14ac:dyDescent="0.2">
      <c r="A48" s="32"/>
      <c r="B48" s="45"/>
      <c r="C48" s="155" t="s">
        <v>56</v>
      </c>
      <c r="D48" s="460" t="s">
        <v>71</v>
      </c>
      <c r="E48" s="55"/>
      <c r="F48" s="54"/>
      <c r="G48" s="131">
        <f>'Overheads (Vic)'!F24+'Overheads (Vic)'!F25</f>
        <v>6.6569965693886264</v>
      </c>
      <c r="H48" s="50">
        <f>'Overheads (Vic)'!G24+'Overheads (Vic)'!G25</f>
        <v>6.4556088881884151</v>
      </c>
      <c r="I48" s="50">
        <f>'Overheads (Vic)'!H24+'Overheads (Vic)'!H25</f>
        <v>6.551260244482858</v>
      </c>
      <c r="J48" s="50">
        <f>'Overheads (Vic)'!I24+'Overheads (Vic)'!I25</f>
        <v>6.9011389086626664</v>
      </c>
      <c r="K48" s="132">
        <f>'Overheads (Vic)'!J24+'Overheads (Vic)'!J25</f>
        <v>7.3707700968086769</v>
      </c>
      <c r="L48" s="136"/>
      <c r="M48" s="45"/>
    </row>
    <row r="49" spans="1:13" ht="18" customHeight="1" x14ac:dyDescent="0.2">
      <c r="A49" s="32"/>
      <c r="B49" s="45"/>
      <c r="C49" s="155" t="s">
        <v>57</v>
      </c>
      <c r="D49" s="155"/>
      <c r="E49" s="55"/>
      <c r="F49" s="54"/>
      <c r="G49" s="131">
        <f>'Overheads (Vic)'!F38</f>
        <v>0</v>
      </c>
      <c r="H49" s="50">
        <f>'Overheads (Vic)'!G38</f>
        <v>0</v>
      </c>
      <c r="I49" s="50">
        <f>'Overheads (Vic)'!H38</f>
        <v>0</v>
      </c>
      <c r="J49" s="50">
        <f>'Overheads (Vic)'!I38</f>
        <v>0</v>
      </c>
      <c r="K49" s="132">
        <f>'Overheads (Vic)'!J38</f>
        <v>0</v>
      </c>
      <c r="L49" s="136"/>
      <c r="M49" s="45"/>
    </row>
    <row r="50" spans="1:13" ht="18" customHeight="1" x14ac:dyDescent="0.2">
      <c r="A50" s="32"/>
      <c r="B50" s="156"/>
      <c r="C50" s="157" t="s">
        <v>58</v>
      </c>
      <c r="D50" s="157"/>
      <c r="E50" s="134"/>
      <c r="F50" s="133"/>
      <c r="G50" s="131">
        <f>'Overheads (Vic)'!F40</f>
        <v>0</v>
      </c>
      <c r="H50" s="50">
        <f>'Overheads (Vic)'!G40</f>
        <v>0</v>
      </c>
      <c r="I50" s="50">
        <f>'Overheads (Vic)'!H40</f>
        <v>0</v>
      </c>
      <c r="J50" s="50">
        <f>'Overheads (Vic)'!I40</f>
        <v>0</v>
      </c>
      <c r="K50" s="132">
        <f>'Overheads (Vic)'!J40</f>
        <v>0</v>
      </c>
      <c r="L50" s="139"/>
      <c r="M50" s="45"/>
    </row>
    <row r="51" spans="1:13" ht="18" customHeight="1" x14ac:dyDescent="0.2">
      <c r="A51" s="32"/>
      <c r="B51" s="149" t="s">
        <v>100</v>
      </c>
      <c r="C51" s="45"/>
      <c r="D51" s="460" t="s">
        <v>100</v>
      </c>
      <c r="E51" s="55"/>
      <c r="F51" s="52"/>
      <c r="G51" s="142">
        <f>'Overheads (Vic)'!F34+'Overheads (Vic)'!F36+'Overheads (Vic)'!F37</f>
        <v>5.1220237779553326</v>
      </c>
      <c r="H51" s="143">
        <f>'Overheads (Vic)'!G34+'Overheads (Vic)'!G36+'Overheads (Vic)'!G37</f>
        <v>6.9359136137438053</v>
      </c>
      <c r="I51" s="143">
        <f>'Overheads (Vic)'!H34+'Overheads (Vic)'!H36+'Overheads (Vic)'!H37</f>
        <v>12.5400258526602</v>
      </c>
      <c r="J51" s="143">
        <f>'Overheads (Vic)'!I34+'Overheads (Vic)'!I36+'Overheads (Vic)'!I37</f>
        <v>9.0858115987687782</v>
      </c>
      <c r="K51" s="144">
        <f>'Overheads (Vic)'!J34+'Overheads (Vic)'!J36+'Overheads (Vic)'!J37</f>
        <v>4.7492339212515589</v>
      </c>
      <c r="L51" s="137">
        <f t="shared" si="8"/>
        <v>38.433008764379679</v>
      </c>
      <c r="M51" s="45"/>
    </row>
    <row r="52" spans="1:13" ht="18" customHeight="1" thickBot="1" x14ac:dyDescent="0.25">
      <c r="A52" s="32"/>
      <c r="B52" s="151" t="s">
        <v>45</v>
      </c>
      <c r="C52" s="152"/>
      <c r="D52" s="152"/>
      <c r="E52" s="100"/>
      <c r="F52" s="99"/>
      <c r="G52" s="145">
        <f t="shared" ref="G52:K52" si="10">SUM(G40:G45,G51:G51)</f>
        <v>107.92153828116223</v>
      </c>
      <c r="H52" s="146">
        <f t="shared" si="10"/>
        <v>127.32495886573011</v>
      </c>
      <c r="I52" s="146">
        <f t="shared" si="10"/>
        <v>123.94187187922822</v>
      </c>
      <c r="J52" s="146">
        <f t="shared" si="10"/>
        <v>102.08359179380642</v>
      </c>
      <c r="K52" s="146">
        <f t="shared" si="10"/>
        <v>71.312931937916559</v>
      </c>
      <c r="L52" s="100">
        <f>SUM(G52:K52)</f>
        <v>532.58489275784348</v>
      </c>
      <c r="M52" s="106"/>
    </row>
    <row r="53" spans="1:13" s="67" customFormat="1" ht="11.25" x14ac:dyDescent="0.2">
      <c r="A53" s="66"/>
      <c r="B53" s="422"/>
      <c r="C53" s="422"/>
      <c r="D53" s="422"/>
      <c r="E53" s="57"/>
      <c r="F53" s="50"/>
      <c r="G53" s="50"/>
      <c r="H53" s="50"/>
      <c r="I53" s="50"/>
      <c r="J53" s="50"/>
      <c r="K53" s="50"/>
      <c r="L53" s="50"/>
      <c r="M53" s="186"/>
    </row>
    <row r="54" spans="1:13" ht="15" x14ac:dyDescent="0.25">
      <c r="A54" s="32"/>
      <c r="B54" s="105"/>
      <c r="C54" s="105"/>
      <c r="D54" s="105"/>
      <c r="E54" s="140"/>
      <c r="F54" s="49"/>
      <c r="G54" s="140"/>
      <c r="H54" s="140"/>
      <c r="I54" s="140"/>
      <c r="J54" s="140"/>
      <c r="K54" s="140"/>
      <c r="L54" s="140"/>
      <c r="M54" s="140"/>
    </row>
    <row r="55" spans="1:13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3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5" x14ac:dyDescent="0.25">
      <c r="B59" s="107"/>
      <c r="C59" s="107"/>
      <c r="D59" s="107"/>
      <c r="E59" s="108"/>
      <c r="F59" s="108"/>
      <c r="G59" s="546"/>
      <c r="H59" s="546"/>
      <c r="I59" s="546"/>
      <c r="J59" s="546"/>
      <c r="K59" s="546"/>
      <c r="L59" s="108"/>
      <c r="M59" s="109"/>
    </row>
    <row r="60" spans="1:13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3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3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3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activeCell="B2" sqref="B2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.7109375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3" t="s">
        <v>115</v>
      </c>
      <c r="C2" s="356"/>
      <c r="D2" s="356"/>
      <c r="E2" s="356"/>
      <c r="F2" s="344"/>
      <c r="G2" s="344"/>
      <c r="H2" s="344"/>
      <c r="I2" s="344"/>
      <c r="J2" s="344"/>
      <c r="K2" s="344"/>
      <c r="L2" s="353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322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75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7" t="s">
        <v>105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7" t="s">
        <v>106</v>
      </c>
      <c r="E8" s="55"/>
      <c r="F8" s="52"/>
      <c r="G8" s="55">
        <f>'Capex Category Summary (Alb)'!AD25+'Capex Category Summary (Alb)'!AD31</f>
        <v>1.7127646378497625E-2</v>
      </c>
      <c r="H8" s="54">
        <f>'Capex Category Summary (Alb)'!AE25+'Capex Category Summary (Alb)'!AE31</f>
        <v>1.7127646378497625E-2</v>
      </c>
      <c r="I8" s="54">
        <f>'Capex Category Summary (Alb)'!AF25+'Capex Category Summary (Alb)'!AF31</f>
        <v>1.7127646378497625E-2</v>
      </c>
      <c r="J8" s="54">
        <f>'Capex Category Summary (Alb)'!AG25+'Capex Category Summary (Alb)'!AG31</f>
        <v>1.7127646378497625E-2</v>
      </c>
      <c r="K8" s="95">
        <f>'Capex Category Summary (Alb)'!AH25+'Capex Category Summary (Alb)'!AH31</f>
        <v>1.7127646378497625E-2</v>
      </c>
      <c r="L8" s="52">
        <f>SUM(G8:K8)</f>
        <v>8.563823189248812E-2</v>
      </c>
      <c r="M8" s="32"/>
    </row>
    <row r="9" spans="1:13" ht="18" customHeight="1" x14ac:dyDescent="0.2">
      <c r="A9" s="32"/>
      <c r="B9" s="149" t="s">
        <v>49</v>
      </c>
      <c r="C9" s="45"/>
      <c r="D9" s="458" t="s">
        <v>71</v>
      </c>
      <c r="E9" s="471"/>
      <c r="F9" s="52"/>
      <c r="G9" s="55">
        <f>'Capex Category Summary (Alb)'!AD12</f>
        <v>0.34069788034320353</v>
      </c>
      <c r="H9" s="54">
        <f>'Capex Category Summary (Alb)'!AE12</f>
        <v>0.34069788034320353</v>
      </c>
      <c r="I9" s="54">
        <f>'Capex Category Summary (Alb)'!AF12</f>
        <v>0.34069788034320353</v>
      </c>
      <c r="J9" s="54">
        <f>'Capex Category Summary (Alb)'!AG12</f>
        <v>0.21635397722544358</v>
      </c>
      <c r="K9" s="95">
        <f>'Capex Category Summary (Alb)'!AH12</f>
        <v>0.21635397722544358</v>
      </c>
      <c r="L9" s="52">
        <f>SUM(G9:K9)</f>
        <v>1.4548015954804976</v>
      </c>
      <c r="M9" s="32"/>
    </row>
    <row r="10" spans="1:13" ht="18" customHeight="1" x14ac:dyDescent="0.2">
      <c r="A10" s="32"/>
      <c r="B10" s="149" t="s">
        <v>50</v>
      </c>
      <c r="C10" s="45"/>
      <c r="D10" s="457" t="s">
        <v>106</v>
      </c>
      <c r="E10" s="55"/>
      <c r="F10" s="52"/>
      <c r="G10" s="55">
        <f>'Capex Category Summary (Alb)'!AD68</f>
        <v>0</v>
      </c>
      <c r="H10" s="54">
        <f>'Capex Category Summary (Alb)'!AE68</f>
        <v>0</v>
      </c>
      <c r="I10" s="54">
        <f>'Capex Category Summary (Alb)'!AF68</f>
        <v>0</v>
      </c>
      <c r="J10" s="54">
        <f>'Capex Category Summary (Alb)'!AG68</f>
        <v>0</v>
      </c>
      <c r="K10" s="95">
        <f>'Capex Category Summary (Alb)'!AH68</f>
        <v>0</v>
      </c>
      <c r="L10" s="52">
        <f t="shared" ref="L10:L13" si="0">SUM(G10:K10)</f>
        <v>0</v>
      </c>
      <c r="M10" s="32"/>
    </row>
    <row r="11" spans="1:13" ht="18" customHeight="1" x14ac:dyDescent="0.2">
      <c r="A11" s="32"/>
      <c r="B11" s="149" t="s">
        <v>1</v>
      </c>
      <c r="C11" s="45"/>
      <c r="D11" s="457" t="s">
        <v>1</v>
      </c>
      <c r="E11" s="55"/>
      <c r="F11" s="52"/>
      <c r="G11" s="55">
        <f>'Capex Category Summary (Alb)'!AD62</f>
        <v>0</v>
      </c>
      <c r="H11" s="54">
        <f>'Capex Category Summary (Alb)'!AE62</f>
        <v>0</v>
      </c>
      <c r="I11" s="54">
        <f>'Capex Category Summary (Alb)'!AF62</f>
        <v>0</v>
      </c>
      <c r="J11" s="54">
        <f>'Capex Category Summary (Alb)'!AG62</f>
        <v>8.7999999999999995E-2</v>
      </c>
      <c r="K11" s="95">
        <f>'Capex Category Summary (Alb)'!AH62</f>
        <v>0</v>
      </c>
      <c r="L11" s="52">
        <f t="shared" si="0"/>
        <v>8.7999999999999995E-2</v>
      </c>
      <c r="M11" s="32"/>
    </row>
    <row r="12" spans="1:13" ht="18" customHeight="1" x14ac:dyDescent="0.2">
      <c r="A12" s="32"/>
      <c r="B12" s="149" t="s">
        <v>52</v>
      </c>
      <c r="C12" s="45"/>
      <c r="D12" s="457" t="s">
        <v>2</v>
      </c>
      <c r="E12" s="55"/>
      <c r="F12" s="52"/>
      <c r="G12" s="55">
        <f>'Capex Category Summary (Alb)'!AD64</f>
        <v>0.38082887116930247</v>
      </c>
      <c r="H12" s="54">
        <f>'Capex Category Summary (Alb)'!AE64</f>
        <v>0.79971774336648649</v>
      </c>
      <c r="I12" s="54">
        <f>'Capex Category Summary (Alb)'!AF64</f>
        <v>0.54378733662028433</v>
      </c>
      <c r="J12" s="54">
        <f>'Capex Category Summary (Alb)'!AG64</f>
        <v>0.17301416744819531</v>
      </c>
      <c r="K12" s="95">
        <f>'Capex Category Summary (Alb)'!AH64</f>
        <v>0.20189481906278933</v>
      </c>
      <c r="L12" s="52">
        <f t="shared" si="0"/>
        <v>2.0992429376670581</v>
      </c>
      <c r="M12" s="32"/>
    </row>
    <row r="13" spans="1:13" ht="18" customHeight="1" x14ac:dyDescent="0.2">
      <c r="A13" s="32"/>
      <c r="B13" s="153" t="s">
        <v>53</v>
      </c>
      <c r="C13" s="45"/>
      <c r="D13" s="457"/>
      <c r="E13" s="55"/>
      <c r="F13" s="52"/>
      <c r="G13" s="55">
        <f>SUM(G14:G18)</f>
        <v>1.3357997944794824</v>
      </c>
      <c r="H13" s="54">
        <f t="shared" ref="H13:K13" si="1">SUM(H14:H18)</f>
        <v>1.35430010051633</v>
      </c>
      <c r="I13" s="54">
        <f t="shared" si="1"/>
        <v>1.3731075472840113</v>
      </c>
      <c r="J13" s="54">
        <f t="shared" si="1"/>
        <v>1.3922276221662271</v>
      </c>
      <c r="K13" s="95">
        <f t="shared" si="1"/>
        <v>1.4116659130976774</v>
      </c>
      <c r="L13" s="52">
        <f t="shared" si="0"/>
        <v>6.8671009775437284</v>
      </c>
      <c r="M13" s="37"/>
    </row>
    <row r="14" spans="1:13" ht="18" customHeight="1" x14ac:dyDescent="0.2">
      <c r="A14" s="32"/>
      <c r="B14" s="45"/>
      <c r="C14" s="154" t="s">
        <v>54</v>
      </c>
      <c r="D14" s="459" t="s">
        <v>106</v>
      </c>
      <c r="E14" s="201"/>
      <c r="F14" s="127"/>
      <c r="G14" s="128">
        <f>'Capex Category Summary (Alb)'!AD39</f>
        <v>0.45101398320366004</v>
      </c>
      <c r="H14" s="129">
        <f>'Capex Category Summary (Alb)'!AE39</f>
        <v>0.45702381569588857</v>
      </c>
      <c r="I14" s="129">
        <f>'Capex Category Summary (Alb)'!AF39</f>
        <v>0.46313158374812957</v>
      </c>
      <c r="J14" s="129">
        <f>'Capex Category Summary (Alb)'!AG39</f>
        <v>0.46933902517356524</v>
      </c>
      <c r="K14" s="130">
        <f>'Capex Category Summary (Alb)'!AH39</f>
        <v>0.47564790955750624</v>
      </c>
      <c r="L14" s="127"/>
      <c r="M14" s="32"/>
    </row>
    <row r="15" spans="1:13" ht="18" customHeight="1" x14ac:dyDescent="0.2">
      <c r="A15" s="32"/>
      <c r="B15" s="45"/>
      <c r="C15" s="155" t="s">
        <v>55</v>
      </c>
      <c r="D15" s="460" t="s">
        <v>106</v>
      </c>
      <c r="E15" s="55"/>
      <c r="F15" s="54"/>
      <c r="G15" s="131">
        <f>'Capex Category Summary (Alb)'!AD55</f>
        <v>0.60007810735164036</v>
      </c>
      <c r="H15" s="50">
        <f>'Capex Category Summary (Alb)'!AE55</f>
        <v>0.60959347468712421</v>
      </c>
      <c r="I15" s="50">
        <f>'Capex Category Summary (Alb)'!AF55</f>
        <v>0.61927618150899688</v>
      </c>
      <c r="J15" s="50">
        <f>'Capex Category Summary (Alb)'!AG55</f>
        <v>0.6291292781375083</v>
      </c>
      <c r="K15" s="132">
        <f>'Capex Category Summary (Alb)'!AH55</f>
        <v>0.63915587115177641</v>
      </c>
      <c r="L15" s="54"/>
      <c r="M15" s="32"/>
    </row>
    <row r="16" spans="1:13" ht="18" customHeight="1" x14ac:dyDescent="0.2">
      <c r="A16" s="32"/>
      <c r="B16" s="45"/>
      <c r="C16" s="155" t="s">
        <v>56</v>
      </c>
      <c r="D16" s="460" t="s">
        <v>71</v>
      </c>
      <c r="E16" s="55"/>
      <c r="F16" s="54"/>
      <c r="G16" s="131">
        <f>'Capex Category Summary (Alb)'!AD46</f>
        <v>0.28470770392418204</v>
      </c>
      <c r="H16" s="50">
        <f>'Capex Category Summary (Alb)'!AE46</f>
        <v>0.28768281013331731</v>
      </c>
      <c r="I16" s="50">
        <f>'Capex Category Summary (Alb)'!AF46</f>
        <v>0.29069978202688485</v>
      </c>
      <c r="J16" s="50">
        <f>'Capex Category Summary (Alb)'!AG46</f>
        <v>0.29375931885515361</v>
      </c>
      <c r="K16" s="132">
        <f>'Capex Category Summary (Alb)'!AH46</f>
        <v>0.2968621323883946</v>
      </c>
      <c r="L16" s="54"/>
      <c r="M16" s="32"/>
    </row>
    <row r="17" spans="1:13" ht="18" customHeight="1" x14ac:dyDescent="0.2">
      <c r="A17" s="32"/>
      <c r="B17" s="45"/>
      <c r="C17" s="155" t="s">
        <v>57</v>
      </c>
      <c r="D17" s="155"/>
      <c r="E17" s="55"/>
      <c r="F17" s="54"/>
      <c r="G17" s="131">
        <f>'Capex Category Summary (Alb)'!AD67</f>
        <v>0</v>
      </c>
      <c r="H17" s="50">
        <f>'Capex Category Summary (Alb)'!AE67</f>
        <v>0</v>
      </c>
      <c r="I17" s="50">
        <f>'Capex Category Summary (Alb)'!AF67</f>
        <v>0</v>
      </c>
      <c r="J17" s="50">
        <f>'Capex Category Summary (Alb)'!AG67</f>
        <v>0</v>
      </c>
      <c r="K17" s="132">
        <f>'Capex Category Summary (Alb)'!AH67</f>
        <v>0</v>
      </c>
      <c r="L17" s="54"/>
      <c r="M17" s="32"/>
    </row>
    <row r="18" spans="1:13" ht="18" customHeight="1" x14ac:dyDescent="0.2">
      <c r="A18" s="32"/>
      <c r="B18" s="156"/>
      <c r="C18" s="157" t="s">
        <v>58</v>
      </c>
      <c r="D18" s="157"/>
      <c r="E18" s="134"/>
      <c r="F18" s="133"/>
      <c r="G18" s="131">
        <f>'Capex Category Summary (Alb)'!AD69</f>
        <v>0</v>
      </c>
      <c r="H18" s="50">
        <f>'Capex Category Summary (Alb)'!AE69</f>
        <v>0</v>
      </c>
      <c r="I18" s="50">
        <f>'Capex Category Summary (Alb)'!AF69</f>
        <v>0</v>
      </c>
      <c r="J18" s="50">
        <f>'Capex Category Summary (Alb)'!AG69</f>
        <v>0</v>
      </c>
      <c r="K18" s="132">
        <f>'Capex Category Summary (Alb)'!AH69</f>
        <v>0</v>
      </c>
      <c r="L18" s="133"/>
      <c r="M18" s="32"/>
    </row>
    <row r="19" spans="1:13" ht="18" customHeight="1" x14ac:dyDescent="0.2">
      <c r="A19" s="32"/>
      <c r="B19" s="149" t="s">
        <v>100</v>
      </c>
      <c r="C19" s="45"/>
      <c r="D19" s="460" t="s">
        <v>100</v>
      </c>
      <c r="E19" s="55"/>
      <c r="F19" s="52"/>
      <c r="G19" s="142">
        <f>'Capex Category Summary (Alb)'!AD63+'Capex Category Summary (Alb)'!AD65+'Capex Category Summary (Alb)'!AD66</f>
        <v>7.0000000000000007E-2</v>
      </c>
      <c r="H19" s="143">
        <f>'Capex Category Summary (Alb)'!AE63+'Capex Category Summary (Alb)'!AE65+'Capex Category Summary (Alb)'!AE66</f>
        <v>0.10300000000000001</v>
      </c>
      <c r="I19" s="143">
        <f>'Capex Category Summary (Alb)'!AF63+'Capex Category Summary (Alb)'!AF65+'Capex Category Summary (Alb)'!AF66</f>
        <v>0.10300000000000001</v>
      </c>
      <c r="J19" s="143">
        <f>'Capex Category Summary (Alb)'!AG63+'Capex Category Summary (Alb)'!AG65+'Capex Category Summary (Alb)'!AG66</f>
        <v>0.09</v>
      </c>
      <c r="K19" s="144">
        <f>'Capex Category Summary (Alb)'!AH63+'Capex Category Summary (Alb)'!AH65+'Capex Category Summary (Alb)'!AH66</f>
        <v>2.3E-2</v>
      </c>
      <c r="L19" s="52">
        <f t="shared" ref="L19" si="2">SUM(G19:K19)</f>
        <v>0.38900000000000001</v>
      </c>
      <c r="M19" s="32"/>
    </row>
    <row r="20" spans="1:13" ht="18" customHeight="1" thickBot="1" x14ac:dyDescent="0.25">
      <c r="A20" s="32"/>
      <c r="B20" s="151" t="s">
        <v>45</v>
      </c>
      <c r="C20" s="152"/>
      <c r="D20" s="152"/>
      <c r="E20" s="100"/>
      <c r="F20" s="99"/>
      <c r="G20" s="145">
        <f t="shared" ref="G20:K20" si="3">SUM(G8:G13,G19:G19)</f>
        <v>2.1444541923704858</v>
      </c>
      <c r="H20" s="146">
        <f t="shared" si="3"/>
        <v>2.6148433706045178</v>
      </c>
      <c r="I20" s="146">
        <f t="shared" si="3"/>
        <v>2.3777204106259968</v>
      </c>
      <c r="J20" s="146">
        <f t="shared" si="3"/>
        <v>1.9767234132183635</v>
      </c>
      <c r="K20" s="146">
        <f t="shared" si="3"/>
        <v>1.8700423557644079</v>
      </c>
      <c r="L20" s="100">
        <f>SUM(G20:K20)</f>
        <v>10.983783742583773</v>
      </c>
      <c r="M20" s="32"/>
    </row>
    <row r="21" spans="1:13" x14ac:dyDescent="0.2">
      <c r="A21" s="32"/>
      <c r="B21" s="32"/>
      <c r="C21" s="66"/>
      <c r="D21" s="66"/>
      <c r="E21" s="66"/>
      <c r="F21" s="141"/>
      <c r="G21" s="141"/>
      <c r="H21" s="141"/>
      <c r="I21" s="141"/>
      <c r="J21" s="141"/>
      <c r="K21" s="141"/>
      <c r="L21" s="141"/>
      <c r="M21" s="32"/>
    </row>
    <row r="22" spans="1:13" ht="24" customHeight="1" x14ac:dyDescent="0.2">
      <c r="A22" s="32"/>
      <c r="B22" s="357" t="s">
        <v>195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2"/>
    </row>
    <row r="23" spans="1:13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3" ht="18" customHeight="1" x14ac:dyDescent="0.2">
      <c r="A24" s="32"/>
      <c r="B24" s="12" t="s">
        <v>48</v>
      </c>
      <c r="C24" s="45"/>
      <c r="D24" s="457" t="s">
        <v>106</v>
      </c>
      <c r="E24" s="55"/>
      <c r="F24" s="52"/>
      <c r="G24" s="55">
        <f>'Capex Category Summary (Alb)'!AO25+'Capex Category Summary (Alb)'!AO31</f>
        <v>1.7242948336666279E-2</v>
      </c>
      <c r="H24" s="54">
        <f>'Capex Category Summary (Alb)'!AP25+'Capex Category Summary (Alb)'!AP31</f>
        <v>1.7341503181881102E-2</v>
      </c>
      <c r="I24" s="54">
        <f>'Capex Category Summary (Alb)'!AQ25+'Capex Category Summary (Alb)'!AQ31</f>
        <v>1.7463983116205929E-2</v>
      </c>
      <c r="J24" s="54">
        <f>'Capex Category Summary (Alb)'!AR25+'Capex Category Summary (Alb)'!AR31</f>
        <v>1.7615431933280024E-2</v>
      </c>
      <c r="K24" s="95">
        <f>'Capex Category Summary (Alb)'!AS25+'Capex Category Summary (Alb)'!AS31</f>
        <v>1.7786526319051317E-2</v>
      </c>
      <c r="L24" s="52">
        <f>SUM(G24:K24)</f>
        <v>8.7450392887084644E-2</v>
      </c>
      <c r="M24" s="32"/>
    </row>
    <row r="25" spans="1:13" ht="18" customHeight="1" x14ac:dyDescent="0.2">
      <c r="A25" s="32"/>
      <c r="B25" s="149" t="s">
        <v>49</v>
      </c>
      <c r="C25" s="45"/>
      <c r="D25" s="458" t="s">
        <v>71</v>
      </c>
      <c r="E25" s="542"/>
      <c r="F25" s="52"/>
      <c r="G25" s="55">
        <f>'Capex Category Summary (Alb)'!AO12</f>
        <v>0.34127574108773517</v>
      </c>
      <c r="H25" s="54">
        <f>'Capex Category Summary (Alb)'!AP12</f>
        <v>0.34085600064104521</v>
      </c>
      <c r="I25" s="54">
        <f>'Capex Category Summary (Alb)'!AQ12</f>
        <v>0.34146655986343299</v>
      </c>
      <c r="J25" s="54">
        <f>'Capex Category Summary (Alb)'!AR12</f>
        <v>0.22251561452680574</v>
      </c>
      <c r="K25" s="95">
        <f>'Capex Category Summary (Alb)'!AS12</f>
        <v>0.22467685431565587</v>
      </c>
      <c r="L25" s="52">
        <f>SUM(G25:K25)</f>
        <v>1.470790770434675</v>
      </c>
      <c r="M25" s="32"/>
    </row>
    <row r="26" spans="1:13" ht="18" customHeight="1" x14ac:dyDescent="0.2">
      <c r="A26" s="32"/>
      <c r="B26" s="149" t="s">
        <v>50</v>
      </c>
      <c r="C26" s="45"/>
      <c r="D26" s="457" t="s">
        <v>106</v>
      </c>
      <c r="E26" s="55"/>
      <c r="F26" s="52"/>
      <c r="G26" s="55">
        <f>'Capex Category Summary (Alb)'!AO68</f>
        <v>0</v>
      </c>
      <c r="H26" s="54">
        <f>'Capex Category Summary (Alb)'!AP68</f>
        <v>0</v>
      </c>
      <c r="I26" s="54">
        <f>'Capex Category Summary (Alb)'!AQ68</f>
        <v>0</v>
      </c>
      <c r="J26" s="54">
        <f>'Capex Category Summary (Alb)'!AR68</f>
        <v>0</v>
      </c>
      <c r="K26" s="95">
        <f>'Capex Category Summary (Alb)'!AS68</f>
        <v>0</v>
      </c>
      <c r="L26" s="52">
        <f t="shared" ref="L26:L29" si="4">SUM(G26:K26)</f>
        <v>0</v>
      </c>
      <c r="M26" s="32"/>
    </row>
    <row r="27" spans="1:13" ht="18" customHeight="1" x14ac:dyDescent="0.2">
      <c r="A27" s="32"/>
      <c r="B27" s="149" t="s">
        <v>1</v>
      </c>
      <c r="C27" s="45"/>
      <c r="D27" s="457" t="s">
        <v>1</v>
      </c>
      <c r="E27" s="55"/>
      <c r="F27" s="52"/>
      <c r="G27" s="55">
        <f>'Capex Category Summary (Alb)'!AO62</f>
        <v>0</v>
      </c>
      <c r="H27" s="54">
        <f>'Capex Category Summary (Alb)'!AP62</f>
        <v>0</v>
      </c>
      <c r="I27" s="54">
        <f>'Capex Category Summary (Alb)'!AQ62</f>
        <v>0</v>
      </c>
      <c r="J27" s="54">
        <f>'Capex Category Summary (Alb)'!AR62</f>
        <v>9.0506189576329651E-2</v>
      </c>
      <c r="K27" s="95">
        <f>'Capex Category Summary (Alb)'!AS62</f>
        <v>0</v>
      </c>
      <c r="L27" s="52">
        <f t="shared" si="4"/>
        <v>9.0506189576329651E-2</v>
      </c>
      <c r="M27" s="32"/>
    </row>
    <row r="28" spans="1:13" ht="18" customHeight="1" x14ac:dyDescent="0.2">
      <c r="A28" s="32"/>
      <c r="B28" s="149" t="s">
        <v>52</v>
      </c>
      <c r="C28" s="45"/>
      <c r="D28" s="457" t="s">
        <v>2</v>
      </c>
      <c r="E28" s="55"/>
      <c r="F28" s="52"/>
      <c r="G28" s="55">
        <f>'Capex Category Summary (Alb)'!AO64</f>
        <v>0.38339258095187395</v>
      </c>
      <c r="H28" s="54">
        <f>'Capex Category Summary (Alb)'!AP64</f>
        <v>0.80970306630146438</v>
      </c>
      <c r="I28" s="54">
        <f>'Capex Category Summary (Alb)'!AQ64</f>
        <v>0.5544657249267807</v>
      </c>
      <c r="J28" s="54">
        <f>'Capex Category Summary (Alb)'!AR64</f>
        <v>0.1779415118006501</v>
      </c>
      <c r="K28" s="95">
        <f>'Capex Category Summary (Alb)'!AS64</f>
        <v>0.20966146974219563</v>
      </c>
      <c r="L28" s="52">
        <f t="shared" si="4"/>
        <v>2.1351643537229643</v>
      </c>
      <c r="M28" s="32"/>
    </row>
    <row r="29" spans="1:13" ht="18" customHeight="1" x14ac:dyDescent="0.2">
      <c r="A29" s="32"/>
      <c r="B29" s="153" t="s">
        <v>53</v>
      </c>
      <c r="C29" s="45"/>
      <c r="D29" s="457"/>
      <c r="E29" s="55"/>
      <c r="F29" s="52"/>
      <c r="G29" s="55">
        <f>SUM(G30:G34)</f>
        <v>1.3440879220762116</v>
      </c>
      <c r="H29" s="54">
        <f t="shared" ref="H29:K29" si="5">SUM(H30:H34)</f>
        <v>1.369497391698846</v>
      </c>
      <c r="I29" s="54">
        <f t="shared" si="5"/>
        <v>1.3975496595663639</v>
      </c>
      <c r="J29" s="54">
        <f t="shared" si="5"/>
        <v>1.4318774671043091</v>
      </c>
      <c r="K29" s="95">
        <f t="shared" si="5"/>
        <v>1.4659710016281808</v>
      </c>
      <c r="L29" s="52">
        <f t="shared" si="4"/>
        <v>7.0089834420739114</v>
      </c>
      <c r="M29" s="32"/>
    </row>
    <row r="30" spans="1:13" ht="18" customHeight="1" x14ac:dyDescent="0.2">
      <c r="A30" s="32"/>
      <c r="B30" s="45"/>
      <c r="C30" s="154" t="s">
        <v>54</v>
      </c>
      <c r="D30" s="459" t="s">
        <v>106</v>
      </c>
      <c r="E30" s="201"/>
      <c r="F30" s="127"/>
      <c r="G30" s="128">
        <f>'Capex Category Summary (Alb)'!AO39</f>
        <v>0.45405017359874622</v>
      </c>
      <c r="H30" s="129">
        <f>'Capex Category Summary (Alb)'!AP39</f>
        <v>0.46273024202761986</v>
      </c>
      <c r="I30" s="129">
        <f>'Capex Category Summary (Alb)'!AQ39</f>
        <v>0.4722261296399155</v>
      </c>
      <c r="J30" s="129">
        <f>'Capex Category Summary (Alb)'!AR39</f>
        <v>0.48270553168100511</v>
      </c>
      <c r="K30" s="130">
        <f>'Capex Category Summary (Alb)'!AS39</f>
        <v>0.49394551212636706</v>
      </c>
      <c r="L30" s="127"/>
      <c r="M30" s="32"/>
    </row>
    <row r="31" spans="1:13" ht="18" customHeight="1" x14ac:dyDescent="0.2">
      <c r="A31" s="32"/>
      <c r="B31" s="45"/>
      <c r="C31" s="155" t="s">
        <v>55</v>
      </c>
      <c r="D31" s="460" t="s">
        <v>106</v>
      </c>
      <c r="E31" s="55"/>
      <c r="F31" s="54"/>
      <c r="G31" s="131">
        <f>'Capex Category Summary (Alb)'!AO55</f>
        <v>0.60411778561815621</v>
      </c>
      <c r="H31" s="50">
        <f>'Capex Category Summary (Alb)'!AP55</f>
        <v>0.61720489478414808</v>
      </c>
      <c r="I31" s="50">
        <f>'Capex Category Summary (Alb)'!AQ55</f>
        <v>0.63143694931248673</v>
      </c>
      <c r="J31" s="50">
        <f>'Capex Category Summary (Alb)'!AR55</f>
        <v>0.64704651949014491</v>
      </c>
      <c r="K31" s="132">
        <f>'Capex Category Summary (Alb)'!AS55</f>
        <v>0.66374342819742616</v>
      </c>
      <c r="L31" s="54"/>
      <c r="M31" s="32"/>
    </row>
    <row r="32" spans="1:13" ht="18" customHeight="1" x14ac:dyDescent="0.2">
      <c r="A32" s="32"/>
      <c r="B32" s="45"/>
      <c r="C32" s="155" t="s">
        <v>56</v>
      </c>
      <c r="D32" s="460" t="s">
        <v>71</v>
      </c>
      <c r="E32" s="55"/>
      <c r="F32" s="54"/>
      <c r="G32" s="131">
        <f>'Capex Category Summary (Alb)'!AO46</f>
        <v>0.28591996285930926</v>
      </c>
      <c r="H32" s="50">
        <f>'Capex Category Summary (Alb)'!AP46</f>
        <v>0.28956225488707799</v>
      </c>
      <c r="I32" s="50">
        <f>'Capex Category Summary (Alb)'!AQ46</f>
        <v>0.29388658061396178</v>
      </c>
      <c r="J32" s="50">
        <f>'Capex Category Summary (Alb)'!AR46</f>
        <v>0.30212541593315911</v>
      </c>
      <c r="K32" s="132">
        <f>'Capex Category Summary (Alb)'!AS46</f>
        <v>0.30828206130438762</v>
      </c>
      <c r="L32" s="54"/>
      <c r="M32" s="32"/>
    </row>
    <row r="33" spans="1:13" ht="18" customHeight="1" x14ac:dyDescent="0.2">
      <c r="A33" s="32"/>
      <c r="B33" s="45"/>
      <c r="C33" s="155" t="s">
        <v>57</v>
      </c>
      <c r="D33" s="155"/>
      <c r="E33" s="55"/>
      <c r="F33" s="54"/>
      <c r="G33" s="131">
        <f>'Capex Category Summary (Alb)'!AO67</f>
        <v>0</v>
      </c>
      <c r="H33" s="50">
        <f>'Capex Category Summary (Alb)'!AP67</f>
        <v>0</v>
      </c>
      <c r="I33" s="50">
        <f>'Capex Category Summary (Alb)'!AQ67</f>
        <v>0</v>
      </c>
      <c r="J33" s="50">
        <f>'Capex Category Summary (Alb)'!AR67</f>
        <v>0</v>
      </c>
      <c r="K33" s="132">
        <f>'Capex Category Summary (Alb)'!AS67</f>
        <v>0</v>
      </c>
      <c r="L33" s="54"/>
      <c r="M33" s="32"/>
    </row>
    <row r="34" spans="1:13" ht="18" customHeight="1" x14ac:dyDescent="0.2">
      <c r="A34" s="32"/>
      <c r="B34" s="156"/>
      <c r="C34" s="157" t="s">
        <v>58</v>
      </c>
      <c r="D34" s="157"/>
      <c r="E34" s="134"/>
      <c r="F34" s="133"/>
      <c r="G34" s="131">
        <f>'Capex Category Summary (Alb)'!AO69</f>
        <v>0</v>
      </c>
      <c r="H34" s="50">
        <f>'Capex Category Summary (Alb)'!AP69</f>
        <v>0</v>
      </c>
      <c r="I34" s="50">
        <f>'Capex Category Summary (Alb)'!AQ69</f>
        <v>0</v>
      </c>
      <c r="J34" s="50">
        <f>'Capex Category Summary (Alb)'!AR69</f>
        <v>0</v>
      </c>
      <c r="K34" s="132">
        <f>'Capex Category Summary (Alb)'!AS69</f>
        <v>0</v>
      </c>
      <c r="L34" s="133"/>
      <c r="M34" s="32"/>
    </row>
    <row r="35" spans="1:13" ht="18" customHeight="1" x14ac:dyDescent="0.2">
      <c r="A35" s="32"/>
      <c r="B35" s="149" t="s">
        <v>100</v>
      </c>
      <c r="C35" s="45"/>
      <c r="D35" s="460" t="s">
        <v>100</v>
      </c>
      <c r="E35" s="55"/>
      <c r="F35" s="52"/>
      <c r="G35" s="142">
        <f>'Capex Category Summary (Alb)'!AO65+'Capex Category Summary (Alb)'!AO66+'Capex Category Summary (Alb)'!AO63</f>
        <v>7.0471234452968309E-2</v>
      </c>
      <c r="H35" s="143">
        <f>'Capex Category Summary (Alb)'!AP65+'Capex Category Summary (Alb)'!AP66+'Capex Category Summary (Alb)'!AP63</f>
        <v>0.10428606407802483</v>
      </c>
      <c r="I35" s="143">
        <f>'Capex Category Summary (Alb)'!AQ65+'Capex Category Summary (Alb)'!AQ66+'Capex Category Summary (Alb)'!AQ63</f>
        <v>0.10502261789030433</v>
      </c>
      <c r="J35" s="143">
        <f>'Capex Category Summary (Alb)'!AR65+'Capex Category Summary (Alb)'!AR66+'Capex Category Summary (Alb)'!AR63</f>
        <v>9.2563148430337139E-2</v>
      </c>
      <c r="K35" s="144">
        <f>'Capex Category Summary (Alb)'!AS65+'Capex Category Summary (Alb)'!AS66+'Capex Category Summary (Alb)'!AS63</f>
        <v>2.3884782316136551E-2</v>
      </c>
      <c r="L35" s="52">
        <f t="shared" ref="L35" si="6">SUM(G35:K35)</f>
        <v>0.39622784716777115</v>
      </c>
      <c r="M35" s="32"/>
    </row>
    <row r="36" spans="1:13" ht="18" customHeight="1" thickBot="1" x14ac:dyDescent="0.25">
      <c r="A36" s="32"/>
      <c r="B36" s="151" t="s">
        <v>45</v>
      </c>
      <c r="C36" s="152"/>
      <c r="D36" s="152"/>
      <c r="E36" s="100"/>
      <c r="F36" s="99"/>
      <c r="G36" s="145">
        <f t="shared" ref="G36:K36" si="7">SUM(G24:G29,G35:G35)</f>
        <v>2.1564704269054551</v>
      </c>
      <c r="H36" s="146">
        <f t="shared" si="7"/>
        <v>2.6416840259012613</v>
      </c>
      <c r="I36" s="146">
        <f t="shared" si="7"/>
        <v>2.4159685453630875</v>
      </c>
      <c r="J36" s="146">
        <f t="shared" si="7"/>
        <v>2.0330193633717117</v>
      </c>
      <c r="K36" s="146">
        <f t="shared" si="7"/>
        <v>1.9419806343212203</v>
      </c>
      <c r="L36" s="100">
        <f>SUM(G36:K36)</f>
        <v>11.189122995862737</v>
      </c>
      <c r="M36" s="32"/>
    </row>
    <row r="37" spans="1:13" x14ac:dyDescent="0.2">
      <c r="A37" s="32"/>
      <c r="B37" s="32"/>
      <c r="C37" s="66"/>
      <c r="D37" s="66"/>
      <c r="E37" s="66"/>
      <c r="F37" s="141"/>
      <c r="G37" s="141"/>
      <c r="H37" s="141"/>
      <c r="I37" s="141"/>
      <c r="J37" s="141"/>
      <c r="K37" s="141"/>
      <c r="L37" s="141"/>
      <c r="M37" s="32"/>
    </row>
    <row r="38" spans="1:13" ht="24" customHeight="1" x14ac:dyDescent="0.2">
      <c r="A38" s="69"/>
      <c r="B38" s="357" t="s">
        <v>196</v>
      </c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7" t="s">
        <v>106</v>
      </c>
      <c r="E40" s="55"/>
      <c r="F40" s="52"/>
      <c r="G40" s="55">
        <f>SUM('Overheads (Alb)'!F12:F20)</f>
        <v>1.8230546685861621E-2</v>
      </c>
      <c r="H40" s="54">
        <f>SUM('Overheads (Alb)'!G12:G20)</f>
        <v>1.8209023947862481E-2</v>
      </c>
      <c r="I40" s="54">
        <f>SUM('Overheads (Alb)'!H12:H20)</f>
        <v>1.8390202445433226E-2</v>
      </c>
      <c r="J40" s="54">
        <f>SUM('Overheads (Alb)'!I12:I20)</f>
        <v>1.8666584665989108E-2</v>
      </c>
      <c r="K40" s="95">
        <f>SUM('Overheads (Alb)'!J12:J20)</f>
        <v>1.8882798501987808E-2</v>
      </c>
      <c r="L40" s="137">
        <f>SUM(G40:K40)</f>
        <v>9.2379156247134248E-2</v>
      </c>
      <c r="M40" s="45"/>
    </row>
    <row r="41" spans="1:13" ht="18" customHeight="1" x14ac:dyDescent="0.2">
      <c r="A41" s="32"/>
      <c r="B41" s="149" t="s">
        <v>49</v>
      </c>
      <c r="C41" s="45"/>
      <c r="D41" s="458" t="s">
        <v>71</v>
      </c>
      <c r="E41" s="542"/>
      <c r="F41" s="52"/>
      <c r="G41" s="55">
        <f>SUM('Overheads (Alb)'!F10:F11)</f>
        <v>0.36082247705990977</v>
      </c>
      <c r="H41" s="54">
        <f>SUM('Overheads (Alb)'!G10:G11)</f>
        <v>0.35790755930145157</v>
      </c>
      <c r="I41" s="54">
        <f>SUM('Overheads (Alb)'!H10:H11)</f>
        <v>0.3595765709603157</v>
      </c>
      <c r="J41" s="54">
        <f>SUM('Overheads (Alb)'!I10:I11)</f>
        <v>0.23579362537355653</v>
      </c>
      <c r="K41" s="95">
        <f>SUM('Overheads (Alb)'!J10:J11)</f>
        <v>0.23852480759881639</v>
      </c>
      <c r="L41" s="137">
        <f>SUM(G41:K41)</f>
        <v>1.55262504029405</v>
      </c>
      <c r="M41" s="45"/>
    </row>
    <row r="42" spans="1:13" ht="18" customHeight="1" x14ac:dyDescent="0.2">
      <c r="A42" s="32"/>
      <c r="B42" s="149" t="s">
        <v>50</v>
      </c>
      <c r="C42" s="45"/>
      <c r="D42" s="457" t="s">
        <v>106</v>
      </c>
      <c r="E42" s="55"/>
      <c r="F42" s="52"/>
      <c r="G42" s="55">
        <f>'Overheads (Alb)'!F39</f>
        <v>0</v>
      </c>
      <c r="H42" s="54">
        <f>'Overheads (Alb)'!G39</f>
        <v>0</v>
      </c>
      <c r="I42" s="54">
        <f>'Overheads (Alb)'!H39</f>
        <v>0</v>
      </c>
      <c r="J42" s="54">
        <f>'Overheads (Alb)'!I39</f>
        <v>0</v>
      </c>
      <c r="K42" s="95">
        <f>'Overheads (Alb)'!J39</f>
        <v>0</v>
      </c>
      <c r="L42" s="137">
        <f t="shared" ref="L42:L51" si="8">SUM(G42:K42)</f>
        <v>0</v>
      </c>
      <c r="M42" s="45"/>
    </row>
    <row r="43" spans="1:13" ht="18" customHeight="1" x14ac:dyDescent="0.2">
      <c r="A43" s="32"/>
      <c r="B43" s="149" t="s">
        <v>1</v>
      </c>
      <c r="C43" s="45"/>
      <c r="D43" s="457" t="s">
        <v>1</v>
      </c>
      <c r="E43" s="55"/>
      <c r="F43" s="52"/>
      <c r="G43" s="55">
        <f>'Overheads (Alb)'!F33</f>
        <v>0</v>
      </c>
      <c r="H43" s="54">
        <f>'Overheads (Alb)'!G33</f>
        <v>0</v>
      </c>
      <c r="I43" s="54">
        <f>'Overheads (Alb)'!H33</f>
        <v>0</v>
      </c>
      <c r="J43" s="54">
        <f>'Overheads (Alb)'!I33</f>
        <v>9.5906898957773171E-2</v>
      </c>
      <c r="K43" s="95">
        <f>'Overheads (Alb)'!J33</f>
        <v>0</v>
      </c>
      <c r="L43" s="137">
        <f t="shared" si="8"/>
        <v>9.5906898957773171E-2</v>
      </c>
      <c r="M43" s="45"/>
    </row>
    <row r="44" spans="1:13" ht="18" customHeight="1" x14ac:dyDescent="0.2">
      <c r="A44" s="32"/>
      <c r="B44" s="149" t="s">
        <v>52</v>
      </c>
      <c r="C44" s="45"/>
      <c r="D44" s="457" t="s">
        <v>2</v>
      </c>
      <c r="E44" s="55"/>
      <c r="F44" s="52"/>
      <c r="G44" s="55">
        <f>'Overheads (Alb)'!F35</f>
        <v>0.40535157964797613</v>
      </c>
      <c r="H44" s="54">
        <f>'Overheads (Alb)'!G35</f>
        <v>0.85020902572885948</v>
      </c>
      <c r="I44" s="54">
        <f>'Overheads (Alb)'!H35</f>
        <v>0.58387235389589875</v>
      </c>
      <c r="J44" s="54">
        <f>'Overheads (Alb)'!I35</f>
        <v>0.18855968495133316</v>
      </c>
      <c r="K44" s="95">
        <f>'Overheads (Alb)'!J35</f>
        <v>0.22258395010677134</v>
      </c>
      <c r="L44" s="137">
        <f t="shared" si="8"/>
        <v>2.2505765943308389</v>
      </c>
      <c r="M44" s="45"/>
    </row>
    <row r="45" spans="1:13" ht="18" customHeight="1" x14ac:dyDescent="0.2">
      <c r="A45" s="32"/>
      <c r="B45" s="153" t="s">
        <v>53</v>
      </c>
      <c r="C45" s="45"/>
      <c r="D45" s="457"/>
      <c r="E45" s="55"/>
      <c r="F45" s="52"/>
      <c r="G45" s="55">
        <f>SUM(G46:G50)</f>
        <v>1.4210712190796115</v>
      </c>
      <c r="H45" s="54">
        <f t="shared" ref="H45:K45" si="9">SUM(H46:H50)</f>
        <v>1.4380074518588795</v>
      </c>
      <c r="I45" s="54">
        <f t="shared" si="9"/>
        <v>1.4716700649533918</v>
      </c>
      <c r="J45" s="54">
        <f t="shared" si="9"/>
        <v>1.5173208396058766</v>
      </c>
      <c r="K45" s="95">
        <f t="shared" si="9"/>
        <v>1.5563260940868546</v>
      </c>
      <c r="L45" s="137">
        <f t="shared" si="8"/>
        <v>7.4043956695846127</v>
      </c>
      <c r="M45" s="45"/>
    </row>
    <row r="46" spans="1:13" ht="18" customHeight="1" x14ac:dyDescent="0.2">
      <c r="A46" s="32"/>
      <c r="B46" s="45"/>
      <c r="C46" s="154" t="s">
        <v>54</v>
      </c>
      <c r="D46" s="459" t="s">
        <v>106</v>
      </c>
      <c r="E46" s="201"/>
      <c r="F46" s="127"/>
      <c r="G46" s="128">
        <f>'Overheads (Alb)'!F21+'Overheads (Alb)'!F22+'Overheads (Alb)'!F23</f>
        <v>0.48005612067593129</v>
      </c>
      <c r="H46" s="129">
        <f>'Overheads (Alb)'!G21+'Overheads (Alb)'!G22+'Overheads (Alb)'!G23</f>
        <v>0.48587864443520201</v>
      </c>
      <c r="I46" s="129">
        <f>'Overheads (Alb)'!H21+'Overheads (Alb)'!H22+'Overheads (Alb)'!H23</f>
        <v>0.49727110169058181</v>
      </c>
      <c r="J46" s="129">
        <f>'Overheads (Alb)'!I21+'Overheads (Alb)'!I22+'Overheads (Alb)'!I23</f>
        <v>0.51150966436660095</v>
      </c>
      <c r="K46" s="130">
        <f>'Overheads (Alb)'!J21+'Overheads (Alb)'!J22+'Overheads (Alb)'!J23</f>
        <v>0.52438983358167279</v>
      </c>
      <c r="L46" s="138"/>
      <c r="M46" s="45"/>
    </row>
    <row r="47" spans="1:13" ht="18" customHeight="1" x14ac:dyDescent="0.2">
      <c r="A47" s="32"/>
      <c r="B47" s="45"/>
      <c r="C47" s="155" t="s">
        <v>55</v>
      </c>
      <c r="D47" s="460" t="s">
        <v>106</v>
      </c>
      <c r="E47" s="55"/>
      <c r="F47" s="54"/>
      <c r="G47" s="131">
        <f>'Overheads (Alb)'!F26+'Overheads (Alb)'!F27+'Overheads (Alb)'!F28+'Overheads (Alb)'!F29</f>
        <v>0.6387189290042522</v>
      </c>
      <c r="H47" s="50">
        <f>'Overheads (Alb)'!G26+'Overheads (Alb)'!G27+'Overheads (Alb)'!G28+'Overheads (Alb)'!G29</f>
        <v>0.6480809992068628</v>
      </c>
      <c r="I47" s="50">
        <f>'Overheads (Alb)'!H26+'Overheads (Alb)'!H27+'Overheads (Alb)'!H28+'Overheads (Alb)'!H29</f>
        <v>0.66492582202554051</v>
      </c>
      <c r="J47" s="50">
        <f>'Overheads (Alb)'!I26+'Overheads (Alb)'!I27+'Overheads (Alb)'!I28+'Overheads (Alb)'!I29</f>
        <v>0.6856572512467134</v>
      </c>
      <c r="K47" s="132">
        <f>'Overheads (Alb)'!J26+'Overheads (Alb)'!J27+'Overheads (Alb)'!J28+'Overheads (Alb)'!J29</f>
        <v>0.70465324070872881</v>
      </c>
      <c r="L47" s="136"/>
      <c r="M47" s="45"/>
    </row>
    <row r="48" spans="1:13" ht="18" customHeight="1" x14ac:dyDescent="0.2">
      <c r="A48" s="32"/>
      <c r="B48" s="45"/>
      <c r="C48" s="155" t="s">
        <v>56</v>
      </c>
      <c r="D48" s="460" t="s">
        <v>71</v>
      </c>
      <c r="E48" s="55"/>
      <c r="F48" s="54"/>
      <c r="G48" s="131">
        <f>'Overheads (Alb)'!F24+'Overheads (Alb)'!F25</f>
        <v>0.30229616939942822</v>
      </c>
      <c r="H48" s="50">
        <f>'Overheads (Alb)'!G24+'Overheads (Alb)'!G25</f>
        <v>0.30404780821681443</v>
      </c>
      <c r="I48" s="50">
        <f>'Overheads (Alb)'!H24+'Overheads (Alb)'!H25</f>
        <v>0.3094731412372696</v>
      </c>
      <c r="J48" s="50">
        <f>'Overheads (Alb)'!I24+'Overheads (Alb)'!I25</f>
        <v>0.32015392399256237</v>
      </c>
      <c r="K48" s="132">
        <f>'Overheads (Alb)'!J24+'Overheads (Alb)'!J25</f>
        <v>0.32728301979645297</v>
      </c>
      <c r="L48" s="136"/>
      <c r="M48" s="45"/>
    </row>
    <row r="49" spans="1:13" ht="18" customHeight="1" x14ac:dyDescent="0.2">
      <c r="A49" s="32"/>
      <c r="B49" s="45"/>
      <c r="C49" s="155" t="s">
        <v>57</v>
      </c>
      <c r="D49" s="155"/>
      <c r="E49" s="55"/>
      <c r="F49" s="54"/>
      <c r="G49" s="131">
        <f>'Overheads (Alb)'!F38</f>
        <v>0</v>
      </c>
      <c r="H49" s="50">
        <f>'Overheads (Alb)'!G38</f>
        <v>0</v>
      </c>
      <c r="I49" s="50">
        <f>'Overheads (Alb)'!H38</f>
        <v>0</v>
      </c>
      <c r="J49" s="50">
        <f>'Overheads (Alb)'!I38</f>
        <v>0</v>
      </c>
      <c r="K49" s="132">
        <f>'Overheads (Alb)'!J38</f>
        <v>0</v>
      </c>
      <c r="L49" s="136"/>
      <c r="M49" s="45"/>
    </row>
    <row r="50" spans="1:13" ht="18" customHeight="1" x14ac:dyDescent="0.2">
      <c r="A50" s="32"/>
      <c r="B50" s="156"/>
      <c r="C50" s="157" t="s">
        <v>58</v>
      </c>
      <c r="D50" s="157"/>
      <c r="E50" s="134"/>
      <c r="F50" s="133"/>
      <c r="G50" s="131">
        <f>'Overheads (Alb)'!F40</f>
        <v>0</v>
      </c>
      <c r="H50" s="50">
        <f>'Overheads (Alb)'!G40</f>
        <v>0</v>
      </c>
      <c r="I50" s="50">
        <f>'Overheads (Alb)'!H40</f>
        <v>0</v>
      </c>
      <c r="J50" s="50">
        <f>'Overheads (Alb)'!I40</f>
        <v>0</v>
      </c>
      <c r="K50" s="132">
        <f>'Overheads (Alb)'!J40</f>
        <v>0</v>
      </c>
      <c r="L50" s="139"/>
      <c r="M50" s="45"/>
    </row>
    <row r="51" spans="1:13" ht="18" customHeight="1" x14ac:dyDescent="0.2">
      <c r="A51" s="32"/>
      <c r="B51" s="149" t="s">
        <v>100</v>
      </c>
      <c r="C51" s="45"/>
      <c r="D51" s="460" t="s">
        <v>100</v>
      </c>
      <c r="E51" s="55"/>
      <c r="F51" s="52"/>
      <c r="G51" s="142">
        <f>'Overheads (Alb)'!F34+'Overheads (Alb)'!F36+'Overheads (Alb)'!F37</f>
        <v>7.4507509076810585E-2</v>
      </c>
      <c r="H51" s="143">
        <f>'Overheads (Alb)'!G34+'Overheads (Alb)'!G36+'Overheads (Alb)'!G37</f>
        <v>0.10950304701435283</v>
      </c>
      <c r="I51" s="143">
        <f>'Overheads (Alb)'!H34+'Overheads (Alb)'!H36+'Overheads (Alb)'!H37</f>
        <v>0.11059259457023973</v>
      </c>
      <c r="J51" s="143">
        <f>'Overheads (Alb)'!I34+'Overheads (Alb)'!I36+'Overheads (Alb)'!I37</f>
        <v>9.8086601206813478E-2</v>
      </c>
      <c r="K51" s="144">
        <f>'Overheads (Alb)'!J34+'Overheads (Alb)'!J36+'Overheads (Alb)'!J37</f>
        <v>2.5356920381714186E-2</v>
      </c>
      <c r="L51" s="137">
        <f t="shared" si="8"/>
        <v>0.41804667224993081</v>
      </c>
      <c r="M51" s="45"/>
    </row>
    <row r="52" spans="1:13" ht="18" customHeight="1" thickBot="1" x14ac:dyDescent="0.25">
      <c r="A52" s="32"/>
      <c r="B52" s="151" t="s">
        <v>45</v>
      </c>
      <c r="C52" s="152"/>
      <c r="D52" s="152"/>
      <c r="E52" s="100"/>
      <c r="F52" s="99"/>
      <c r="G52" s="145">
        <f t="shared" ref="G52:K52" si="10">SUM(G40:G45,G51:G51)</f>
        <v>2.2799833315501696</v>
      </c>
      <c r="H52" s="146">
        <f t="shared" si="10"/>
        <v>2.7738361078514058</v>
      </c>
      <c r="I52" s="146">
        <f t="shared" si="10"/>
        <v>2.5441017868252791</v>
      </c>
      <c r="J52" s="146">
        <f t="shared" si="10"/>
        <v>2.1543342347613423</v>
      </c>
      <c r="K52" s="146">
        <f t="shared" si="10"/>
        <v>2.0616745706761446</v>
      </c>
      <c r="L52" s="100">
        <f>SUM(G52:K52)</f>
        <v>11.813930031664341</v>
      </c>
      <c r="M52" s="106"/>
    </row>
    <row r="53" spans="1:13" ht="15" x14ac:dyDescent="0.25">
      <c r="A53" s="32"/>
      <c r="B53" s="105"/>
      <c r="C53" s="105"/>
      <c r="D53" s="105"/>
      <c r="E53" s="140"/>
      <c r="F53" s="141"/>
      <c r="G53" s="141"/>
      <c r="H53" s="141"/>
      <c r="I53" s="141"/>
      <c r="J53" s="141"/>
      <c r="K53" s="141"/>
      <c r="L53" s="141"/>
      <c r="M53" s="106"/>
    </row>
    <row r="54" spans="1:13" ht="15" x14ac:dyDescent="0.25">
      <c r="A54" s="32"/>
      <c r="B54" s="105"/>
      <c r="C54" s="105"/>
      <c r="D54" s="105"/>
      <c r="E54" s="140"/>
      <c r="F54" s="49"/>
      <c r="G54" s="140"/>
      <c r="H54" s="140"/>
      <c r="I54" s="140"/>
      <c r="J54" s="140"/>
      <c r="K54" s="140"/>
      <c r="L54" s="140"/>
      <c r="M54" s="140"/>
    </row>
    <row r="55" spans="1:13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3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</row>
    <row r="60" spans="1:13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3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3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3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Normal="100" workbookViewId="0">
      <selection activeCell="B2" sqref="B2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85546875" style="44" customWidth="1"/>
    <col min="4" max="4" width="19.140625" style="44" customWidth="1"/>
    <col min="5" max="5" width="9.85546875" style="44" hidden="1" customWidth="1"/>
    <col min="6" max="6" width="9.140625" style="44" hidden="1" customWidth="1"/>
    <col min="7" max="11" width="11.5703125" style="44" bestFit="1" customWidth="1"/>
    <col min="12" max="12" width="12.7109375" style="44" customWidth="1"/>
    <col min="13" max="13" width="3.7109375" style="44" customWidth="1"/>
    <col min="14" max="14" width="4.7109375" style="44" customWidth="1"/>
    <col min="15" max="15" width="16" style="44" customWidth="1"/>
    <col min="16" max="16" width="18.28515625" style="44" customWidth="1"/>
    <col min="17" max="19" width="16.140625" style="44" customWidth="1"/>
    <col min="20" max="16384" width="9.140625" style="44"/>
  </cols>
  <sheetData>
    <row r="1" spans="1:2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1" ht="28.5" customHeight="1" x14ac:dyDescent="0.25">
      <c r="A2" s="63"/>
      <c r="B2" s="343" t="s">
        <v>115</v>
      </c>
      <c r="C2" s="356"/>
      <c r="D2" s="356"/>
      <c r="E2" s="356"/>
      <c r="F2" s="344"/>
      <c r="G2" s="344"/>
      <c r="H2" s="344"/>
      <c r="I2" s="344"/>
      <c r="J2" s="344"/>
      <c r="K2" s="344"/>
      <c r="L2" s="353"/>
      <c r="M2" s="63"/>
    </row>
    <row r="3" spans="1:21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1" ht="22.5" x14ac:dyDescent="0.2">
      <c r="A4" s="32"/>
      <c r="B4" s="32"/>
      <c r="C4" s="66"/>
      <c r="D4" s="3" t="s">
        <v>322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75</v>
      </c>
      <c r="M4" s="32"/>
    </row>
    <row r="5" spans="1:21" x14ac:dyDescent="0.2">
      <c r="A5" s="32"/>
      <c r="B5" s="32"/>
      <c r="C5" s="66"/>
      <c r="D5" s="66"/>
      <c r="E5" s="66"/>
      <c r="F5" s="85"/>
      <c r="G5" s="66"/>
      <c r="H5" s="66"/>
      <c r="I5" s="66"/>
      <c r="J5" s="66"/>
      <c r="K5" s="66"/>
      <c r="L5" s="66"/>
      <c r="M5" s="32"/>
    </row>
    <row r="6" spans="1:21" ht="22.5" customHeight="1" x14ac:dyDescent="0.2">
      <c r="A6" s="32"/>
      <c r="B6" s="357" t="s">
        <v>105</v>
      </c>
      <c r="C6" s="357"/>
      <c r="D6" s="357"/>
      <c r="E6" s="357"/>
      <c r="F6" s="420"/>
      <c r="G6" s="357"/>
      <c r="H6" s="357"/>
      <c r="I6" s="357"/>
      <c r="J6" s="357"/>
      <c r="K6" s="357"/>
      <c r="L6" s="357"/>
      <c r="M6" s="32"/>
      <c r="N6" s="526"/>
      <c r="U6" s="525"/>
    </row>
    <row r="7" spans="1:21" ht="18" customHeight="1" x14ac:dyDescent="0.25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  <c r="O7" s="544"/>
      <c r="P7" s="544"/>
      <c r="Q7" s="544"/>
    </row>
    <row r="8" spans="1:21" ht="18" customHeight="1" x14ac:dyDescent="0.2">
      <c r="A8" s="32"/>
      <c r="B8" s="77" t="s">
        <v>48</v>
      </c>
      <c r="C8" s="45"/>
      <c r="D8" s="457" t="s">
        <v>106</v>
      </c>
      <c r="E8" s="471"/>
      <c r="F8" s="54"/>
      <c r="G8" s="55">
        <f>'Capex Category Summary (Comb)'!AD25+'Capex Category Summary (Comb)'!AD31</f>
        <v>34.706935165933196</v>
      </c>
      <c r="H8" s="54">
        <f>'Capex Category Summary (Comb)'!AE25+'Capex Category Summary (Comb)'!AE31</f>
        <v>36.635973325933193</v>
      </c>
      <c r="I8" s="54">
        <f>'Capex Category Summary (Comb)'!AF25+'Capex Category Summary (Comb)'!AF31</f>
        <v>36.635973325933193</v>
      </c>
      <c r="J8" s="54">
        <f>'Capex Category Summary (Comb)'!AG25+'Capex Category Summary (Comb)'!AG31</f>
        <v>34.347335165933202</v>
      </c>
      <c r="K8" s="95">
        <f>'Capex Category Summary (Comb)'!AH25+'Capex Category Summary (Comb)'!AH31</f>
        <v>8.4102847096549844</v>
      </c>
      <c r="L8" s="52">
        <f>SUM(G8:K8)</f>
        <v>150.73650169338774</v>
      </c>
      <c r="M8" s="527"/>
      <c r="N8" s="474"/>
      <c r="O8" s="474"/>
      <c r="P8" s="474"/>
      <c r="Q8" s="474"/>
    </row>
    <row r="9" spans="1:21" ht="18" customHeight="1" x14ac:dyDescent="0.2">
      <c r="A9" s="32"/>
      <c r="B9" s="461" t="s">
        <v>49</v>
      </c>
      <c r="C9" s="45"/>
      <c r="D9" s="458" t="s">
        <v>71</v>
      </c>
      <c r="E9" s="471"/>
      <c r="F9" s="54"/>
      <c r="G9" s="55">
        <f>'Capex Category Summary (Comb)'!AD12</f>
        <v>7.4969769046478332</v>
      </c>
      <c r="H9" s="54">
        <f>'Capex Category Summary (Comb)'!AE12</f>
        <v>7.4969769046478332</v>
      </c>
      <c r="I9" s="54">
        <f>'Capex Category Summary (Comb)'!AF12</f>
        <v>7.4969769046478332</v>
      </c>
      <c r="J9" s="54">
        <f>'Capex Category Summary (Comb)'!AG12</f>
        <v>5.0211137816555791</v>
      </c>
      <c r="K9" s="95">
        <f>'Capex Category Summary (Comb)'!AH12</f>
        <v>5.0211137816555791</v>
      </c>
      <c r="L9" s="52">
        <f>SUM(G9:K9)</f>
        <v>32.533158277254657</v>
      </c>
      <c r="M9" s="527"/>
      <c r="N9" s="474"/>
      <c r="O9" s="474"/>
      <c r="P9" s="474"/>
      <c r="Q9" s="474"/>
    </row>
    <row r="10" spans="1:21" ht="18" customHeight="1" x14ac:dyDescent="0.2">
      <c r="A10" s="32"/>
      <c r="B10" s="461" t="s">
        <v>50</v>
      </c>
      <c r="C10" s="45"/>
      <c r="D10" s="457" t="s">
        <v>106</v>
      </c>
      <c r="E10" s="471"/>
      <c r="F10" s="54"/>
      <c r="G10" s="55">
        <f>'Capex Category Summary (Comb)'!AD68</f>
        <v>5.6124999999999998</v>
      </c>
      <c r="H10" s="54">
        <f>'Capex Category Summary (Comb)'!AE68</f>
        <v>9.1690000000000005</v>
      </c>
      <c r="I10" s="54">
        <f>'Capex Category Summary (Comb)'!AF68</f>
        <v>7.24</v>
      </c>
      <c r="J10" s="54">
        <f>'Capex Category Summary (Comb)'!AG68</f>
        <v>3.387</v>
      </c>
      <c r="K10" s="95">
        <f>'Capex Category Summary (Comb)'!AH68</f>
        <v>2.0990000000000002</v>
      </c>
      <c r="L10" s="52">
        <f t="shared" ref="L10:L13" si="0">SUM(G10:K10)</f>
        <v>27.507500000000004</v>
      </c>
      <c r="M10" s="527"/>
      <c r="N10" s="474"/>
      <c r="O10" s="474"/>
      <c r="P10" s="474"/>
      <c r="Q10" s="474"/>
    </row>
    <row r="11" spans="1:21" ht="18" customHeight="1" x14ac:dyDescent="0.2">
      <c r="A11" s="32"/>
      <c r="B11" s="461" t="s">
        <v>1</v>
      </c>
      <c r="C11" s="45"/>
      <c r="D11" s="457" t="s">
        <v>1</v>
      </c>
      <c r="E11" s="471"/>
      <c r="F11" s="54"/>
      <c r="G11" s="55">
        <f>'Capex Category Summary (Comb)'!AD62</f>
        <v>0.26675599999999999</v>
      </c>
      <c r="H11" s="54">
        <f>'Capex Category Summary (Comb)'!AE62</f>
        <v>0.25515599999999999</v>
      </c>
      <c r="I11" s="54">
        <f>'Capex Category Summary (Comb)'!AF62</f>
        <v>0.248638</v>
      </c>
      <c r="J11" s="54">
        <f>'Capex Category Summary (Comb)'!AG62</f>
        <v>0.25009999999999999</v>
      </c>
      <c r="K11" s="95">
        <f>'Capex Category Summary (Comb)'!AH62</f>
        <v>0.13900000000000001</v>
      </c>
      <c r="L11" s="52">
        <f t="shared" si="0"/>
        <v>1.1596499999999998</v>
      </c>
      <c r="M11" s="527"/>
      <c r="N11" s="474"/>
      <c r="O11" s="474"/>
      <c r="P11" s="474"/>
      <c r="Q11" s="474"/>
    </row>
    <row r="12" spans="1:21" ht="18" customHeight="1" x14ac:dyDescent="0.2">
      <c r="A12" s="32"/>
      <c r="B12" s="461" t="s">
        <v>52</v>
      </c>
      <c r="C12" s="45"/>
      <c r="D12" s="457" t="s">
        <v>2</v>
      </c>
      <c r="E12" s="471"/>
      <c r="F12" s="54"/>
      <c r="G12" s="55">
        <f>'Capex Category Summary (Comb)'!AD64</f>
        <v>11.305724141864102</v>
      </c>
      <c r="H12" s="54">
        <f>'Capex Category Summary (Comb)'!AE64</f>
        <v>23.741341275136925</v>
      </c>
      <c r="I12" s="54">
        <f>'Capex Category Summary (Comb)'!AF64</f>
        <v>16.143496686034588</v>
      </c>
      <c r="J12" s="54">
        <f>'Capex Category Summary (Comb)'!AG64</f>
        <v>5.1362976861436298</v>
      </c>
      <c r="K12" s="95">
        <f>'Capex Category Summary (Comb)'!AH64</f>
        <v>5.9936819469254905</v>
      </c>
      <c r="L12" s="52">
        <f t="shared" si="0"/>
        <v>62.320541736104737</v>
      </c>
      <c r="M12" s="527"/>
      <c r="N12" s="474"/>
      <c r="O12" s="474"/>
      <c r="P12" s="474"/>
      <c r="Q12" s="474"/>
    </row>
    <row r="13" spans="1:21" ht="18" customHeight="1" x14ac:dyDescent="0.2">
      <c r="A13" s="32"/>
      <c r="B13" s="462" t="s">
        <v>53</v>
      </c>
      <c r="C13" s="45"/>
      <c r="D13" s="457"/>
      <c r="E13" s="471"/>
      <c r="F13" s="54"/>
      <c r="G13" s="55">
        <f>SUM(G14:G18)</f>
        <v>34.313044741649747</v>
      </c>
      <c r="H13" s="54">
        <f t="shared" ref="H13:K13" si="1">SUM(H14:H18)</f>
        <v>33.502636691979504</v>
      </c>
      <c r="I13" s="54">
        <f t="shared" si="1"/>
        <v>33.880521741063006</v>
      </c>
      <c r="J13" s="54">
        <f t="shared" si="1"/>
        <v>34.392594564833814</v>
      </c>
      <c r="K13" s="95">
        <f t="shared" si="1"/>
        <v>34.905372486703712</v>
      </c>
      <c r="L13" s="52">
        <f t="shared" si="0"/>
        <v>170.99417022622976</v>
      </c>
      <c r="M13" s="527"/>
      <c r="N13" s="474"/>
      <c r="O13" s="474"/>
      <c r="P13" s="474"/>
      <c r="Q13" s="474"/>
      <c r="R13" s="474"/>
      <c r="S13" s="223"/>
      <c r="T13" s="474"/>
    </row>
    <row r="14" spans="1:21" ht="18" customHeight="1" x14ac:dyDescent="0.2">
      <c r="A14" s="32"/>
      <c r="B14" s="463"/>
      <c r="C14" s="154" t="s">
        <v>54</v>
      </c>
      <c r="D14" s="459" t="s">
        <v>106</v>
      </c>
      <c r="E14" s="523"/>
      <c r="F14" s="127"/>
      <c r="G14" s="128">
        <f>'Capex Category Summary (Comb)'!AD39</f>
        <v>9.536301167112768</v>
      </c>
      <c r="H14" s="129">
        <f>'Capex Category Summary (Comb)'!AE39</f>
        <v>9.3277707424974245</v>
      </c>
      <c r="I14" s="129">
        <f>'Capex Category Summary (Comb)'!AF39</f>
        <v>9.4306068760581674</v>
      </c>
      <c r="J14" s="129">
        <f>'Capex Category Summary (Comb)'!AG39</f>
        <v>9.5686360636015984</v>
      </c>
      <c r="K14" s="130">
        <f>'Capex Category Summary (Comb)'!AH39</f>
        <v>9.7068865381083071</v>
      </c>
      <c r="L14" s="127"/>
      <c r="M14" s="527"/>
      <c r="N14" s="474"/>
      <c r="O14" s="474"/>
      <c r="P14" s="474"/>
      <c r="Q14" s="474"/>
      <c r="R14" s="474"/>
      <c r="S14" s="223"/>
      <c r="T14" s="474"/>
    </row>
    <row r="15" spans="1:21" ht="18" customHeight="1" x14ac:dyDescent="0.2">
      <c r="A15" s="32"/>
      <c r="B15" s="463"/>
      <c r="C15" s="155" t="s">
        <v>55</v>
      </c>
      <c r="D15" s="460" t="s">
        <v>106</v>
      </c>
      <c r="E15" s="471"/>
      <c r="F15" s="54"/>
      <c r="G15" s="131">
        <f>'Capex Category Summary (Comb)'!AD55</f>
        <v>18.538999055027247</v>
      </c>
      <c r="H15" s="50">
        <f>'Capex Category Summary (Comb)'!AE55</f>
        <v>18.034086620050534</v>
      </c>
      <c r="I15" s="50">
        <f>'Capex Category Summary (Comb)'!AF55</f>
        <v>18.24919895604879</v>
      </c>
      <c r="J15" s="50">
        <f>'Capex Category Summary (Comb)'!AG55</f>
        <v>18.545528344685298</v>
      </c>
      <c r="K15" s="132">
        <f>'Capex Category Summary (Comb)'!AH55</f>
        <v>18.842180775985788</v>
      </c>
      <c r="L15" s="54"/>
      <c r="M15" s="527"/>
      <c r="N15" s="474"/>
      <c r="O15" s="474"/>
      <c r="P15" s="474"/>
      <c r="Q15" s="474"/>
      <c r="R15" s="474"/>
      <c r="S15" s="223"/>
      <c r="T15" s="474"/>
    </row>
    <row r="16" spans="1:21" ht="18" customHeight="1" x14ac:dyDescent="0.2">
      <c r="A16" s="32"/>
      <c r="B16" s="463"/>
      <c r="C16" s="155" t="s">
        <v>56</v>
      </c>
      <c r="D16" s="460" t="s">
        <v>71</v>
      </c>
      <c r="E16" s="471"/>
      <c r="F16" s="54"/>
      <c r="G16" s="131">
        <f>'Capex Category Summary (Comb)'!AD46</f>
        <v>6.2377445195097287</v>
      </c>
      <c r="H16" s="50">
        <f>'Capex Category Summary (Comb)'!AE46</f>
        <v>6.1407793294315418</v>
      </c>
      <c r="I16" s="50">
        <f>'Capex Category Summary (Comb)'!AF46</f>
        <v>6.2007159089560471</v>
      </c>
      <c r="J16" s="50">
        <f>'Capex Category Summary (Comb)'!AG46</f>
        <v>6.2784301565469143</v>
      </c>
      <c r="K16" s="132">
        <f>'Capex Category Summary (Comb)'!AH46</f>
        <v>6.356305172609618</v>
      </c>
      <c r="L16" s="54"/>
      <c r="M16" s="527"/>
      <c r="N16" s="474"/>
      <c r="O16" s="474"/>
      <c r="P16" s="474"/>
      <c r="Q16" s="474"/>
      <c r="R16" s="474"/>
      <c r="S16" s="223"/>
      <c r="T16" s="474"/>
    </row>
    <row r="17" spans="1:20" ht="18" customHeight="1" x14ac:dyDescent="0.2">
      <c r="A17" s="32"/>
      <c r="B17" s="463"/>
      <c r="C17" s="155" t="s">
        <v>57</v>
      </c>
      <c r="D17" s="155"/>
      <c r="E17" s="471"/>
      <c r="F17" s="54"/>
      <c r="G17" s="131">
        <f>'Capex Category Summary (Comb)'!AD67</f>
        <v>0</v>
      </c>
      <c r="H17" s="50">
        <f>'Capex Category Summary (Comb)'!AE67</f>
        <v>0</v>
      </c>
      <c r="I17" s="50">
        <f>'Capex Category Summary (Comb)'!AF67</f>
        <v>0</v>
      </c>
      <c r="J17" s="50">
        <f>'Capex Category Summary (Comb)'!AG67</f>
        <v>0</v>
      </c>
      <c r="K17" s="132">
        <f>'Capex Category Summary (Comb)'!AH67</f>
        <v>0</v>
      </c>
      <c r="L17" s="54"/>
      <c r="M17" s="527"/>
      <c r="N17" s="474"/>
      <c r="O17" s="474"/>
      <c r="P17" s="474"/>
      <c r="Q17" s="474"/>
      <c r="R17" s="474"/>
      <c r="S17" s="223"/>
      <c r="T17" s="474"/>
    </row>
    <row r="18" spans="1:20" ht="18" customHeight="1" x14ac:dyDescent="0.2">
      <c r="A18" s="32"/>
      <c r="B18" s="464"/>
      <c r="C18" s="157" t="s">
        <v>58</v>
      </c>
      <c r="D18" s="157"/>
      <c r="E18" s="468"/>
      <c r="F18" s="133"/>
      <c r="G18" s="131">
        <f>'Capex Category Summary (Comb)'!AD69</f>
        <v>0</v>
      </c>
      <c r="H18" s="50">
        <f>'Capex Category Summary (Comb)'!AE69</f>
        <v>0</v>
      </c>
      <c r="I18" s="50">
        <f>'Capex Category Summary (Comb)'!AF69</f>
        <v>0</v>
      </c>
      <c r="J18" s="50">
        <f>'Capex Category Summary (Comb)'!AG69</f>
        <v>0</v>
      </c>
      <c r="K18" s="132">
        <f>'Capex Category Summary (Comb)'!AH69</f>
        <v>0</v>
      </c>
      <c r="L18" s="133"/>
      <c r="M18" s="527"/>
      <c r="N18" s="474"/>
      <c r="O18" s="474"/>
      <c r="P18" s="474"/>
      <c r="Q18" s="474"/>
      <c r="R18" s="474"/>
      <c r="S18" s="223"/>
      <c r="T18" s="474"/>
    </row>
    <row r="19" spans="1:20" ht="18" customHeight="1" x14ac:dyDescent="0.2">
      <c r="A19" s="32"/>
      <c r="B19" s="461" t="s">
        <v>100</v>
      </c>
      <c r="C19" s="45"/>
      <c r="D19" s="460" t="s">
        <v>100</v>
      </c>
      <c r="E19" s="471"/>
      <c r="F19" s="54"/>
      <c r="G19" s="142">
        <f>'Capex Category Summary (Comb)'!AD63+'Capex Category Summary (Comb)'!AD65+'Capex Category Summary (Comb)'!AD66</f>
        <v>4.6321279999999998</v>
      </c>
      <c r="H19" s="143">
        <f>'Capex Category Summary (Comb)'!AE63+'Capex Category Summary (Comb)'!AE65+'Capex Category Summary (Comb)'!AE66</f>
        <v>6.3330109999999999</v>
      </c>
      <c r="I19" s="143">
        <f>'Capex Category Summary (Comb)'!AF63+'Capex Category Summary (Comb)'!AF65+'Capex Category Summary (Comb)'!AF66</f>
        <v>11.263952</v>
      </c>
      <c r="J19" s="143">
        <f>'Capex Category Summary (Comb)'!AG63+'Capex Category Summary (Comb)'!AG65+'Capex Category Summary (Comb)'!AG66</f>
        <v>7.9692200000000009</v>
      </c>
      <c r="K19" s="144">
        <f>'Capex Category Summary (Comb)'!AH63+'Capex Category Summary (Comb)'!AH65+'Capex Category Summary (Comb)'!AH66</f>
        <v>3.9273020000000001</v>
      </c>
      <c r="L19" s="52">
        <f t="shared" ref="L19" si="2">SUM(G19:K19)</f>
        <v>34.125613000000001</v>
      </c>
      <c r="M19" s="527"/>
      <c r="N19" s="474"/>
      <c r="O19" s="474"/>
      <c r="P19" s="474"/>
      <c r="Q19" s="474"/>
      <c r="R19" s="474"/>
      <c r="S19" s="223"/>
      <c r="T19" s="474"/>
    </row>
    <row r="20" spans="1:20" ht="18" customHeight="1" thickBot="1" x14ac:dyDescent="0.25">
      <c r="A20" s="32"/>
      <c r="B20" s="151" t="s">
        <v>45</v>
      </c>
      <c r="C20" s="152"/>
      <c r="D20" s="152"/>
      <c r="E20" s="524"/>
      <c r="F20" s="99"/>
      <c r="G20" s="145">
        <f t="shared" ref="G20:K20" si="3">SUM(G8:G13,G19:G19)</f>
        <v>98.33406495409487</v>
      </c>
      <c r="H20" s="146">
        <f t="shared" si="3"/>
        <v>117.13409519769745</v>
      </c>
      <c r="I20" s="146">
        <f t="shared" si="3"/>
        <v>112.90955865767863</v>
      </c>
      <c r="J20" s="146">
        <f t="shared" si="3"/>
        <v>90.503661198566235</v>
      </c>
      <c r="K20" s="146">
        <f t="shared" si="3"/>
        <v>60.49575492493976</v>
      </c>
      <c r="L20" s="100">
        <f>SUM(G20:K20)</f>
        <v>479.37713493297696</v>
      </c>
      <c r="M20" s="527"/>
      <c r="N20" s="474"/>
      <c r="O20" s="474"/>
      <c r="P20" s="474"/>
      <c r="Q20" s="474"/>
      <c r="R20" s="474"/>
      <c r="S20" s="223"/>
      <c r="T20" s="474"/>
    </row>
    <row r="21" spans="1:20" x14ac:dyDescent="0.2">
      <c r="A21" s="32"/>
      <c r="B21" s="32"/>
      <c r="C21" s="66"/>
      <c r="D21" s="66"/>
      <c r="E21" s="66"/>
      <c r="F21" s="493"/>
      <c r="G21" s="519"/>
      <c r="H21" s="519"/>
      <c r="I21" s="519"/>
      <c r="J21" s="519"/>
      <c r="K21" s="519"/>
      <c r="L21" s="519"/>
      <c r="M21" s="527"/>
      <c r="N21" s="474"/>
      <c r="O21" s="474"/>
      <c r="P21" s="474"/>
      <c r="Q21" s="474"/>
      <c r="R21" s="474"/>
      <c r="T21" s="474"/>
    </row>
    <row r="22" spans="1:20" ht="24" customHeight="1" x14ac:dyDescent="0.2">
      <c r="A22" s="32"/>
      <c r="B22" s="357" t="s">
        <v>195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527"/>
      <c r="N22" s="474"/>
      <c r="O22" s="474"/>
      <c r="P22" s="474"/>
      <c r="Q22" s="474"/>
      <c r="R22" s="474"/>
      <c r="T22" s="474"/>
    </row>
    <row r="23" spans="1:20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527"/>
      <c r="N23" s="474"/>
      <c r="O23" s="474"/>
      <c r="P23" s="474"/>
      <c r="Q23" s="474"/>
      <c r="R23" s="474"/>
      <c r="T23" s="474"/>
    </row>
    <row r="24" spans="1:20" ht="18" customHeight="1" x14ac:dyDescent="0.2">
      <c r="A24" s="32"/>
      <c r="B24" s="77" t="s">
        <v>48</v>
      </c>
      <c r="C24" s="45"/>
      <c r="D24" s="457" t="s">
        <v>106</v>
      </c>
      <c r="E24" s="55"/>
      <c r="F24" s="52"/>
      <c r="G24" s="55">
        <f>'Capex Category Summary (Comb)'!AO25+'Capex Category Summary (Comb)'!AO31</f>
        <v>34.931342128189328</v>
      </c>
      <c r="H24" s="54">
        <f>'Capex Category Summary (Comb)'!AP25+'Capex Category Summary (Comb)'!AP31</f>
        <v>37.07135994149332</v>
      </c>
      <c r="I24" s="54">
        <f>'Capex Category Summary (Comb)'!AQ25+'Capex Category Summary (Comb)'!AQ31</f>
        <v>37.323514004189498</v>
      </c>
      <c r="J24" s="54">
        <f>'Capex Category Summary (Comb)'!AR25+'Capex Category Summary (Comb)'!AR31</f>
        <v>35.32552759056459</v>
      </c>
      <c r="K24" s="95">
        <f>'Capex Category Summary (Comb)'!AS25+'Capex Category Summary (Comb)'!AS31</f>
        <v>8.7338182394278689</v>
      </c>
      <c r="L24" s="52">
        <f>SUM(G24:K24)</f>
        <v>153.38556190386458</v>
      </c>
      <c r="M24" s="527"/>
      <c r="N24" s="474"/>
      <c r="O24" s="474"/>
      <c r="P24" s="474"/>
      <c r="Q24" s="474"/>
      <c r="R24" s="474"/>
      <c r="T24" s="474"/>
    </row>
    <row r="25" spans="1:20" ht="18" customHeight="1" x14ac:dyDescent="0.2">
      <c r="A25" s="32"/>
      <c r="B25" s="461" t="s">
        <v>49</v>
      </c>
      <c r="C25" s="45"/>
      <c r="D25" s="458" t="s">
        <v>71</v>
      </c>
      <c r="E25" s="542"/>
      <c r="F25" s="52"/>
      <c r="G25" s="55">
        <f>'Capex Category Summary (Comb)'!AO12</f>
        <v>7.513284134858516</v>
      </c>
      <c r="H25" s="54">
        <f>'Capex Category Summary (Comb)'!AP12</f>
        <v>7.5090303588968421</v>
      </c>
      <c r="I25" s="54">
        <f>'Capex Category Summary (Comb)'!AQ12</f>
        <v>7.5262875549611294</v>
      </c>
      <c r="J25" s="54">
        <f>'Capex Category Summary (Comb)'!AR12</f>
        <v>5.1641122250777425</v>
      </c>
      <c r="K25" s="95">
        <f>'Capex Category Summary (Comb)'!AS12</f>
        <v>5.2142699851911605</v>
      </c>
      <c r="L25" s="52">
        <f>SUM(G25:K25)</f>
        <v>32.926984258985392</v>
      </c>
      <c r="M25" s="527"/>
      <c r="N25" s="474"/>
      <c r="O25" s="474"/>
      <c r="P25" s="474"/>
      <c r="Q25" s="474"/>
      <c r="R25" s="474"/>
      <c r="T25" s="474"/>
    </row>
    <row r="26" spans="1:20" ht="18" customHeight="1" x14ac:dyDescent="0.2">
      <c r="A26" s="32"/>
      <c r="B26" s="461" t="s">
        <v>50</v>
      </c>
      <c r="C26" s="45"/>
      <c r="D26" s="457" t="s">
        <v>106</v>
      </c>
      <c r="E26" s="55"/>
      <c r="F26" s="52"/>
      <c r="G26" s="55">
        <f>'Capex Category Summary (Comb)'!AO68</f>
        <v>5.6502829052469226</v>
      </c>
      <c r="H26" s="54">
        <f>'Capex Category Summary (Comb)'!AP68</f>
        <v>9.2834846750622297</v>
      </c>
      <c r="I26" s="54">
        <f>'Capex Category Summary (Comb)'!AQ68</f>
        <v>7.3821723643281878</v>
      </c>
      <c r="J26" s="54">
        <f>'Capex Category Summary (Comb)'!AR68</f>
        <v>3.4834598192616881</v>
      </c>
      <c r="K26" s="95">
        <f>'Capex Category Summary (Comb)'!AS68</f>
        <v>2.179746003546549</v>
      </c>
      <c r="L26" s="52">
        <f t="shared" ref="L26:L29" si="4">SUM(G26:K26)</f>
        <v>27.979145767445576</v>
      </c>
      <c r="M26" s="527"/>
      <c r="N26" s="474"/>
      <c r="O26" s="474"/>
      <c r="P26" s="474"/>
      <c r="Q26" s="474"/>
      <c r="R26" s="474"/>
      <c r="T26" s="474"/>
    </row>
    <row r="27" spans="1:20" ht="18" customHeight="1" x14ac:dyDescent="0.2">
      <c r="A27" s="32"/>
      <c r="B27" s="461" t="s">
        <v>1</v>
      </c>
      <c r="C27" s="45"/>
      <c r="D27" s="457" t="s">
        <v>1</v>
      </c>
      <c r="E27" s="55"/>
      <c r="F27" s="52"/>
      <c r="G27" s="55">
        <f>'Capex Category Summary (Comb)'!AO62</f>
        <v>0.26855178025337162</v>
      </c>
      <c r="H27" s="54">
        <f>'Capex Category Summary (Comb)'!AP62</f>
        <v>0.25834189287274273</v>
      </c>
      <c r="I27" s="54">
        <f>'Capex Category Summary (Comb)'!AQ62</f>
        <v>0.25352052103892708</v>
      </c>
      <c r="J27" s="54">
        <f>'Capex Category Summary (Comb)'!AR62</f>
        <v>0.25722270469363689</v>
      </c>
      <c r="K27" s="95">
        <f>'Capex Category Summary (Comb)'!AS62</f>
        <v>0.14434716269317308</v>
      </c>
      <c r="L27" s="52">
        <f t="shared" si="4"/>
        <v>1.1819840615518515</v>
      </c>
      <c r="M27" s="527"/>
      <c r="N27" s="474"/>
      <c r="O27" s="474"/>
      <c r="P27" s="474"/>
      <c r="Q27" s="474"/>
      <c r="R27" s="474"/>
      <c r="T27" s="474"/>
    </row>
    <row r="28" spans="1:20" ht="18" customHeight="1" x14ac:dyDescent="0.2">
      <c r="A28" s="32"/>
      <c r="B28" s="461" t="s">
        <v>52</v>
      </c>
      <c r="C28" s="45"/>
      <c r="D28" s="457" t="s">
        <v>2</v>
      </c>
      <c r="E28" s="55"/>
      <c r="F28" s="52"/>
      <c r="G28" s="55">
        <f>'Capex Category Summary (Comb)'!AO64</f>
        <v>11.38183338088413</v>
      </c>
      <c r="H28" s="54">
        <f>'Capex Category Summary (Comb)'!AP64</f>
        <v>24.037777063273641</v>
      </c>
      <c r="I28" s="54">
        <f>'Capex Category Summary (Comb)'!AQ64</f>
        <v>16.460507610396164</v>
      </c>
      <c r="J28" s="54">
        <f>'Capex Category Summary (Comb)'!AR64</f>
        <v>5.2825765011656669</v>
      </c>
      <c r="K28" s="95">
        <f>'Capex Category Summary (Comb)'!AS64</f>
        <v>6.2242516771509937</v>
      </c>
      <c r="L28" s="52">
        <f t="shared" si="4"/>
        <v>63.386946232870592</v>
      </c>
      <c r="M28" s="527"/>
      <c r="N28" s="474"/>
      <c r="O28" s="474"/>
      <c r="P28" s="474"/>
      <c r="Q28" s="474"/>
      <c r="R28" s="474"/>
      <c r="T28" s="474"/>
    </row>
    <row r="29" spans="1:20" ht="18" customHeight="1" x14ac:dyDescent="0.2">
      <c r="A29" s="32"/>
      <c r="B29" s="462" t="s">
        <v>53</v>
      </c>
      <c r="C29" s="45"/>
      <c r="D29" s="457"/>
      <c r="E29" s="55"/>
      <c r="F29" s="52"/>
      <c r="G29" s="55">
        <f>SUM(G30:G34)</f>
        <v>34.519447241472342</v>
      </c>
      <c r="H29" s="54">
        <f t="shared" ref="H29:K29" si="5">SUM(H30:H34)</f>
        <v>33.864052199396689</v>
      </c>
      <c r="I29" s="54">
        <f t="shared" si="5"/>
        <v>34.462535785133099</v>
      </c>
      <c r="J29" s="54">
        <f t="shared" si="5"/>
        <v>35.37207595121243</v>
      </c>
      <c r="K29" s="95">
        <f t="shared" si="5"/>
        <v>36.248140152546966</v>
      </c>
      <c r="L29" s="52">
        <f t="shared" si="4"/>
        <v>174.46625132976152</v>
      </c>
      <c r="M29" s="527"/>
      <c r="N29" s="474"/>
      <c r="O29" s="474"/>
      <c r="P29" s="474"/>
      <c r="Q29" s="474"/>
      <c r="R29" s="474"/>
      <c r="T29" s="474"/>
    </row>
    <row r="30" spans="1:20" ht="18" customHeight="1" x14ac:dyDescent="0.2">
      <c r="A30" s="32"/>
      <c r="B30" s="463"/>
      <c r="C30" s="154" t="s">
        <v>54</v>
      </c>
      <c r="D30" s="459" t="s">
        <v>106</v>
      </c>
      <c r="E30" s="201"/>
      <c r="F30" s="127"/>
      <c r="G30" s="128">
        <f>'Capex Category Summary (Comb)'!AO39</f>
        <v>9.6004987908817032</v>
      </c>
      <c r="H30" s="129">
        <f>'Capex Category Summary (Comb)'!AP39</f>
        <v>9.4442378384195287</v>
      </c>
      <c r="I30" s="129">
        <f>'Capex Category Summary (Comb)'!AQ39</f>
        <v>9.6157963341546946</v>
      </c>
      <c r="J30" s="129">
        <f>'Capex Category Summary (Comb)'!AR39</f>
        <v>9.8411453359003502</v>
      </c>
      <c r="K30" s="130">
        <f>'Capex Category Summary (Comb)'!AS39</f>
        <v>10.080298779571882</v>
      </c>
      <c r="L30" s="127"/>
      <c r="M30" s="527"/>
      <c r="N30" s="474"/>
      <c r="O30" s="474"/>
      <c r="P30" s="474"/>
      <c r="Q30" s="474"/>
      <c r="R30" s="474"/>
      <c r="T30" s="474"/>
    </row>
    <row r="31" spans="1:20" ht="18" customHeight="1" x14ac:dyDescent="0.2">
      <c r="A31" s="32"/>
      <c r="B31" s="463"/>
      <c r="C31" s="155" t="s">
        <v>55</v>
      </c>
      <c r="D31" s="460" t="s">
        <v>106</v>
      </c>
      <c r="E31" s="55"/>
      <c r="F31" s="54"/>
      <c r="G31" s="131">
        <f>'Capex Category Summary (Comb)'!AO55</f>
        <v>18.663802127574044</v>
      </c>
      <c r="H31" s="50">
        <f>'Capex Category Summary (Comb)'!AP55</f>
        <v>18.259261289779037</v>
      </c>
      <c r="I31" s="50">
        <f>'Capex Category Summary (Comb)'!AQ55</f>
        <v>18.607559696750023</v>
      </c>
      <c r="J31" s="50">
        <f>'Capex Category Summary (Comb)'!AR55</f>
        <v>19.07369436542367</v>
      </c>
      <c r="K31" s="132">
        <f>'Capex Category Summary (Comb)'!AS55</f>
        <v>19.567016791117975</v>
      </c>
      <c r="L31" s="54"/>
      <c r="M31" s="527"/>
      <c r="N31" s="474"/>
      <c r="O31" s="474"/>
      <c r="P31" s="474"/>
      <c r="Q31" s="474"/>
      <c r="R31" s="474"/>
      <c r="T31" s="474"/>
    </row>
    <row r="32" spans="1:20" ht="18" customHeight="1" x14ac:dyDescent="0.2">
      <c r="A32" s="32"/>
      <c r="B32" s="463"/>
      <c r="C32" s="155" t="s">
        <v>56</v>
      </c>
      <c r="D32" s="460" t="s">
        <v>71</v>
      </c>
      <c r="E32" s="55"/>
      <c r="F32" s="54"/>
      <c r="G32" s="131">
        <f>'Capex Category Summary (Comb)'!AO46</f>
        <v>6.2551463230165947</v>
      </c>
      <c r="H32" s="50">
        <f>'Capex Category Summary (Comb)'!AP46</f>
        <v>6.1605530711981213</v>
      </c>
      <c r="I32" s="50">
        <f>'Capex Category Summary (Comb)'!AQ46</f>
        <v>6.2391797542283793</v>
      </c>
      <c r="J32" s="50">
        <f>'Capex Category Summary (Comb)'!AR46</f>
        <v>6.4572362498884104</v>
      </c>
      <c r="K32" s="132">
        <f>'Capex Category Summary (Comb)'!AS46</f>
        <v>6.6008245818571094</v>
      </c>
      <c r="L32" s="54"/>
      <c r="M32" s="527"/>
      <c r="N32" s="474"/>
      <c r="O32" s="474"/>
      <c r="P32" s="474"/>
      <c r="Q32" s="474"/>
      <c r="R32" s="474"/>
      <c r="T32" s="474"/>
    </row>
    <row r="33" spans="1:20" ht="18" customHeight="1" x14ac:dyDescent="0.2">
      <c r="A33" s="32"/>
      <c r="B33" s="463"/>
      <c r="C33" s="155" t="s">
        <v>57</v>
      </c>
      <c r="D33" s="155"/>
      <c r="E33" s="55"/>
      <c r="F33" s="54"/>
      <c r="G33" s="131">
        <f>'Capex Category Summary (Comb)'!AO67</f>
        <v>0</v>
      </c>
      <c r="H33" s="50">
        <f>'Capex Category Summary (Comb)'!AP67</f>
        <v>0</v>
      </c>
      <c r="I33" s="50">
        <f>'Capex Category Summary (Comb)'!AQ67</f>
        <v>0</v>
      </c>
      <c r="J33" s="50">
        <f>'Capex Category Summary (Comb)'!AR67</f>
        <v>0</v>
      </c>
      <c r="K33" s="132">
        <f>'Capex Category Summary (Comb)'!AS67</f>
        <v>0</v>
      </c>
      <c r="L33" s="54"/>
      <c r="M33" s="527"/>
      <c r="N33" s="474"/>
      <c r="O33" s="474"/>
      <c r="P33" s="474"/>
      <c r="Q33" s="474"/>
      <c r="R33" s="474"/>
      <c r="T33" s="474"/>
    </row>
    <row r="34" spans="1:20" ht="18" customHeight="1" x14ac:dyDescent="0.2">
      <c r="A34" s="32"/>
      <c r="B34" s="464"/>
      <c r="C34" s="157" t="s">
        <v>58</v>
      </c>
      <c r="D34" s="157"/>
      <c r="E34" s="134"/>
      <c r="F34" s="133"/>
      <c r="G34" s="131">
        <f>'Capex Category Summary (Comb)'!AO69</f>
        <v>0</v>
      </c>
      <c r="H34" s="50">
        <f>'Capex Category Summary (Comb)'!AP69</f>
        <v>0</v>
      </c>
      <c r="I34" s="50">
        <f>'Capex Category Summary (Comb)'!AQ69</f>
        <v>0</v>
      </c>
      <c r="J34" s="50">
        <f>'Capex Category Summary (Comb)'!AR69</f>
        <v>0</v>
      </c>
      <c r="K34" s="132">
        <f>'Capex Category Summary (Comb)'!AS69</f>
        <v>0</v>
      </c>
      <c r="L34" s="133"/>
      <c r="M34" s="527"/>
      <c r="N34" s="474"/>
      <c r="O34" s="474"/>
      <c r="P34" s="474"/>
      <c r="Q34" s="474"/>
      <c r="R34" s="474"/>
      <c r="T34" s="474"/>
    </row>
    <row r="35" spans="1:20" ht="18" customHeight="1" x14ac:dyDescent="0.2">
      <c r="A35" s="32"/>
      <c r="B35" s="461" t="s">
        <v>100</v>
      </c>
      <c r="C35" s="45"/>
      <c r="D35" s="460" t="s">
        <v>100</v>
      </c>
      <c r="E35" s="55"/>
      <c r="F35" s="52"/>
      <c r="G35" s="142">
        <f>'Capex Category Summary (Comb)'!AO65+'Capex Category Summary (Comb)'!AO66+'Capex Category Summary (Comb)'!AO63</f>
        <v>4.6633111186308449</v>
      </c>
      <c r="H35" s="143">
        <f>'Capex Category Summary (Comb)'!AP65+'Capex Category Summary (Comb)'!AP66+'Capex Category Summary (Comb)'!AP63</f>
        <v>6.4120853490566621</v>
      </c>
      <c r="I35" s="143">
        <f>'Capex Category Summary (Comb)'!AQ65+'Capex Category Summary (Comb)'!AQ66+'Capex Category Summary (Comb)'!AQ63</f>
        <v>11.485142978939118</v>
      </c>
      <c r="J35" s="143">
        <f>'Capex Category Summary (Comb)'!AR65+'Capex Category Summary (Comb)'!AR66+'Capex Category Summary (Comb)'!AR63</f>
        <v>8.1961788192667946</v>
      </c>
      <c r="K35" s="144">
        <f>'Capex Category Summary (Comb)'!AS65+'Capex Category Summary (Comb)'!AS66+'Capex Category Summary (Comb)'!AS63</f>
        <v>4.0783805808577265</v>
      </c>
      <c r="L35" s="52">
        <f t="shared" ref="L35" si="6">SUM(G35:K35)</f>
        <v>34.835098846751151</v>
      </c>
      <c r="M35" s="527"/>
      <c r="N35" s="474"/>
      <c r="O35" s="474"/>
      <c r="P35" s="474"/>
      <c r="Q35" s="474"/>
      <c r="R35" s="474"/>
      <c r="T35" s="474"/>
    </row>
    <row r="36" spans="1:20" ht="18" customHeight="1" thickBot="1" x14ac:dyDescent="0.25">
      <c r="A36" s="32"/>
      <c r="B36" s="151" t="s">
        <v>45</v>
      </c>
      <c r="C36" s="152"/>
      <c r="D36" s="152"/>
      <c r="E36" s="100"/>
      <c r="F36" s="99"/>
      <c r="G36" s="145">
        <f t="shared" ref="G36:K36" si="7">SUM(G24:G29,G35:G35)</f>
        <v>98.928052689535463</v>
      </c>
      <c r="H36" s="146">
        <f t="shared" si="7"/>
        <v>118.43613148005213</v>
      </c>
      <c r="I36" s="146">
        <f t="shared" si="7"/>
        <v>114.89368081898614</v>
      </c>
      <c r="J36" s="146">
        <f t="shared" si="7"/>
        <v>93.081153611242556</v>
      </c>
      <c r="K36" s="146">
        <f t="shared" si="7"/>
        <v>62.822953801414435</v>
      </c>
      <c r="L36" s="100">
        <f>SUM(G36:K36)</f>
        <v>488.16197240123068</v>
      </c>
      <c r="M36" s="527"/>
      <c r="N36" s="474"/>
      <c r="O36" s="474"/>
      <c r="P36" s="474"/>
      <c r="Q36" s="474"/>
      <c r="R36" s="474"/>
      <c r="T36" s="474"/>
    </row>
    <row r="37" spans="1:20" x14ac:dyDescent="0.2">
      <c r="A37" s="32"/>
      <c r="B37" s="32"/>
      <c r="C37" s="66"/>
      <c r="D37" s="66"/>
      <c r="E37" s="66"/>
      <c r="F37" s="493"/>
      <c r="G37" s="519"/>
      <c r="H37" s="519"/>
      <c r="I37" s="519"/>
      <c r="J37" s="519"/>
      <c r="K37" s="519"/>
      <c r="L37" s="519"/>
      <c r="M37" s="527"/>
      <c r="N37" s="474"/>
      <c r="O37" s="474"/>
      <c r="P37" s="474"/>
      <c r="Q37" s="474"/>
      <c r="R37" s="474"/>
      <c r="T37" s="474"/>
    </row>
    <row r="38" spans="1:20" ht="24" customHeight="1" x14ac:dyDescent="0.2">
      <c r="A38" s="69"/>
      <c r="B38" s="357" t="s">
        <v>196</v>
      </c>
      <c r="C38" s="357"/>
      <c r="D38" s="357"/>
      <c r="E38" s="357"/>
      <c r="F38" s="357"/>
      <c r="G38" s="588"/>
      <c r="H38" s="588"/>
      <c r="I38" s="588"/>
      <c r="J38" s="588"/>
      <c r="K38" s="588"/>
      <c r="L38" s="588"/>
      <c r="M38" s="528"/>
      <c r="N38" s="474"/>
      <c r="O38" s="474"/>
      <c r="P38" s="474"/>
      <c r="Q38" s="474"/>
      <c r="R38" s="474"/>
      <c r="T38" s="474"/>
    </row>
    <row r="39" spans="1:20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529"/>
      <c r="N39" s="474"/>
      <c r="O39" s="474"/>
      <c r="P39" s="474"/>
      <c r="Q39" s="474"/>
      <c r="R39" s="474"/>
      <c r="T39" s="474"/>
    </row>
    <row r="40" spans="1:20" ht="18" customHeight="1" x14ac:dyDescent="0.2">
      <c r="A40" s="32"/>
      <c r="B40" s="77" t="s">
        <v>48</v>
      </c>
      <c r="C40" s="45"/>
      <c r="D40" s="457" t="s">
        <v>106</v>
      </c>
      <c r="E40" s="55"/>
      <c r="F40" s="52"/>
      <c r="G40" s="55">
        <f>SUM('Overheads (Comb)'!F12:F20)</f>
        <v>38.911986538151105</v>
      </c>
      <c r="H40" s="54">
        <f>SUM('Overheads (Comb)'!G12:G20)</f>
        <v>40.721857393936396</v>
      </c>
      <c r="I40" s="54">
        <f>SUM('Overheads (Comb)'!H12:H20)</f>
        <v>41.089300784925022</v>
      </c>
      <c r="J40" s="54">
        <f>SUM('Overheads (Comb)'!I12:I20)</f>
        <v>39.559670127043312</v>
      </c>
      <c r="K40" s="95">
        <f>SUM('Overheads (Comb)'!J12:J20)</f>
        <v>10.200737753613257</v>
      </c>
      <c r="L40" s="137">
        <f>SUM(G40:K40)</f>
        <v>170.4835525976691</v>
      </c>
      <c r="M40" s="529"/>
      <c r="N40" s="474"/>
      <c r="O40" s="474"/>
      <c r="P40" s="474"/>
      <c r="Q40" s="474"/>
      <c r="R40" s="474"/>
      <c r="T40" s="474"/>
    </row>
    <row r="41" spans="1:20" ht="18" customHeight="1" x14ac:dyDescent="0.2">
      <c r="A41" s="32"/>
      <c r="B41" s="461" t="s">
        <v>49</v>
      </c>
      <c r="C41" s="45"/>
      <c r="D41" s="458" t="s">
        <v>71</v>
      </c>
      <c r="E41" s="471"/>
      <c r="F41" s="52"/>
      <c r="G41" s="55">
        <f>SUM('Overheads (Comb)'!F10:F11)</f>
        <v>8.3694697455380371</v>
      </c>
      <c r="H41" s="54">
        <f>SUM('Overheads (Comb)'!G10:G11)</f>
        <v>8.2484609122601977</v>
      </c>
      <c r="I41" s="54">
        <f>SUM('Overheads (Comb)'!H10:H11)</f>
        <v>8.2856585557545053</v>
      </c>
      <c r="J41" s="54">
        <f>SUM('Overheads (Comb)'!I10:I11)</f>
        <v>5.7830863417216989</v>
      </c>
      <c r="K41" s="95">
        <f>SUM('Overheads (Comb)'!J10:J11)</f>
        <v>6.0900512510501041</v>
      </c>
      <c r="L41" s="137">
        <f>SUM(G41:K41)</f>
        <v>36.77672680632454</v>
      </c>
      <c r="M41" s="529"/>
      <c r="N41" s="474"/>
      <c r="O41" s="474"/>
      <c r="P41" s="474"/>
      <c r="Q41" s="474"/>
      <c r="R41" s="474"/>
      <c r="T41" s="474"/>
    </row>
    <row r="42" spans="1:20" ht="18" customHeight="1" x14ac:dyDescent="0.2">
      <c r="A42" s="32"/>
      <c r="B42" s="461" t="s">
        <v>50</v>
      </c>
      <c r="C42" s="45"/>
      <c r="D42" s="457" t="s">
        <v>106</v>
      </c>
      <c r="E42" s="55"/>
      <c r="F42" s="52"/>
      <c r="G42" s="55">
        <f>'Overheads (Comb)'!F39</f>
        <v>6.2941679005309457</v>
      </c>
      <c r="H42" s="54">
        <f>'Overheads (Comb)'!G39</f>
        <v>10.197649604797574</v>
      </c>
      <c r="I42" s="54">
        <f>'Overheads (Comb)'!H39</f>
        <v>8.1270027439001051</v>
      </c>
      <c r="J42" s="54">
        <f>'Overheads (Comb)'!I39</f>
        <v>3.9009897586811904</v>
      </c>
      <c r="K42" s="95">
        <f>'Overheads (Comb)'!J39</f>
        <v>2.5458529983240714</v>
      </c>
      <c r="L42" s="137">
        <f t="shared" ref="L42:L51" si="8">SUM(G42:K42)</f>
        <v>31.065663006233891</v>
      </c>
      <c r="M42" s="529"/>
      <c r="N42" s="474"/>
      <c r="O42" s="474"/>
      <c r="P42" s="474"/>
      <c r="Q42" s="474"/>
      <c r="R42" s="474"/>
      <c r="T42" s="474"/>
    </row>
    <row r="43" spans="1:20" ht="18" customHeight="1" x14ac:dyDescent="0.2">
      <c r="A43" s="32"/>
      <c r="B43" s="461" t="s">
        <v>1</v>
      </c>
      <c r="C43" s="45"/>
      <c r="D43" s="457" t="s">
        <v>1</v>
      </c>
      <c r="E43" s="55"/>
      <c r="F43" s="52"/>
      <c r="G43" s="55">
        <f>'Overheads (Comb)'!F33</f>
        <v>0.29915493139849142</v>
      </c>
      <c r="H43" s="54">
        <f>'Overheads (Comb)'!G33</f>
        <v>0.28378138101883843</v>
      </c>
      <c r="I43" s="54">
        <f>'Overheads (Comb)'!H33</f>
        <v>0.27909968345826441</v>
      </c>
      <c r="J43" s="54">
        <f>'Overheads (Comb)'!I33</f>
        <v>0.28805359865549623</v>
      </c>
      <c r="K43" s="95">
        <f>'Overheads (Comb)'!J33</f>
        <v>0.16859150393856401</v>
      </c>
      <c r="L43" s="137">
        <f t="shared" si="8"/>
        <v>1.3186810984696544</v>
      </c>
      <c r="M43" s="529"/>
      <c r="N43" s="474"/>
      <c r="O43" s="474"/>
      <c r="P43" s="474"/>
      <c r="Q43" s="474"/>
      <c r="R43" s="474"/>
      <c r="T43" s="474"/>
    </row>
    <row r="44" spans="1:20" ht="18" customHeight="1" x14ac:dyDescent="0.2">
      <c r="A44" s="32"/>
      <c r="B44" s="461" t="s">
        <v>52</v>
      </c>
      <c r="C44" s="45"/>
      <c r="D44" s="457" t="s">
        <v>2</v>
      </c>
      <c r="E44" s="55"/>
      <c r="F44" s="52"/>
      <c r="G44" s="55">
        <f>'Overheads (Comb)'!F35</f>
        <v>12.678864318214487</v>
      </c>
      <c r="H44" s="54">
        <f>'Overheads (Comb)'!G35</f>
        <v>26.404829258563026</v>
      </c>
      <c r="I44" s="54">
        <f>'Overheads (Comb)'!H35</f>
        <v>18.121304124799082</v>
      </c>
      <c r="J44" s="54">
        <f>'Overheads (Comb)'!I35</f>
        <v>5.915749829106641</v>
      </c>
      <c r="K44" s="95">
        <f>'Overheads (Comb)'!J35</f>
        <v>7.2696680112344518</v>
      </c>
      <c r="L44" s="137">
        <f t="shared" si="8"/>
        <v>70.39041554191769</v>
      </c>
      <c r="M44" s="529"/>
      <c r="N44" s="474"/>
      <c r="O44" s="474"/>
      <c r="P44" s="474"/>
      <c r="Q44" s="474"/>
      <c r="R44" s="474"/>
      <c r="T44" s="474"/>
    </row>
    <row r="45" spans="1:20" ht="18" customHeight="1" x14ac:dyDescent="0.2">
      <c r="A45" s="32"/>
      <c r="B45" s="462" t="s">
        <v>53</v>
      </c>
      <c r="C45" s="45"/>
      <c r="D45" s="457"/>
      <c r="E45" s="55"/>
      <c r="F45" s="52"/>
      <c r="G45" s="55">
        <f>SUM(G46:G50)</f>
        <v>38.453153658834673</v>
      </c>
      <c r="H45" s="54">
        <f t="shared" ref="H45:K45" si="9">SUM(H46:H50)</f>
        <v>37.198719081820116</v>
      </c>
      <c r="I45" s="54">
        <f t="shared" si="9"/>
        <v>37.939661804824382</v>
      </c>
      <c r="J45" s="54">
        <f t="shared" si="9"/>
        <v>39.611797806876602</v>
      </c>
      <c r="K45" s="95">
        <f t="shared" si="9"/>
        <v>42.336325489706134</v>
      </c>
      <c r="L45" s="137">
        <f t="shared" si="8"/>
        <v>195.5396578420619</v>
      </c>
      <c r="M45" s="529"/>
      <c r="N45" s="474"/>
      <c r="O45" s="474"/>
      <c r="P45" s="474"/>
      <c r="Q45" s="474"/>
      <c r="R45" s="474"/>
      <c r="T45" s="474"/>
    </row>
    <row r="46" spans="1:20" ht="18" customHeight="1" x14ac:dyDescent="0.2">
      <c r="A46" s="32"/>
      <c r="B46" s="463"/>
      <c r="C46" s="154" t="s">
        <v>54</v>
      </c>
      <c r="D46" s="459" t="s">
        <v>106</v>
      </c>
      <c r="E46" s="201"/>
      <c r="F46" s="127"/>
      <c r="G46" s="128">
        <f>'Overheads (Comb)'!F21+'Overheads (Comb)'!F22+'Overheads (Comb)'!F23</f>
        <v>10.69453553600659</v>
      </c>
      <c r="H46" s="129">
        <f>'Overheads (Comb)'!G21+'Overheads (Comb)'!G22+'Overheads (Comb)'!G23</f>
        <v>10.37423248182694</v>
      </c>
      <c r="I46" s="129">
        <f>'Overheads (Comb)'!H21+'Overheads (Comb)'!H22+'Overheads (Comb)'!H23</f>
        <v>10.58599004949833</v>
      </c>
      <c r="J46" s="129">
        <f>'Overheads (Comb)'!I21+'Overheads (Comb)'!I22+'Overheads (Comb)'!I23</f>
        <v>11.020711924610962</v>
      </c>
      <c r="K46" s="130">
        <f>'Overheads (Comb)'!J21+'Overheads (Comb)'!J22+'Overheads (Comb)'!J23</f>
        <v>11.773371223170365</v>
      </c>
      <c r="L46" s="138"/>
      <c r="M46" s="529"/>
      <c r="N46" s="474"/>
      <c r="O46" s="474"/>
      <c r="P46" s="474"/>
      <c r="Q46" s="474"/>
      <c r="R46" s="474"/>
      <c r="T46" s="474"/>
    </row>
    <row r="47" spans="1:20" ht="18" customHeight="1" x14ac:dyDescent="0.2">
      <c r="A47" s="32"/>
      <c r="B47" s="463"/>
      <c r="C47" s="155" t="s">
        <v>55</v>
      </c>
      <c r="D47" s="460" t="s">
        <v>106</v>
      </c>
      <c r="E47" s="55"/>
      <c r="F47" s="54"/>
      <c r="G47" s="131">
        <f>'Overheads (Comb)'!F26+'Overheads (Comb)'!F27+'Overheads (Comb)'!F28+'Overheads (Comb)'!F29</f>
        <v>20.790658843675018</v>
      </c>
      <c r="H47" s="50">
        <f>'Overheads (Comb)'!G26+'Overheads (Comb)'!G27+'Overheads (Comb)'!G28+'Overheads (Comb)'!G29</f>
        <v>20.057290467209462</v>
      </c>
      <c r="I47" s="50">
        <f>'Overheads (Comb)'!H26+'Overheads (Comb)'!H27+'Overheads (Comb)'!H28+'Overheads (Comb)'!H29</f>
        <v>20.484984805219259</v>
      </c>
      <c r="J47" s="50">
        <f>'Overheads (Comb)'!I26+'Overheads (Comb)'!I27+'Overheads (Comb)'!I28+'Overheads (Comb)'!I29</f>
        <v>21.359880762311509</v>
      </c>
      <c r="K47" s="132">
        <f>'Overheads (Comb)'!J26+'Overheads (Comb)'!J27+'Overheads (Comb)'!J28+'Overheads (Comb)'!J29</f>
        <v>22.853464708674409</v>
      </c>
      <c r="L47" s="136"/>
      <c r="M47" s="529"/>
      <c r="N47" s="474"/>
      <c r="O47" s="474"/>
      <c r="P47" s="474"/>
      <c r="Q47" s="474"/>
      <c r="R47" s="474"/>
      <c r="T47" s="474"/>
    </row>
    <row r="48" spans="1:20" ht="18" customHeight="1" x14ac:dyDescent="0.2">
      <c r="A48" s="32"/>
      <c r="B48" s="463"/>
      <c r="C48" s="155" t="s">
        <v>56</v>
      </c>
      <c r="D48" s="460" t="s">
        <v>71</v>
      </c>
      <c r="E48" s="55"/>
      <c r="F48" s="54"/>
      <c r="G48" s="131">
        <f>'Overheads (Comb)'!F24+'Overheads (Comb)'!F25</f>
        <v>6.9679592791530638</v>
      </c>
      <c r="H48" s="50">
        <f>'Overheads (Comb)'!G24+'Overheads (Comb)'!G25</f>
        <v>6.7671961327837149</v>
      </c>
      <c r="I48" s="50">
        <f>'Overheads (Comb)'!H24+'Overheads (Comb)'!H25</f>
        <v>6.8686869501067909</v>
      </c>
      <c r="J48" s="50">
        <f>'Overheads (Comb)'!I24+'Overheads (Comb)'!I25</f>
        <v>7.2312051199541347</v>
      </c>
      <c r="K48" s="132">
        <f>'Overheads (Comb)'!J24+'Overheads (Comb)'!J25</f>
        <v>7.709489557861362</v>
      </c>
      <c r="L48" s="136"/>
      <c r="M48" s="529"/>
      <c r="N48" s="474"/>
      <c r="O48" s="474"/>
      <c r="P48" s="474"/>
      <c r="Q48" s="474"/>
      <c r="R48" s="474"/>
      <c r="T48" s="474"/>
    </row>
    <row r="49" spans="1:20" ht="18" customHeight="1" x14ac:dyDescent="0.2">
      <c r="A49" s="32"/>
      <c r="B49" s="463"/>
      <c r="C49" s="155" t="s">
        <v>57</v>
      </c>
      <c r="D49" s="155"/>
      <c r="E49" s="55"/>
      <c r="F49" s="54"/>
      <c r="G49" s="131">
        <f>'Overheads (Comb)'!F38</f>
        <v>0</v>
      </c>
      <c r="H49" s="50">
        <f>'Overheads (Comb)'!G38</f>
        <v>0</v>
      </c>
      <c r="I49" s="50">
        <f>'Overheads (Comb)'!H38</f>
        <v>0</v>
      </c>
      <c r="J49" s="50">
        <f>'Overheads (Comb)'!I38</f>
        <v>0</v>
      </c>
      <c r="K49" s="132">
        <f>'Overheads (Comb)'!J38</f>
        <v>0</v>
      </c>
      <c r="L49" s="136"/>
      <c r="M49" s="529"/>
      <c r="N49" s="474"/>
      <c r="O49" s="474"/>
      <c r="P49" s="474"/>
      <c r="Q49" s="474"/>
      <c r="R49" s="474"/>
      <c r="T49" s="474"/>
    </row>
    <row r="50" spans="1:20" ht="18" customHeight="1" x14ac:dyDescent="0.2">
      <c r="A50" s="32"/>
      <c r="B50" s="464"/>
      <c r="C50" s="157" t="s">
        <v>58</v>
      </c>
      <c r="D50" s="157"/>
      <c r="E50" s="134"/>
      <c r="F50" s="133"/>
      <c r="G50" s="131">
        <f>'Overheads (Comb)'!F40</f>
        <v>0</v>
      </c>
      <c r="H50" s="50">
        <f>'Overheads (Comb)'!G40</f>
        <v>0</v>
      </c>
      <c r="I50" s="50">
        <f>'Overheads (Comb)'!H40</f>
        <v>0</v>
      </c>
      <c r="J50" s="50">
        <f>'Overheads (Comb)'!I40</f>
        <v>0</v>
      </c>
      <c r="K50" s="132">
        <f>'Overheads (Comb)'!J40</f>
        <v>0</v>
      </c>
      <c r="L50" s="139"/>
      <c r="M50" s="529"/>
      <c r="N50" s="474"/>
      <c r="O50" s="474"/>
      <c r="P50" s="474"/>
      <c r="Q50" s="474"/>
      <c r="R50" s="474"/>
      <c r="T50" s="474"/>
    </row>
    <row r="51" spans="1:20" ht="18" customHeight="1" x14ac:dyDescent="0.2">
      <c r="A51" s="32"/>
      <c r="B51" s="461" t="s">
        <v>100</v>
      </c>
      <c r="C51" s="45"/>
      <c r="D51" s="460" t="s">
        <v>100</v>
      </c>
      <c r="E51" s="55"/>
      <c r="F51" s="52"/>
      <c r="G51" s="142">
        <f>'Overheads (Comb)'!F34+'Overheads (Comb)'!F36+'Overheads (Comb)'!F37</f>
        <v>5.1947245200446517</v>
      </c>
      <c r="H51" s="143">
        <f>'Overheads (Comb)'!G34+'Overheads (Comb)'!G36+'Overheads (Comb)'!G37</f>
        <v>7.0434973411853736</v>
      </c>
      <c r="I51" s="143">
        <f>'Overheads (Comb)'!H34+'Overheads (Comb)'!H36+'Overheads (Comb)'!H37</f>
        <v>12.643945968392137</v>
      </c>
      <c r="J51" s="143">
        <f>'Overheads (Comb)'!I34+'Overheads (Comb)'!I36+'Overheads (Comb)'!I37</f>
        <v>9.1785785664828214</v>
      </c>
      <c r="K51" s="144">
        <f>'Overheads (Comb)'!J34+'Overheads (Comb)'!J36+'Overheads (Comb)'!J37</f>
        <v>4.763379500726117</v>
      </c>
      <c r="L51" s="137">
        <f t="shared" si="8"/>
        <v>38.824125896831099</v>
      </c>
      <c r="M51" s="529"/>
      <c r="N51" s="474"/>
      <c r="O51" s="474"/>
      <c r="P51" s="474"/>
      <c r="Q51" s="474"/>
      <c r="R51" s="474"/>
      <c r="T51" s="474"/>
    </row>
    <row r="52" spans="1:20" ht="18" customHeight="1" thickBot="1" x14ac:dyDescent="0.25">
      <c r="A52" s="32"/>
      <c r="B52" s="151" t="s">
        <v>45</v>
      </c>
      <c r="C52" s="152"/>
      <c r="D52" s="152"/>
      <c r="E52" s="100"/>
      <c r="F52" s="99"/>
      <c r="G52" s="145">
        <f>SUM(G40:G45,G51:G51)</f>
        <v>110.20152161271238</v>
      </c>
      <c r="H52" s="146">
        <f>SUM(H40:H45,H51:H51)</f>
        <v>130.09879497358153</v>
      </c>
      <c r="I52" s="146">
        <f>SUM(I40:I45,I51:I51)</f>
        <v>126.48597366605348</v>
      </c>
      <c r="J52" s="146">
        <f>SUM(J40:J45,J51:J51)</f>
        <v>104.23792602856776</v>
      </c>
      <c r="K52" s="146">
        <f>SUM(K40:K45,K51:K51)</f>
        <v>73.374606508592692</v>
      </c>
      <c r="L52" s="100">
        <f>SUM(G52:K52)</f>
        <v>544.39882278950779</v>
      </c>
      <c r="M52" s="530"/>
      <c r="N52" s="474"/>
      <c r="O52" s="474"/>
      <c r="P52" s="474"/>
      <c r="Q52" s="474"/>
      <c r="R52" s="474"/>
      <c r="T52" s="474"/>
    </row>
    <row r="53" spans="1:20" s="67" customFormat="1" ht="11.25" x14ac:dyDescent="0.2">
      <c r="A53" s="66"/>
      <c r="B53" s="422"/>
      <c r="C53" s="422"/>
      <c r="D53" s="422"/>
      <c r="E53" s="57"/>
      <c r="F53" s="50"/>
      <c r="G53" s="50">
        <f>G52-'Overheads (Comb)'!F43</f>
        <v>0</v>
      </c>
      <c r="H53" s="50">
        <f>H52-'Overheads (Comb)'!G43</f>
        <v>0</v>
      </c>
      <c r="I53" s="50">
        <f>I52-'Overheads (Comb)'!H43</f>
        <v>0</v>
      </c>
      <c r="J53" s="50">
        <f>J52-'Overheads (Comb)'!I43</f>
        <v>0</v>
      </c>
      <c r="K53" s="50">
        <f>K52-'Overheads (Comb)'!J43</f>
        <v>0</v>
      </c>
      <c r="L53" s="50">
        <f>L52-'Overheads (Comb)'!K43</f>
        <v>0</v>
      </c>
      <c r="M53" s="186"/>
    </row>
    <row r="54" spans="1:20" ht="15" x14ac:dyDescent="0.25">
      <c r="A54" s="32"/>
      <c r="B54" s="105"/>
      <c r="C54" s="105"/>
      <c r="D54" s="105"/>
      <c r="E54" s="140"/>
      <c r="F54" s="49"/>
      <c r="G54" s="342"/>
      <c r="H54" s="342"/>
      <c r="I54" s="342"/>
      <c r="J54" s="342"/>
      <c r="K54" s="342"/>
      <c r="L54" s="140"/>
      <c r="M54" s="140"/>
    </row>
    <row r="55" spans="1:20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  <c r="O55" s="541"/>
    </row>
    <row r="56" spans="1:20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20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20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20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</row>
    <row r="60" spans="1:20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20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20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20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20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/>
  </sheetViews>
  <sheetFormatPr defaultRowHeight="15" x14ac:dyDescent="0.25"/>
  <cols>
    <col min="1" max="16384" width="9.140625" style="1"/>
  </cols>
  <sheetData>
    <row r="32" spans="28:28" x14ac:dyDescent="0.25">
      <c r="AB32" s="1" t="s">
        <v>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90" zoomScaleNormal="90" workbookViewId="0">
      <selection activeCell="B2" sqref="B2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5" width="9.140625" style="44"/>
    <col min="6" max="9" width="9.85546875" style="44" bestFit="1" customWidth="1"/>
    <col min="10" max="10" width="9.28515625" style="44" bestFit="1" customWidth="1"/>
    <col min="11" max="11" width="11.7109375" style="44" customWidth="1"/>
    <col min="12" max="12" width="2.7109375" style="44" customWidth="1"/>
    <col min="13" max="21" width="9.140625" style="44"/>
    <col min="22" max="22" width="10.85546875" style="44" customWidth="1"/>
    <col min="23" max="23" width="3.140625" style="44" customWidth="1"/>
    <col min="24" max="27" width="9.140625" style="44"/>
    <col min="28" max="33" width="10.85546875" style="44" bestFit="1" customWidth="1"/>
    <col min="34" max="34" width="4" style="44" customWidth="1"/>
    <col min="35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343" t="s">
        <v>72</v>
      </c>
      <c r="C2" s="356"/>
      <c r="D2" s="356"/>
      <c r="E2" s="344"/>
      <c r="F2" s="344"/>
      <c r="G2" s="344"/>
      <c r="H2" s="344"/>
      <c r="I2" s="344"/>
      <c r="J2" s="344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2"/>
    </row>
    <row r="3" spans="1:34" x14ac:dyDescent="0.2">
      <c r="A3" s="32"/>
      <c r="B3" s="46" t="s">
        <v>17</v>
      </c>
      <c r="C3" s="4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46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93" t="s">
        <v>267</v>
      </c>
      <c r="C5" s="393"/>
      <c r="D5" s="393"/>
      <c r="E5" s="393"/>
      <c r="F5" s="393"/>
      <c r="G5" s="393"/>
      <c r="H5" s="393"/>
      <c r="I5" s="393"/>
      <c r="J5" s="393"/>
      <c r="K5" s="393"/>
      <c r="L5" s="32"/>
      <c r="M5" s="393" t="s">
        <v>268</v>
      </c>
      <c r="N5" s="393"/>
      <c r="O5" s="393"/>
      <c r="P5" s="393"/>
      <c r="Q5" s="393"/>
      <c r="R5" s="393"/>
      <c r="S5" s="393"/>
      <c r="T5" s="393"/>
      <c r="U5" s="393"/>
      <c r="V5" s="393"/>
      <c r="W5" s="32"/>
      <c r="X5" s="393" t="s">
        <v>96</v>
      </c>
      <c r="Y5" s="393"/>
      <c r="Z5" s="393"/>
      <c r="AA5" s="393"/>
      <c r="AB5" s="393"/>
      <c r="AC5" s="393"/>
      <c r="AD5" s="393"/>
      <c r="AE5" s="393"/>
      <c r="AF5" s="393"/>
      <c r="AG5" s="393"/>
      <c r="AH5" s="32"/>
    </row>
    <row r="6" spans="1:34" x14ac:dyDescent="0.2">
      <c r="A6" s="32"/>
      <c r="B6" s="32"/>
      <c r="C6" s="46"/>
      <c r="D6" s="32"/>
      <c r="E6" s="32"/>
      <c r="F6" s="32"/>
      <c r="G6" s="32"/>
      <c r="H6" s="32"/>
      <c r="I6" s="32"/>
      <c r="J6" s="32"/>
      <c r="K6" s="32"/>
      <c r="L6" s="32"/>
      <c r="M6" s="32"/>
      <c r="N6" s="46"/>
      <c r="O6" s="32"/>
      <c r="P6" s="32"/>
      <c r="Q6" s="32"/>
      <c r="R6" s="32"/>
      <c r="S6" s="32"/>
      <c r="T6" s="32"/>
      <c r="U6" s="32"/>
      <c r="V6" s="32"/>
      <c r="W6" s="32"/>
      <c r="X6" s="32"/>
      <c r="Y6" s="46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4" customHeight="1" x14ac:dyDescent="0.2">
      <c r="A7" s="69"/>
      <c r="B7" s="357" t="s">
        <v>110</v>
      </c>
      <c r="C7" s="357"/>
      <c r="D7" s="357"/>
      <c r="E7" s="357"/>
      <c r="F7" s="357"/>
      <c r="G7" s="357"/>
      <c r="H7" s="357"/>
      <c r="I7" s="357"/>
      <c r="J7" s="357"/>
      <c r="K7" s="357"/>
      <c r="L7" s="69"/>
      <c r="M7" s="357" t="s">
        <v>110</v>
      </c>
      <c r="N7" s="357"/>
      <c r="O7" s="357"/>
      <c r="P7" s="357"/>
      <c r="Q7" s="357"/>
      <c r="R7" s="357"/>
      <c r="S7" s="357"/>
      <c r="T7" s="357"/>
      <c r="U7" s="357"/>
      <c r="V7" s="357"/>
      <c r="W7" s="32"/>
      <c r="X7" s="357" t="s">
        <v>110</v>
      </c>
      <c r="Y7" s="357"/>
      <c r="Z7" s="357"/>
      <c r="AA7" s="357"/>
      <c r="AB7" s="357"/>
      <c r="AC7" s="357"/>
      <c r="AD7" s="357"/>
      <c r="AE7" s="357"/>
      <c r="AF7" s="357"/>
      <c r="AG7" s="357"/>
      <c r="AH7" s="32"/>
    </row>
    <row r="8" spans="1:34" x14ac:dyDescent="0.2">
      <c r="A8" s="32"/>
      <c r="B8" s="32"/>
      <c r="C8" s="12"/>
      <c r="D8" s="12"/>
      <c r="E8" s="12"/>
      <c r="F8" s="12"/>
      <c r="G8" s="12"/>
      <c r="H8" s="12"/>
      <c r="I8" s="12"/>
      <c r="J8" s="12"/>
      <c r="K8" s="12"/>
      <c r="L8" s="1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12"/>
      <c r="Z8" s="52"/>
      <c r="AA8" s="52"/>
      <c r="AB8" s="52"/>
      <c r="AC8" s="52"/>
      <c r="AD8" s="52"/>
      <c r="AE8" s="52"/>
      <c r="AF8" s="52"/>
      <c r="AG8" s="52"/>
      <c r="AH8" s="32"/>
    </row>
    <row r="9" spans="1:34" ht="22.5" x14ac:dyDescent="0.2">
      <c r="A9" s="32"/>
      <c r="B9" s="302"/>
      <c r="C9" s="301"/>
      <c r="D9" s="4"/>
      <c r="E9" s="4"/>
      <c r="F9" s="5">
        <v>2018</v>
      </c>
      <c r="G9" s="4">
        <v>2019</v>
      </c>
      <c r="H9" s="4">
        <v>2020</v>
      </c>
      <c r="I9" s="4">
        <v>2021</v>
      </c>
      <c r="J9" s="6">
        <v>2022</v>
      </c>
      <c r="K9" s="3" t="s">
        <v>75</v>
      </c>
      <c r="L9" s="45"/>
      <c r="M9" s="302"/>
      <c r="N9" s="301"/>
      <c r="O9" s="4"/>
      <c r="P9" s="4"/>
      <c r="Q9" s="5">
        <v>2018</v>
      </c>
      <c r="R9" s="4">
        <v>2019</v>
      </c>
      <c r="S9" s="4">
        <v>2020</v>
      </c>
      <c r="T9" s="4">
        <v>2021</v>
      </c>
      <c r="U9" s="6">
        <v>2022</v>
      </c>
      <c r="V9" s="3" t="s">
        <v>75</v>
      </c>
      <c r="W9" s="32"/>
      <c r="X9" s="302"/>
      <c r="Y9" s="301"/>
      <c r="Z9" s="4"/>
      <c r="AA9" s="4"/>
      <c r="AB9" s="5">
        <v>2018</v>
      </c>
      <c r="AC9" s="4">
        <v>2019</v>
      </c>
      <c r="AD9" s="4">
        <v>2020</v>
      </c>
      <c r="AE9" s="4">
        <v>2021</v>
      </c>
      <c r="AF9" s="6">
        <v>2022</v>
      </c>
      <c r="AG9" s="3" t="s">
        <v>75</v>
      </c>
      <c r="AH9" s="32"/>
    </row>
    <row r="10" spans="1:34" ht="20.100000000000001" customHeight="1" x14ac:dyDescent="0.2">
      <c r="A10" s="32"/>
      <c r="B10" s="12" t="s">
        <v>106</v>
      </c>
      <c r="C10" s="45"/>
      <c r="D10" s="363"/>
      <c r="E10" s="363"/>
      <c r="F10" s="55">
        <f>'Consolidated Summary (Vic)'!G40+'Consolidated Summary (Vic)'!G42+'Consolidated Summary (Vic)'!G46+'Consolidated Summary (Vic)'!G47</f>
        <v>75.578987784268534</v>
      </c>
      <c r="G10" s="54">
        <f>'Consolidated Summary (Vic)'!H40+'Consolidated Summary (Vic)'!H42+'Consolidated Summary (Vic)'!H46+'Consolidated Summary (Vic)'!H47</f>
        <v>80.226341350190467</v>
      </c>
      <c r="H10" s="54">
        <f>'Consolidated Summary (Vic)'!I40+'Consolidated Summary (Vic)'!I42+'Consolidated Summary (Vic)'!I46+'Consolidated Summary (Vic)'!I47</f>
        <v>79.126853336115516</v>
      </c>
      <c r="I10" s="54">
        <f>'Consolidated Summary (Vic)'!J40+'Consolidated Summary (Vic)'!J42+'Consolidated Summary (Vic)'!J46+'Consolidated Summary (Vic)'!J47</f>
        <v>74.645836335797298</v>
      </c>
      <c r="J10" s="95">
        <f>'Consolidated Summary (Vic)'!K40+'Consolidated Summary (Vic)'!K42+'Consolidated Summary (Vic)'!K46+'Consolidated Summary (Vic)'!K47</f>
        <v>46.134095981642204</v>
      </c>
      <c r="K10" s="52">
        <f>SUM(F10:J10)</f>
        <v>355.71211478801399</v>
      </c>
      <c r="L10" s="45"/>
      <c r="M10" s="12" t="s">
        <v>106</v>
      </c>
      <c r="N10" s="45"/>
      <c r="O10" s="52"/>
      <c r="P10" s="52"/>
      <c r="Q10" s="55">
        <f>'Consolidated Summary (Alb)'!G40+'Consolidated Summary (Alb)'!G42+'Consolidated Summary (Alb)'!G46+'Consolidated Summary (Alb)'!G47</f>
        <v>1.137005596366045</v>
      </c>
      <c r="R10" s="54">
        <f>'Consolidated Summary (Alb)'!H40+'Consolidated Summary (Alb)'!H42+'Consolidated Summary (Alb)'!H46+'Consolidated Summary (Alb)'!H47</f>
        <v>1.1521686675899274</v>
      </c>
      <c r="S10" s="54">
        <f>'Consolidated Summary (Alb)'!I40+'Consolidated Summary (Alb)'!I42+'Consolidated Summary (Alb)'!I46+'Consolidated Summary (Alb)'!I47</f>
        <v>1.1805871261615555</v>
      </c>
      <c r="T10" s="54">
        <f>'Consolidated Summary (Alb)'!J40+'Consolidated Summary (Alb)'!J42+'Consolidated Summary (Alb)'!J46+'Consolidated Summary (Alb)'!J47</f>
        <v>1.2158335002793035</v>
      </c>
      <c r="U10" s="95">
        <f>'Consolidated Summary (Alb)'!K40+'Consolidated Summary (Alb)'!K42+'Consolidated Summary (Alb)'!K46+'Consolidated Summary (Alb)'!K47</f>
        <v>1.2479258727923894</v>
      </c>
      <c r="V10" s="52">
        <f>SUM(Q10:U10)</f>
        <v>5.9335207631892217</v>
      </c>
      <c r="W10" s="32"/>
      <c r="X10" s="12" t="s">
        <v>106</v>
      </c>
      <c r="Y10" s="45"/>
      <c r="Z10" s="52"/>
      <c r="AA10" s="52"/>
      <c r="AB10" s="55">
        <f>'Consolidated Summary (Comb)'!G40+'Consolidated Summary (Comb)'!G42+'Consolidated Summary (Comb)'!G46+'Consolidated Summary (Comb)'!G47</f>
        <v>76.69134881836365</v>
      </c>
      <c r="AC10" s="54">
        <f>'Consolidated Summary (Comb)'!H40+'Consolidated Summary (Comb)'!H42+'Consolidated Summary (Comb)'!H46+'Consolidated Summary (Comb)'!H47</f>
        <v>81.351029947770371</v>
      </c>
      <c r="AD10" s="54">
        <f>'Consolidated Summary (Comb)'!I40+'Consolidated Summary (Comb)'!I42+'Consolidated Summary (Comb)'!I46+'Consolidated Summary (Comb)'!I47</f>
        <v>80.287278383542713</v>
      </c>
      <c r="AE10" s="54">
        <f>'Consolidated Summary (Comb)'!J40+'Consolidated Summary (Comb)'!J42+'Consolidated Summary (Comb)'!J46+'Consolidated Summary (Comb)'!J47</f>
        <v>75.84125257264698</v>
      </c>
      <c r="AF10" s="95">
        <f>'Consolidated Summary (Comb)'!K40+'Consolidated Summary (Comb)'!K42+'Consolidated Summary (Comb)'!K46+'Consolidated Summary (Comb)'!K47</f>
        <v>47.3734266837821</v>
      </c>
      <c r="AG10" s="52">
        <f>SUM(AB10:AF10)</f>
        <v>361.5443364061058</v>
      </c>
      <c r="AH10" s="32"/>
    </row>
    <row r="11" spans="1:34" ht="20.100000000000001" customHeight="1" x14ac:dyDescent="0.2">
      <c r="A11" s="32"/>
      <c r="B11" s="149" t="s">
        <v>71</v>
      </c>
      <c r="C11" s="45"/>
      <c r="D11" s="586"/>
      <c r="E11" s="363"/>
      <c r="F11" s="55">
        <f>'Consolidated Summary (Vic)'!G41+'Consolidated Summary (Vic)'!G48</f>
        <v>14.655358901840113</v>
      </c>
      <c r="G11" s="54">
        <f>'Consolidated Summary (Vic)'!H41+'Consolidated Summary (Vic)'!H48</f>
        <v>14.33757149843086</v>
      </c>
      <c r="H11" s="54">
        <f>'Consolidated Summary (Vic)'!I41+'Consolidated Summary (Vic)'!I48</f>
        <v>14.468385737605262</v>
      </c>
      <c r="I11" s="54">
        <f>'Consolidated Summary (Vic)'!J41+'Consolidated Summary (Vic)'!J48</f>
        <v>12.441680023187876</v>
      </c>
      <c r="J11" s="95">
        <f>'Consolidated Summary (Vic)'!K41+'Consolidated Summary (Vic)'!K48</f>
        <v>13.215330340013635</v>
      </c>
      <c r="K11" s="52">
        <f>SUM(F11:J11)</f>
        <v>69.118326501077746</v>
      </c>
      <c r="L11" s="45"/>
      <c r="M11" s="149" t="s">
        <v>71</v>
      </c>
      <c r="N11" s="45"/>
      <c r="O11" s="586"/>
      <c r="P11" s="52"/>
      <c r="Q11" s="55">
        <f>'Consolidated Summary (Alb)'!G41+'Consolidated Summary (Alb)'!G48</f>
        <v>0.66311864645933793</v>
      </c>
      <c r="R11" s="54">
        <f>'Consolidated Summary (Alb)'!H41+'Consolidated Summary (Alb)'!H48</f>
        <v>0.661955367518266</v>
      </c>
      <c r="S11" s="54">
        <f>'Consolidated Summary (Alb)'!I41+'Consolidated Summary (Alb)'!I48</f>
        <v>0.66904971219758536</v>
      </c>
      <c r="T11" s="54">
        <f>'Consolidated Summary (Alb)'!J41+'Consolidated Summary (Alb)'!J48</f>
        <v>0.5559475493661189</v>
      </c>
      <c r="U11" s="95">
        <f>'Consolidated Summary (Alb)'!K41+'Consolidated Summary (Alb)'!K48</f>
        <v>0.56580782739526936</v>
      </c>
      <c r="V11" s="52">
        <f>SUM(Q11:U11)</f>
        <v>3.1158791029365771</v>
      </c>
      <c r="W11" s="32"/>
      <c r="X11" s="149" t="s">
        <v>71</v>
      </c>
      <c r="Y11" s="45"/>
      <c r="Z11" s="586"/>
      <c r="AA11" s="52"/>
      <c r="AB11" s="55">
        <f>'Consolidated Summary (Comb)'!G41+'Consolidated Summary (Comb)'!G48</f>
        <v>15.337429024691101</v>
      </c>
      <c r="AC11" s="54">
        <f>'Consolidated Summary (Comb)'!H41+'Consolidated Summary (Comb)'!H48</f>
        <v>15.015657045043913</v>
      </c>
      <c r="AD11" s="54">
        <f>'Consolidated Summary (Comb)'!I41+'Consolidated Summary (Comb)'!I48</f>
        <v>15.154345505861297</v>
      </c>
      <c r="AE11" s="54">
        <f>'Consolidated Summary (Comb)'!J41+'Consolidated Summary (Comb)'!J48</f>
        <v>13.014291461675834</v>
      </c>
      <c r="AF11" s="95">
        <f>'Consolidated Summary (Comb)'!K41+'Consolidated Summary (Comb)'!K48</f>
        <v>13.799540808911466</v>
      </c>
      <c r="AG11" s="52">
        <f>SUM(AB11:AF11)</f>
        <v>72.321263846183612</v>
      </c>
      <c r="AH11" s="32"/>
    </row>
    <row r="12" spans="1:34" ht="20.100000000000001" customHeight="1" x14ac:dyDescent="0.2">
      <c r="A12" s="32"/>
      <c r="B12" s="149" t="s">
        <v>1</v>
      </c>
      <c r="C12" s="45"/>
      <c r="D12" s="363"/>
      <c r="E12" s="363"/>
      <c r="F12" s="55">
        <f>'Consolidated Summary (Vic)'!G43</f>
        <v>0.2994941340778367</v>
      </c>
      <c r="G12" s="54">
        <f>'Consolidated Summary (Vic)'!H43</f>
        <v>0.28406690999878076</v>
      </c>
      <c r="H12" s="54">
        <f>'Consolidated Summary (Vic)'!I43</f>
        <v>0.27936030438565879</v>
      </c>
      <c r="I12" s="54">
        <f>'Consolidated Summary (Vic)'!J43</f>
        <v>0.18692333253296883</v>
      </c>
      <c r="J12" s="95">
        <f>'Consolidated Summary (Vic)'!K43</f>
        <v>0.16908105854874103</v>
      </c>
      <c r="K12" s="52">
        <f t="shared" ref="K12:K14" si="0">SUM(F12:J12)</f>
        <v>1.2189257395439861</v>
      </c>
      <c r="L12" s="45"/>
      <c r="M12" s="149" t="s">
        <v>1</v>
      </c>
      <c r="N12" s="45"/>
      <c r="O12" s="52"/>
      <c r="P12" s="52"/>
      <c r="Q12" s="55">
        <f>'Consolidated Summary (Alb)'!G43</f>
        <v>0</v>
      </c>
      <c r="R12" s="54">
        <f>'Consolidated Summary (Alb)'!H43</f>
        <v>0</v>
      </c>
      <c r="S12" s="54">
        <f>'Consolidated Summary (Alb)'!I43</f>
        <v>0</v>
      </c>
      <c r="T12" s="54">
        <f>'Consolidated Summary (Alb)'!J43</f>
        <v>9.5906898957773171E-2</v>
      </c>
      <c r="U12" s="95">
        <f>'Consolidated Summary (Alb)'!K43</f>
        <v>0</v>
      </c>
      <c r="V12" s="52">
        <f t="shared" ref="V12:V14" si="1">SUM(Q12:U12)</f>
        <v>9.5906898957773171E-2</v>
      </c>
      <c r="W12" s="32"/>
      <c r="X12" s="149" t="s">
        <v>1</v>
      </c>
      <c r="Y12" s="45"/>
      <c r="Z12" s="52"/>
      <c r="AA12" s="52"/>
      <c r="AB12" s="55">
        <f>'Consolidated Summary (Comb)'!G43</f>
        <v>0.29915493139849142</v>
      </c>
      <c r="AC12" s="54">
        <f>'Consolidated Summary (Comb)'!H43</f>
        <v>0.28378138101883843</v>
      </c>
      <c r="AD12" s="54">
        <f>'Consolidated Summary (Comb)'!I43</f>
        <v>0.27909968345826441</v>
      </c>
      <c r="AE12" s="54">
        <f>'Consolidated Summary (Comb)'!J43</f>
        <v>0.28805359865549623</v>
      </c>
      <c r="AF12" s="95">
        <f>'Consolidated Summary (Comb)'!K43</f>
        <v>0.16859150393856401</v>
      </c>
      <c r="AG12" s="52">
        <f t="shared" ref="AG12:AG14" si="2">SUM(AB12:AF12)</f>
        <v>1.3186810984696544</v>
      </c>
      <c r="AH12" s="32"/>
    </row>
    <row r="13" spans="1:34" ht="20.100000000000001" customHeight="1" x14ac:dyDescent="0.2">
      <c r="A13" s="32"/>
      <c r="B13" s="149" t="s">
        <v>2</v>
      </c>
      <c r="C13" s="45"/>
      <c r="D13" s="363"/>
      <c r="E13" s="363"/>
      <c r="F13" s="55">
        <f>'Consolidated Summary (Vic)'!G44</f>
        <v>12.265673683020408</v>
      </c>
      <c r="G13" s="54">
        <f>'Consolidated Summary (Vic)'!H44</f>
        <v>25.541065493366194</v>
      </c>
      <c r="H13" s="54">
        <f>'Consolidated Summary (Vic)'!I44</f>
        <v>17.527246648461567</v>
      </c>
      <c r="I13" s="54">
        <f>'Consolidated Summary (Vic)'!J44</f>
        <v>5.7233405035194966</v>
      </c>
      <c r="J13" s="95">
        <f>'Consolidated Summary (Vic)'!K44</f>
        <v>7.0451906364604175</v>
      </c>
      <c r="K13" s="52">
        <f t="shared" si="0"/>
        <v>68.102516964828084</v>
      </c>
      <c r="L13" s="45"/>
      <c r="M13" s="149" t="s">
        <v>2</v>
      </c>
      <c r="N13" s="45"/>
      <c r="O13" s="52"/>
      <c r="P13" s="52"/>
      <c r="Q13" s="55">
        <f>'Consolidated Summary (Alb)'!G44</f>
        <v>0.40535157964797613</v>
      </c>
      <c r="R13" s="54">
        <f>'Consolidated Summary (Alb)'!H44</f>
        <v>0.85020902572885948</v>
      </c>
      <c r="S13" s="54">
        <f>'Consolidated Summary (Alb)'!I44</f>
        <v>0.58387235389589875</v>
      </c>
      <c r="T13" s="54">
        <f>'Consolidated Summary (Alb)'!J44</f>
        <v>0.18855968495133316</v>
      </c>
      <c r="U13" s="95">
        <f>'Consolidated Summary (Alb)'!K44</f>
        <v>0.22258395010677134</v>
      </c>
      <c r="V13" s="52">
        <f t="shared" si="1"/>
        <v>2.2505765943308389</v>
      </c>
      <c r="W13" s="32"/>
      <c r="X13" s="149" t="s">
        <v>2</v>
      </c>
      <c r="Y13" s="45"/>
      <c r="Z13" s="52"/>
      <c r="AA13" s="52"/>
      <c r="AB13" s="55">
        <f>'Consolidated Summary (Comb)'!G44</f>
        <v>12.678864318214487</v>
      </c>
      <c r="AC13" s="54">
        <f>'Consolidated Summary (Comb)'!H44</f>
        <v>26.404829258563026</v>
      </c>
      <c r="AD13" s="54">
        <f>'Consolidated Summary (Comb)'!I44</f>
        <v>18.121304124799082</v>
      </c>
      <c r="AE13" s="54">
        <f>'Consolidated Summary (Comb)'!J44</f>
        <v>5.915749829106641</v>
      </c>
      <c r="AF13" s="95">
        <f>'Consolidated Summary (Comb)'!K44</f>
        <v>7.2696680112344518</v>
      </c>
      <c r="AG13" s="52">
        <f t="shared" si="2"/>
        <v>70.39041554191769</v>
      </c>
      <c r="AH13" s="32"/>
    </row>
    <row r="14" spans="1:34" ht="20.100000000000001" customHeight="1" x14ac:dyDescent="0.2">
      <c r="A14" s="32"/>
      <c r="B14" s="149" t="s">
        <v>100</v>
      </c>
      <c r="C14" s="45"/>
      <c r="D14" s="363"/>
      <c r="E14" s="363"/>
      <c r="F14" s="55">
        <f>'Consolidated Summary (Vic)'!G51</f>
        <v>5.1220237779553326</v>
      </c>
      <c r="G14" s="54">
        <f>'Consolidated Summary (Vic)'!H51</f>
        <v>6.9359136137438053</v>
      </c>
      <c r="H14" s="54">
        <f>'Consolidated Summary (Vic)'!I51</f>
        <v>12.5400258526602</v>
      </c>
      <c r="I14" s="54">
        <f>'Consolidated Summary (Vic)'!J51</f>
        <v>9.0858115987687782</v>
      </c>
      <c r="J14" s="95">
        <f>'Consolidated Summary (Vic)'!K51</f>
        <v>4.7492339212515589</v>
      </c>
      <c r="K14" s="52">
        <f t="shared" si="0"/>
        <v>38.433008764379679</v>
      </c>
      <c r="L14" s="45"/>
      <c r="M14" s="149" t="s">
        <v>100</v>
      </c>
      <c r="N14" s="45"/>
      <c r="O14" s="52"/>
      <c r="P14" s="52"/>
      <c r="Q14" s="55">
        <f>'Consolidated Summary (Alb)'!G51</f>
        <v>7.4507509076810585E-2</v>
      </c>
      <c r="R14" s="54">
        <f>'Consolidated Summary (Alb)'!H51</f>
        <v>0.10950304701435283</v>
      </c>
      <c r="S14" s="54">
        <f>'Consolidated Summary (Alb)'!I51</f>
        <v>0.11059259457023973</v>
      </c>
      <c r="T14" s="54">
        <f>'Consolidated Summary (Alb)'!J51</f>
        <v>9.8086601206813478E-2</v>
      </c>
      <c r="U14" s="95">
        <f>'Consolidated Summary (Alb)'!K51</f>
        <v>2.5356920381714186E-2</v>
      </c>
      <c r="V14" s="52">
        <f t="shared" si="1"/>
        <v>0.41804667224993081</v>
      </c>
      <c r="W14" s="32"/>
      <c r="X14" s="149" t="s">
        <v>100</v>
      </c>
      <c r="Y14" s="45"/>
      <c r="Z14" s="52"/>
      <c r="AA14" s="52"/>
      <c r="AB14" s="134">
        <f>'Consolidated Summary (Comb)'!G51</f>
        <v>5.1947245200446517</v>
      </c>
      <c r="AC14" s="133">
        <f>'Consolidated Summary (Comb)'!H51</f>
        <v>7.0434973411853736</v>
      </c>
      <c r="AD14" s="133">
        <f>'Consolidated Summary (Comb)'!I51</f>
        <v>12.643945968392137</v>
      </c>
      <c r="AE14" s="133">
        <f>'Consolidated Summary (Comb)'!J51</f>
        <v>9.1785785664828214</v>
      </c>
      <c r="AF14" s="135">
        <f>'Consolidated Summary (Comb)'!K51</f>
        <v>4.763379500726117</v>
      </c>
      <c r="AG14" s="52">
        <f t="shared" si="2"/>
        <v>38.824125896831099</v>
      </c>
      <c r="AH14" s="32"/>
    </row>
    <row r="15" spans="1:34" s="148" customFormat="1" ht="20.100000000000001" customHeight="1" thickBot="1" x14ac:dyDescent="0.25">
      <c r="A15" s="117"/>
      <c r="B15" s="151" t="s">
        <v>45</v>
      </c>
      <c r="C15" s="152"/>
      <c r="D15" s="587"/>
      <c r="E15" s="587"/>
      <c r="F15" s="100">
        <f t="shared" ref="F15:J15" si="3">SUM(F10:F14)</f>
        <v>107.92153828116223</v>
      </c>
      <c r="G15" s="99">
        <f t="shared" si="3"/>
        <v>127.32495886573011</v>
      </c>
      <c r="H15" s="99">
        <f t="shared" si="3"/>
        <v>123.94187187922822</v>
      </c>
      <c r="I15" s="99">
        <f t="shared" si="3"/>
        <v>102.08359179380642</v>
      </c>
      <c r="J15" s="101">
        <f t="shared" si="3"/>
        <v>71.312931937916559</v>
      </c>
      <c r="K15" s="100">
        <f>SUM(F15:J15)</f>
        <v>532.58489275784348</v>
      </c>
      <c r="L15" s="102"/>
      <c r="M15" s="151" t="s">
        <v>45</v>
      </c>
      <c r="N15" s="152"/>
      <c r="O15" s="99"/>
      <c r="P15" s="99"/>
      <c r="Q15" s="100">
        <f t="shared" ref="Q15:U15" si="4">SUM(Q10:Q14)</f>
        <v>2.2799833315501696</v>
      </c>
      <c r="R15" s="99">
        <f t="shared" si="4"/>
        <v>2.7738361078514058</v>
      </c>
      <c r="S15" s="99">
        <f t="shared" si="4"/>
        <v>2.5441017868252791</v>
      </c>
      <c r="T15" s="99">
        <f t="shared" si="4"/>
        <v>2.1543342347613423</v>
      </c>
      <c r="U15" s="101">
        <f t="shared" si="4"/>
        <v>2.0616745706761446</v>
      </c>
      <c r="V15" s="100">
        <f>SUM(Q15:U15)</f>
        <v>11.813930031664341</v>
      </c>
      <c r="W15" s="32"/>
      <c r="X15" s="151" t="s">
        <v>45</v>
      </c>
      <c r="Y15" s="152"/>
      <c r="Z15" s="99"/>
      <c r="AA15" s="99"/>
      <c r="AB15" s="145">
        <f t="shared" ref="AB15:AF15" si="5">SUM(AB10:AB14)</f>
        <v>110.20152161271238</v>
      </c>
      <c r="AC15" s="146">
        <f t="shared" si="5"/>
        <v>130.09879497358153</v>
      </c>
      <c r="AD15" s="146">
        <f t="shared" si="5"/>
        <v>126.4859736660535</v>
      </c>
      <c r="AE15" s="146">
        <f t="shared" si="5"/>
        <v>104.23792602856778</v>
      </c>
      <c r="AF15" s="303">
        <f t="shared" si="5"/>
        <v>73.374606508592706</v>
      </c>
      <c r="AG15" s="100">
        <f>SUM(AB15:AF15)</f>
        <v>544.3988227895079</v>
      </c>
      <c r="AH15" s="32"/>
    </row>
    <row r="16" spans="1:34" ht="20.100000000000001" customHeight="1" x14ac:dyDescent="0.25">
      <c r="A16" s="32"/>
      <c r="B16" s="50" t="s">
        <v>11</v>
      </c>
      <c r="C16" s="105"/>
      <c r="D16" s="140"/>
      <c r="E16" s="50"/>
      <c r="F16" s="50">
        <f>F15-'Consolidated Summary (Vic)'!G52</f>
        <v>0</v>
      </c>
      <c r="G16" s="50">
        <f>G15-'Consolidated Summary (Vic)'!H52</f>
        <v>0</v>
      </c>
      <c r="H16" s="50">
        <f>H15-'Consolidated Summary (Vic)'!I52</f>
        <v>0</v>
      </c>
      <c r="I16" s="50">
        <f>I15-'Consolidated Summary (Vic)'!J52</f>
        <v>0</v>
      </c>
      <c r="J16" s="50">
        <f>J15-'Consolidated Summary (Vic)'!K52</f>
        <v>0</v>
      </c>
      <c r="K16" s="50">
        <f>K15-'Consolidated Summary (Vic)'!L52</f>
        <v>0</v>
      </c>
      <c r="L16" s="106"/>
      <c r="M16" s="50" t="s">
        <v>11</v>
      </c>
      <c r="N16" s="105"/>
      <c r="O16" s="140"/>
      <c r="P16" s="50"/>
      <c r="Q16" s="50">
        <f>Q15-'Consolidated Summary (Alb)'!G52</f>
        <v>0</v>
      </c>
      <c r="R16" s="50">
        <f>R15-'Consolidated Summary (Alb)'!H52</f>
        <v>0</v>
      </c>
      <c r="S16" s="50">
        <f>S15-'Consolidated Summary (Alb)'!I52</f>
        <v>0</v>
      </c>
      <c r="T16" s="50">
        <f>T15-'Consolidated Summary (Alb)'!J52</f>
        <v>0</v>
      </c>
      <c r="U16" s="50">
        <f>U15-'Consolidated Summary (Alb)'!K52</f>
        <v>0</v>
      </c>
      <c r="V16" s="50">
        <f>V15-'Consolidated Summary (Alb)'!L52</f>
        <v>0</v>
      </c>
      <c r="W16" s="32"/>
      <c r="X16" s="50" t="s">
        <v>11</v>
      </c>
      <c r="Y16" s="105"/>
      <c r="Z16" s="57"/>
      <c r="AA16" s="50"/>
      <c r="AB16" s="520">
        <f>AB15-'Consolidated Summary (Comb)'!G52</f>
        <v>0</v>
      </c>
      <c r="AC16" s="520">
        <f>AC15-'Consolidated Summary (Comb)'!H52</f>
        <v>0</v>
      </c>
      <c r="AD16" s="520">
        <f>AD15-'Consolidated Summary (Comb)'!I52</f>
        <v>0</v>
      </c>
      <c r="AE16" s="520">
        <f>AE15-'Consolidated Summary (Comb)'!J52</f>
        <v>0</v>
      </c>
      <c r="AF16" s="520">
        <f>AF15-'Consolidated Summary (Comb)'!K52</f>
        <v>0</v>
      </c>
      <c r="AG16" s="520">
        <f>AG15-'Consolidated Summary (Comb)'!L52</f>
        <v>0</v>
      </c>
      <c r="AH16" s="32"/>
    </row>
    <row r="17" spans="1:34" ht="20.100000000000001" customHeight="1" x14ac:dyDescent="0.2">
      <c r="A17" s="32"/>
      <c r="B17" s="32"/>
      <c r="C17" s="4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4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46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24" customHeight="1" x14ac:dyDescent="0.2">
      <c r="A18" s="32"/>
      <c r="B18" s="357" t="s">
        <v>70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2"/>
      <c r="M18" s="357" t="s">
        <v>70</v>
      </c>
      <c r="N18" s="357"/>
      <c r="O18" s="357"/>
      <c r="P18" s="357"/>
      <c r="Q18" s="357"/>
      <c r="R18" s="357"/>
      <c r="S18" s="357"/>
      <c r="T18" s="357"/>
      <c r="U18" s="357"/>
      <c r="V18" s="357"/>
      <c r="W18" s="32"/>
      <c r="X18" s="357" t="s">
        <v>70</v>
      </c>
      <c r="Y18" s="357"/>
      <c r="Z18" s="357"/>
      <c r="AA18" s="357"/>
      <c r="AB18" s="357"/>
      <c r="AC18" s="357"/>
      <c r="AD18" s="357"/>
      <c r="AE18" s="357"/>
      <c r="AF18" s="357"/>
      <c r="AG18" s="357"/>
      <c r="AH18" s="32"/>
    </row>
    <row r="19" spans="1:34" ht="20.100000000000001" customHeight="1" x14ac:dyDescent="0.2">
      <c r="A19" s="32"/>
      <c r="B19" s="12" t="s">
        <v>385</v>
      </c>
      <c r="C19" s="32"/>
      <c r="D19" s="32"/>
      <c r="E19" s="32"/>
      <c r="F19" s="147">
        <v>1.0194235746924845</v>
      </c>
      <c r="G19" s="32"/>
      <c r="H19" s="32"/>
      <c r="I19" s="32"/>
      <c r="J19" s="32"/>
      <c r="K19" s="32"/>
      <c r="L19" s="32"/>
      <c r="M19" s="12" t="str">
        <f>B19</f>
        <v>Inflation from mid-year $2016 to end of year $2017</v>
      </c>
      <c r="N19" s="32"/>
      <c r="O19" s="32"/>
      <c r="P19" s="32"/>
      <c r="Q19" s="147">
        <f>F19</f>
        <v>1.0194235746924845</v>
      </c>
      <c r="R19" s="32"/>
      <c r="S19" s="32"/>
      <c r="T19" s="32"/>
      <c r="U19" s="32"/>
      <c r="V19" s="32"/>
      <c r="W19" s="32"/>
      <c r="X19" s="12" t="str">
        <f>B19</f>
        <v>Inflation from mid-year $2016 to end of year $2017</v>
      </c>
      <c r="Y19" s="32"/>
      <c r="Z19" s="32"/>
      <c r="AA19" s="32"/>
      <c r="AB19" s="147">
        <f>F19</f>
        <v>1.0194235746924845</v>
      </c>
      <c r="AC19" s="32"/>
      <c r="AD19" s="32"/>
      <c r="AE19" s="32"/>
      <c r="AF19" s="32"/>
      <c r="AG19" s="32"/>
      <c r="AH19" s="32"/>
    </row>
    <row r="20" spans="1:34" ht="20.100000000000001" customHeight="1" x14ac:dyDescent="0.2">
      <c r="A20" s="32"/>
      <c r="B20" s="32"/>
      <c r="C20" s="46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6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46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24" customHeight="1" x14ac:dyDescent="0.2">
      <c r="A21" s="69"/>
      <c r="B21" s="357" t="s">
        <v>111</v>
      </c>
      <c r="C21" s="357"/>
      <c r="D21" s="357"/>
      <c r="E21" s="357"/>
      <c r="F21" s="357"/>
      <c r="G21" s="357"/>
      <c r="H21" s="357"/>
      <c r="I21" s="357"/>
      <c r="J21" s="357"/>
      <c r="K21" s="357"/>
      <c r="L21" s="69"/>
      <c r="M21" s="357" t="s">
        <v>111</v>
      </c>
      <c r="N21" s="357"/>
      <c r="O21" s="357"/>
      <c r="P21" s="357"/>
      <c r="Q21" s="357"/>
      <c r="R21" s="357"/>
      <c r="S21" s="357"/>
      <c r="T21" s="357"/>
      <c r="U21" s="357"/>
      <c r="V21" s="357"/>
      <c r="W21" s="32"/>
      <c r="X21" s="357" t="s">
        <v>111</v>
      </c>
      <c r="Y21" s="357"/>
      <c r="Z21" s="357"/>
      <c r="AA21" s="357"/>
      <c r="AB21" s="357"/>
      <c r="AC21" s="357"/>
      <c r="AD21" s="357"/>
      <c r="AE21" s="357"/>
      <c r="AF21" s="357"/>
      <c r="AG21" s="357"/>
      <c r="AH21" s="32"/>
    </row>
    <row r="22" spans="1:34" ht="20.100000000000001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ht="22.5" customHeight="1" x14ac:dyDescent="0.2">
      <c r="A23" s="32"/>
      <c r="B23" s="302"/>
      <c r="C23" s="301"/>
      <c r="D23" s="4"/>
      <c r="E23" s="6"/>
      <c r="F23" s="5">
        <v>2018</v>
      </c>
      <c r="G23" s="4">
        <v>2019</v>
      </c>
      <c r="H23" s="4">
        <v>2020</v>
      </c>
      <c r="I23" s="4">
        <v>2021</v>
      </c>
      <c r="J23" s="6">
        <v>2022</v>
      </c>
      <c r="K23" s="3" t="s">
        <v>75</v>
      </c>
      <c r="L23" s="45"/>
      <c r="M23" s="302"/>
      <c r="N23" s="301"/>
      <c r="O23" s="4"/>
      <c r="P23" s="6"/>
      <c r="Q23" s="5">
        <v>2018</v>
      </c>
      <c r="R23" s="4">
        <v>2019</v>
      </c>
      <c r="S23" s="4">
        <v>2020</v>
      </c>
      <c r="T23" s="4">
        <v>2021</v>
      </c>
      <c r="U23" s="6">
        <v>2022</v>
      </c>
      <c r="V23" s="3" t="s">
        <v>75</v>
      </c>
      <c r="W23" s="32"/>
      <c r="X23" s="302"/>
      <c r="Y23" s="301"/>
      <c r="Z23" s="4"/>
      <c r="AA23" s="6"/>
      <c r="AB23" s="5">
        <v>2018</v>
      </c>
      <c r="AC23" s="4">
        <v>2019</v>
      </c>
      <c r="AD23" s="4">
        <v>2020</v>
      </c>
      <c r="AE23" s="4">
        <v>2021</v>
      </c>
      <c r="AF23" s="6">
        <v>2022</v>
      </c>
      <c r="AG23" s="3" t="s">
        <v>75</v>
      </c>
      <c r="AH23" s="32"/>
    </row>
    <row r="24" spans="1:34" ht="20.100000000000001" customHeight="1" x14ac:dyDescent="0.2">
      <c r="A24" s="32"/>
      <c r="B24" s="12" t="str">
        <f>B10</f>
        <v>Mains &amp; Services</v>
      </c>
      <c r="C24" s="45"/>
      <c r="D24" s="52"/>
      <c r="E24" s="52"/>
      <c r="F24" s="55">
        <f>F10*$F$19</f>
        <v>77.047001898678644</v>
      </c>
      <c r="G24" s="54">
        <f t="shared" ref="G24:J24" si="6">G10*$F$19</f>
        <v>81.784623683710649</v>
      </c>
      <c r="H24" s="54">
        <f t="shared" si="6"/>
        <v>80.663779682070825</v>
      </c>
      <c r="I24" s="54">
        <f t="shared" si="6"/>
        <v>76.095725313348623</v>
      </c>
      <c r="J24" s="95">
        <f t="shared" si="6"/>
        <v>47.03018504081188</v>
      </c>
      <c r="K24" s="52">
        <f>SUM(F24:J24)</f>
        <v>362.6213156186206</v>
      </c>
      <c r="L24" s="45"/>
      <c r="M24" s="12" t="str">
        <f>M10</f>
        <v>Mains &amp; Services</v>
      </c>
      <c r="N24" s="45"/>
      <c r="O24" s="52"/>
      <c r="P24" s="52"/>
      <c r="Q24" s="55">
        <f>Q10*$F$19</f>
        <v>1.1590903094928338</v>
      </c>
      <c r="R24" s="54">
        <f t="shared" ref="R24:U24" si="7">R10*$F$19</f>
        <v>1.1745479017632006</v>
      </c>
      <c r="S24" s="54">
        <f t="shared" si="7"/>
        <v>1.20351834838754</v>
      </c>
      <c r="T24" s="54">
        <f t="shared" si="7"/>
        <v>1.2394493330856033</v>
      </c>
      <c r="U24" s="95">
        <f t="shared" si="7"/>
        <v>1.2721650541932563</v>
      </c>
      <c r="V24" s="52">
        <f>SUM(Q24:U24)</f>
        <v>6.048770946922434</v>
      </c>
      <c r="W24" s="32"/>
      <c r="X24" s="12" t="str">
        <f>X10</f>
        <v>Mains &amp; Services</v>
      </c>
      <c r="Y24" s="45"/>
      <c r="Z24" s="52"/>
      <c r="AA24" s="52"/>
      <c r="AB24" s="55">
        <f>AB10*$F$19</f>
        <v>78.180968960404513</v>
      </c>
      <c r="AC24" s="54">
        <f>AC10*$F$19</f>
        <v>82.931157754271425</v>
      </c>
      <c r="AD24" s="54">
        <f t="shared" ref="AD24:AE24" si="8">AD10*$F$19</f>
        <v>81.846744332081741</v>
      </c>
      <c r="AE24" s="54">
        <f t="shared" si="8"/>
        <v>77.314360806763361</v>
      </c>
      <c r="AF24" s="95">
        <f>AF10*$F$19</f>
        <v>48.29358797541348</v>
      </c>
      <c r="AG24" s="52">
        <f>SUM(AB24:AF24)</f>
        <v>368.56681982893451</v>
      </c>
      <c r="AH24" s="32"/>
    </row>
    <row r="25" spans="1:34" ht="20.100000000000001" customHeight="1" x14ac:dyDescent="0.2">
      <c r="A25" s="32"/>
      <c r="B25" s="12" t="str">
        <f>B11</f>
        <v>Meters</v>
      </c>
      <c r="C25" s="45"/>
      <c r="D25" s="586"/>
      <c r="E25" s="52"/>
      <c r="F25" s="55">
        <f>F11*$F$19</f>
        <v>14.940018360115172</v>
      </c>
      <c r="G25" s="54">
        <f t="shared" ref="G25:J28" si="9">G11*$F$19</f>
        <v>14.616058389339468</v>
      </c>
      <c r="H25" s="54">
        <f t="shared" si="9"/>
        <v>14.749413508659314</v>
      </c>
      <c r="I25" s="54">
        <f t="shared" si="9"/>
        <v>12.683341924418258</v>
      </c>
      <c r="J25" s="95">
        <f t="shared" si="9"/>
        <v>13.472019295958745</v>
      </c>
      <c r="K25" s="52">
        <f>SUM(F25:J25)</f>
        <v>70.460851478490952</v>
      </c>
      <c r="L25" s="45"/>
      <c r="M25" s="12" t="str">
        <f>M11</f>
        <v>Meters</v>
      </c>
      <c r="N25" s="45"/>
      <c r="O25" s="586"/>
      <c r="P25" s="52"/>
      <c r="Q25" s="55">
        <f t="shared" ref="Q25:U25" si="10">Q11*$F$19</f>
        <v>0.67599878101882005</v>
      </c>
      <c r="R25" s="54">
        <f t="shared" si="10"/>
        <v>0.67481290704234809</v>
      </c>
      <c r="S25" s="54">
        <f t="shared" si="10"/>
        <v>0.68204504925544041</v>
      </c>
      <c r="T25" s="54">
        <f t="shared" si="10"/>
        <v>0.56674603811633539</v>
      </c>
      <c r="U25" s="95">
        <f t="shared" si="10"/>
        <v>0.57679783799227369</v>
      </c>
      <c r="V25" s="52">
        <f>SUM(Q25:U25)</f>
        <v>3.1764006134252174</v>
      </c>
      <c r="W25" s="32"/>
      <c r="X25" s="12" t="str">
        <f>X11</f>
        <v>Meters</v>
      </c>
      <c r="Y25" s="45"/>
      <c r="Z25" s="586"/>
      <c r="AA25" s="52"/>
      <c r="AB25" s="55">
        <f t="shared" ref="AB25:AE25" si="11">AB11*$F$19</f>
        <v>15.635336722942867</v>
      </c>
      <c r="AC25" s="54">
        <f>AC11*$F$19</f>
        <v>15.307314781215053</v>
      </c>
      <c r="AD25" s="54">
        <f t="shared" si="11"/>
        <v>15.448697067710111</v>
      </c>
      <c r="AE25" s="54">
        <f t="shared" si="11"/>
        <v>13.267075523951457</v>
      </c>
      <c r="AF25" s="95">
        <f>AF11*$F$19</f>
        <v>14.067577220535345</v>
      </c>
      <c r="AG25" s="52">
        <f>SUM(AB25:AF25)</f>
        <v>73.726001316354839</v>
      </c>
      <c r="AH25" s="32"/>
    </row>
    <row r="26" spans="1:34" ht="20.100000000000001" customHeight="1" x14ac:dyDescent="0.2">
      <c r="A26" s="32"/>
      <c r="B26" s="12" t="str">
        <f>B12</f>
        <v>Telemetry</v>
      </c>
      <c r="C26" s="45"/>
      <c r="D26" s="52"/>
      <c r="E26" s="52"/>
      <c r="F26" s="55">
        <f>F12*$F$19</f>
        <v>0.30531138076105852</v>
      </c>
      <c r="G26" s="54">
        <f t="shared" si="9"/>
        <v>0.28958450484280535</v>
      </c>
      <c r="H26" s="54">
        <f t="shared" si="9"/>
        <v>0.28478648012400881</v>
      </c>
      <c r="I26" s="54">
        <f t="shared" si="9"/>
        <v>0.19055405184419105</v>
      </c>
      <c r="J26" s="95">
        <f t="shared" si="9"/>
        <v>0.17236521711854685</v>
      </c>
      <c r="K26" s="52">
        <f t="shared" ref="K26:K28" si="12">SUM(F26:J26)</f>
        <v>1.2426016346906106</v>
      </c>
      <c r="L26" s="45"/>
      <c r="M26" s="12" t="str">
        <f>M12</f>
        <v>Telemetry</v>
      </c>
      <c r="N26" s="45"/>
      <c r="O26" s="52"/>
      <c r="P26" s="52"/>
      <c r="Q26" s="55">
        <f>Q12*$F$19</f>
        <v>0</v>
      </c>
      <c r="R26" s="54">
        <f t="shared" ref="R26:U26" si="13">R12*$F$19</f>
        <v>0</v>
      </c>
      <c r="S26" s="54">
        <f t="shared" si="13"/>
        <v>0</v>
      </c>
      <c r="T26" s="54">
        <f t="shared" si="13"/>
        <v>9.7769753773204043E-2</v>
      </c>
      <c r="U26" s="95">
        <f t="shared" si="13"/>
        <v>0</v>
      </c>
      <c r="V26" s="52">
        <f t="shared" ref="V26:V28" si="14">SUM(Q26:U26)</f>
        <v>9.7769753773204043E-2</v>
      </c>
      <c r="W26" s="32"/>
      <c r="X26" s="12" t="str">
        <f>X12</f>
        <v>Telemetry</v>
      </c>
      <c r="Y26" s="45"/>
      <c r="Z26" s="52"/>
      <c r="AA26" s="52"/>
      <c r="AB26" s="55">
        <f>AB12*$F$19</f>
        <v>0.30496558955313507</v>
      </c>
      <c r="AC26" s="54">
        <f>AC12*$F$19</f>
        <v>0.28929342986939421</v>
      </c>
      <c r="AD26" s="54">
        <f t="shared" ref="AD26:AE26" si="15">AD12*$F$19</f>
        <v>0.2845207970065648</v>
      </c>
      <c r="AE26" s="54">
        <f t="shared" si="15"/>
        <v>0.2936486292444202</v>
      </c>
      <c r="AF26" s="95">
        <f>AF12*$F$19</f>
        <v>0.171866153607833</v>
      </c>
      <c r="AG26" s="52">
        <f t="shared" ref="AG26:AG28" si="16">SUM(AB26:AF26)</f>
        <v>1.3442945992813473</v>
      </c>
      <c r="AH26" s="32"/>
    </row>
    <row r="27" spans="1:34" ht="20.100000000000001" customHeight="1" x14ac:dyDescent="0.2">
      <c r="A27" s="32"/>
      <c r="B27" s="12" t="str">
        <f>B13</f>
        <v>Information Technology</v>
      </c>
      <c r="C27" s="45"/>
      <c r="D27" s="52"/>
      <c r="E27" s="52"/>
      <c r="F27" s="55">
        <f>F13*$F$19</f>
        <v>12.503916911956196</v>
      </c>
      <c r="G27" s="54">
        <f t="shared" si="9"/>
        <v>26.037164286702229</v>
      </c>
      <c r="H27" s="54">
        <f t="shared" si="9"/>
        <v>17.867688432891558</v>
      </c>
      <c r="I27" s="54">
        <f t="shared" si="9"/>
        <v>5.8345082352801292</v>
      </c>
      <c r="J27" s="95">
        <f t="shared" si="9"/>
        <v>7.1820334230104983</v>
      </c>
      <c r="K27" s="52">
        <f t="shared" si="12"/>
        <v>69.425311289840607</v>
      </c>
      <c r="L27" s="45"/>
      <c r="M27" s="12" t="str">
        <f>M13</f>
        <v>Information Technology</v>
      </c>
      <c r="N27" s="45"/>
      <c r="O27" s="52"/>
      <c r="P27" s="52"/>
      <c r="Q27" s="55">
        <f t="shared" ref="Q27:U27" si="17">Q13*$F$19</f>
        <v>0.41322495633198514</v>
      </c>
      <c r="R27" s="54">
        <f t="shared" si="17"/>
        <v>0.8667231242443284</v>
      </c>
      <c r="S27" s="54">
        <f t="shared" si="17"/>
        <v>0.59521324217267246</v>
      </c>
      <c r="T27" s="54">
        <f t="shared" si="17"/>
        <v>0.19222218807597671</v>
      </c>
      <c r="U27" s="95">
        <f t="shared" si="17"/>
        <v>0.22690732608701844</v>
      </c>
      <c r="V27" s="52">
        <f t="shared" si="14"/>
        <v>2.2942908369119812</v>
      </c>
      <c r="W27" s="32"/>
      <c r="X27" s="12" t="str">
        <f>X13</f>
        <v>Information Technology</v>
      </c>
      <c r="Y27" s="45"/>
      <c r="Z27" s="52"/>
      <c r="AA27" s="52"/>
      <c r="AB27" s="55">
        <f t="shared" ref="AB27:AE27" si="18">AB13*$F$19</f>
        <v>12.925133186315202</v>
      </c>
      <c r="AC27" s="54">
        <f>AC13*$F$19</f>
        <v>26.917705431909024</v>
      </c>
      <c r="AD27" s="54">
        <f t="shared" si="18"/>
        <v>18.473284628992342</v>
      </c>
      <c r="AE27" s="54">
        <f t="shared" si="18"/>
        <v>6.0306548377743461</v>
      </c>
      <c r="AF27" s="95">
        <f>AF13*$F$19</f>
        <v>7.4108709508402288</v>
      </c>
      <c r="AG27" s="52">
        <f t="shared" si="16"/>
        <v>71.75764903583115</v>
      </c>
      <c r="AH27" s="32"/>
    </row>
    <row r="28" spans="1:34" ht="20.100000000000001" customHeight="1" x14ac:dyDescent="0.2">
      <c r="A28" s="32"/>
      <c r="B28" s="12" t="str">
        <f>B14</f>
        <v>Other Assets</v>
      </c>
      <c r="C28" s="45"/>
      <c r="D28" s="52"/>
      <c r="E28" s="52"/>
      <c r="F28" s="134">
        <f>F14*$F$19</f>
        <v>5.2215117893831291</v>
      </c>
      <c r="G28" s="133">
        <f t="shared" si="9"/>
        <v>7.070633849880978</v>
      </c>
      <c r="H28" s="133">
        <f t="shared" si="9"/>
        <v>12.783597981455031</v>
      </c>
      <c r="I28" s="133">
        <f t="shared" si="9"/>
        <v>9.2622905389993058</v>
      </c>
      <c r="J28" s="135">
        <f t="shared" si="9"/>
        <v>4.8414810210530694</v>
      </c>
      <c r="K28" s="52">
        <f t="shared" si="12"/>
        <v>39.179515180771517</v>
      </c>
      <c r="L28" s="45"/>
      <c r="M28" s="12" t="str">
        <f>M14</f>
        <v>Other Assets</v>
      </c>
      <c r="N28" s="45"/>
      <c r="O28" s="52"/>
      <c r="P28" s="52"/>
      <c r="Q28" s="134">
        <f t="shared" ref="Q28:U28" si="19">Q14*$F$19</f>
        <v>7.5954711244514986E-2</v>
      </c>
      <c r="R28" s="133">
        <f t="shared" si="19"/>
        <v>0.11162998762709075</v>
      </c>
      <c r="S28" s="133">
        <f t="shared" si="19"/>
        <v>0.11274069809131043</v>
      </c>
      <c r="T28" s="133">
        <f t="shared" si="19"/>
        <v>9.9991793631685963E-2</v>
      </c>
      <c r="U28" s="135">
        <f t="shared" si="19"/>
        <v>2.5849442418719792E-2</v>
      </c>
      <c r="V28" s="52">
        <f t="shared" si="14"/>
        <v>0.42616663301332192</v>
      </c>
      <c r="W28" s="32"/>
      <c r="X28" s="12" t="str">
        <f>X14</f>
        <v>Other Assets</v>
      </c>
      <c r="Y28" s="45"/>
      <c r="Z28" s="52"/>
      <c r="AA28" s="52"/>
      <c r="AB28" s="134">
        <f t="shared" ref="AB28:AE28" si="20">AB14*$F$19</f>
        <v>5.2956246397666193</v>
      </c>
      <c r="AC28" s="133">
        <f>AC14*$F$19</f>
        <v>7.1803072378882034</v>
      </c>
      <c r="AD28" s="133">
        <f t="shared" si="20"/>
        <v>12.889536597316939</v>
      </c>
      <c r="AE28" s="133">
        <f t="shared" si="20"/>
        <v>9.3568593728397378</v>
      </c>
      <c r="AF28" s="135">
        <f>AF14*$F$19</f>
        <v>4.8559013582471202</v>
      </c>
      <c r="AG28" s="52">
        <f t="shared" si="16"/>
        <v>39.578229206058623</v>
      </c>
      <c r="AH28" s="32"/>
    </row>
    <row r="29" spans="1:34" s="148" customFormat="1" ht="20.100000000000001" customHeight="1" thickBot="1" x14ac:dyDescent="0.25">
      <c r="A29" s="117"/>
      <c r="B29" s="151" t="s">
        <v>45</v>
      </c>
      <c r="C29" s="152"/>
      <c r="D29" s="99"/>
      <c r="E29" s="99"/>
      <c r="F29" s="145">
        <f t="shared" ref="F29:K29" si="21">SUM(F24:F28)</f>
        <v>110.0177603408942</v>
      </c>
      <c r="G29" s="146">
        <f t="shared" si="21"/>
        <v>129.79806471447614</v>
      </c>
      <c r="H29" s="146">
        <f t="shared" si="21"/>
        <v>126.34926608520074</v>
      </c>
      <c r="I29" s="146">
        <f t="shared" si="21"/>
        <v>104.0664200638905</v>
      </c>
      <c r="J29" s="146">
        <f t="shared" si="21"/>
        <v>72.698083997952736</v>
      </c>
      <c r="K29" s="100">
        <f t="shared" si="21"/>
        <v>542.92959520241436</v>
      </c>
      <c r="L29" s="102"/>
      <c r="M29" s="151" t="s">
        <v>45</v>
      </c>
      <c r="N29" s="152"/>
      <c r="O29" s="99"/>
      <c r="P29" s="99"/>
      <c r="Q29" s="145">
        <f t="shared" ref="Q29:V29" si="22">SUM(Q24:Q28)</f>
        <v>2.324268758088154</v>
      </c>
      <c r="R29" s="146">
        <f t="shared" si="22"/>
        <v>2.8277139206769677</v>
      </c>
      <c r="S29" s="146">
        <f t="shared" si="22"/>
        <v>2.5935173379069636</v>
      </c>
      <c r="T29" s="146">
        <f t="shared" si="22"/>
        <v>2.1961791066828056</v>
      </c>
      <c r="U29" s="146">
        <f t="shared" si="22"/>
        <v>2.1017196606912685</v>
      </c>
      <c r="V29" s="100">
        <f t="shared" si="22"/>
        <v>12.043398784046158</v>
      </c>
      <c r="W29" s="32"/>
      <c r="X29" s="151" t="s">
        <v>45</v>
      </c>
      <c r="Y29" s="152"/>
      <c r="Z29" s="99"/>
      <c r="AA29" s="99"/>
      <c r="AB29" s="145">
        <f t="shared" ref="AB29:AG29" si="23">SUM(AB24:AB28)</f>
        <v>112.34202909898234</v>
      </c>
      <c r="AC29" s="146">
        <f t="shared" si="23"/>
        <v>132.6257786351531</v>
      </c>
      <c r="AD29" s="146">
        <f t="shared" si="23"/>
        <v>128.9427834231077</v>
      </c>
      <c r="AE29" s="146">
        <f t="shared" si="23"/>
        <v>106.26259917057332</v>
      </c>
      <c r="AF29" s="146">
        <f t="shared" si="23"/>
        <v>74.799803658644009</v>
      </c>
      <c r="AG29" s="100">
        <f t="shared" si="23"/>
        <v>554.97299398646044</v>
      </c>
      <c r="AH29" s="32"/>
    </row>
    <row r="30" spans="1:34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2" spans="1:34" ht="20.100000000000001" customHeight="1" x14ac:dyDescent="0.2"/>
  </sheetData>
  <hyperlinks>
    <hyperlink ref="B3" location="Contents!A1" display="Contents!A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8D9981677EF40A346B2107BB1FCEE" ma:contentTypeVersion="0" ma:contentTypeDescription="Create a new document." ma:contentTypeScope="" ma:versionID="149058192a71bd20b721b49dcf372c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C7F5BA9-3192-4A09-9264-56F7A7C10E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E0D167-287F-41AB-B1F9-85B6A5FF8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54DE8-BCE9-401E-9D22-5A4170564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Cover</vt:lpstr>
      <vt:lpstr>Contents</vt:lpstr>
      <vt:lpstr>Capex Model Category Index</vt:lpstr>
      <vt:lpstr>Mapping</vt:lpstr>
      <vt:lpstr>Inputs</vt:lpstr>
      <vt:lpstr>CPI</vt:lpstr>
      <vt:lpstr>Growth Capex Volumes</vt:lpstr>
      <vt:lpstr>Business Cases</vt:lpstr>
      <vt:lpstr>Real Cost Escalation</vt:lpstr>
      <vt:lpstr>Overheads</vt:lpstr>
      <vt:lpstr>Calculation</vt:lpstr>
      <vt:lpstr>Capex Category Summary (Vic)</vt:lpstr>
      <vt:lpstr>Capex Category Summary (Alb)</vt:lpstr>
      <vt:lpstr>Capex Category Summary (Comb)</vt:lpstr>
      <vt:lpstr>Overheads (Vic)</vt:lpstr>
      <vt:lpstr>Overheads (Alb)</vt:lpstr>
      <vt:lpstr>Overheads (Comb)</vt:lpstr>
      <vt:lpstr>Consolidated Summary (Vic)</vt:lpstr>
      <vt:lpstr>Consolidated Summary (Alb)</vt:lpstr>
      <vt:lpstr>Consolidated Summary (Comb)</vt:lpstr>
      <vt:lpstr>Output</vt:lpstr>
      <vt:lpstr>PTRM Input</vt:lpstr>
    </vt:vector>
  </TitlesOfParts>
  <Company>Envestra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HSTAdmin</dc:creator>
  <cp:lastModifiedBy>Ashley Muldrew</cp:lastModifiedBy>
  <cp:lastPrinted>2016-05-11T06:15:50Z</cp:lastPrinted>
  <dcterms:created xsi:type="dcterms:W3CDTF">2009-12-15T22:43:41Z</dcterms:created>
  <dcterms:modified xsi:type="dcterms:W3CDTF">2016-12-18T06:02:42Z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0x0101006058D9981677EF40A346B2107BB1FCEE</vt:lpwstr>
  </property>
</Properties>
</file>